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Danny Kolosta\CO- Dropbox\Collective Operations\Development\2024_MRK\300 De Haro\8.0 FINANCING\8.4 TAX CREDITS\"/>
    </mc:Choice>
  </mc:AlternateContent>
  <xr:revisionPtr revIDLastSave="0" documentId="13_ncr:1_{7025A991-6C9A-4952-8E90-2612528C282D}" xr6:coauthVersionLast="47" xr6:coauthVersionMax="47" xr10:uidLastSave="{00000000-0000-0000-0000-000000000000}"/>
  <bookViews>
    <workbookView xWindow="-108" yWindow="-108" windowWidth="41496" windowHeight="16776"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alcOnSave="0"/>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21" l="1"/>
  <c r="AM556" i="3"/>
  <c r="AM554" i="3"/>
  <c r="AC886" i="3" l="1"/>
  <c r="G33" i="13"/>
  <c r="D33" i="13"/>
  <c r="G33" i="4"/>
  <c r="AD188" i="20" l="1"/>
  <c r="AM561" i="3"/>
  <c r="AM557" i="3"/>
  <c r="AO640" i="3"/>
  <c r="C95" i="4" l="1"/>
  <c r="W875" i="3"/>
  <c r="W849" i="3"/>
  <c r="G45" i="4"/>
  <c r="C86" i="4"/>
  <c r="C29" i="4"/>
  <c r="C66" i="7"/>
  <c r="C67" i="7"/>
  <c r="E66" i="7" l="1"/>
  <c r="G66" i="7" s="1"/>
  <c r="I99" i="4"/>
  <c r="AA918" i="3"/>
  <c r="AA917" i="3"/>
  <c r="I66" i="7" l="1"/>
  <c r="K66" i="7" s="1"/>
  <c r="Z816" i="3"/>
  <c r="W846" i="3"/>
  <c r="W866" i="3"/>
  <c r="W854" i="3"/>
  <c r="Y66" i="7" l="1"/>
  <c r="U66" i="7"/>
  <c r="M66" i="7"/>
  <c r="O66" i="7"/>
  <c r="C30" i="4"/>
  <c r="C83" i="4"/>
  <c r="C46" i="4"/>
  <c r="C65" i="4"/>
  <c r="C48" i="4"/>
  <c r="C88" i="4"/>
  <c r="Q66" i="7" l="1"/>
  <c r="S66" i="7" s="1"/>
  <c r="W66" i="7" s="1"/>
  <c r="AG448" i="3"/>
  <c r="AG442" i="3"/>
  <c r="Y67" i="15"/>
  <c r="AA66" i="7" l="1"/>
  <c r="AC66" i="7" s="1"/>
  <c r="AE66" i="7" s="1"/>
  <c r="AG66" i="7" s="1"/>
  <c r="C167" i="20"/>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CS649" i="3" s="1"/>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E26" i="13" s="1"/>
  <c r="C26" i="4"/>
  <c r="B26" i="13" s="1"/>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E104" i="21"/>
  <c r="E95" i="21"/>
  <c r="B85" i="21"/>
  <c r="B60" i="21"/>
  <c r="B51" i="21"/>
  <c r="B42" i="21"/>
  <c r="B33" i="21"/>
  <c r="B18" i="21"/>
  <c r="B7" i="8"/>
  <c r="G7" i="8" s="1"/>
  <c r="AV775" i="3"/>
  <c r="AK274" i="20"/>
  <c r="T803" i="20" s="1"/>
  <c r="AF803" i="20" s="1"/>
  <c r="B24" i="4"/>
  <c r="B36" i="4"/>
  <c r="R36" i="4" s="1"/>
  <c r="S36" i="4" s="1"/>
  <c r="E36" i="13" s="1"/>
  <c r="B66" i="4"/>
  <c r="B67" i="4"/>
  <c r="B68" i="4"/>
  <c r="B69" i="4"/>
  <c r="E69" i="4" s="1"/>
  <c r="R66" i="4"/>
  <c r="S66" i="4" s="1"/>
  <c r="E66" i="13" s="1"/>
  <c r="R67" i="4"/>
  <c r="S67" i="4" s="1"/>
  <c r="R68" i="4"/>
  <c r="S68" i="4" s="1"/>
  <c r="A104" i="11"/>
  <c r="C101" i="11"/>
  <c r="C102" i="11"/>
  <c r="C103" i="11"/>
  <c r="C104" i="11"/>
  <c r="B101" i="11"/>
  <c r="D101" i="11" s="1"/>
  <c r="B102" i="11"/>
  <c r="D102" i="11" s="1"/>
  <c r="B103" i="11"/>
  <c r="B104" i="11"/>
  <c r="C85" i="11"/>
  <c r="C86" i="11"/>
  <c r="C87" i="11"/>
  <c r="C88" i="11"/>
  <c r="C89" i="11"/>
  <c r="C90" i="11"/>
  <c r="C91" i="11"/>
  <c r="C92" i="11"/>
  <c r="C93" i="11"/>
  <c r="C94" i="11"/>
  <c r="C95" i="11"/>
  <c r="C96" i="11"/>
  <c r="B85" i="11"/>
  <c r="B86" i="11"/>
  <c r="B87" i="11"/>
  <c r="D87" i="11" s="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D33" i="11" s="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B100" i="13"/>
  <c r="B101" i="13"/>
  <c r="B102" i="13"/>
  <c r="B103" i="13"/>
  <c r="A69" i="13"/>
  <c r="H66" i="13"/>
  <c r="H67" i="13"/>
  <c r="H68" i="13"/>
  <c r="H69" i="13"/>
  <c r="E67" i="13"/>
  <c r="E68" i="13"/>
  <c r="B66" i="13"/>
  <c r="B67" i="13"/>
  <c r="B68" i="13"/>
  <c r="B69" i="13"/>
  <c r="D69" i="13" s="1"/>
  <c r="A53" i="13"/>
  <c r="H36" i="13"/>
  <c r="B36" i="13"/>
  <c r="H24" i="13"/>
  <c r="E24" i="13"/>
  <c r="B24" i="13"/>
  <c r="C104" i="4"/>
  <c r="B104" i="13" s="1"/>
  <c r="B99" i="4"/>
  <c r="E99" i="4" s="1"/>
  <c r="R99" i="4"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c r="K54" i="7"/>
  <c r="M54" i="7"/>
  <c r="O54" i="7"/>
  <c r="Q54" i="7"/>
  <c r="S54" i="7"/>
  <c r="U54" i="7"/>
  <c r="W54" i="7"/>
  <c r="Y54" i="7"/>
  <c r="AA54" i="7"/>
  <c r="AC54" i="7"/>
  <c r="AE54" i="7"/>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c r="K57" i="7"/>
  <c r="M57" i="7"/>
  <c r="O57" i="7"/>
  <c r="Q57" i="7"/>
  <c r="S57" i="7"/>
  <c r="U57" i="7"/>
  <c r="W57" i="7"/>
  <c r="Y57" i="7"/>
  <c r="AA57" i="7"/>
  <c r="AC57" i="7"/>
  <c r="AE57" i="7" s="1"/>
  <c r="AG57" i="7" s="1"/>
  <c r="G53" i="7"/>
  <c r="I53" i="7" s="1"/>
  <c r="K53" i="7" s="1"/>
  <c r="A61" i="15"/>
  <c r="BA479" i="3"/>
  <c r="BA470" i="3"/>
  <c r="G24" i="7"/>
  <c r="I24" i="7"/>
  <c r="K24" i="7"/>
  <c r="M24" i="7"/>
  <c r="O24" i="7"/>
  <c r="Q24" i="7"/>
  <c r="S24" i="7"/>
  <c r="U24" i="7"/>
  <c r="W24" i="7"/>
  <c r="Y24" i="7"/>
  <c r="AA24" i="7"/>
  <c r="AC24" i="7"/>
  <c r="AE24" i="7"/>
  <c r="AG24" i="7"/>
  <c r="B100" i="4"/>
  <c r="R100" i="4"/>
  <c r="S100" i="4" s="1"/>
  <c r="E100" i="13" s="1"/>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AH726" i="3" s="1"/>
  <c r="X726" i="3"/>
  <c r="BA676" i="3"/>
  <c r="X727" i="3"/>
  <c r="BA674" i="3"/>
  <c r="AH725" i="3" s="1"/>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S84" i="4" s="1"/>
  <c r="E84" i="13" s="1"/>
  <c r="B59" i="4"/>
  <c r="C80" i="11"/>
  <c r="C82" i="11" s="1"/>
  <c r="C81" i="11"/>
  <c r="B80" i="11"/>
  <c r="B81" i="11"/>
  <c r="I96" i="13"/>
  <c r="J96" i="13"/>
  <c r="J81" i="13"/>
  <c r="I81" i="13"/>
  <c r="F81" i="13"/>
  <c r="C81" i="13"/>
  <c r="H80" i="13"/>
  <c r="E80" i="13"/>
  <c r="G80" i="13" s="1"/>
  <c r="B80" i="13"/>
  <c r="D80" i="13" s="1"/>
  <c r="D81" i="4"/>
  <c r="F81" i="4"/>
  <c r="G81" i="4"/>
  <c r="H81" i="4"/>
  <c r="I81" i="4"/>
  <c r="J81" i="4"/>
  <c r="K81" i="4"/>
  <c r="L81" i="4"/>
  <c r="M81" i="4"/>
  <c r="N81" i="4"/>
  <c r="O81" i="4"/>
  <c r="P81" i="4"/>
  <c r="Q81" i="4"/>
  <c r="T81" i="4"/>
  <c r="H81" i="13" s="1"/>
  <c r="C81" i="4"/>
  <c r="B81" i="13" s="1"/>
  <c r="B80" i="4"/>
  <c r="E80" i="4" s="1"/>
  <c r="R80" i="4"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G94" i="13" s="1"/>
  <c r="E93" i="13"/>
  <c r="G93" i="13" s="1"/>
  <c r="E90" i="13"/>
  <c r="E46" i="13"/>
  <c r="G46" i="13" s="1"/>
  <c r="E45" i="13"/>
  <c r="G45" i="13" s="1"/>
  <c r="E43" i="13"/>
  <c r="E37" i="13"/>
  <c r="G37" i="13" s="1"/>
  <c r="E30" i="13"/>
  <c r="G30" i="13" s="1"/>
  <c r="E27" i="13"/>
  <c r="E25" i="13"/>
  <c r="E23" i="13"/>
  <c r="E22" i="13"/>
  <c r="E21" i="13"/>
  <c r="E20" i="13"/>
  <c r="E19" i="13"/>
  <c r="E18" i="13"/>
  <c r="E17" i="13"/>
  <c r="E15" i="13"/>
  <c r="E14" i="13"/>
  <c r="E13" i="13"/>
  <c r="E10" i="13"/>
  <c r="B99" i="13"/>
  <c r="D99" i="13" s="1"/>
  <c r="D104" i="13" s="1"/>
  <c r="B95" i="13"/>
  <c r="D95" i="13" s="1"/>
  <c r="B94" i="13"/>
  <c r="D94" i="13" s="1"/>
  <c r="B93" i="13"/>
  <c r="D93" i="13" s="1"/>
  <c r="B92" i="13"/>
  <c r="B91" i="13"/>
  <c r="B90" i="13"/>
  <c r="D90" i="13" s="1"/>
  <c r="B89" i="13"/>
  <c r="D89" i="13" s="1"/>
  <c r="B88" i="13"/>
  <c r="D88" i="13" s="1"/>
  <c r="B87" i="13"/>
  <c r="B86" i="13"/>
  <c r="D86" i="13" s="1"/>
  <c r="B85" i="13"/>
  <c r="B84" i="13"/>
  <c r="B83" i="13"/>
  <c r="D83" i="13" s="1"/>
  <c r="B79" i="13"/>
  <c r="D79" i="13" s="1"/>
  <c r="B76" i="13"/>
  <c r="B75" i="13"/>
  <c r="D75" i="13" s="1"/>
  <c r="D77" i="13" s="1"/>
  <c r="B74" i="13"/>
  <c r="B73" i="13"/>
  <c r="B72" i="13"/>
  <c r="B65" i="13"/>
  <c r="D65" i="13" s="1"/>
  <c r="B61" i="13"/>
  <c r="B60" i="13"/>
  <c r="B59" i="13"/>
  <c r="B58" i="13"/>
  <c r="B57" i="13"/>
  <c r="B56" i="13"/>
  <c r="D56" i="13" s="1"/>
  <c r="D62" i="13" s="1"/>
  <c r="B53" i="13"/>
  <c r="D53" i="13" s="1"/>
  <c r="B52" i="13"/>
  <c r="D52" i="13" s="1"/>
  <c r="B51" i="13"/>
  <c r="B50" i="13"/>
  <c r="B49" i="13"/>
  <c r="B48" i="13"/>
  <c r="D48" i="13" s="1"/>
  <c r="B47" i="13"/>
  <c r="B46" i="13"/>
  <c r="D46" i="13" s="1"/>
  <c r="B45" i="13"/>
  <c r="D45" i="13" s="1"/>
  <c r="D54" i="13" s="1"/>
  <c r="B43" i="13"/>
  <c r="C42" i="4"/>
  <c r="B42" i="13" s="1"/>
  <c r="B41" i="13"/>
  <c r="B40" i="13"/>
  <c r="D40" i="13" s="1"/>
  <c r="B37" i="13"/>
  <c r="D37" i="13" s="1"/>
  <c r="B35" i="13"/>
  <c r="B34" i="13"/>
  <c r="B33" i="13"/>
  <c r="B32" i="13"/>
  <c r="B31" i="13"/>
  <c r="D31" i="13" s="1"/>
  <c r="B30" i="13"/>
  <c r="D30" i="13" s="1"/>
  <c r="B29" i="13"/>
  <c r="D29" i="13" s="1"/>
  <c r="B27" i="13"/>
  <c r="B25" i="13"/>
  <c r="B23" i="13"/>
  <c r="B22" i="13"/>
  <c r="B21" i="13"/>
  <c r="B20" i="13"/>
  <c r="B19" i="13"/>
  <c r="B18" i="13"/>
  <c r="B17" i="13"/>
  <c r="B5" i="13"/>
  <c r="B6" i="13"/>
  <c r="B7" i="13"/>
  <c r="C8" i="4"/>
  <c r="B8" i="13" s="1"/>
  <c r="B9" i="13"/>
  <c r="B10" i="13"/>
  <c r="B13" i="13"/>
  <c r="B14" i="13"/>
  <c r="B15" i="13"/>
  <c r="B4" i="13"/>
  <c r="D4" i="13" s="1"/>
  <c r="D8" i="13" s="1"/>
  <c r="D12" i="13" s="1"/>
  <c r="J104" i="13"/>
  <c r="I104" i="13"/>
  <c r="F104" i="13"/>
  <c r="C104" i="13"/>
  <c r="F96" i="13"/>
  <c r="C96" i="13"/>
  <c r="C77" i="13"/>
  <c r="J70" i="13"/>
  <c r="I70" i="13"/>
  <c r="F70" i="13"/>
  <c r="C70" i="13"/>
  <c r="C62" i="13"/>
  <c r="J54" i="13"/>
  <c r="I54" i="13"/>
  <c r="F54" i="13"/>
  <c r="C54" i="13"/>
  <c r="J42" i="13"/>
  <c r="I42" i="13"/>
  <c r="F42" i="13"/>
  <c r="F26" i="13"/>
  <c r="F38" i="13"/>
  <c r="D42" i="13"/>
  <c r="C42" i="13"/>
  <c r="J38" i="13"/>
  <c r="I38" i="13"/>
  <c r="C38" i="13"/>
  <c r="J26" i="13"/>
  <c r="I26" i="13"/>
  <c r="I11" i="13"/>
  <c r="G26" i="13"/>
  <c r="D26" i="13"/>
  <c r="C26" i="13"/>
  <c r="J11" i="13"/>
  <c r="D11" i="13"/>
  <c r="C11" i="13"/>
  <c r="C8" i="13"/>
  <c r="T104" i="4"/>
  <c r="H104" i="13" s="1"/>
  <c r="R103" i="4"/>
  <c r="S103" i="4" s="1"/>
  <c r="E103" i="13" s="1"/>
  <c r="R102" i="4"/>
  <c r="S102" i="4" s="1"/>
  <c r="E102" i="13" s="1"/>
  <c r="R101" i="4"/>
  <c r="S101" i="4" s="1"/>
  <c r="E101" i="13" s="1"/>
  <c r="R92" i="4"/>
  <c r="S92" i="4" s="1"/>
  <c r="E92" i="13" s="1"/>
  <c r="R87" i="4"/>
  <c r="S87" i="4" s="1"/>
  <c r="E87" i="13" s="1"/>
  <c r="R85" i="4"/>
  <c r="S85" i="4" s="1"/>
  <c r="E85" i="13" s="1"/>
  <c r="R72" i="4"/>
  <c r="R73" i="4"/>
  <c r="R74" i="4"/>
  <c r="R69" i="4"/>
  <c r="S69" i="4" s="1"/>
  <c r="E69" i="13" s="1"/>
  <c r="G69" i="13" s="1"/>
  <c r="R61" i="4"/>
  <c r="R60" i="4"/>
  <c r="R59" i="4"/>
  <c r="R58" i="4"/>
  <c r="R57" i="4"/>
  <c r="R51" i="4"/>
  <c r="S51" i="4" s="1"/>
  <c r="E51" i="13" s="1"/>
  <c r="R50" i="4"/>
  <c r="S50" i="4" s="1"/>
  <c r="E50" i="13" s="1"/>
  <c r="R49" i="4"/>
  <c r="S49" i="4" s="1"/>
  <c r="E49" i="13" s="1"/>
  <c r="R47" i="4"/>
  <c r="S47" i="4" s="1"/>
  <c r="E47" i="13" s="1"/>
  <c r="R43" i="4"/>
  <c r="R41" i="4"/>
  <c r="S41" i="4" s="1"/>
  <c r="E41" i="13" s="1"/>
  <c r="R35" i="4"/>
  <c r="S35" i="4" s="1"/>
  <c r="E35" i="13" s="1"/>
  <c r="R34" i="4"/>
  <c r="S34" i="4" s="1"/>
  <c r="E34" i="13" s="1"/>
  <c r="R33" i="4"/>
  <c r="S33" i="4" s="1"/>
  <c r="E33" i="13" s="1"/>
  <c r="R32" i="4"/>
  <c r="S32" i="4" s="1"/>
  <c r="E32" i="13" s="1"/>
  <c r="R27" i="4"/>
  <c r="R25" i="4"/>
  <c r="R23" i="4"/>
  <c r="R22" i="4"/>
  <c r="R21" i="4"/>
  <c r="R20" i="4"/>
  <c r="R19" i="4"/>
  <c r="R18" i="4"/>
  <c r="R17" i="4"/>
  <c r="R15" i="4"/>
  <c r="R14" i="4"/>
  <c r="R13" i="4"/>
  <c r="R9" i="4"/>
  <c r="R7" i="4"/>
  <c r="R6" i="4"/>
  <c r="R5" i="4"/>
  <c r="B5" i="11"/>
  <c r="C5" i="11"/>
  <c r="B6" i="11"/>
  <c r="C6" i="11"/>
  <c r="D6" i="11" s="1"/>
  <c r="B7" i="11"/>
  <c r="C7" i="11"/>
  <c r="C8" i="11"/>
  <c r="B8" i="11"/>
  <c r="D8" i="11" s="1"/>
  <c r="B10" i="11"/>
  <c r="B11" i="11"/>
  <c r="C10" i="11"/>
  <c r="C11" i="11"/>
  <c r="C12" i="11" s="1"/>
  <c r="B14" i="11"/>
  <c r="C14" i="11"/>
  <c r="B15" i="11"/>
  <c r="C15" i="11"/>
  <c r="B16" i="11"/>
  <c r="C16" i="11"/>
  <c r="B18" i="11"/>
  <c r="C18" i="11"/>
  <c r="B19" i="11"/>
  <c r="C19" i="11"/>
  <c r="B20" i="11"/>
  <c r="C20" i="11"/>
  <c r="B21" i="11"/>
  <c r="C21" i="11"/>
  <c r="B22" i="11"/>
  <c r="C22" i="11"/>
  <c r="B23" i="11"/>
  <c r="C23" i="11"/>
  <c r="B24" i="11"/>
  <c r="D24" i="11" s="1"/>
  <c r="B28" i="11"/>
  <c r="D28" i="11" s="1"/>
  <c r="C28" i="11"/>
  <c r="B30" i="11"/>
  <c r="C30" i="11"/>
  <c r="B41" i="11"/>
  <c r="C41" i="11"/>
  <c r="C42" i="11"/>
  <c r="B42" i="11"/>
  <c r="B44" i="11"/>
  <c r="C44" i="11"/>
  <c r="B46" i="11"/>
  <c r="C46" i="11"/>
  <c r="B47" i="11"/>
  <c r="C47" i="11"/>
  <c r="B48" i="11"/>
  <c r="B49" i="11"/>
  <c r="B50" i="11"/>
  <c r="D50" i="11" s="1"/>
  <c r="B51" i="11"/>
  <c r="B52" i="11"/>
  <c r="B53" i="11"/>
  <c r="C48" i="11"/>
  <c r="C49" i="11"/>
  <c r="C50" i="11"/>
  <c r="C51" i="11"/>
  <c r="D51" i="11" s="1"/>
  <c r="C52" i="11"/>
  <c r="C53" i="11"/>
  <c r="B57" i="11"/>
  <c r="C57" i="11"/>
  <c r="D57" i="11" s="1"/>
  <c r="B58" i="11"/>
  <c r="C58" i="11"/>
  <c r="B59" i="11"/>
  <c r="C59" i="11"/>
  <c r="B60" i="11"/>
  <c r="C60" i="11"/>
  <c r="B61" i="11"/>
  <c r="C61" i="11"/>
  <c r="D61" i="11" s="1"/>
  <c r="B62" i="11"/>
  <c r="C62" i="11"/>
  <c r="D62" i="11" s="1"/>
  <c r="B66" i="11"/>
  <c r="C66" i="11"/>
  <c r="D66" i="11" s="1"/>
  <c r="B73" i="11"/>
  <c r="C73" i="11"/>
  <c r="B74" i="11"/>
  <c r="C74" i="11"/>
  <c r="B75" i="11"/>
  <c r="C75" i="11"/>
  <c r="B76" i="11"/>
  <c r="C76" i="11"/>
  <c r="B77" i="11"/>
  <c r="C77" i="11"/>
  <c r="D77" i="11" s="1"/>
  <c r="B84" i="11"/>
  <c r="C84" i="11"/>
  <c r="D84" i="11" s="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s="1"/>
  <c r="T42" i="4"/>
  <c r="H42" i="13" s="1"/>
  <c r="T54" i="4"/>
  <c r="H54" i="13" s="1"/>
  <c r="T70" i="4"/>
  <c r="H70" i="13"/>
  <c r="T96" i="4"/>
  <c r="H96" i="13" s="1"/>
  <c r="C11" i="4"/>
  <c r="B11" i="13" s="1"/>
  <c r="C38" i="4"/>
  <c r="C54" i="4"/>
  <c r="C62" i="4"/>
  <c r="B62" i="13" s="1"/>
  <c r="C77" i="4"/>
  <c r="C96" i="4"/>
  <c r="D8" i="4"/>
  <c r="D11" i="4"/>
  <c r="D26" i="4"/>
  <c r="D38" i="4"/>
  <c r="D42" i="4"/>
  <c r="D54" i="4"/>
  <c r="D62" i="4"/>
  <c r="D77" i="4"/>
  <c r="D96" i="4"/>
  <c r="D104" i="4"/>
  <c r="F2" i="4"/>
  <c r="G2" i="4"/>
  <c r="H2" i="4"/>
  <c r="I2" i="4"/>
  <c r="J2" i="4"/>
  <c r="K2" i="4"/>
  <c r="L2" i="4"/>
  <c r="M2" i="4"/>
  <c r="N2" i="4"/>
  <c r="O2" i="4"/>
  <c r="P2" i="4"/>
  <c r="Q2" i="4"/>
  <c r="B4" i="4"/>
  <c r="E4" i="4" s="1"/>
  <c r="E8" i="4" s="1"/>
  <c r="B5" i="4"/>
  <c r="B6" i="4"/>
  <c r="B7"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199"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F29" i="4" s="1"/>
  <c r="R29" i="4" s="1"/>
  <c r="S29" i="4" s="1"/>
  <c r="E29" i="13" s="1"/>
  <c r="G29" i="13" s="1"/>
  <c r="B30" i="4"/>
  <c r="F30" i="4" s="1"/>
  <c r="R30" i="4" s="1"/>
  <c r="B31" i="4"/>
  <c r="B32" i="4"/>
  <c r="B33" i="4"/>
  <c r="B34" i="4"/>
  <c r="B35" i="4"/>
  <c r="B37" i="4"/>
  <c r="G37" i="4" s="1"/>
  <c r="R37" i="4" s="1"/>
  <c r="E38" i="4"/>
  <c r="H38" i="4"/>
  <c r="K38" i="4"/>
  <c r="L38" i="4"/>
  <c r="O38" i="4"/>
  <c r="P38" i="4"/>
  <c r="P42" i="4"/>
  <c r="P54" i="4"/>
  <c r="P62" i="4"/>
  <c r="P70" i="4"/>
  <c r="P77" i="4"/>
  <c r="P96" i="4"/>
  <c r="P104" i="4"/>
  <c r="Q38" i="4"/>
  <c r="B40" i="4"/>
  <c r="G40" i="4" s="1"/>
  <c r="G42" i="4" s="1"/>
  <c r="B41" i="4"/>
  <c r="E42" i="4"/>
  <c r="H42" i="4"/>
  <c r="K42" i="4"/>
  <c r="L42" i="4"/>
  <c r="O42" i="4"/>
  <c r="Q42" i="4"/>
  <c r="B43" i="4"/>
  <c r="B45" i="4"/>
  <c r="E45" i="4" s="1"/>
  <c r="B46" i="4"/>
  <c r="E46" i="4" s="1"/>
  <c r="R46" i="4" s="1"/>
  <c r="B47" i="4"/>
  <c r="B48" i="4"/>
  <c r="E48" i="4" s="1"/>
  <c r="R48" i="4" s="1"/>
  <c r="S48" i="4" s="1"/>
  <c r="E48" i="13" s="1"/>
  <c r="G48" i="13" s="1"/>
  <c r="B49" i="4"/>
  <c r="B50" i="4"/>
  <c r="B51" i="4"/>
  <c r="B52" i="4"/>
  <c r="B53" i="4"/>
  <c r="G54" i="4"/>
  <c r="K54" i="4"/>
  <c r="L54" i="4"/>
  <c r="O54" i="4"/>
  <c r="Q54" i="4"/>
  <c r="B56" i="4"/>
  <c r="E56" i="4" s="1"/>
  <c r="E62" i="4" s="1"/>
  <c r="B57" i="4"/>
  <c r="B58" i="4"/>
  <c r="B60" i="4"/>
  <c r="B61" i="4"/>
  <c r="G62" i="4"/>
  <c r="H62" i="4"/>
  <c r="K62" i="4"/>
  <c r="L62" i="4"/>
  <c r="O62" i="4"/>
  <c r="O70" i="4"/>
  <c r="O77" i="4"/>
  <c r="O96" i="4"/>
  <c r="O104" i="4"/>
  <c r="Q62" i="4"/>
  <c r="B65" i="4"/>
  <c r="E65" i="4" s="1"/>
  <c r="R65" i="4" s="1"/>
  <c r="E65" i="13" s="1"/>
  <c r="G65" i="13" s="1"/>
  <c r="F70" i="4"/>
  <c r="G70" i="4"/>
  <c r="H70" i="4"/>
  <c r="I70" i="4"/>
  <c r="K70" i="4"/>
  <c r="L70" i="4"/>
  <c r="Q70" i="4"/>
  <c r="B72" i="4"/>
  <c r="B73" i="4"/>
  <c r="B74" i="4"/>
  <c r="B75" i="4"/>
  <c r="E75" i="4" s="1"/>
  <c r="R75" i="4" s="1"/>
  <c r="B76" i="4"/>
  <c r="R76" i="4" s="1"/>
  <c r="F77" i="4"/>
  <c r="G77" i="4"/>
  <c r="H77" i="4"/>
  <c r="I77" i="4"/>
  <c r="K77" i="4"/>
  <c r="L77" i="4"/>
  <c r="Q77" i="4"/>
  <c r="B79" i="4"/>
  <c r="E79" i="4" s="1"/>
  <c r="B83" i="4"/>
  <c r="E83" i="4" s="1"/>
  <c r="R83" i="4" s="1"/>
  <c r="B84" i="4"/>
  <c r="B85" i="4"/>
  <c r="B86" i="4"/>
  <c r="B87" i="4"/>
  <c r="B88" i="4"/>
  <c r="E88" i="4" s="1"/>
  <c r="R88" i="4" s="1"/>
  <c r="B89" i="4"/>
  <c r="E89" i="4" s="1"/>
  <c r="R89" i="4" s="1"/>
  <c r="S89" i="4" s="1"/>
  <c r="E89" i="13" s="1"/>
  <c r="G89" i="13" s="1"/>
  <c r="B90" i="4"/>
  <c r="E90" i="4" s="1"/>
  <c r="R90" i="4" s="1"/>
  <c r="B91" i="4"/>
  <c r="B92" i="4"/>
  <c r="B93" i="4"/>
  <c r="E93" i="4" s="1"/>
  <c r="R93" i="4" s="1"/>
  <c r="B94" i="4"/>
  <c r="E94" i="4" s="1"/>
  <c r="R94" i="4" s="1"/>
  <c r="B95" i="4"/>
  <c r="E95" i="4" s="1"/>
  <c r="R95" i="4" s="1"/>
  <c r="F96" i="4"/>
  <c r="G96" i="4"/>
  <c r="H96" i="4"/>
  <c r="I96" i="4"/>
  <c r="K96" i="4"/>
  <c r="L96" i="4"/>
  <c r="Q96" i="4"/>
  <c r="B101" i="4"/>
  <c r="B102" i="4"/>
  <c r="B103"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AH723" i="3" s="1"/>
  <c r="BA673" i="3"/>
  <c r="AH724" i="3" s="1"/>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I63" i="13"/>
  <c r="I97" i="13"/>
  <c r="I105" i="13"/>
  <c r="I107" i="13"/>
  <c r="D54" i="11"/>
  <c r="J63" i="13"/>
  <c r="J97" i="13"/>
  <c r="J105" i="13"/>
  <c r="J107" i="13"/>
  <c r="D10" i="11"/>
  <c r="D85" i="11"/>
  <c r="C12" i="13"/>
  <c r="D95" i="11"/>
  <c r="D25" i="11"/>
  <c r="D23" i="11"/>
  <c r="D44" i="11"/>
  <c r="D60" i="11"/>
  <c r="C63" i="13"/>
  <c r="C97" i="13"/>
  <c r="C105" i="13"/>
  <c r="D92" i="11"/>
  <c r="D75" i="11"/>
  <c r="D88" i="11"/>
  <c r="D16" i="11"/>
  <c r="B12" i="11"/>
  <c r="D86" i="11"/>
  <c r="F63" i="13"/>
  <c r="F97" i="13"/>
  <c r="F105" i="13"/>
  <c r="F107" i="13"/>
  <c r="D104" i="11"/>
  <c r="D34" i="11" l="1"/>
  <c r="D81" i="11"/>
  <c r="D48" i="11"/>
  <c r="D38" i="13"/>
  <c r="D63" i="13" s="1"/>
  <c r="D97" i="13" s="1"/>
  <c r="D105" i="13" s="1"/>
  <c r="B38" i="4"/>
  <c r="D70" i="13"/>
  <c r="D7" i="11"/>
  <c r="D11" i="11"/>
  <c r="B78" i="11"/>
  <c r="B63" i="11"/>
  <c r="D52" i="11"/>
  <c r="D73" i="11"/>
  <c r="D58" i="11"/>
  <c r="D76" i="11"/>
  <c r="D93" i="11"/>
  <c r="D49" i="11"/>
  <c r="D12" i="11"/>
  <c r="O12" i="4"/>
  <c r="C63" i="11"/>
  <c r="D36" i="11"/>
  <c r="D103" i="11"/>
  <c r="D22" i="11"/>
  <c r="D15" i="11"/>
  <c r="D35" i="11"/>
  <c r="D42" i="11"/>
  <c r="D21" i="11"/>
  <c r="D14" i="11"/>
  <c r="B9" i="11"/>
  <c r="B13" i="11" s="1"/>
  <c r="B43" i="11"/>
  <c r="E81" i="4"/>
  <c r="D30" i="11"/>
  <c r="D20" i="11"/>
  <c r="D81" i="13"/>
  <c r="D41" i="11"/>
  <c r="D96" i="13"/>
  <c r="E104" i="4"/>
  <c r="G70" i="13"/>
  <c r="D74" i="11"/>
  <c r="D80" i="11"/>
  <c r="Q12" i="4"/>
  <c r="D5" i="11"/>
  <c r="AB48" i="15"/>
  <c r="D59" i="11"/>
  <c r="B71" i="11"/>
  <c r="P63" i="4"/>
  <c r="P97" i="4" s="1"/>
  <c r="P105" i="4" s="1"/>
  <c r="D38" i="11"/>
  <c r="D70" i="11"/>
  <c r="C43" i="11"/>
  <c r="D43" i="11" s="1"/>
  <c r="D47" i="11"/>
  <c r="D19" i="11"/>
  <c r="D32" i="11"/>
  <c r="E12" i="4"/>
  <c r="D46" i="11"/>
  <c r="H12" i="4"/>
  <c r="I12" i="4"/>
  <c r="B55" i="11"/>
  <c r="N12" i="4"/>
  <c r="D12" i="4"/>
  <c r="M63" i="4"/>
  <c r="M97" i="4" s="1"/>
  <c r="M105" i="4" s="1"/>
  <c r="N63" i="4"/>
  <c r="N97" i="4" s="1"/>
  <c r="N105" i="4" s="1"/>
  <c r="O63" i="4"/>
  <c r="O97" i="4" s="1"/>
  <c r="O105" i="4" s="1"/>
  <c r="C105" i="11"/>
  <c r="B70" i="4"/>
  <c r="M12" i="4"/>
  <c r="G12" i="4"/>
  <c r="B105" i="11"/>
  <c r="D105" i="11" s="1"/>
  <c r="B11" i="4"/>
  <c r="T63" i="4"/>
  <c r="R4" i="4"/>
  <c r="R8" i="4" s="1"/>
  <c r="D94" i="11"/>
  <c r="D63" i="4"/>
  <c r="D97" i="4" s="1"/>
  <c r="D105" i="4" s="1"/>
  <c r="S70" i="4"/>
  <c r="E70" i="13" s="1"/>
  <c r="L63" i="4"/>
  <c r="L97" i="4" s="1"/>
  <c r="L105" i="4" s="1"/>
  <c r="Q63" i="4"/>
  <c r="Q97" i="4" s="1"/>
  <c r="Q105" i="4" s="1"/>
  <c r="I63" i="4"/>
  <c r="I97" i="4" s="1"/>
  <c r="F12" i="4"/>
  <c r="K63" i="4"/>
  <c r="K97" i="4" s="1"/>
  <c r="K105" i="4" s="1"/>
  <c r="J12" i="4"/>
  <c r="R11" i="4"/>
  <c r="D90" i="11"/>
  <c r="D91" i="11"/>
  <c r="D89" i="11"/>
  <c r="B96" i="4"/>
  <c r="B77" i="4"/>
  <c r="B42" i="4"/>
  <c r="R26" i="4"/>
  <c r="C12" i="4"/>
  <c r="B12" i="13" s="1"/>
  <c r="L12" i="4"/>
  <c r="R40" i="4"/>
  <c r="R56" i="4"/>
  <c r="R62" i="4" s="1"/>
  <c r="K12" i="4"/>
  <c r="J63" i="4"/>
  <c r="J97" i="4" s="1"/>
  <c r="J105" i="4" s="1"/>
  <c r="I105" i="4"/>
  <c r="E77" i="4"/>
  <c r="R45" i="4"/>
  <c r="E70" i="4"/>
  <c r="R79" i="4"/>
  <c r="H52" i="4"/>
  <c r="H53" i="4"/>
  <c r="E53" i="4" s="1"/>
  <c r="B62" i="4"/>
  <c r="B104" i="4"/>
  <c r="F31" i="4"/>
  <c r="F38" i="4" s="1"/>
  <c r="F63" i="4" s="1"/>
  <c r="F97" i="4" s="1"/>
  <c r="F105" i="4" s="1"/>
  <c r="R104" i="4"/>
  <c r="S99" i="4"/>
  <c r="B81" i="4"/>
  <c r="AH720" i="3"/>
  <c r="C78" i="11"/>
  <c r="D78" i="11" s="1"/>
  <c r="D96" i="11"/>
  <c r="R77" i="4"/>
  <c r="B77" i="13"/>
  <c r="N186" i="27"/>
  <c r="E86" i="4"/>
  <c r="G58" i="7"/>
  <c r="M53" i="7"/>
  <c r="K58" i="7"/>
  <c r="I58" i="7"/>
  <c r="D100" i="11"/>
  <c r="R70" i="4"/>
  <c r="D31" i="11"/>
  <c r="B54" i="4"/>
  <c r="C9" i="11"/>
  <c r="D9" i="11" s="1"/>
  <c r="C71" i="11"/>
  <c r="B70" i="13"/>
  <c r="C55" i="11"/>
  <c r="B54" i="13"/>
  <c r="D53" i="11"/>
  <c r="B97" i="11"/>
  <c r="B82" i="11"/>
  <c r="D82" i="11" s="1"/>
  <c r="C97" i="11"/>
  <c r="B96" i="13"/>
  <c r="C39" i="11"/>
  <c r="B38" i="13"/>
  <c r="B39" i="11"/>
  <c r="D18" i="11"/>
  <c r="B26" i="4"/>
  <c r="C27" i="11"/>
  <c r="B8" i="4"/>
  <c r="AH719" i="3"/>
  <c r="AH718" i="3"/>
  <c r="G67" i="21"/>
  <c r="AH722" i="3"/>
  <c r="AH721" i="3"/>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D63" i="11" l="1"/>
  <c r="D55" i="11"/>
  <c r="R12" i="4"/>
  <c r="D39" i="11"/>
  <c r="T97" i="4"/>
  <c r="H97" i="13" s="1"/>
  <c r="H63" i="13"/>
  <c r="D27" i="11"/>
  <c r="C13" i="11"/>
  <c r="D13" i="11" s="1"/>
  <c r="D71" i="11"/>
  <c r="S104" i="4"/>
  <c r="E104" i="13" s="1"/>
  <c r="E99" i="13"/>
  <c r="G99" i="13" s="1"/>
  <c r="G104" i="13" s="1"/>
  <c r="T105" i="4"/>
  <c r="R53" i="4"/>
  <c r="E53" i="13" s="1"/>
  <c r="G53" i="13" s="1"/>
  <c r="E54" i="4"/>
  <c r="E63" i="4" s="1"/>
  <c r="G31" i="4"/>
  <c r="G38" i="4" s="1"/>
  <c r="G63" i="4" s="1"/>
  <c r="G97" i="4" s="1"/>
  <c r="G105" i="4" s="1"/>
  <c r="S40" i="4"/>
  <c r="R42" i="4"/>
  <c r="R52" i="4"/>
  <c r="H54" i="4"/>
  <c r="H63" i="4" s="1"/>
  <c r="H97" i="4" s="1"/>
  <c r="H105" i="4" s="1"/>
  <c r="R81" i="4"/>
  <c r="S79" i="4"/>
  <c r="E96" i="4"/>
  <c r="R86" i="4"/>
  <c r="O53" i="7"/>
  <c r="M58" i="7"/>
  <c r="B64" i="11"/>
  <c r="B98" i="11" s="1"/>
  <c r="B106" i="11" s="1"/>
  <c r="C64" i="11"/>
  <c r="D97" i="11"/>
  <c r="N187" i="27"/>
  <c r="N193" i="27" s="1"/>
  <c r="B12" i="4"/>
  <c r="C97" i="4"/>
  <c r="C105" i="4" s="1"/>
  <c r="AC455" i="3" s="1"/>
  <c r="B63" i="4"/>
  <c r="AY1004" i="3"/>
  <c r="AJ610" i="20"/>
  <c r="AK783" i="20" s="1"/>
  <c r="T808" i="20" s="1"/>
  <c r="AF808" i="20" s="1"/>
  <c r="G62" i="21"/>
  <c r="DX635" i="3"/>
  <c r="BH702" i="3"/>
  <c r="BI702" i="3" s="1"/>
  <c r="BH701" i="3"/>
  <c r="BI701" i="3" s="1"/>
  <c r="BU669" i="3"/>
  <c r="BV669" i="3" s="1"/>
  <c r="BU677" i="3"/>
  <c r="BV677" i="3" s="1"/>
  <c r="BU685" i="3"/>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U688" i="3"/>
  <c r="BV688" i="3" s="1"/>
  <c r="BU696" i="3"/>
  <c r="BV696" i="3" s="1"/>
  <c r="BU673" i="3"/>
  <c r="BV673" i="3" s="1"/>
  <c r="BU697" i="3"/>
  <c r="BV697" i="3" s="1"/>
  <c r="BU674" i="3"/>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0" i="3"/>
  <c r="BV685"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3" i="3"/>
  <c r="BI688" i="3"/>
  <c r="EH637" i="3"/>
  <c r="DR657" i="3"/>
  <c r="EM632" i="3"/>
  <c r="EM635" i="3"/>
  <c r="EM643" i="3"/>
  <c r="E6" i="7"/>
  <c r="K15" i="7"/>
  <c r="I22" i="7"/>
  <c r="I35" i="7" s="1"/>
  <c r="E27" i="21"/>
  <c r="G22" i="21"/>
  <c r="D64" i="11" l="1"/>
  <c r="E97" i="4"/>
  <c r="E105" i="4" s="1"/>
  <c r="S81" i="4"/>
  <c r="E81" i="13" s="1"/>
  <c r="E79" i="13"/>
  <c r="G79" i="13" s="1"/>
  <c r="G81" i="13" s="1"/>
  <c r="S42" i="4"/>
  <c r="E42" i="13" s="1"/>
  <c r="E40" i="13"/>
  <c r="G40" i="13" s="1"/>
  <c r="G42" i="13" s="1"/>
  <c r="T107" i="4"/>
  <c r="H107" i="13" s="1"/>
  <c r="AD11" i="15" s="1"/>
  <c r="AD23" i="15" s="1"/>
  <c r="AD26" i="15" s="1"/>
  <c r="AD28" i="15" s="1"/>
  <c r="H105" i="13"/>
  <c r="S52" i="4"/>
  <c r="R54" i="4"/>
  <c r="R31" i="4"/>
  <c r="R96" i="4"/>
  <c r="S86" i="4"/>
  <c r="C98" i="11"/>
  <c r="D98" i="11" s="1"/>
  <c r="Q53" i="7"/>
  <c r="O58" i="7"/>
  <c r="AG258" i="20"/>
  <c r="B97" i="13"/>
  <c r="B105" i="13"/>
  <c r="B97" i="4"/>
  <c r="B105" i="4"/>
  <c r="AC454" i="3" s="1"/>
  <c r="F457" i="3"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C106" i="11" l="1"/>
  <c r="D106" i="11" s="1"/>
  <c r="S54" i="4"/>
  <c r="E54" i="13" s="1"/>
  <c r="E52" i="13"/>
  <c r="G52" i="13" s="1"/>
  <c r="G54" i="13" s="1"/>
  <c r="S31" i="4"/>
  <c r="R38" i="4"/>
  <c r="R63" i="4" s="1"/>
  <c r="R97" i="4" s="1"/>
  <c r="R105" i="4" s="1"/>
  <c r="AB47" i="15"/>
  <c r="AB49" i="15" s="1"/>
  <c r="AB54" i="15" s="1"/>
  <c r="AB55" i="15" s="1"/>
  <c r="AB255" i="20"/>
  <c r="AG257" i="20" s="1"/>
  <c r="AG259" i="20" s="1"/>
  <c r="AK262" i="20" s="1"/>
  <c r="T801" i="20" s="1"/>
  <c r="AF801" i="20" s="1"/>
  <c r="E86" i="13"/>
  <c r="G86" i="13" s="1"/>
  <c r="G96" i="13" s="1"/>
  <c r="S96" i="4"/>
  <c r="E96" i="13" s="1"/>
  <c r="N183" i="27"/>
  <c r="N194" i="27" s="1"/>
  <c r="S53" i="7"/>
  <c r="Q58" i="7"/>
  <c r="G38" i="21"/>
  <c r="G40" i="21" s="1"/>
  <c r="E10" i="21" s="1"/>
  <c r="AP694" i="20"/>
  <c r="AP695" i="20"/>
  <c r="I4" i="7"/>
  <c r="I5" i="7" s="1"/>
  <c r="K9" i="7"/>
  <c r="E11" i="7"/>
  <c r="AJ991" i="3"/>
  <c r="E132" i="20"/>
  <c r="E133" i="20" s="1"/>
  <c r="AK137" i="20" s="1"/>
  <c r="T796" i="20" s="1"/>
  <c r="AF796" i="20" s="1"/>
  <c r="AB990" i="3"/>
  <c r="CS660" i="3"/>
  <c r="U362" i="20" s="1"/>
  <c r="P421" i="3"/>
  <c r="I6" i="7"/>
  <c r="G7" i="7"/>
  <c r="G11" i="7" s="1"/>
  <c r="M22" i="7"/>
  <c r="M35" i="7" s="1"/>
  <c r="O15" i="7"/>
  <c r="M9" i="7"/>
  <c r="O8" i="7"/>
  <c r="G25" i="21"/>
  <c r="F24" i="21"/>
  <c r="E31" i="13" l="1"/>
  <c r="G31" i="13" s="1"/>
  <c r="G38" i="13" s="1"/>
  <c r="G63" i="13" s="1"/>
  <c r="G97" i="13" s="1"/>
  <c r="G105" i="13" s="1"/>
  <c r="G107" i="13" s="1"/>
  <c r="S38" i="4"/>
  <c r="G37" i="7"/>
  <c r="G45" i="7" s="1"/>
  <c r="G67" i="7"/>
  <c r="AJ1044" i="3"/>
  <c r="AP541" i="20" s="1"/>
  <c r="AJ1028" i="3"/>
  <c r="AJ1031" i="3"/>
  <c r="E37" i="7"/>
  <c r="E49" i="7" s="1"/>
  <c r="E67" i="7"/>
  <c r="N184" i="27"/>
  <c r="S58" i="7"/>
  <c r="U53" i="7"/>
  <c r="B1059" i="3"/>
  <c r="AJ1048" i="3"/>
  <c r="AP542" i="20" s="1"/>
  <c r="AP539" i="20"/>
  <c r="K4" i="7"/>
  <c r="M4" i="7" s="1"/>
  <c r="K6" i="7"/>
  <c r="I7" i="7"/>
  <c r="I11" i="7" s="1"/>
  <c r="G24" i="21"/>
  <c r="F27" i="21"/>
  <c r="G27" i="21"/>
  <c r="O22" i="7"/>
  <c r="O35" i="7" s="1"/>
  <c r="Q15" i="7"/>
  <c r="O9" i="7"/>
  <c r="Q8" i="7"/>
  <c r="G49" i="7" l="1"/>
  <c r="S63" i="4"/>
  <c r="E38" i="13"/>
  <c r="E45" i="7"/>
  <c r="E48" i="7" s="1"/>
  <c r="I37" i="7"/>
  <c r="I67" i="7"/>
  <c r="AJ1035" i="3"/>
  <c r="AJ1052" i="3" s="1"/>
  <c r="T24" i="15" s="1"/>
  <c r="I14" i="21"/>
  <c r="AZ846" i="3"/>
  <c r="AZ843" i="3"/>
  <c r="AZ851" i="3" s="1"/>
  <c r="U58" i="7"/>
  <c r="W53" i="7"/>
  <c r="AP543" i="20"/>
  <c r="K5" i="7"/>
  <c r="O4" i="7"/>
  <c r="M5" i="7"/>
  <c r="I45" i="7"/>
  <c r="I49" i="7"/>
  <c r="M6" i="7"/>
  <c r="K7" i="7"/>
  <c r="G60" i="7"/>
  <c r="G47" i="7"/>
  <c r="G48" i="7"/>
  <c r="Q22" i="7"/>
  <c r="Q35" i="7" s="1"/>
  <c r="S15" i="7"/>
  <c r="G95" i="21"/>
  <c r="G96" i="21" s="1"/>
  <c r="G29" i="21"/>
  <c r="G31" i="21" s="1"/>
  <c r="E9" i="21" s="1"/>
  <c r="G104" i="21"/>
  <c r="G106" i="21" s="1"/>
  <c r="G79" i="21"/>
  <c r="G64" i="21"/>
  <c r="Q9" i="7"/>
  <c r="S8" i="7"/>
  <c r="E60" i="7" l="1"/>
  <c r="E62" i="7" s="1"/>
  <c r="E72" i="7" s="1"/>
  <c r="S97" i="4"/>
  <c r="E63" i="13"/>
  <c r="E47" i="7"/>
  <c r="Y53" i="7"/>
  <c r="W58" i="7"/>
  <c r="AP546" i="20"/>
  <c r="AP545" i="20" s="1"/>
  <c r="AP548" i="20" s="1"/>
  <c r="AF541" i="20" s="1"/>
  <c r="K11" i="7"/>
  <c r="O5" i="7"/>
  <c r="Q4" i="7"/>
  <c r="M7" i="7"/>
  <c r="M11" i="7" s="1"/>
  <c r="O6" i="7"/>
  <c r="G62" i="7"/>
  <c r="G72" i="7" s="1"/>
  <c r="I48" i="7"/>
  <c r="I60" i="7"/>
  <c r="I47" i="7"/>
  <c r="G69" i="21"/>
  <c r="G81" i="21"/>
  <c r="G65" i="21"/>
  <c r="S22" i="7"/>
  <c r="S35" i="7" s="1"/>
  <c r="U15" i="7"/>
  <c r="E14" i="21"/>
  <c r="E15" i="21" s="1"/>
  <c r="U8" i="7"/>
  <c r="S9" i="7"/>
  <c r="S105" i="4" l="1"/>
  <c r="E97" i="13"/>
  <c r="M37" i="7"/>
  <c r="M45" i="7" s="1"/>
  <c r="M67" i="7"/>
  <c r="K37" i="7"/>
  <c r="K45" i="7" s="1"/>
  <c r="K60" i="7" s="1"/>
  <c r="K67" i="7"/>
  <c r="AA53" i="7"/>
  <c r="Y58" i="7"/>
  <c r="K49" i="7"/>
  <c r="E70" i="7"/>
  <c r="S4" i="7"/>
  <c r="Q5" i="7"/>
  <c r="G70" i="7"/>
  <c r="O7" i="7"/>
  <c r="O11" i="7" s="1"/>
  <c r="Q6" i="7"/>
  <c r="I62" i="7"/>
  <c r="I72" i="7" s="1"/>
  <c r="U22" i="7"/>
  <c r="U35" i="7" s="1"/>
  <c r="W15" i="7"/>
  <c r="G83" i="21"/>
  <c r="E13" i="21" s="1"/>
  <c r="E16" i="21" s="1"/>
  <c r="H3" i="21" s="1"/>
  <c r="U9" i="7"/>
  <c r="W8" i="7"/>
  <c r="K48" i="7" l="1"/>
  <c r="K47" i="7"/>
  <c r="S107" i="4"/>
  <c r="E105" i="13"/>
  <c r="M49" i="7"/>
  <c r="O37" i="7"/>
  <c r="O45" i="7" s="1"/>
  <c r="O67" i="7"/>
  <c r="I70" i="7"/>
  <c r="AC53" i="7"/>
  <c r="AA58" i="7"/>
  <c r="U4" i="7"/>
  <c r="S5" i="7"/>
  <c r="M48" i="7"/>
  <c r="M47" i="7"/>
  <c r="M60" i="7"/>
  <c r="K62" i="7"/>
  <c r="K72" i="7" s="1"/>
  <c r="Q7" i="7"/>
  <c r="Q11" i="7" s="1"/>
  <c r="S6" i="7"/>
  <c r="W22" i="7"/>
  <c r="W35" i="7" s="1"/>
  <c r="Y15" i="7"/>
  <c r="W9" i="7"/>
  <c r="Y8" i="7"/>
  <c r="O49" i="7" l="1"/>
  <c r="AE699" i="3"/>
  <c r="AF540" i="20"/>
  <c r="AF542" i="20" s="1"/>
  <c r="AK548" i="20" s="1"/>
  <c r="T807" i="20" s="1"/>
  <c r="AF807" i="20" s="1"/>
  <c r="AC456" i="3"/>
  <c r="E107" i="13"/>
  <c r="T11" i="15" s="1"/>
  <c r="T23" i="15" s="1"/>
  <c r="Q37" i="7"/>
  <c r="Q49" i="7" s="1"/>
  <c r="Q67" i="7"/>
  <c r="K70" i="7"/>
  <c r="AE53" i="7"/>
  <c r="AC58" i="7"/>
  <c r="U5" i="7"/>
  <c r="W4" i="7"/>
  <c r="M62" i="7"/>
  <c r="M72" i="7" s="1"/>
  <c r="O47" i="7"/>
  <c r="O48" i="7"/>
  <c r="O60" i="7"/>
  <c r="S7" i="7"/>
  <c r="S11" i="7" s="1"/>
  <c r="U6" i="7"/>
  <c r="Y22" i="7"/>
  <c r="Y35" i="7" s="1"/>
  <c r="AA15" i="7"/>
  <c r="Y9" i="7"/>
  <c r="AA8" i="7"/>
  <c r="Q45" i="7" l="1"/>
  <c r="AD38" i="15"/>
  <c r="AD40" i="15" s="1"/>
  <c r="Y64" i="15"/>
  <c r="Y68" i="15" s="1"/>
  <c r="Y69" i="15" s="1"/>
  <c r="T26" i="15"/>
  <c r="T28" i="15" s="1"/>
  <c r="T29" i="15" s="1"/>
  <c r="S37" i="7"/>
  <c r="S45" i="7" s="1"/>
  <c r="S67" i="7"/>
  <c r="M70" i="7"/>
  <c r="AG53" i="7"/>
  <c r="AG58" i="7" s="1"/>
  <c r="AE58" i="7"/>
  <c r="W5" i="7"/>
  <c r="Y4" i="7"/>
  <c r="U7" i="7"/>
  <c r="U11" i="7" s="1"/>
  <c r="W6" i="7"/>
  <c r="O62" i="7"/>
  <c r="O72" i="7" s="1"/>
  <c r="Q60" i="7"/>
  <c r="Q48" i="7"/>
  <c r="Q47" i="7"/>
  <c r="AC15" i="7"/>
  <c r="AA22" i="7"/>
  <c r="AA35" i="7" s="1"/>
  <c r="AC8" i="7"/>
  <c r="AA9" i="7"/>
  <c r="S49" i="7" l="1"/>
  <c r="Y38" i="15"/>
  <c r="Y40" i="15" s="1"/>
  <c r="Y41" i="15" s="1"/>
  <c r="AB56" i="15" s="1"/>
  <c r="U37" i="7"/>
  <c r="U67" i="7"/>
  <c r="O70" i="7"/>
  <c r="AA4" i="7"/>
  <c r="Y5" i="7"/>
  <c r="Y6" i="7"/>
  <c r="W7" i="7"/>
  <c r="W11" i="7" s="1"/>
  <c r="U45" i="7"/>
  <c r="U49" i="7"/>
  <c r="Q62" i="7"/>
  <c r="Q72" i="7" s="1"/>
  <c r="S48" i="7"/>
  <c r="S47" i="7"/>
  <c r="S60" i="7"/>
  <c r="AE15" i="7"/>
  <c r="AC22" i="7"/>
  <c r="AC35" i="7" s="1"/>
  <c r="AC9" i="7"/>
  <c r="AE8" i="7"/>
  <c r="M26" i="3" l="1"/>
  <c r="P204" i="3" s="1"/>
  <c r="AB57" i="15"/>
  <c r="AB59" i="15" s="1"/>
  <c r="AB77" i="15" s="1"/>
  <c r="AB78" i="15" s="1"/>
  <c r="W37" i="7"/>
  <c r="W67" i="7"/>
  <c r="AA5" i="7"/>
  <c r="AC4" i="7"/>
  <c r="S62" i="7"/>
  <c r="S72" i="7" s="1"/>
  <c r="U48" i="7"/>
  <c r="U60" i="7"/>
  <c r="U47" i="7"/>
  <c r="Q70" i="7"/>
  <c r="W49" i="7"/>
  <c r="W45" i="7"/>
  <c r="Y7" i="7"/>
  <c r="Y11" i="7" s="1"/>
  <c r="AA6" i="7"/>
  <c r="AE22" i="7"/>
  <c r="AE35" i="7" s="1"/>
  <c r="AG15" i="7"/>
  <c r="AG22" i="7" s="1"/>
  <c r="AG35" i="7" s="1"/>
  <c r="AE9" i="7"/>
  <c r="AG8" i="7"/>
  <c r="AG9" i="7" s="1"/>
  <c r="AB79" i="15" l="1"/>
  <c r="AB81" i="15" s="1"/>
  <c r="J82" i="15" s="1"/>
  <c r="I10" i="21"/>
  <c r="I11" i="21" s="1"/>
  <c r="I16" i="21" s="1"/>
  <c r="H4" i="21" s="1"/>
  <c r="H5" i="21" s="1"/>
  <c r="M27" i="3"/>
  <c r="P205" i="3" s="1"/>
  <c r="Y37" i="7"/>
  <c r="Y45" i="7" s="1"/>
  <c r="Y67" i="7"/>
  <c r="S70" i="7"/>
  <c r="AC5" i="7"/>
  <c r="AE4" i="7"/>
  <c r="AC6" i="7"/>
  <c r="AA7" i="7"/>
  <c r="AA11" i="7" s="1"/>
  <c r="U62" i="7"/>
  <c r="U72" i="7" s="1"/>
  <c r="Y49" i="7"/>
  <c r="W60" i="7"/>
  <c r="W47" i="7"/>
  <c r="W48" i="7"/>
  <c r="AA37" i="7" l="1"/>
  <c r="AA45" i="7" s="1"/>
  <c r="AA67" i="7"/>
  <c r="AE5" i="7"/>
  <c r="AG4" i="7"/>
  <c r="AG5" i="7" s="1"/>
  <c r="U70" i="7"/>
  <c r="W62" i="7"/>
  <c r="W72" i="7" s="1"/>
  <c r="Y47" i="7"/>
  <c r="Y48" i="7"/>
  <c r="Y60" i="7"/>
  <c r="AE6" i="7"/>
  <c r="AC7" i="7"/>
  <c r="AC11" i="7" s="1"/>
  <c r="AA49" i="7" l="1"/>
  <c r="AC37" i="7"/>
  <c r="AC67" i="7"/>
  <c r="W70" i="7"/>
  <c r="AA60" i="7"/>
  <c r="AA47" i="7"/>
  <c r="AA48" i="7"/>
  <c r="AC45" i="7"/>
  <c r="AC49" i="7"/>
  <c r="AE7" i="7"/>
  <c r="AE11" i="7" s="1"/>
  <c r="AG6" i="7"/>
  <c r="Y62" i="7"/>
  <c r="Y72" i="7" s="1"/>
  <c r="AE37" i="7" l="1"/>
  <c r="AE67" i="7"/>
  <c r="Y70" i="7"/>
  <c r="AG7" i="7"/>
  <c r="AG11" i="7" s="1"/>
  <c r="AE49" i="7"/>
  <c r="AE45" i="7"/>
  <c r="AC60" i="7"/>
  <c r="AC48" i="7"/>
  <c r="AC47" i="7"/>
  <c r="AA62" i="7"/>
  <c r="AA72" i="7" s="1"/>
  <c r="AG37" i="7" l="1"/>
  <c r="AG67" i="7"/>
  <c r="AA70" i="7"/>
  <c r="AC62" i="7"/>
  <c r="AC72" i="7" s="1"/>
  <c r="AE47" i="7"/>
  <c r="AE60" i="7"/>
  <c r="AE48" i="7"/>
  <c r="AG49" i="7"/>
  <c r="AG45" i="7"/>
  <c r="AG48" i="7" l="1"/>
  <c r="AG60" i="7"/>
  <c r="AG47" i="7"/>
  <c r="AE62" i="7"/>
  <c r="AE72" i="7" s="1"/>
  <c r="AC70" i="7"/>
  <c r="AE70" i="7" l="1"/>
  <c r="AG62" i="7"/>
  <c r="AG72" i="7" s="1"/>
  <c r="AG70" i="7" l="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<sst xmlns="http://schemas.openxmlformats.org/spreadsheetml/2006/main" count="5323" uniqueCount="2788">
  <si>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</si>
  <si>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</si>
  <si>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</si>
  <si>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</si>
  <si>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</si>
  <si>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</si>
  <si>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</si>
  <si>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</si>
  <si>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</si>
  <si>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</si>
  <si>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</si>
  <si>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</si>
  <si>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</si>
  <si>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</si>
  <si>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</si>
  <si>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</si>
  <si>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</si>
  <si>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</si>
  <si>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</si>
  <si>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</si>
  <si>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</si>
  <si>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</si>
  <si>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</si>
  <si>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</si>
  <si>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</si>
  <si>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</si>
  <si>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</si>
  <si>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</si>
  <si>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</si>
  <si>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</si>
  <si>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</si>
  <si>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</si>
  <si>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</si>
  <si>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</si>
  <si>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</si>
  <si>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</si>
  <si>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</si>
  <si>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</si>
  <si>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</si>
  <si>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</si>
  <si>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</si>
  <si>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</si>
  <si>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</si>
  <si>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</si>
  <si>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</si>
  <si>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</si>
  <si>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</si>
  <si>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</si>
  <si>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</si>
  <si>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</si>
  <si>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</si>
  <si>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</si>
  <si>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</si>
  <si>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</si>
  <si>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</si>
  <si>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</si>
  <si>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</si>
  <si>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</si>
  <si>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</si>
  <si>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</si>
  <si>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</si>
  <si>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</si>
  <si>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</si>
  <si>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</si>
  <si>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</si>
  <si>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</si>
  <si>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</si>
  <si>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</si>
  <si>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</si>
  <si>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</si>
  <si>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</si>
  <si>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</si>
  <si>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</si>
  <si>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</si>
  <si>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</si>
  <si>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</si>
  <si>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</si>
  <si>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</si>
  <si>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</si>
  <si>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</si>
  <si>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</si>
  <si>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</si>
  <si>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</si>
  <si>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</si>
  <si>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</si>
  <si>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</si>
  <si>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</si>
  <si>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</si>
  <si>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</si>
  <si>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</si>
  <si>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</si>
  <si>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</si>
  <si>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</si>
  <si>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</si>
  <si>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</si>
  <si>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</si>
  <si>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</si>
  <si>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</si>
  <si>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</si>
  <si>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</si>
  <si>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</si>
  <si>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</si>
  <si>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</si>
  <si>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</si>
  <si>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</si>
  <si>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</si>
  <si>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</si>
  <si>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</si>
  <si>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</si>
  <si>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</si>
  <si>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</si>
  <si>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</si>
  <si>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</si>
  <si>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</si>
  <si>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</si>
  <si>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</si>
  <si>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</si>
  <si>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</si>
  <si>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</si>
  <si>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</si>
  <si>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</si>
  <si>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</si>
  <si>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</si>
  <si>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</si>
  <si>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</si>
  <si>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</si>
  <si>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</si>
  <si>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</si>
  <si>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</si>
  <si>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</si>
  <si>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</si>
  <si>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</si>
  <si>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</si>
  <si>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</si>
  <si>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</si>
  <si>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</si>
  <si>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</si>
  <si>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</si>
  <si>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</si>
  <si>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</si>
  <si>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</si>
  <si>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</si>
  <si>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</si>
  <si>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</si>
  <si>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</si>
  <si>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</si>
  <si>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</si>
  <si>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</si>
  <si>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</si>
  <si>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</si>
  <si>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</si>
  <si>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</si>
  <si>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</si>
  <si>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</si>
  <si>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</si>
  <si>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</si>
  <si>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</si>
  <si>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</si>
  <si>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</si>
  <si>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</si>
  <si>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</si>
  <si>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</si>
  <si>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</si>
  <si>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</si>
  <si>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</si>
  <si>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</si>
  <si>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</si>
  <si>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</si>
  <si>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</si>
  <si>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</si>
  <si>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</si>
  <si>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</si>
  <si>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</si>
  <si>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</si>
  <si>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</si>
  <si>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</si>
  <si>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</si>
  <si>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</si>
  <si>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</si>
  <si>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</si>
  <si>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</si>
  <si>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</si>
  <si>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</si>
  <si>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</si>
  <si>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</si>
  <si>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</si>
  <si>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</si>
  <si>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</si>
  <si>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</si>
  <si>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</si>
  <si>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</si>
  <si>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</si>
  <si>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</si>
  <si>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</si>
  <si>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</si>
  <si>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</si>
  <si>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</si>
  <si>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</si>
  <si>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</si>
  <si>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</si>
  <si>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</si>
  <si>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</si>
  <si>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</si>
  <si>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</si>
  <si>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</si>
  <si>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</si>
  <si>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</si>
  <si>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</si>
  <si>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</si>
  <si>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</si>
  <si>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</si>
  <si>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</si>
  <si>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</si>
  <si>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</si>
  <si>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</si>
  <si>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</si>
  <si>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</si>
  <si>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</si>
  <si>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</si>
  <si>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</si>
  <si>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</si>
  <si>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</si>
  <si>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</si>
  <si>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</si>
  <si>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</si>
  <si>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</si>
  <si>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</si>
  <si>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</si>
  <si>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</si>
  <si>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</si>
  <si>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</si>
  <si>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</si>
  <si>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</si>
  <si>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</si>
  <si>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</si>
  <si>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</si>
  <si>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</si>
  <si>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</si>
  <si>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</si>
  <si>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</si>
  <si>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</si>
  <si>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</si>
  <si>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</si>
  <si>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</si>
  <si>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</si>
  <si>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</si>
  <si>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</si>
  <si>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</si>
  <si>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</si>
  <si>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</si>
  <si>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</si>
  <si>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</si>
  <si>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</si>
  <si>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</si>
  <si>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</si>
  <si>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</si>
  <si>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</si>
  <si>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</si>
  <si>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</si>
  <si>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</si>
  <si>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</si>
  <si>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</si>
  <si>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</si>
  <si>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</si>
  <si>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</si>
  <si>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</si>
  <si>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</si>
  <si>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</si>
  <si>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</si>
  <si>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</si>
  <si>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</si>
  <si>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</si>
  <si>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</si>
  <si>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</si>
  <si>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</si>
  <si>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</si>
  <si>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</si>
  <si>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</si>
  <si>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</si>
  <si>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</si>
  <si>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</si>
  <si>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</si>
  <si>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</si>
  <si>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</si>
  <si>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</si>
  <si>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</si>
  <si>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</si>
  <si>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</si>
  <si>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</si>
  <si>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</si>
  <si>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</si>
  <si>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</si>
  <si>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</si>
  <si>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</si>
  <si>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</si>
  <si>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</si>
  <si>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</si>
  <si>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</si>
  <si>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</si>
  <si>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</si>
  <si>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</si>
  <si>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</si>
  <si>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</si>
  <si>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</si>
  <si>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</si>
  <si>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</si>
  <si>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</si>
  <si>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</si>
  <si>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</si>
  <si>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</si>
  <si>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</si>
  <si>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</si>
  <si>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</si>
  <si>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</si>
  <si>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</si>
  <si>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</si>
  <si>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</si>
  <si>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</si>
  <si>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</si>
  <si>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</si>
  <si>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</si>
  <si>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</si>
  <si>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</si>
  <si>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</si>
  <si>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</si>
  <si>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</si>
  <si>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</si>
  <si>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</si>
  <si>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</si>
  <si>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</si>
  <si>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</si>
  <si>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</si>
  <si>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</si>
  <si>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</si>
  <si>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</si>
  <si>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</si>
  <si>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</si>
  <si>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</si>
  <si>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</si>
  <si>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</si>
  <si>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</si>
  <si>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</si>
  <si>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</si>
  <si>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</si>
  <si>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</si>
  <si>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</si>
  <si>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</si>
  <si>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</si>
  <si>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</si>
  <si>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</si>
  <si>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</si>
  <si>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</si>
  <si>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</si>
  <si>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</si>
  <si>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</si>
  <si>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</si>
  <si>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</si>
  <si>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</si>
  <si>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</si>
  <si>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</si>
  <si>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</si>
  <si>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</si>
  <si>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</si>
  <si>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</si>
  <si>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</si>
  <si>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</si>
  <si>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</si>
  <si>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</si>
  <si>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</si>
  <si>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</si>
  <si>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</si>
  <si>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</si>
  <si>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</si>
  <si>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</si>
  <si>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</si>
  <si>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</si>
  <si>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</si>
  <si>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</si>
  <si>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</si>
  <si>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</si>
  <si>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</si>
  <si>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</si>
  <si>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</si>
  <si>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</si>
  <si>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</si>
  <si>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</si>
  <si>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</si>
  <si>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</si>
  <si>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</si>
  <si>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</si>
  <si>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</si>
  <si>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</si>
  <si>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</si>
  <si>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</si>
  <si>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</si>
  <si>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</si>
  <si>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</si>
  <si>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</si>
  <si>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</si>
  <si>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</si>
  <si>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</si>
  <si>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</si>
  <si>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</si>
  <si>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</si>
  <si>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</si>
  <si>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</si>
  <si>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</si>
  <si>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</si>
  <si>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</si>
  <si>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</si>
  <si>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</si>
  <si>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</si>
  <si>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</si>
  <si>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</si>
  <si>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</si>
  <si>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</si>
  <si>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</si>
  <si>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</si>
  <si>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</si>
  <si>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</si>
  <si>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</si>
  <si>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</si>
  <si>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</si>
  <si>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</si>
  <si>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</si>
  <si>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</si>
  <si>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</si>
  <si>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</si>
  <si>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</si>
  <si>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</si>
  <si>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</si>
  <si>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</si>
  <si>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</si>
  <si>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</si>
  <si>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</si>
  <si>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</si>
  <si>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</si>
  <si>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</si>
  <si>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</si>
  <si>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</si>
  <si>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</si>
  <si>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</si>
  <si>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</si>
  <si>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</si>
  <si>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</si>
  <si>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</si>
  <si>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</si>
  <si>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</si>
  <si>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</si>
  <si>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</si>
  <si>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</si>
  <si>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</si>
  <si>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</si>
  <si>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</si>
  <si>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</si>
  <si>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</si>
  <si>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</si>
  <si>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</si>
  <si>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</si>
  <si>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</si>
  <si>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</si>
  <si>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</si>
  <si>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</si>
  <si>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</si>
  <si>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</si>
  <si>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</si>
  <si>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</si>
  <si>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</si>
  <si>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</si>
  <si>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</si>
  <si>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</si>
  <si>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</si>
  <si>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</si>
  <si>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</si>
  <si>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</si>
  <si>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</si>
  <si>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</si>
  <si>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</si>
  <si>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</si>
  <si>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</si>
  <si>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</si>
  <si>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</si>
  <si>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</si>
  <si>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</si>
  <si>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</si>
  <si>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</si>
  <si>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</si>
  <si>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</si>
  <si>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</si>
  <si>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</si>
  <si>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</si>
  <si>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</si>
  <si>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</si>
  <si>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</si>
  <si>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</si>
  <si>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</si>
  <si>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</si>
  <si>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</si>
  <si>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</si>
  <si>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</si>
  <si>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</si>
  <si>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</si>
  <si>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</si>
  <si>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</si>
  <si>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</si>
  <si>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</si>
  <si>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</si>
  <si>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</si>
  <si>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</si>
  <si>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</si>
  <si>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</si>
  <si>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</si>
  <si>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</si>
  <si>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</si>
  <si>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</si>
  <si>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</si>
  <si>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</si>
  <si>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</si>
  <si>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</si>
  <si>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</si>
  <si>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</si>
  <si>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</si>
  <si>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</si>
  <si>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</si>
  <si>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</si>
  <si>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</si>
  <si>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</si>
  <si>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</si>
  <si>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</si>
  <si>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</si>
  <si>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</si>
  <si>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</si>
  <si>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</si>
  <si>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</si>
  <si>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</si>
  <si>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</si>
  <si>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</si>
  <si>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</si>
  <si>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</si>
  <si>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</si>
  <si>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</si>
  <si>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</si>
  <si>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</si>
  <si>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</si>
  <si>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</si>
  <si>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</si>
  <si>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</si>
  <si>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</si>
  <si>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</si>
  <si>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</si>
  <si>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</si>
  <si>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</si>
  <si>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</si>
  <si>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</si>
  <si>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</si>
  <si>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</si>
  <si>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</si>
  <si>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</si>
  <si>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</si>
  <si>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</si>
  <si>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</si>
  <si>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</si>
  <si>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</si>
  <si>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</si>
  <si>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</si>
  <si>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</si>
  <si>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</si>
  <si>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</si>
  <si>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</si>
  <si>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</si>
  <si>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</si>
  <si>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</si>
  <si>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</si>
  <si>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</si>
  <si>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</si>
  <si>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</si>
  <si>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</si>
  <si>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</si>
  <si>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</si>
  <si>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</si>
  <si>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</si>
  <si>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</si>
  <si>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</si>
  <si>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</si>
  <si>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</si>
  <si>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</si>
  <si>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</si>
  <si>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</si>
  <si>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</si>
  <si>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</si>
  <si>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</si>
  <si>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</si>
  <si>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</si>
  <si>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</si>
  <si>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</si>
  <si>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</si>
  <si>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</si>
  <si>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</si>
  <si>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</si>
  <si>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</si>
  <si>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</si>
  <si>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</si>
  <si>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</si>
  <si>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</si>
  <si>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</si>
  <si>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</si>
  <si>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</si>
  <si>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</si>
  <si>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</si>
  <si>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</si>
  <si>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</si>
  <si>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</si>
  <si>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</si>
  <si>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</si>
  <si>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</si>
  <si>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</si>
  <si>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</si>
  <si>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</si>
  <si>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</si>
  <si>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</si>
  <si>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</si>
  <si>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</si>
  <si>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</si>
  <si>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</si>
  <si>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</si>
  <si>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</si>
  <si>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</si>
  <si>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</si>
  <si>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</si>
  <si>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</si>
  <si>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</si>
  <si>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</si>
  <si>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</si>
  <si>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</si>
  <si>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</si>
  <si>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</si>
  <si>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</si>
  <si>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</si>
  <si>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</si>
  <si>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</si>
  <si>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</si>
  <si>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</si>
  <si>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</si>
  <si>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</si>
  <si>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</si>
  <si>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</si>
  <si>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</si>
  <si>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</si>
  <si>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</si>
  <si>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</si>
  <si>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</si>
  <si>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</si>
  <si>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</si>
  <si>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</si>
  <si>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</si>
  <si>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</si>
  <si>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</si>
  <si>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</si>
  <si>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</si>
  <si>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</si>
  <si>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</si>
  <si>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</si>
  <si>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</si>
  <si>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</si>
  <si>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</si>
  <si>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</si>
  <si>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</si>
  <si>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</si>
  <si>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</si>
  <si>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</si>
  <si>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</si>
  <si>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</si>
  <si>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</si>
  <si>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</si>
  <si>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</si>
  <si>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</si>
  <si>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</si>
  <si>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</si>
  <si>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</si>
  <si>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</si>
  <si>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</si>
  <si>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</si>
  <si>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</si>
  <si>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</si>
  <si>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</si>
  <si>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</si>
  <si>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</si>
  <si>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</si>
  <si>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</si>
  <si>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</si>
  <si>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</si>
  <si>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</si>
  <si>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</si>
  <si>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</si>
  <si>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</si>
  <si>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</si>
  <si>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</si>
  <si>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</si>
  <si>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</si>
  <si>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</si>
  <si>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</si>
  <si>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</si>
  <si>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</si>
  <si>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</si>
  <si>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</si>
  <si>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</si>
  <si>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</si>
  <si>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</si>
  <si>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</si>
  <si>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</si>
  <si>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</si>
  <si>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</si>
  <si>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</si>
  <si>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</si>
  <si>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</si>
  <si>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</si>
  <si>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</si>
  <si>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</si>
  <si>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</si>
  <si>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</si>
  <si>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</si>
  <si>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</si>
  <si>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</si>
  <si>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</si>
  <si>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</si>
  <si>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</si>
  <si>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</si>
  <si>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</si>
  <si>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</si>
  <si>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</si>
  <si>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</si>
  <si>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</si>
  <si>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</si>
  <si>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</si>
  <si>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</si>
  <si>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</si>
  <si>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</si>
  <si>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</si>
  <si>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</si>
  <si>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</si>
  <si>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</si>
  <si>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</si>
  <si>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</si>
  <si>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</si>
  <si>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</si>
  <si>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</si>
  <si>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</si>
  <si>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</si>
  <si>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</si>
  <si>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</si>
  <si>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</si>
  <si>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</si>
  <si>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</si>
  <si>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</si>
  <si>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</si>
  <si>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</si>
  <si>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</si>
  <si>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</si>
  <si>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</si>
  <si>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</si>
  <si>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</si>
  <si>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</si>
  <si>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</si>
  <si>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</si>
  <si>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</si>
  <si>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</si>
  <si>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</si>
  <si>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</si>
  <si>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</si>
  <si>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</si>
  <si>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</si>
  <si>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</si>
  <si>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</si>
  <si>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</si>
  <si>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</si>
  <si>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</si>
  <si>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</si>
  <si>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</si>
  <si>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</si>
  <si>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</si>
  <si>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</si>
  <si>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</si>
  <si>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</si>
  <si>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</si>
  <si>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</si>
  <si>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</si>
  <si>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</si>
  <si>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</si>
  <si>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</si>
  <si>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</si>
  <si>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</si>
  <si>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</si>
  <si>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</si>
  <si>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</si>
  <si>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</si>
  <si>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</si>
  <si>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</si>
  <si>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</si>
  <si>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</si>
  <si>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</si>
  <si>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</si>
  <si>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</si>
  <si>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</si>
  <si>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</si>
  <si>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</si>
  <si>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</si>
  <si>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</si>
  <si>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</si>
  <si>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</si>
  <si>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</si>
  <si>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</si>
  <si>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</si>
  <si>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</si>
  <si>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</si>
  <si>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</si>
  <si>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</si>
  <si>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</si>
  <si>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</si>
  <si>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</si>
  <si>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</si>
  <si>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</si>
  <si>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</si>
  <si>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</si>
  <si>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</si>
  <si>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</si>
  <si>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</si>
  <si>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</si>
  <si>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</si>
  <si>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</si>
  <si>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</si>
  <si>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</si>
  <si>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</si>
  <si>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</si>
  <si>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</si>
  <si>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</si>
  <si>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</si>
  <si>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</si>
  <si>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</si>
  <si>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</si>
  <si>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</si>
  <si>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</si>
  <si>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</si>
  <si>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</si>
  <si>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</si>
  <si>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</si>
  <si>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</si>
  <si>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</si>
  <si>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</si>
  <si>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</si>
  <si>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</si>
  <si>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</si>
  <si>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</si>
  <si>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</si>
  <si>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</si>
  <si>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</si>
  <si>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</si>
  <si>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</si>
  <si>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</si>
  <si>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</si>
  <si>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</si>
  <si>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</si>
  <si>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</si>
  <si>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</si>
  <si>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</si>
  <si>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</si>
  <si>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</si>
  <si>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</si>
  <si>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</si>
  <si>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</si>
  <si>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</si>
  <si>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</si>
  <si>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</si>
  <si>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</si>
  <si>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</si>
  <si>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</si>
  <si>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</si>
  <si>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</si>
  <si>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</si>
  <si>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</si>
  <si>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</si>
  <si>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</si>
  <si>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</si>
  <si>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</si>
  <si>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</si>
  <si>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</si>
  <si>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</si>
  <si>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</si>
  <si>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</si>
  <si>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</si>
  <si>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</si>
  <si>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</si>
  <si>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</si>
  <si>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</si>
  <si>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</si>
  <si>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</si>
  <si>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</si>
  <si>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</si>
  <si>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</si>
  <si>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</si>
  <si>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</si>
  <si>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</si>
  <si>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</si>
  <si>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</si>
  <si>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</si>
  <si>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</si>
  <si>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</si>
  <si>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</si>
  <si>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</si>
  <si>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</si>
  <si>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</si>
  <si>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</si>
  <si>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</si>
  <si>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</si>
  <si>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</si>
  <si>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</si>
  <si>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</si>
  <si>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</si>
  <si>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</si>
  <si>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</si>
  <si>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</si>
  <si>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</si>
  <si>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</si>
  <si>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</si>
  <si>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</si>
  <si>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</si>
  <si>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</si>
  <si>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</si>
  <si>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</si>
  <si>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</si>
  <si>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</si>
  <si>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</si>
  <si>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</si>
  <si>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</si>
  <si>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</si>
  <si>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</si>
  <si>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</si>
  <si>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</si>
  <si>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</si>
  <si>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</si>
  <si>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</si>
  <si>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</si>
  <si>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</si>
  <si>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</si>
  <si>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</si>
  <si>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</si>
  <si>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</si>
  <si>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</si>
  <si>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</si>
  <si>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</si>
  <si>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</si>
  <si>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</si>
  <si>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</si>
  <si>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</si>
  <si>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</si>
  <si>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</si>
  <si>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</si>
  <si>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</si>
  <si>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</si>
  <si>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</si>
  <si>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</si>
  <si>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</si>
  <si>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</si>
  <si>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</si>
  <si>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</si>
  <si>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</si>
  <si>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</si>
  <si>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</si>
  <si>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</si>
  <si>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</si>
  <si>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</si>
  <si>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</si>
  <si>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</si>
  <si>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</si>
  <si>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</si>
  <si>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</si>
  <si>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</si>
  <si>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</si>
  <si>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</si>
  <si>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</si>
  <si>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</si>
  <si>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</si>
  <si>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</si>
  <si>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</si>
  <si>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</si>
  <si>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</si>
  <si>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</si>
  <si>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</si>
  <si>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</si>
  <si>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</si>
  <si>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</si>
  <si>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</si>
  <si>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</si>
  <si>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</si>
  <si>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</si>
  <si>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</si>
  <si>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</si>
  <si>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</si>
  <si>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</si>
  <si>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</si>
  <si>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</si>
  <si>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</si>
  <si>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</si>
  <si>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</si>
  <si>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</si>
  <si>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</si>
  <si>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</si>
  <si>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</si>
  <si>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</si>
  <si>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</si>
  <si>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</si>
  <si>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</si>
  <si>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</si>
  <si>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</si>
  <si>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</si>
  <si>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</si>
  <si>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</si>
  <si>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</si>
  <si>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</si>
  <si>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</si>
  <si>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</si>
  <si>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</si>
  <si>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</si>
  <si>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</si>
  <si>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</si>
  <si>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</si>
  <si>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</si>
  <si>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</si>
  <si>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</si>
  <si>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</si>
  <si>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</si>
  <si>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</si>
  <si>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</si>
  <si>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</si>
  <si>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</si>
  <si>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</si>
  <si>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</si>
  <si>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</si>
  <si>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</si>
  <si>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</si>
  <si>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</si>
  <si>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</si>
  <si>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</si>
  <si>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</si>
  <si>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</si>
  <si>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</si>
  <si>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</si>
  <si>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</si>
  <si>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</si>
  <si>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</si>
  <si>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</si>
  <si>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</si>
  <si>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</si>
  <si>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</si>
  <si>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</si>
  <si>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</si>
  <si>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</si>
  <si>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</si>
  <si>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</si>
  <si>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</si>
  <si>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</si>
  <si>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</si>
  <si>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</si>
  <si>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</si>
  <si>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</si>
  <si>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</si>
  <si>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</si>
  <si>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</si>
  <si>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</si>
  <si>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</si>
  <si>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</si>
  <si>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</si>
  <si>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</si>
  <si>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</si>
  <si>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</si>
  <si>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</si>
  <si>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</si>
  <si>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</si>
  <si>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</si>
  <si>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</si>
  <si>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</si>
  <si>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</si>
  <si>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</si>
  <si>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</si>
  <si>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</si>
  <si>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</si>
  <si>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</si>
  <si>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</si>
  <si>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</si>
  <si>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</si>
  <si>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</si>
  <si>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</si>
  <si>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</si>
  <si>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</si>
  <si>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</si>
  <si>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</si>
  <si>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</si>
  <si>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</si>
  <si>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</si>
  <si>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</si>
  <si>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</si>
  <si>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</si>
  <si>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</si>
  <si>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</si>
  <si>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</si>
  <si>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</si>
  <si>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</si>
  <si>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</si>
  <si>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</si>
  <si>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</si>
  <si>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</si>
  <si>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</si>
  <si>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</si>
  <si>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</si>
  <si>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</si>
  <si>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</si>
  <si>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</si>
  <si>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</si>
  <si>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</si>
  <si>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</si>
  <si>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</si>
  <si>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</si>
  <si>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</si>
  <si>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</si>
  <si>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</si>
  <si>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</si>
  <si>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</si>
  <si>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</si>
  <si>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</si>
  <si>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</si>
  <si>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</si>
  <si>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</si>
  <si>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</si>
  <si>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</si>
  <si>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</si>
  <si>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</si>
  <si>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</si>
  <si>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</si>
  <si>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</si>
  <si>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</si>
  <si>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</si>
  <si>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</si>
  <si>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</si>
  <si>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</si>
  <si>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</si>
  <si>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</si>
  <si>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</si>
  <si>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</si>
  <si>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</si>
  <si>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</si>
  <si>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</si>
  <si>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</si>
  <si>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</si>
  <si>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</si>
  <si>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</si>
  <si>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</si>
  <si>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</si>
  <si>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</si>
  <si>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</si>
  <si>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</si>
  <si>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</si>
  <si>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</si>
  <si>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</si>
  <si>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</si>
  <si>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</si>
  <si>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</si>
  <si>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</si>
  <si>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</si>
  <si>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</si>
  <si>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</si>
  <si>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</si>
  <si>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</si>
  <si>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</si>
  <si>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</si>
  <si>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</si>
  <si>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</si>
  <si>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</si>
  <si>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</si>
  <si>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</si>
  <si>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</si>
  <si>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</si>
  <si>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</si>
  <si>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</si>
  <si>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</si>
  <si>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</si>
  <si>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</si>
  <si>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</si>
  <si>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</si>
  <si>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</si>
  <si>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</si>
  <si>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</si>
  <si>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</si>
  <si>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</si>
  <si>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</si>
  <si>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</si>
  <si>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</si>
  <si>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</si>
  <si>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</si>
  <si>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</si>
  <si>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</si>
  <si>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</si>
  <si>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</si>
  <si>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</si>
  <si>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</si>
  <si>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</si>
  <si>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</si>
  <si>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</si>
  <si>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</si>
  <si>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</si>
  <si>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</si>
  <si>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</si>
  <si>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</si>
  <si>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</si>
  <si>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</si>
  <si>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</si>
  <si>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</si>
  <si>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</si>
  <si>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</si>
  <si>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</si>
  <si>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</si>
  <si>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</si>
  <si>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</si>
  <si>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</si>
  <si>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</si>
  <si>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</si>
  <si>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</si>
  <si>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</si>
  <si>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</si>
  <si>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</si>
  <si>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</si>
  <si>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</si>
  <si>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</si>
  <si>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</si>
  <si>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</si>
  <si>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</si>
  <si>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</si>
  <si>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</si>
  <si>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</si>
  <si>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</si>
  <si>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</si>
  <si>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</si>
  <si>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</si>
  <si>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</si>
  <si>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</si>
  <si>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</si>
  <si>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</si>
  <si>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</si>
  <si>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</si>
  <si>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</si>
  <si>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</si>
  <si>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</si>
  <si>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</si>
  <si>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</si>
  <si>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</si>
  <si>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</si>
  <si>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</si>
  <si>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</si>
  <si>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</si>
  <si>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</si>
  <si>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</si>
  <si>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</si>
  <si>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</si>
  <si>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</si>
  <si>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</si>
  <si>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</si>
  <si>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</si>
  <si>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</si>
  <si>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</si>
  <si>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</si>
  <si>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</si>
  <si>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</si>
  <si>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</si>
  <si>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</si>
  <si>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</si>
  <si>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</si>
  <si>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</si>
  <si>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</si>
  <si>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</si>
  <si>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</si>
  <si>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</si>
  <si>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</si>
  <si>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</si>
  <si>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</si>
  <si>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</si>
  <si>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</si>
  <si>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</si>
  <si>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</si>
  <si>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</si>
  <si>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</si>
  <si>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</si>
  <si>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</si>
  <si>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</si>
  <si>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</si>
  <si>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</si>
  <si>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</si>
  <si>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</si>
  <si>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</si>
  <si>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</si>
  <si>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</si>
  <si>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</si>
  <si>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</si>
  <si>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</si>
  <si>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</si>
  <si>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</si>
  <si>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</si>
  <si>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</si>
  <si>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</si>
  <si>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</si>
  <si>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</si>
  <si>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</si>
  <si>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</si>
  <si>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</si>
  <si>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</si>
  <si>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</si>
  <si>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</si>
  <si>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</si>
  <si>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</si>
  <si>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</si>
  <si>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</si>
  <si>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</si>
  <si>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</si>
  <si>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</si>
  <si>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</si>
  <si>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</si>
  <si>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</si>
  <si>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</si>
  <si>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</si>
  <si>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</si>
  <si>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</si>
  <si>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</si>
  <si>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</si>
  <si>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</si>
  <si>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</si>
  <si>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</si>
  <si>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</si>
  <si>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</si>
  <si>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</si>
  <si>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</si>
  <si>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</si>
  <si>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</si>
  <si>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</si>
  <si>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</si>
  <si>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</si>
  <si>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</si>
  <si>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</si>
  <si>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</si>
  <si>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</si>
  <si>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</si>
  <si>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</si>
  <si>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</si>
  <si>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</si>
  <si>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</si>
  <si>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</si>
  <si>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</si>
  <si>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</si>
  <si>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</si>
  <si>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</si>
  <si>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</si>
  <si>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</si>
  <si>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</si>
  <si>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</si>
  <si>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</si>
  <si>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</si>
  <si>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</si>
  <si>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</si>
  <si>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</si>
  <si>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</si>
  <si>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</si>
  <si>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</si>
  <si>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</si>
  <si>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</si>
  <si>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</si>
  <si>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</si>
  <si>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</si>
  <si>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</si>
  <si>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</si>
  <si>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</si>
  <si>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</si>
  <si>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</si>
  <si>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</si>
  <si>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</si>
  <si>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</si>
  <si>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</si>
  <si>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</si>
  <si>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</si>
  <si>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</si>
  <si>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</si>
  <si>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</si>
  <si>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</si>
  <si>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</si>
  <si>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</si>
  <si>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</si>
  <si>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</si>
  <si>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</si>
  <si>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</si>
  <si>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</si>
  <si>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</si>
  <si>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</si>
  <si>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</si>
  <si>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</si>
  <si>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</si>
  <si>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</si>
  <si>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</si>
  <si>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</si>
  <si>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</si>
  <si>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</si>
  <si>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</si>
  <si>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</si>
  <si>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</si>
  <si>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</si>
  <si>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</si>
  <si>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</si>
  <si>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</si>
  <si>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</si>
  <si>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</si>
  <si>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</si>
  <si>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</si>
  <si>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</si>
  <si>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</si>
  <si>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</si>
  <si>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</si>
  <si>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</si>
  <si>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</si>
  <si>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</si>
  <si>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</si>
  <si>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</si>
  <si>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</si>
  <si>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</si>
  <si>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</si>
  <si>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</si>
  <si>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</si>
  <si>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</si>
  <si>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</si>
  <si>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</si>
  <si>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</si>
  <si>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</si>
  <si>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</si>
  <si>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</si>
  <si>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</si>
  <si>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</si>
  <si>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</si>
  <si>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</si>
  <si>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</si>
  <si>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</si>
  <si>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</si>
  <si>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</si>
  <si>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</si>
  <si>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</si>
  <si>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</si>
  <si>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</si>
  <si>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</si>
  <si>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</si>
  <si>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</si>
  <si>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</si>
  <si>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</si>
  <si>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</si>
  <si>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</si>
  <si>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</si>
  <si>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</si>
  <si>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</si>
  <si>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</si>
  <si>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</si>
  <si>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</si>
  <si>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</si>
  <si>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</si>
  <si>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</si>
  <si>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</si>
  <si>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</si>
  <si>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</si>
  <si>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</si>
  <si>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</si>
  <si>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</si>
  <si>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</si>
  <si>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</si>
  <si>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</si>
  <si>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</si>
  <si>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</si>
  <si>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</si>
  <si>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</si>
  <si>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</si>
  <si>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</si>
  <si>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</si>
  <si>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</si>
  <si>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</si>
  <si>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</si>
  <si>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</si>
  <si>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</si>
  <si>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</si>
  <si>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</si>
  <si>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</si>
  <si>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</si>
  <si>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</si>
  <si>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</si>
  <si>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</si>
  <si>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</si>
  <si>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</si>
  <si>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</si>
  <si>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</si>
  <si>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</si>
  <si>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</si>
  <si>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</si>
  <si>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</si>
  <si>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</si>
  <si>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</si>
  <si>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</si>
  <si>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</si>
  <si>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</si>
  <si>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</si>
  <si>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</si>
  <si>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</si>
  <si>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</si>
  <si>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</si>
  <si>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</si>
  <si>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</si>
  <si>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</si>
  <si>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</si>
  <si>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</si>
  <si>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</si>
  <si>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</si>
  <si>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</si>
  <si>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</si>
  <si>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</si>
  <si>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</si>
  <si>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</si>
  <si>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</si>
  <si>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</si>
  <si>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</si>
  <si>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</si>
  <si>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</si>
  <si>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</si>
  <si>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</si>
  <si>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</si>
  <si>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</si>
  <si>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</si>
  <si>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</si>
  <si>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</si>
  <si>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</si>
  <si>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</si>
  <si>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</si>
  <si>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</si>
  <si>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</si>
  <si>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</si>
  <si>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</si>
  <si>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</si>
  <si>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</si>
  <si>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</si>
  <si>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</si>
  <si>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</si>
  <si>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</si>
  <si>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</si>
  <si>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</si>
  <si>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</si>
  <si>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</si>
  <si>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</si>
  <si>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</si>
  <si>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</si>
  <si>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</si>
  <si>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</si>
  <si>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</si>
  <si>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</si>
  <si>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</si>
  <si>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</si>
  <si>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</si>
  <si>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</si>
  <si>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</si>
  <si>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</si>
  <si>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</si>
  <si>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</si>
  <si>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</si>
  <si>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</si>
  <si>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</si>
  <si>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</si>
  <si>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</si>
  <si>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</si>
  <si>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</si>
  <si>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</si>
  <si>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</si>
  <si>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</si>
  <si>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</si>
  <si>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</si>
  <si>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</si>
  <si>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</si>
  <si>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</si>
  <si>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</si>
  <si>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</si>
  <si>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</si>
  <si>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</si>
  <si>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</si>
  <si>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</si>
  <si>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</si>
  <si>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</si>
  <si>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</si>
  <si>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</si>
  <si>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</si>
  <si>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</si>
  <si>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</si>
  <si>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</si>
  <si>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</si>
  <si>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</si>
  <si>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</si>
  <si>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</si>
  <si>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</si>
  <si>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</si>
  <si>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</si>
  <si>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</si>
  <si>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</si>
  <si>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</si>
  <si>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</si>
  <si>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</si>
  <si>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</si>
  <si>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</si>
  <si>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</si>
  <si>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</si>
  <si>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</si>
  <si>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</si>
  <si>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</si>
  <si>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</si>
  <si>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</si>
  <si>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</si>
  <si>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</si>
  <si>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</si>
  <si>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</si>
  <si>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</si>
  <si>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</si>
  <si>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</si>
  <si>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</si>
  <si>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</si>
  <si>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</si>
  <si>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</si>
  <si>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</si>
  <si>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</si>
  <si>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</si>
  <si>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</si>
  <si>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</si>
  <si>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</si>
  <si>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</si>
  <si>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</si>
  <si>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</si>
  <si>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</si>
  <si>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</si>
  <si>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</si>
  <si>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</si>
  <si>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</si>
  <si>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</si>
  <si>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</si>
  <si>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</si>
  <si>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</si>
  <si>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</si>
  <si>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</si>
  <si>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</si>
  <si>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</si>
  <si>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</si>
  <si>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</si>
  <si>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</si>
  <si>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</si>
  <si>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</si>
  <si>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</si>
  <si>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</si>
  <si>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</si>
  <si>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</si>
  <si>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</si>
  <si>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</si>
  <si>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</si>
  <si>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</si>
  <si>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</si>
  <si>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</si>
  <si>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</si>
  <si>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</si>
  <si>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</si>
  <si>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</si>
  <si>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</si>
  <si>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</si>
  <si>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</si>
  <si>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</si>
  <si>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</si>
  <si>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</si>
  <si>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</si>
  <si>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</si>
  <si>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</si>
  <si>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</si>
  <si>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</si>
  <si>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</si>
  <si>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</si>
  <si>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</si>
  <si>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</si>
  <si>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</si>
  <si>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</si>
  <si>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</si>
  <si>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</si>
  <si>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</si>
  <si>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</si>
  <si>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</si>
  <si>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</si>
  <si>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</si>
  <si>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</si>
  <si>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</si>
  <si>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</si>
  <si>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</si>
  <si>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</si>
  <si>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</si>
  <si>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</si>
  <si>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</si>
  <si>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</si>
  <si>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</si>
  <si>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</si>
  <si>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</si>
  <si>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</si>
  <si>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</si>
  <si>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</si>
  <si>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</si>
  <si>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</si>
  <si>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</si>
  <si>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</si>
  <si>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</si>
  <si>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</si>
  <si>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</si>
  <si>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</si>
  <si>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</si>
  <si>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</si>
  <si>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</si>
  <si>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</si>
  <si>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</si>
  <si>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</si>
  <si>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</si>
  <si>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</si>
  <si>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</si>
  <si>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</si>
  <si>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</si>
  <si>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</si>
  <si>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</si>
  <si>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</si>
  <si>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</si>
  <si>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</si>
  <si>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</si>
  <si>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</si>
  <si>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</si>
  <si>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</si>
  <si>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</si>
  <si>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</si>
  <si>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</si>
  <si>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</si>
  <si>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</si>
  <si>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</si>
  <si>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</si>
  <si>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</si>
  <si>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</si>
  <si>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</si>
  <si>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</si>
  <si>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</si>
  <si>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</si>
  <si>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</si>
  <si>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</si>
  <si>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</si>
  <si>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</si>
  <si>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</si>
  <si>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</si>
  <si>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</si>
  <si>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</si>
  <si>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</si>
  <si>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</si>
  <si>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</si>
  <si>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</si>
  <si>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</si>
  <si>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</si>
  <si>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</si>
  <si>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</si>
  <si>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</si>
  <si>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</si>
  <si>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</si>
  <si>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</si>
  <si>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</si>
  <si>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</si>
  <si>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</si>
  <si>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</si>
  <si>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</si>
  <si>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</si>
  <si>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</si>
  <si>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</si>
  <si>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</si>
  <si>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</si>
  <si>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</si>
  <si>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</si>
  <si>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</si>
  <si>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</si>
  <si>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</si>
  <si>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</si>
  <si>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</si>
  <si>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</si>
  <si>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</si>
  <si>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</si>
  <si>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</si>
  <si>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</si>
  <si>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</si>
  <si>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</si>
  <si>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</si>
  <si>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</si>
  <si>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</si>
  <si>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</si>
  <si>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</si>
  <si>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</si>
  <si>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</si>
  <si>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</si>
  <si>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</si>
  <si>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</si>
  <si>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</si>
  <si>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</si>
  <si>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</si>
  <si>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</si>
  <si>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</si>
  <si>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</si>
  <si>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</si>
  <si>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</si>
  <si>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</si>
  <si>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</si>
  <si>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</si>
  <si>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</si>
  <si>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</si>
  <si>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</si>
  <si>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</si>
  <si>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</si>
  <si>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</si>
  <si>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</si>
  <si>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</si>
  <si>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</si>
  <si>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</si>
  <si>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</si>
  <si>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</si>
  <si>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</si>
  <si>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</si>
  <si>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</si>
  <si>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</si>
  <si>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</si>
  <si>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</si>
  <si>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</si>
  <si>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</si>
  <si>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</si>
  <si>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</si>
  <si>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</si>
  <si>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</si>
  <si>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</si>
  <si>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</si>
  <si>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</si>
  <si>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</si>
  <si>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</si>
  <si>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</si>
  <si>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</si>
  <si>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</si>
  <si>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</si>
  <si>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</si>
  <si>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</si>
  <si>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</si>
  <si>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</si>
  <si>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</si>
  <si>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</si>
  <si>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</si>
  <si>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</si>
  <si>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</si>
  <si>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</si>
  <si>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</si>
  <si>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</si>
  <si>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</si>
  <si>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</si>
  <si>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</si>
  <si>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</si>
  <si>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</si>
  <si>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</si>
  <si>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</si>
  <si>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</si>
  <si>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</si>
  <si>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</si>
  <si>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</si>
  <si>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</si>
  <si>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</si>
  <si>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</si>
  <si>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</si>
  <si>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</si>
  <si>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</si>
  <si>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</si>
  <si>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</si>
  <si>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</si>
  <si>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</si>
  <si>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</si>
  <si>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</si>
  <si>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</si>
  <si>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</si>
  <si>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</si>
  <si>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</si>
  <si>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</si>
  <si>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</si>
  <si>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</si>
  <si>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</si>
  <si>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</si>
  <si>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</si>
  <si>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</si>
  <si>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</si>
  <si>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</si>
  <si>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</si>
  <si>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</si>
  <si>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</si>
  <si>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</si>
  <si>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</si>
  <si>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</si>
  <si>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</si>
  <si>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</si>
  <si>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</si>
  <si>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</si>
  <si>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</si>
  <si>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</si>
  <si>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</si>
  <si>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</si>
  <si>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</si>
  <si>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</si>
  <si>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</si>
  <si>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</si>
  <si>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</si>
  <si>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</si>
  <si>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</si>
  <si>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</si>
  <si>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</si>
  <si>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</si>
  <si>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</si>
  <si>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</si>
  <si>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</si>
  <si>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</si>
  <si>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</si>
  <si>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</si>
  <si>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</si>
  <si>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</si>
  <si>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</si>
  <si>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</si>
  <si>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</si>
  <si>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</si>
  <si>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</si>
  <si>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</si>
  <si>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</si>
  <si>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</si>
  <si>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</si>
  <si>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</si>
  <si>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</si>
  <si>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</si>
  <si>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</si>
  <si>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</si>
  <si>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</si>
  <si>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</si>
  <si>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</si>
  <si>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</si>
  <si>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</si>
  <si>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</si>
  <si>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</si>
  <si>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</si>
  <si>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</si>
  <si>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</si>
  <si>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</si>
  <si>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</si>
  <si>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</si>
  <si>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</si>
  <si>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</si>
  <si>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</si>
  <si>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</si>
  <si>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</si>
  <si>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</si>
  <si>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</si>
  <si>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</si>
  <si>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</si>
  <si>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</si>
  <si>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</si>
  <si>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</si>
  <si>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</si>
  <si>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</si>
  <si>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</si>
  <si>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</si>
  <si>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</si>
  <si>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</si>
  <si>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</si>
  <si>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</si>
  <si>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</si>
  <si>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</si>
  <si>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</si>
  <si>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</si>
  <si>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</si>
  <si>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</si>
  <si>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</si>
  <si>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</si>
  <si>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</si>
  <si>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</si>
  <si>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</si>
  <si>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</si>
  <si>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</si>
  <si>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</si>
  <si>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</si>
  <si>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</si>
  <si>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</si>
  <si>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</si>
  <si>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</si>
  <si>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</si>
  <si>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</si>
  <si>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</si>
  <si>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</si>
  <si>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</si>
  <si>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</si>
  <si>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</si>
  <si>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</si>
  <si>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</si>
  <si>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</si>
  <si>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</si>
  <si>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</si>
  <si>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</si>
  <si>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</si>
  <si>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</si>
  <si>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</si>
  <si>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</si>
  <si>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</si>
  <si>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</si>
  <si>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</si>
  <si>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</si>
  <si>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</si>
  <si>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</si>
  <si>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</si>
  <si>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</si>
  <si>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</si>
  <si>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</si>
  <si>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</si>
  <si>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</si>
  <si>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</si>
  <si>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</si>
  <si>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</si>
  <si>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</si>
  <si>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</si>
  <si>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</si>
  <si>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</si>
  <si>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</si>
  <si>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</si>
  <si>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</si>
  <si>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</si>
  <si>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</si>
  <si>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</si>
  <si>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</si>
  <si>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</si>
  <si>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</si>
  <si>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</si>
  <si>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</si>
  <si>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</si>
  <si>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</si>
  <si>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</si>
  <si>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</si>
  <si>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</si>
  <si>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</si>
  <si>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</si>
  <si>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</si>
  <si>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</si>
  <si>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</si>
  <si>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</si>
  <si>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</si>
  <si>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</si>
  <si>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</si>
  <si>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</si>
  <si>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</si>
  <si>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</si>
  <si>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</si>
  <si>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</si>
  <si>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</si>
  <si>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</si>
  <si>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</si>
  <si>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</si>
  <si>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</si>
  <si>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</si>
  <si>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</si>
  <si>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</si>
  <si>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</si>
  <si>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</si>
  <si>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</si>
  <si>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</si>
  <si>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</si>
  <si>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</si>
  <si>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</si>
  <si>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</si>
  <si>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</si>
  <si>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</si>
  <si>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</si>
  <si>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</si>
  <si>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</si>
  <si>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</si>
  <si>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</si>
  <si>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</si>
  <si>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</si>
  <si>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</si>
  <si>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</si>
  <si>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</si>
  <si>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</si>
  <si>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</si>
  <si>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</si>
  <si>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</si>
  <si>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</si>
  <si>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</si>
  <si>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</si>
  <si>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</si>
  <si>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</si>
  <si>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</si>
  <si>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</si>
  <si>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</si>
  <si>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</si>
  <si>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</si>
  <si>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</si>
  <si>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</si>
  <si>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</si>
  <si>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</si>
  <si>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</si>
  <si>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</si>
  <si>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</si>
  <si>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</si>
  <si>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</si>
  <si>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</si>
  <si>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</si>
  <si>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</si>
  <si>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</si>
  <si>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</si>
  <si>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</si>
  <si>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</si>
  <si>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</si>
  <si>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</si>
  <si>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</si>
  <si>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</si>
  <si>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</si>
  <si>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</si>
  <si>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</si>
  <si>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</si>
  <si>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</si>
  <si>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</si>
  <si>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</si>
  <si>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</si>
  <si>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</si>
  <si>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</si>
  <si>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</si>
  <si>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</si>
  <si>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</si>
  <si>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</si>
  <si>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</si>
  <si>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</si>
  <si>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</si>
  <si>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</si>
  <si>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</si>
  <si>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</si>
  <si>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</si>
  <si>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</si>
  <si>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</si>
  <si>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</si>
  <si>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</si>
  <si>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</si>
  <si>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</si>
  <si>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</si>
  <si>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</si>
  <si>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</si>
  <si>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</si>
  <si>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</si>
  <si>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</si>
  <si>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</si>
  <si>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</si>
  <si>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</si>
  <si>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</si>
  <si>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</si>
  <si>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</si>
  <si>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</si>
  <si>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</si>
  <si>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</si>
  <si>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</si>
  <si>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</si>
  <si>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</si>
  <si>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</si>
  <si>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</si>
  <si>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</si>
  <si>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</si>
  <si>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</si>
  <si>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</si>
  <si>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</si>
  <si>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</si>
  <si>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</si>
  <si>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</si>
  <si>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</si>
  <si>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</si>
  <si>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</si>
  <si>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</si>
  <si>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</si>
  <si>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</si>
  <si>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</si>
  <si>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</si>
  <si>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</si>
  <si>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</si>
  <si>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</si>
  <si>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</si>
  <si>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</si>
  <si>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</si>
  <si>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</si>
  <si>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</si>
  <si>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</si>
  <si>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</si>
  <si>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</si>
  <si>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</si>
  <si>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</si>
  <si>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</si>
  <si>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</si>
  <si>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</si>
  <si>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</si>
  <si>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</si>
  <si>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</si>
  <si>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</si>
  <si>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</si>
  <si>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</si>
  <si>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</si>
  <si>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</si>
  <si>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</si>
  <si>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</si>
  <si>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</si>
  <si>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</si>
  <si>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</si>
  <si>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</si>
  <si>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</si>
  <si>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</si>
  <si>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</si>
  <si>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</si>
  <si>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</si>
  <si>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</si>
  <si>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</si>
  <si>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</si>
  <si>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</si>
  <si>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</si>
  <si>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</si>
  <si>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</si>
  <si>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</si>
  <si>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</si>
  <si>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</si>
  <si>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</si>
  <si>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</si>
  <si>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</si>
  <si>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</si>
  <si>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</si>
  <si>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</si>
  <si>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</si>
  <si>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</si>
  <si>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</si>
  <si>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</si>
  <si>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</si>
  <si>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</si>
  <si>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</si>
  <si>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</si>
  <si>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</si>
  <si>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</si>
  <si>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</si>
  <si>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</si>
  <si>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</si>
  <si>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</si>
  <si>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</si>
  <si>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</si>
  <si>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</si>
  <si>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</si>
  <si>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</si>
  <si>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</si>
  <si>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</si>
  <si>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</si>
  <si>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</si>
  <si>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</si>
  <si>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</si>
  <si>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</si>
  <si>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</si>
  <si>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</si>
  <si>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</si>
  <si>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</si>
  <si>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</si>
  <si>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</si>
  <si>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</si>
  <si>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</si>
  <si>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</si>
  <si>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</si>
  <si>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</si>
  <si>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</si>
  <si>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</si>
  <si>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</si>
  <si>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</si>
  <si>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</si>
  <si>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</si>
  <si>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</si>
  <si>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</si>
  <si>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</si>
  <si>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</si>
  <si>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</si>
  <si>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</si>
  <si>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</si>
  <si>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</si>
  <si>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</si>
  <si>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</si>
  <si>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</si>
  <si>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</si>
  <si>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</si>
  <si>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</si>
  <si>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</si>
  <si>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</si>
  <si>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</si>
  <si>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</si>
  <si>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</si>
  <si>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</si>
  <si>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</si>
  <si>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</si>
  <si>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</si>
  <si>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</si>
  <si>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</si>
  <si>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</si>
  <si>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</si>
  <si>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</si>
  <si>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</si>
  <si>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</si>
  <si>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</si>
  <si>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</si>
  <si>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</si>
  <si>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</si>
  <si>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</si>
  <si>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</si>
  <si>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</si>
  <si>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</si>
  <si>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</si>
  <si>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</si>
  <si>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</si>
  <si>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</si>
  <si>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</si>
  <si>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</si>
  <si>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</si>
  <si>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</si>
  <si>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</si>
  <si>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</si>
  <si>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</si>
  <si>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</si>
  <si>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</si>
  <si>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</si>
  <si>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</si>
  <si>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</si>
  <si>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</si>
  <si>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</si>
  <si>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</si>
  <si>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</si>
  <si>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</si>
  <si>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</si>
  <si>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</si>
  <si>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</si>
  <si>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</si>
  <si>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</si>
  <si>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</si>
  <si>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</si>
  <si>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</si>
  <si>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</si>
  <si>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</si>
  <si>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</si>
  <si>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</si>
  <si>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</si>
  <si>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</si>
  <si>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</si>
  <si>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</si>
  <si>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</si>
  <si>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</si>
  <si>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</si>
  <si>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</si>
  <si>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</si>
  <si>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</si>
  <si>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</si>
  <si>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</si>
  <si>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</si>
  <si>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</si>
  <si>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</si>
  <si>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</si>
  <si>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</si>
  <si>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</si>
  <si>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</si>
  <si>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</si>
  <si>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</si>
  <si>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</si>
  <si>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</si>
  <si>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</si>
  <si>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</si>
  <si>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</si>
  <si>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</si>
  <si>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</si>
  <si>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</si>
  <si>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</si>
  <si>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</si>
  <si>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</si>
  <si>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</si>
  <si>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</si>
  <si>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</si>
  <si>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</si>
  <si>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</si>
  <si>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</si>
  <si>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</si>
  <si>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</si>
  <si>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</si>
  <si>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</si>
  <si>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</si>
  <si>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</si>
  <si>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</si>
  <si>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</si>
  <si>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</si>
  <si>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</si>
  <si>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</si>
  <si>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</si>
  <si>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</si>
  <si>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</si>
  <si>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</si>
  <si>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</si>
  <si>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</si>
  <si>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</si>
  <si>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</si>
  <si>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</si>
  <si>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</si>
  <si>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</si>
  <si>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</si>
  <si>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</si>
  <si>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</si>
  <si>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</si>
  <si>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</si>
  <si>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</si>
  <si>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</si>
  <si>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</si>
  <si>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</si>
  <si>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</si>
  <si>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</si>
  <si>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</si>
  <si>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</si>
  <si>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</si>
  <si>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</si>
  <si>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</si>
  <si>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</si>
  <si>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</si>
  <si>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</si>
  <si>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</si>
  <si>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</si>
  <si>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</si>
  <si>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</si>
  <si>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</si>
  <si>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</si>
  <si>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</si>
  <si>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</si>
  <si>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</si>
  <si>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</si>
  <si>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</si>
  <si>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</si>
  <si>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</si>
  <si>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</si>
  <si>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</si>
  <si>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</si>
  <si>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</si>
  <si>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</si>
  <si>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</si>
  <si>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</si>
  <si>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</si>
  <si>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</si>
  <si>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</si>
  <si>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</si>
  <si>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</si>
  <si>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</si>
  <si>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</si>
  <si>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</si>
  <si>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</si>
  <si>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</si>
  <si>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</si>
  <si>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</si>
  <si>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</si>
  <si>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</si>
  <si>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</si>
  <si>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</si>
  <si>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</si>
  <si>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</si>
  <si>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</si>
  <si>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</si>
  <si>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</si>
  <si>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</si>
  <si>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</si>
  <si>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</si>
  <si>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</si>
  <si>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</si>
  <si>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</si>
  <si>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</si>
  <si>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</si>
  <si>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</si>
  <si>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</si>
  <si>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</si>
  <si>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</si>
  <si>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</si>
  <si>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</si>
  <si>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</si>
  <si>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</si>
  <si>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</si>
  <si>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</si>
  <si>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</si>
  <si>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</si>
  <si>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</si>
  <si>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</si>
  <si>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</si>
  <si>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</si>
  <si>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</si>
  <si>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</si>
  <si>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</si>
  <si>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</si>
  <si>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</si>
  <si>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</si>
  <si>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</si>
  <si>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</si>
  <si>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</si>
  <si>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</si>
  <si>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</si>
  <si>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</si>
  <si>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</si>
  <si>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</si>
  <si>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</si>
  <si>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</si>
  <si>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</si>
  <si>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</si>
  <si>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</si>
  <si>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</si>
  <si>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</si>
  <si>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</si>
  <si>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</si>
  <si>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</si>
  <si>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</si>
  <si>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</si>
  <si>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</si>
  <si>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</si>
  <si>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</si>
  <si>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</si>
  <si>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</si>
  <si>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</si>
  <si>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</si>
  <si>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</si>
  <si>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</si>
  <si>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</si>
  <si>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</si>
  <si>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</si>
  <si>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</si>
  <si>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</si>
  <si>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</si>
  <si>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</si>
  <si>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</si>
  <si>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</si>
  <si>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</si>
  <si>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</si>
  <si>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</si>
  <si>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</si>
  <si>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</si>
  <si>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</si>
  <si>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</si>
  <si>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</si>
  <si>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</si>
  <si>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</si>
  <si>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</si>
  <si>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</si>
  <si>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</si>
  <si>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</si>
  <si>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</si>
  <si>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</si>
  <si>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</si>
  <si>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</si>
  <si>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</si>
  <si>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</si>
  <si>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</si>
  <si>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</si>
  <si>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</si>
  <si>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</si>
  <si>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</si>
  <si>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</si>
  <si>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</si>
  <si>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</si>
  <si>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</si>
  <si>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</si>
  <si>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</si>
  <si>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</si>
  <si>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</si>
  <si>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</si>
  <si>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</si>
  <si>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</si>
  <si>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</si>
  <si>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</si>
  <si>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</si>
  <si>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</si>
  <si>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</si>
  <si>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</si>
  <si>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</si>
  <si>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</si>
  <si>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</si>
  <si>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</si>
  <si>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</si>
  <si>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</si>
  <si>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</si>
  <si>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</si>
  <si>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</si>
  <si>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</si>
  <si>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</si>
  <si>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</si>
  <si>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</si>
  <si>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</si>
  <si>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</si>
  <si>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</si>
  <si>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</si>
  <si>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</si>
  <si>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</si>
  <si>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</si>
  <si>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</si>
  <si>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</si>
  <si>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</si>
  <si>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</si>
  <si>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</si>
  <si>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</si>
  <si>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</si>
  <si>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</si>
  <si>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</si>
  <si>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</si>
  <si>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</si>
  <si>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</si>
  <si>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</si>
  <si>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</si>
  <si>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</si>
  <si>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</si>
  <si>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</si>
  <si>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</si>
  <si>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</si>
  <si>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</si>
  <si>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</si>
  <si>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</si>
  <si>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</si>
  <si>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</si>
  <si>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</si>
  <si>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</si>
  <si>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</si>
  <si>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</si>
  <si>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</si>
  <si>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</si>
  <si>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</si>
  <si>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</si>
  <si>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</si>
  <si>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</si>
  <si>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</si>
  <si>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</si>
  <si>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</si>
  <si>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</si>
  <si>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</si>
  <si>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40%/60%</t>
  </si>
  <si>
    <t>Inner City Infill Site</t>
  </si>
  <si>
    <t>300 De Haro</t>
  </si>
  <si>
    <t>UMU – URBAN MIXED USE; no density max</t>
  </si>
  <si>
    <t>300 De Haro Holdings LLC</t>
  </si>
  <si>
    <t>San Francisco Mayor's Office of Housing and Community Development</t>
  </si>
  <si>
    <t>Ms. Kate Hartley</t>
  </si>
  <si>
    <t>Housing Development Director</t>
  </si>
  <si>
    <t>1 South Van Ness Ave. 5th Floor</t>
  </si>
  <si>
    <t>415-701-5528</t>
  </si>
  <si>
    <t>415-701-5501</t>
  </si>
  <si>
    <t>kate.hartley@sfgov.org</t>
  </si>
  <si>
    <t>300 De Haro Street</t>
  </si>
  <si>
    <t>De Haro MRK LLC</t>
  </si>
  <si>
    <t>Sydne Garchik</t>
  </si>
  <si>
    <t>424.999.4581 </t>
  </si>
  <si>
    <t>sgarchik@mrkpartners.com</t>
  </si>
  <si>
    <t>MRK Partners Inc.</t>
  </si>
  <si>
    <t>Administrative GP</t>
  </si>
  <si>
    <t>Pacific Southwest Community Development Corporation, a California nonprofit public benefit corporation</t>
  </si>
  <si>
    <t>Managing GP</t>
  </si>
  <si>
    <t>CA</t>
  </si>
  <si>
    <t>Alex Schwartz</t>
  </si>
  <si>
    <t>424.570.3055</t>
  </si>
  <si>
    <t>ASchwartz@mrkpartners.com</t>
  </si>
  <si>
    <t>Retail, Entertainment</t>
  </si>
  <si>
    <t>Not Applicable</t>
  </si>
  <si>
    <t>Provided</t>
  </si>
  <si>
    <t>Other: Preconstruction</t>
  </si>
  <si>
    <t>Other: Real Estate Taxes During Construction</t>
  </si>
  <si>
    <t>Other: Owner Legal</t>
  </si>
  <si>
    <t>Other: acq title/escrow/legal/transfer tax</t>
  </si>
  <si>
    <t>Other: Third-party Construction Monitoring</t>
  </si>
  <si>
    <t>Other: Cost of Issuance Contingency</t>
  </si>
  <si>
    <t>GP Loan</t>
  </si>
  <si>
    <t>Lease Up Income</t>
  </si>
  <si>
    <t>Citibank-Conduit (Tax-Exempt New)</t>
  </si>
  <si>
    <t>Citibank-Conduit (TE Recycled)</t>
  </si>
  <si>
    <t>Citibank Taxable Construction Loan</t>
  </si>
  <si>
    <t>Fire Life Safety</t>
  </si>
  <si>
    <t>Property Insurance</t>
  </si>
  <si>
    <t>Office Supplies and Equipment</t>
  </si>
  <si>
    <t>Licenses and Fees</t>
  </si>
  <si>
    <t>Staff Unit Rent</t>
  </si>
  <si>
    <t>Payroll Taxes &amp; Benefits</t>
  </si>
  <si>
    <t>Damages, Late, Pet, Application fees</t>
  </si>
  <si>
    <t>Recycled Bonds</t>
  </si>
  <si>
    <t>LLC</t>
  </si>
  <si>
    <t>16935 West Bernardo Drive, Ste. 238</t>
  </si>
  <si>
    <t>858-675-0506</t>
  </si>
  <si>
    <t>5230 Pacific Concourse Drive, Suite 350</t>
  </si>
  <si>
    <t>Project Developer</t>
  </si>
  <si>
    <t>414.293.5700</t>
  </si>
  <si>
    <t>MBHIMANI@BARARCH.COM</t>
  </si>
  <si>
    <t>Collective Operations Architecture, Inc.</t>
  </si>
  <si>
    <t>2106 Union St</t>
  </si>
  <si>
    <t>San Francisco, CA 94123</t>
  </si>
  <si>
    <t>Weijia Song</t>
  </si>
  <si>
    <t>628.294.4262</t>
  </si>
  <si>
    <t>wsong@co-operations.org</t>
  </si>
  <si>
    <t>TBD</t>
  </si>
  <si>
    <t>Thompson Builders Corporation</t>
  </si>
  <si>
    <t>5400 Hanna Ranch Rd</t>
  </si>
  <si>
    <t>Novato, CA 94947</t>
  </si>
  <si>
    <t>Clayton Fraser</t>
  </si>
  <si>
    <t>415.456.8972</t>
  </si>
  <si>
    <t>California Housing Finance Agency</t>
  </si>
  <si>
    <t>916.326.8810</t>
  </si>
  <si>
    <t>500 Capitol Mall, STE 400</t>
  </si>
  <si>
    <t>Sacramento, CA 95814</t>
  </si>
  <si>
    <t>Ashley Carroll</t>
  </si>
  <si>
    <t>acarroll@CalHFA.ca.gov</t>
  </si>
  <si>
    <t>Colliers International Valuation &amp; Advisory Services</t>
  </si>
  <si>
    <t>Doug Callow</t>
  </si>
  <si>
    <t>530.305.8280</t>
  </si>
  <si>
    <t>doug.callow@colliers.com</t>
  </si>
  <si>
    <t>301 University Ave</t>
  </si>
  <si>
    <t>Sacramento, CA 95825</t>
  </si>
  <si>
    <t>Secured by Fee Interest</t>
  </si>
  <si>
    <t>SB-35 density bonus requires units affordable to households earning up to 80% AMI</t>
  </si>
  <si>
    <t>68 ft. but 120 ft. has been granted</t>
  </si>
  <si>
    <t>Recycled Tax Exempt Bonds</t>
  </si>
  <si>
    <t>Costs Deferred to Conversion</t>
  </si>
  <si>
    <t>325 E Hillcrest Dr, #160</t>
  </si>
  <si>
    <t>Thousand Oaks, CA 91360</t>
  </si>
  <si>
    <t>Michael Hemmens</t>
  </si>
  <si>
    <t>805-557-0933</t>
  </si>
  <si>
    <t>Tax Exempt bonds (new issue)</t>
  </si>
  <si>
    <t>SOFR</t>
  </si>
  <si>
    <t>Tax Exempt bonds (recycled)</t>
  </si>
  <si>
    <t>Taxable construction loan</t>
  </si>
  <si>
    <t>Paul Connolly</t>
  </si>
  <si>
    <t>780 Third Avenue, 16th Floor</t>
  </si>
  <si>
    <t>New York, NY 10017</t>
  </si>
  <si>
    <t>646-576-7660</t>
  </si>
  <si>
    <t>LIHTC Equity</t>
  </si>
  <si>
    <t>Tax Exempt bonds (new issue) perm loan</t>
  </si>
  <si>
    <t>Above residual receipts line for cash flow</t>
  </si>
  <si>
    <t>GP Loan Accrued Interest</t>
  </si>
  <si>
    <t>Downs Pham &amp; Kuei LLP</t>
  </si>
  <si>
    <t>235 Montgomery Street, Suite 1169</t>
  </si>
  <si>
    <t>San Francisco, CA 94104</t>
  </si>
  <si>
    <t>Irene Kuei</t>
  </si>
  <si>
    <t>415.202.6376</t>
  </si>
  <si>
    <t>ikuei@dowspham.com</t>
  </si>
  <si>
    <t>Rubin Brown LLP</t>
  </si>
  <si>
    <t>225 West Wacker Drive, Suite 1700</t>
  </si>
  <si>
    <t>Chicago, IL 60606</t>
  </si>
  <si>
    <t>312.705.1736</t>
  </si>
  <si>
    <t>Janet Manzella</t>
  </si>
  <si>
    <t>janet.manzella@rubinbrown.com</t>
  </si>
  <si>
    <t>BAR Architects</t>
  </si>
  <si>
    <t>77 Geary St, Suite 200</t>
  </si>
  <si>
    <t>San Francisco, CA 94108</t>
  </si>
  <si>
    <t>Mia Bhimani</t>
  </si>
  <si>
    <t>424.999.4581</t>
  </si>
  <si>
    <t>Colliers International</t>
  </si>
  <si>
    <t>sonny.harris@colliers.com</t>
  </si>
  <si>
    <t>Sonny Harris</t>
  </si>
  <si>
    <t>858.860.3848</t>
  </si>
  <si>
    <t>San Diego, CA 92122</t>
  </si>
  <si>
    <t>4350 La Jolla Village Dr, Suite 500</t>
  </si>
  <si>
    <t xml:space="preserve">Two retail shell spaces totaling approximately 6,200 square feet are located on the ground floor. Tenant improvement costs are excluded from basis. Their structural components are required to support the whole building. </t>
  </si>
  <si>
    <t>GP Asset Management Fee Accrual</t>
  </si>
  <si>
    <t>2711 N. Sepulveda Blvd # 526</t>
  </si>
  <si>
    <t>Manhattan Beach</t>
  </si>
  <si>
    <t xml:space="preserve">Manhattan Beach </t>
  </si>
  <si>
    <t>WinnResidential California LP</t>
  </si>
  <si>
    <t>2499 W. Shaw Avenue, Suite 103</t>
  </si>
  <si>
    <t>Fresno, CA 93711</t>
  </si>
  <si>
    <t>Oke Johnson</t>
  </si>
  <si>
    <t>okejohnson@winnco.com</t>
  </si>
  <si>
    <t>559.489.9930</t>
  </si>
  <si>
    <t>R4 Capital - Tax Credit Equity</t>
  </si>
  <si>
    <t>Manhattan Beach, CA 90266</t>
  </si>
  <si>
    <t>Lease Up Income After Completion</t>
  </si>
  <si>
    <t>robertlaing@pswcdc.org</t>
  </si>
  <si>
    <t>Robert Laing</t>
  </si>
  <si>
    <t>GP loan</t>
  </si>
  <si>
    <t>Lease Up Income after Completion</t>
  </si>
  <si>
    <t>Costs Deferral</t>
  </si>
  <si>
    <t>General Partner Loan</t>
  </si>
  <si>
    <t>Variable</t>
  </si>
  <si>
    <t>Citibank Tax-Exempt Permanent Loan</t>
  </si>
  <si>
    <t>Fixed</t>
  </si>
  <si>
    <t>Project has a legal requirement for payment of federal or state prevailing wage on the entire project</t>
  </si>
  <si>
    <t>Public funding source(s) requiring prevailing wage:</t>
  </si>
  <si>
    <t>SB 35 Entitlement Approval</t>
  </si>
  <si>
    <t>info@tbcorp.com</t>
  </si>
  <si>
    <t>N/A Site is controlled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</si>
</sst>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7170">
    <xf numFmtId="0" fontId="0"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2" borderId="0" applyNumberFormat="0" applyBorder="0" applyAlignment="0" applyProtection="0"/>
    <xf numFmtId="0" fontId="84" fillId="32"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6" fillId="36" borderId="18" applyNumberFormat="0" applyAlignment="0" applyProtection="0"/>
    <xf numFmtId="0" fontId="86" fillId="36" borderId="18" applyNumberFormat="0" applyAlignment="0" applyProtection="0"/>
    <xf numFmtId="0" fontId="87" fillId="37" borderId="19" applyNumberFormat="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9" fillId="0" borderId="0" applyFont="0" applyFill="0" applyBorder="0" applyAlignment="0" applyProtection="0"/>
    <xf numFmtId="43" fontId="23" fillId="0" borderId="0" applyFont="0" applyFill="0" applyBorder="0" applyAlignment="0" applyProtection="0"/>
    <xf numFmtId="43"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78"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alignment vertical="top"/>
    </xf>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9"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9" fillId="0" borderId="0" applyFont="0" applyFill="0" applyBorder="0" applyAlignment="0" applyProtection="0"/>
    <xf numFmtId="44" fontId="2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7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4" fillId="0" borderId="0" applyFont="0" applyFill="0" applyBorder="0" applyAlignment="0" applyProtection="0"/>
    <xf numFmtId="44" fontId="23" fillId="0" borderId="0" applyFont="0" applyFill="0" applyBorder="0" applyAlignment="0" applyProtection="0"/>
    <xf numFmtId="0" fontId="88" fillId="0" borderId="0" applyNumberFormat="0" applyFill="0" applyBorder="0" applyAlignment="0" applyProtection="0"/>
    <xf numFmtId="0" fontId="89" fillId="38" borderId="0" applyNumberFormat="0" applyBorder="0" applyAlignment="0" applyProtection="0"/>
    <xf numFmtId="0" fontId="90" fillId="0" borderId="20" applyNumberFormat="0" applyFill="0" applyAlignment="0" applyProtection="0"/>
    <xf numFmtId="0" fontId="90" fillId="0" borderId="20" applyNumberFormat="0" applyFill="0" applyAlignment="0" applyProtection="0"/>
    <xf numFmtId="0" fontId="91" fillId="0" borderId="21" applyNumberFormat="0" applyFill="0" applyAlignment="0" applyProtection="0"/>
    <xf numFmtId="0" fontId="91" fillId="0" borderId="21" applyNumberFormat="0" applyFill="0" applyAlignment="0" applyProtection="0"/>
    <xf numFmtId="0" fontId="92" fillId="0" borderId="22" applyNumberFormat="0" applyFill="0" applyAlignment="0" applyProtection="0"/>
    <xf numFmtId="0" fontId="92" fillId="0" borderId="2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0" fillId="0" borderId="0" applyNumberFormat="0" applyFill="0" applyBorder="0" applyAlignment="0" applyProtection="0">
      <alignment vertical="top"/>
      <protection locked="0"/>
    </xf>
    <xf numFmtId="0" fontId="9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94" fillId="0" borderId="23" applyNumberFormat="0" applyFill="0" applyAlignment="0" applyProtection="0"/>
    <xf numFmtId="0" fontId="95" fillId="40" borderId="0" applyNumberFormat="0" applyBorder="0" applyAlignment="0" applyProtection="0"/>
    <xf numFmtId="0" fontId="96" fillId="0" borderId="0"/>
    <xf numFmtId="0" fontId="59" fillId="0" borderId="0"/>
    <xf numFmtId="0" fontId="96" fillId="0" borderId="0"/>
    <xf numFmtId="0" fontId="59" fillId="0" borderId="0"/>
    <xf numFmtId="0" fontId="59"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7" fillId="0" borderId="0"/>
    <xf numFmtId="0" fontId="59" fillId="0" borderId="0"/>
    <xf numFmtId="169" fontId="60" fillId="0" borderId="0"/>
    <xf numFmtId="0" fontId="83" fillId="0" borderId="0"/>
    <xf numFmtId="0" fontId="23" fillId="0" borderId="0"/>
    <xf numFmtId="0" fontId="23" fillId="0" borderId="0"/>
    <xf numFmtId="0" fontId="65" fillId="0" borderId="0"/>
    <xf numFmtId="0" fontId="59" fillId="0" borderId="0"/>
    <xf numFmtId="0" fontId="65" fillId="0" borderId="0"/>
    <xf numFmtId="0" fontId="59" fillId="0" borderId="0"/>
    <xf numFmtId="0" fontId="71" fillId="0" borderId="0"/>
    <xf numFmtId="0" fontId="59"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1" fillId="0" borderId="0"/>
    <xf numFmtId="0" fontId="83" fillId="0" borderId="0"/>
    <xf numFmtId="0" fontId="83" fillId="0" borderId="0"/>
    <xf numFmtId="0" fontId="83"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83" fillId="0" borderId="0"/>
    <xf numFmtId="0" fontId="83" fillId="0" borderId="0"/>
    <xf numFmtId="0" fontId="83" fillId="0" borderId="0"/>
    <xf numFmtId="0" fontId="83" fillId="0" borderId="0"/>
    <xf numFmtId="0" fontId="71" fillId="0" borderId="0"/>
    <xf numFmtId="0" fontId="59" fillId="0" borderId="0">
      <alignment vertical="top"/>
    </xf>
    <xf numFmtId="0" fontId="83" fillId="0" borderId="0"/>
    <xf numFmtId="0" fontId="83" fillId="0" borderId="0"/>
    <xf numFmtId="0" fontId="83" fillId="0" borderId="0"/>
    <xf numFmtId="0" fontId="83" fillId="0" borderId="0"/>
    <xf numFmtId="0" fontId="71" fillId="0" borderId="0"/>
    <xf numFmtId="0" fontId="23" fillId="0" borderId="0"/>
    <xf numFmtId="0" fontId="83" fillId="0" borderId="0"/>
    <xf numFmtId="0" fontId="23" fillId="0" borderId="0"/>
    <xf numFmtId="0" fontId="83" fillId="0" borderId="0"/>
    <xf numFmtId="0" fontId="83" fillId="0" borderId="0"/>
    <xf numFmtId="0" fontId="83" fillId="0" borderId="0"/>
    <xf numFmtId="0" fontId="83" fillId="0" borderId="0"/>
    <xf numFmtId="0" fontId="65" fillId="0" borderId="0"/>
    <xf numFmtId="0" fontId="59" fillId="0" borderId="0">
      <alignment vertical="top"/>
    </xf>
    <xf numFmtId="0" fontId="65" fillId="0" borderId="0"/>
    <xf numFmtId="0" fontId="59" fillId="0" borderId="0">
      <alignment vertical="top"/>
    </xf>
    <xf numFmtId="0" fontId="59" fillId="0" borderId="0">
      <alignment vertical="top"/>
    </xf>
    <xf numFmtId="0" fontId="83" fillId="0" borderId="0"/>
    <xf numFmtId="0" fontId="65"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59" fillId="0" borderId="0">
      <alignment vertical="top"/>
    </xf>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59" fillId="0" borderId="0">
      <alignment vertical="top"/>
    </xf>
    <xf numFmtId="0" fontId="59" fillId="0" borderId="0">
      <alignment vertical="top"/>
    </xf>
    <xf numFmtId="0" fontId="59" fillId="0" borderId="0"/>
    <xf numFmtId="0" fontId="59" fillId="0" borderId="0">
      <alignment vertical="top"/>
    </xf>
    <xf numFmtId="0" fontId="59" fillId="0" borderId="0"/>
    <xf numFmtId="0" fontId="5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14" fillId="0" borderId="0" applyProtection="0">
      <protection locked="0"/>
    </xf>
    <xf numFmtId="0" fontId="23" fillId="0" borderId="0" applyProtection="0">
      <protection locked="0"/>
    </xf>
    <xf numFmtId="0" fontId="23" fillId="0" borderId="0" applyProtection="0">
      <protection locked="0"/>
    </xf>
    <xf numFmtId="0" fontId="60" fillId="0" borderId="0"/>
    <xf numFmtId="0" fontId="14" fillId="0" borderId="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98" fillId="36" borderId="25" applyNumberFormat="0" applyAlignment="0" applyProtection="0"/>
    <xf numFmtId="0" fontId="98" fillId="36" borderId="25" applyNumberFormat="0" applyAlignment="0" applyProtection="0"/>
    <xf numFmtId="0" fontId="19" fillId="0" borderId="0" applyNumberFormat="0" applyFill="0" applyBorder="0">
      <alignment horizontal="left"/>
    </xf>
    <xf numFmtId="0" fontId="99" fillId="0" borderId="0" applyNumberFormat="0" applyFill="0" applyBorder="0" applyAlignment="0" applyProtection="0"/>
    <xf numFmtId="0" fontId="100" fillId="0" borderId="26" applyNumberFormat="0" applyFill="0" applyAlignment="0" applyProtection="0"/>
    <xf numFmtId="0" fontId="100" fillId="0" borderId="26" applyNumberFormat="0" applyFill="0" applyAlignment="0" applyProtection="0"/>
    <xf numFmtId="0" fontId="10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08"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10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18" fillId="0" borderId="0" applyFont="0" applyFill="0" applyBorder="0" applyAlignment="0" applyProtection="0"/>
    <xf numFmtId="0" fontId="11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5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6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4">
    <xf numFmtId="0" fontId="0" fillId="0" borderId="0" xfId="0"/>
    <xf numFmtId="0" fontId="0" fillId="0" borderId="0" xfId="0" applyAlignment="1">
      <alignment horizontal="center"/>
    </xf>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21" fillId="0" borderId="0" xfId="0" applyFont="1" applyAlignment="1">
      <alignment horizontal="center"/>
    </xf>
    <xf numFmtId="0" fontId="14" fillId="0" borderId="0" xfId="543"/>
    <xf numFmtId="0" fontId="23" fillId="0" borderId="0" xfId="0" applyFont="1" applyAlignment="1">
      <alignment horizontal="left" vertical="top" wrapText="1"/>
    </xf>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horizontal="left" indent="4"/>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0" fontId="34" fillId="0" borderId="0" xfId="543"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33" fillId="0" borderId="0" xfId="0" applyFont="1"/>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3" fillId="0" borderId="0" xfId="0" applyFont="1" applyAlignment="1">
      <alignment horizontal="right"/>
    </xf>
    <xf numFmtId="0" fontId="37" fillId="0" borderId="0" xfId="0" applyFont="1"/>
    <xf numFmtId="0" fontId="23" fillId="0" borderId="0" xfId="0" applyFont="1" applyAlignment="1">
      <alignment horizontal="left"/>
    </xf>
    <xf numFmtId="0" fontId="25" fillId="0" borderId="0" xfId="0" applyFont="1"/>
    <xf numFmtId="0" fontId="27" fillId="0" borderId="0" xfId="0" applyFont="1"/>
    <xf numFmtId="0" fontId="21"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1" fillId="0" borderId="1" xfId="0" applyFont="1" applyBorder="1" applyAlignment="1">
      <alignment horizontal="center" wrapText="1"/>
    </xf>
    <xf numFmtId="0" fontId="21"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1" fillId="0" borderId="4" xfId="0" applyFont="1" applyBorder="1" applyAlignment="1">
      <alignment horizontal="center"/>
    </xf>
    <xf numFmtId="0" fontId="30" fillId="0" borderId="3" xfId="0" applyFont="1" applyBorder="1" applyAlignment="1">
      <alignment horizontal="left"/>
    </xf>
    <xf numFmtId="0" fontId="30" fillId="0" borderId="9" xfId="0" applyFont="1" applyBorder="1" applyAlignment="1">
      <alignment horizontal="left"/>
    </xf>
    <xf numFmtId="0" fontId="21" fillId="0" borderId="4" xfId="0" applyFont="1" applyBorder="1" applyAlignment="1">
      <alignment horizontal="right"/>
    </xf>
    <xf numFmtId="0" fontId="21" fillId="0" borderId="5" xfId="0" applyFont="1" applyBorder="1" applyAlignment="1">
      <alignment horizontal="right"/>
    </xf>
    <xf numFmtId="0" fontId="30" fillId="0" borderId="0" xfId="0" applyFont="1" applyAlignment="1">
      <alignment horizontal="left"/>
    </xf>
    <xf numFmtId="0" fontId="21" fillId="0" borderId="0" xfId="0" applyFont="1" applyAlignment="1">
      <alignment horizontal="right"/>
    </xf>
    <xf numFmtId="0" fontId="21"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11" xfId="0" applyFont="1" applyBorder="1" applyAlignment="1">
      <alignment horizontal="left"/>
    </xf>
    <xf numFmtId="0" fontId="21" fillId="0" borderId="9" xfId="0" applyFont="1" applyBorder="1"/>
    <xf numFmtId="164" fontId="0" fillId="0" borderId="0" xfId="0" applyNumberFormat="1" applyAlignment="1">
      <alignment horizontal="center"/>
    </xf>
    <xf numFmtId="0" fontId="0" fillId="0" borderId="12" xfId="0" applyBorder="1"/>
    <xf numFmtId="0" fontId="23" fillId="0" borderId="3" xfId="0" applyFont="1" applyBorder="1"/>
    <xf numFmtId="0" fontId="23" fillId="0" borderId="0" xfId="543" applyFont="1"/>
    <xf numFmtId="0" fontId="39" fillId="0" borderId="0" xfId="543" applyFont="1"/>
    <xf numFmtId="49" fontId="14" fillId="0" borderId="0" xfId="543" applyNumberFormat="1"/>
    <xf numFmtId="0" fontId="37" fillId="0" borderId="0" xfId="543" applyFont="1"/>
    <xf numFmtId="168" fontId="34" fillId="0" borderId="6" xfId="543" applyNumberFormat="1" applyFont="1" applyBorder="1" applyAlignment="1">
      <alignment horizontal="left"/>
    </xf>
    <xf numFmtId="168" fontId="34" fillId="0" borderId="6" xfId="543" applyNumberFormat="1" applyFont="1" applyBorder="1" applyAlignment="1">
      <alignment horizontal="center"/>
    </xf>
    <xf numFmtId="0" fontId="14" fillId="0" borderId="8" xfId="543" applyBorder="1"/>
    <xf numFmtId="0" fontId="34" fillId="0" borderId="0" xfId="543" applyFont="1" applyAlignment="1">
      <alignment horizontal="center"/>
    </xf>
    <xf numFmtId="0" fontId="33" fillId="0" borderId="9" xfId="543" applyFont="1" applyBorder="1" applyAlignment="1">
      <alignment horizontal="left" vertical="top" wrapText="1"/>
    </xf>
    <xf numFmtId="0" fontId="33" fillId="0" borderId="6" xfId="543" applyFont="1" applyBorder="1" applyAlignment="1">
      <alignment horizontal="center" vertical="top" wrapText="1"/>
    </xf>
    <xf numFmtId="0" fontId="14" fillId="0" borderId="9" xfId="543" applyBorder="1"/>
    <xf numFmtId="0" fontId="14" fillId="0" borderId="10" xfId="543" applyBorder="1"/>
    <xf numFmtId="0" fontId="14" fillId="0" borderId="1" xfId="543" applyBorder="1"/>
    <xf numFmtId="0" fontId="34" fillId="0" borderId="2" xfId="543" applyFont="1" applyBorder="1" applyAlignment="1">
      <alignment horizontal="center"/>
    </xf>
    <xf numFmtId="0" fontId="36" fillId="0" borderId="8" xfId="543" applyFont="1" applyBorder="1" applyAlignment="1">
      <alignment horizontal="left" vertical="top" wrapText="1"/>
    </xf>
    <xf numFmtId="0" fontId="33" fillId="0" borderId="0" xfId="543" applyFont="1" applyAlignment="1">
      <alignment horizontal="center" vertical="top" wrapText="1"/>
    </xf>
    <xf numFmtId="0" fontId="14" fillId="0" borderId="12" xfId="543" applyBorder="1"/>
    <xf numFmtId="0" fontId="36" fillId="0" borderId="0" xfId="543" applyFont="1" applyAlignment="1">
      <alignment horizontal="center" vertical="top" wrapText="1"/>
    </xf>
    <xf numFmtId="0" fontId="36" fillId="0" borderId="9" xfId="543" applyFont="1" applyBorder="1" applyAlignment="1">
      <alignment horizontal="left" vertical="top" wrapText="1"/>
    </xf>
    <xf numFmtId="0" fontId="14" fillId="0" borderId="2" xfId="543" applyBorder="1"/>
    <xf numFmtId="0" fontId="14" fillId="0" borderId="7" xfId="543" applyBorder="1"/>
    <xf numFmtId="0" fontId="33" fillId="0" borderId="0" xfId="543" applyFont="1"/>
    <xf numFmtId="0" fontId="14" fillId="0" borderId="0" xfId="543" applyAlignment="1">
      <alignment horizontal="center"/>
    </xf>
    <xf numFmtId="0" fontId="22" fillId="0" borderId="6" xfId="543" applyFont="1" applyBorder="1" applyAlignment="1">
      <alignment vertical="top" wrapText="1"/>
    </xf>
    <xf numFmtId="0" fontId="23" fillId="0" borderId="0" xfId="0" applyFont="1" applyAlignment="1">
      <alignment horizontal="left" vertical="top"/>
    </xf>
    <xf numFmtId="0" fontId="0" fillId="2" borderId="2" xfId="0" applyFill="1" applyBorder="1"/>
    <xf numFmtId="0" fontId="0" fillId="2" borderId="7" xfId="0" applyFill="1" applyBorder="1"/>
    <xf numFmtId="0" fontId="21" fillId="0" borderId="6" xfId="0" applyFont="1" applyBorder="1" applyAlignment="1">
      <alignment horizontal="right"/>
    </xf>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44"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36" fillId="0" borderId="4" xfId="543" applyFont="1" applyBorder="1" applyAlignment="1">
      <alignment horizontal="right" vertical="top" wrapText="1"/>
    </xf>
    <xf numFmtId="0" fontId="23" fillId="0" borderId="6" xfId="0" applyFont="1" applyBorder="1"/>
    <xf numFmtId="0" fontId="23" fillId="0" borderId="2" xfId="0" applyFont="1" applyBorder="1"/>
    <xf numFmtId="0" fontId="23" fillId="0" borderId="7" xfId="0" applyFont="1" applyBorder="1"/>
    <xf numFmtId="0" fontId="23" fillId="0" borderId="12" xfId="0" applyFont="1" applyBorder="1"/>
    <xf numFmtId="0" fontId="23" fillId="0" borderId="9" xfId="0" applyFont="1" applyBorder="1"/>
    <xf numFmtId="0" fontId="23" fillId="0" borderId="10" xfId="0" applyFont="1"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23" fillId="0" borderId="0" xfId="0" applyFont="1" applyAlignment="1">
      <alignment vertical="top"/>
    </xf>
    <xf numFmtId="0" fontId="23" fillId="0" borderId="0" xfId="0" applyFont="1" applyAlignment="1">
      <alignment vertical="top" wrapText="1"/>
    </xf>
    <xf numFmtId="0" fontId="14" fillId="0" borderId="0" xfId="0" applyFont="1" applyAlignment="1">
      <alignment horizontal="left"/>
    </xf>
    <xf numFmtId="0" fontId="14" fillId="0" borderId="0" xfId="0" applyFont="1" applyAlignment="1">
      <alignment vertical="top"/>
    </xf>
    <xf numFmtId="0" fontId="43" fillId="0" borderId="0" xfId="0" applyFont="1"/>
    <xf numFmtId="0" fontId="14" fillId="0" borderId="3" xfId="0" applyFont="1" applyBorder="1"/>
    <xf numFmtId="0" fontId="14"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6" fillId="0" borderId="0" xfId="0" applyFont="1"/>
    <xf numFmtId="0" fontId="23" fillId="0" borderId="4" xfId="0" applyFont="1" applyBorder="1"/>
    <xf numFmtId="0" fontId="21" fillId="0" borderId="2" xfId="0" applyFont="1" applyBorder="1" applyAlignment="1">
      <alignment horizontal="center"/>
    </xf>
    <xf numFmtId="0" fontId="21" fillId="0" borderId="0" xfId="0" applyFont="1" applyAlignment="1">
      <alignment horizontal="center" vertical="center" wrapText="1"/>
    </xf>
    <xf numFmtId="0" fontId="21" fillId="0" borderId="7" xfId="543" applyFont="1" applyBorder="1" applyAlignment="1">
      <alignment horizontal="right"/>
    </xf>
    <xf numFmtId="0" fontId="22" fillId="0" borderId="9" xfId="543" applyFont="1" applyBorder="1"/>
    <xf numFmtId="0" fontId="23" fillId="0" borderId="6" xfId="543" applyFont="1" applyBorder="1"/>
    <xf numFmtId="0" fontId="22" fillId="0" borderId="6" xfId="543" applyFont="1" applyBorder="1" applyAlignment="1">
      <alignment horizontal="right"/>
    </xf>
    <xf numFmtId="0" fontId="21" fillId="0" borderId="0" xfId="0" applyFont="1" applyAlignment="1">
      <alignment horizontal="center" vertical="center"/>
    </xf>
    <xf numFmtId="0" fontId="23" fillId="0" borderId="0" xfId="0" applyFont="1" applyAlignment="1">
      <alignment horizontal="left" vertical="center"/>
    </xf>
    <xf numFmtId="0" fontId="52" fillId="0" borderId="3" xfId="0" applyFont="1" applyBorder="1" applyAlignment="1">
      <alignment horizontal="left" vertical="top"/>
    </xf>
    <xf numFmtId="0" fontId="52" fillId="0" borderId="13" xfId="0" applyFont="1" applyBorder="1" applyAlignment="1">
      <alignment horizontal="center" wrapText="1"/>
    </xf>
    <xf numFmtId="0" fontId="52" fillId="0" borderId="13" xfId="0" applyFont="1" applyBorder="1" applyAlignment="1">
      <alignment horizontal="center" vertical="top" wrapText="1"/>
    </xf>
    <xf numFmtId="0" fontId="52" fillId="2" borderId="13" xfId="0" applyFont="1" applyFill="1" applyBorder="1" applyAlignment="1">
      <alignment horizontal="center" wrapText="1"/>
    </xf>
    <xf numFmtId="0" fontId="53" fillId="2" borderId="11" xfId="0" applyFont="1" applyFill="1" applyBorder="1" applyAlignment="1">
      <alignment horizontal="left" vertical="top" wrapText="1"/>
    </xf>
    <xf numFmtId="0" fontId="54" fillId="4" borderId="11" xfId="0"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4" fillId="5" borderId="11" xfId="0" applyNumberFormat="1" applyFont="1" applyFill="1" applyBorder="1" applyAlignment="1" applyProtection="1">
      <alignment vertical="top" wrapText="1"/>
      <protection locked="0"/>
    </xf>
    <xf numFmtId="168" fontId="54" fillId="6" borderId="11" xfId="0" applyNumberFormat="1" applyFont="1" applyFill="1" applyBorder="1" applyAlignment="1">
      <alignment horizontal="center" vertical="top" wrapText="1"/>
    </xf>
    <xf numFmtId="0" fontId="52" fillId="0" borderId="11" xfId="0" applyFont="1" applyBorder="1" applyAlignment="1">
      <alignment horizontal="right" vertical="top" wrapText="1"/>
    </xf>
    <xf numFmtId="168" fontId="52"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52" fillId="2" borderId="11" xfId="0" applyFont="1" applyFill="1" applyBorder="1" applyAlignment="1">
      <alignment vertical="top" wrapText="1"/>
    </xf>
    <xf numFmtId="0" fontId="52" fillId="0" borderId="11" xfId="0" applyFont="1" applyBorder="1" applyAlignment="1">
      <alignment vertical="top" wrapText="1"/>
    </xf>
    <xf numFmtId="0" fontId="17" fillId="0" borderId="11" xfId="0" applyFont="1" applyBorder="1" applyAlignment="1">
      <alignment horizontal="right" vertical="top" wrapText="1"/>
    </xf>
    <xf numFmtId="0" fontId="54" fillId="0" borderId="11" xfId="0" applyFont="1" applyBorder="1" applyAlignment="1" applyProtection="1">
      <alignment horizontal="right" vertical="top" wrapText="1"/>
      <protection locked="0"/>
    </xf>
    <xf numFmtId="0" fontId="52" fillId="0" borderId="0" xfId="0" applyFont="1" applyAlignment="1">
      <alignment horizontal="left" vertical="top"/>
    </xf>
    <xf numFmtId="0" fontId="54" fillId="0" borderId="0" xfId="0" applyFont="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52" fillId="0" borderId="0" xfId="0" applyFont="1" applyAlignment="1">
      <alignment horizontal="right" vertical="top"/>
    </xf>
    <xf numFmtId="0" fontId="54" fillId="2" borderId="0" xfId="0" applyFont="1" applyFill="1" applyAlignment="1">
      <alignment vertical="top" wrapText="1"/>
    </xf>
    <xf numFmtId="0" fontId="52" fillId="0" borderId="0" xfId="0" applyFont="1" applyAlignment="1">
      <alignment vertical="top"/>
    </xf>
    <xf numFmtId="166" fontId="23" fillId="0" borderId="0" xfId="0" applyNumberFormat="1" applyFont="1" applyAlignment="1">
      <alignment horizontal="left"/>
    </xf>
    <xf numFmtId="0" fontId="55" fillId="0" borderId="0" xfId="0" applyFont="1"/>
    <xf numFmtId="0" fontId="14" fillId="0" borderId="0" xfId="244" applyFont="1" applyFill="1" applyBorder="1" applyAlignment="1" applyProtection="1">
      <alignment horizontal="left"/>
    </xf>
    <xf numFmtId="0" fontId="45" fillId="0" borderId="0" xfId="0" applyFont="1"/>
    <xf numFmtId="0" fontId="45"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4" fillId="0" borderId="0" xfId="0" applyFont="1"/>
    <xf numFmtId="0" fontId="57" fillId="0" borderId="0" xfId="0" applyFont="1"/>
    <xf numFmtId="0" fontId="32" fillId="0" borderId="0" xfId="0" applyFont="1" applyAlignment="1">
      <alignment horizontal="center"/>
    </xf>
    <xf numFmtId="0" fontId="32" fillId="0" borderId="0" xfId="0" applyFont="1"/>
    <xf numFmtId="0" fontId="32" fillId="0" borderId="0" xfId="0" applyFont="1" applyAlignment="1">
      <alignment horizontal="left"/>
    </xf>
    <xf numFmtId="49" fontId="21" fillId="0" borderId="0" xfId="0" applyNumberFormat="1" applyFont="1" applyAlignment="1">
      <alignment horizontal="center"/>
    </xf>
    <xf numFmtId="0" fontId="49" fillId="0" borderId="0" xfId="0" applyFont="1" applyAlignment="1">
      <alignment horizontal="center"/>
    </xf>
    <xf numFmtId="0" fontId="48" fillId="0" borderId="0" xfId="244" applyFont="1" applyAlignment="1" applyProtection="1">
      <alignment horizontal="center"/>
    </xf>
    <xf numFmtId="0" fontId="23" fillId="0" borderId="0" xfId="0" quotePrefix="1" applyFont="1" applyAlignment="1">
      <alignment horizontal="left"/>
    </xf>
    <xf numFmtId="49" fontId="23" fillId="0" borderId="0" xfId="0" applyNumberFormat="1" applyFont="1" applyAlignment="1">
      <alignment horizontal="center"/>
    </xf>
    <xf numFmtId="0" fontId="21" fillId="0" borderId="0" xfId="0" quotePrefix="1" applyFont="1" applyAlignment="1">
      <alignment horizontal="center"/>
    </xf>
    <xf numFmtId="49" fontId="0" fillId="0" borderId="0" xfId="0" applyNumberFormat="1"/>
    <xf numFmtId="0" fontId="46" fillId="0" borderId="0" xfId="0" applyFont="1" applyAlignment="1">
      <alignment horizontal="left"/>
    </xf>
    <xf numFmtId="49" fontId="23" fillId="0" borderId="0" xfId="0" applyNumberFormat="1" applyFont="1"/>
    <xf numFmtId="49" fontId="21" fillId="0" borderId="0" xfId="0" applyNumberFormat="1" applyFont="1" applyAlignment="1">
      <alignment horizontal="left"/>
    </xf>
    <xf numFmtId="168" fontId="23" fillId="0" borderId="0" xfId="0" applyNumberFormat="1" applyFont="1" applyAlignment="1">
      <alignment horizontal="center"/>
    </xf>
    <xf numFmtId="168" fontId="33" fillId="0" borderId="0" xfId="0" applyNumberFormat="1" applyFont="1" applyAlignment="1">
      <alignment horizontal="left" vertical="top" wrapText="1"/>
    </xf>
    <xf numFmtId="0" fontId="51" fillId="0" borderId="3" xfId="0" applyFont="1" applyBorder="1"/>
    <xf numFmtId="168" fontId="0" fillId="0" borderId="0" xfId="0" applyNumberFormat="1" applyAlignment="1">
      <alignment horizontal="center"/>
    </xf>
    <xf numFmtId="0" fontId="34" fillId="0" borderId="0" xfId="0" applyFont="1" applyAlignment="1">
      <alignment vertical="top" wrapText="1"/>
    </xf>
    <xf numFmtId="0" fontId="52" fillId="0" borderId="4" xfId="0" applyFont="1" applyBorder="1" applyAlignment="1">
      <alignment horizontal="right"/>
    </xf>
    <xf numFmtId="0" fontId="59" fillId="0" borderId="0" xfId="0" applyFont="1"/>
    <xf numFmtId="3" fontId="23" fillId="0" borderId="0" xfId="0" applyNumberFormat="1" applyFont="1" applyAlignment="1">
      <alignment horizontal="center"/>
    </xf>
    <xf numFmtId="168" fontId="14" fillId="0" borderId="0" xfId="0" applyNumberFormat="1" applyFont="1" applyAlignment="1">
      <alignment horizontal="left" vertical="top"/>
    </xf>
    <xf numFmtId="168" fontId="23" fillId="0" borderId="0" xfId="0" applyNumberFormat="1"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0" fillId="0" borderId="0" xfId="0" applyAlignment="1">
      <alignment vertical="center"/>
    </xf>
    <xf numFmtId="0" fontId="54" fillId="0" borderId="11" xfId="0" applyFont="1" applyBorder="1" applyAlignment="1">
      <alignment horizontal="right" vertical="top"/>
    </xf>
    <xf numFmtId="0" fontId="54" fillId="0" borderId="0" xfId="0" applyFont="1" applyAlignment="1">
      <alignment horizontal="right" vertical="top" wrapText="1"/>
    </xf>
    <xf numFmtId="0" fontId="54" fillId="2" borderId="12" xfId="0" applyFont="1" applyFill="1" applyBorder="1" applyAlignment="1">
      <alignment vertical="top" wrapText="1"/>
    </xf>
    <xf numFmtId="0" fontId="54" fillId="0" borderId="14" xfId="0" applyFont="1" applyBorder="1" applyAlignment="1">
      <alignment vertical="top" wrapText="1"/>
    </xf>
    <xf numFmtId="168" fontId="54" fillId="5" borderId="11" xfId="0" applyNumberFormat="1" applyFont="1" applyFill="1" applyBorder="1" applyAlignment="1" applyProtection="1">
      <alignment vertical="top"/>
      <protection locked="0"/>
    </xf>
    <xf numFmtId="0" fontId="54" fillId="2" borderId="11" xfId="0" applyFont="1" applyFill="1" applyBorder="1" applyAlignment="1" applyProtection="1">
      <alignment vertical="top"/>
      <protection locked="0"/>
    </xf>
    <xf numFmtId="0" fontId="54" fillId="0" borderId="11" xfId="0" applyFont="1" applyBorder="1" applyAlignment="1" applyProtection="1">
      <alignment vertical="top"/>
      <protection locked="0"/>
    </xf>
    <xf numFmtId="168" fontId="54" fillId="0" borderId="11" xfId="0" applyNumberFormat="1" applyFont="1" applyBorder="1" applyAlignment="1">
      <alignment vertical="top"/>
    </xf>
    <xf numFmtId="168" fontId="54" fillId="6" borderId="11" xfId="0" applyNumberFormat="1" applyFont="1" applyFill="1" applyBorder="1" applyAlignment="1">
      <alignment horizontal="center" vertical="top"/>
    </xf>
    <xf numFmtId="0" fontId="21" fillId="0" borderId="0" xfId="542" applyFont="1" applyProtection="1">
      <protection locked="0"/>
    </xf>
    <xf numFmtId="0" fontId="14" fillId="0" borderId="0" xfId="539" applyProtection="1"/>
    <xf numFmtId="0" fontId="34" fillId="8" borderId="0" xfId="539" applyFont="1" applyFill="1" applyAlignment="1" applyProtection="1">
      <alignment horizontal="centerContinuous"/>
    </xf>
    <xf numFmtId="4" fontId="23" fillId="0" borderId="0" xfId="0" applyNumberFormat="1" applyFont="1"/>
    <xf numFmtId="0" fontId="21" fillId="0" borderId="0" xfId="543" applyFont="1"/>
    <xf numFmtId="0" fontId="23" fillId="0" borderId="0" xfId="543" applyFont="1" applyAlignment="1">
      <alignment horizontal="left"/>
    </xf>
    <xf numFmtId="0" fontId="23" fillId="0" borderId="15" xfId="0" applyFont="1" applyBorder="1"/>
    <xf numFmtId="0" fontId="23" fillId="0" borderId="11" xfId="0" applyFont="1" applyBorder="1"/>
    <xf numFmtId="2" fontId="37" fillId="0" borderId="11" xfId="0" applyNumberFormat="1" applyFont="1" applyBorder="1"/>
    <xf numFmtId="0" fontId="14" fillId="0" borderId="0" xfId="0" applyFont="1" applyProtection="1">
      <protection locked="0"/>
    </xf>
    <xf numFmtId="0" fontId="62"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36" fillId="0" borderId="0" xfId="543" applyFont="1" applyAlignment="1">
      <alignment horizontal="right" vertical="top" wrapText="1"/>
    </xf>
    <xf numFmtId="0" fontId="34" fillId="0" borderId="2" xfId="543" applyFont="1" applyBorder="1" applyAlignment="1">
      <alignment horizontal="right" vertical="top" wrapText="1"/>
    </xf>
    <xf numFmtId="0" fontId="19" fillId="0" borderId="0" xfId="0" applyFont="1"/>
    <xf numFmtId="0" fontId="64" fillId="0" borderId="0" xfId="0" applyFont="1"/>
    <xf numFmtId="0" fontId="62" fillId="0" borderId="0" xfId="0" applyFont="1"/>
    <xf numFmtId="0" fontId="34"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63" fillId="0" borderId="0" xfId="0" applyFont="1"/>
    <xf numFmtId="168" fontId="19" fillId="0" borderId="0" xfId="0" applyNumberFormat="1" applyFont="1"/>
    <xf numFmtId="10" fontId="19" fillId="0" borderId="0" xfId="0" applyNumberFormat="1" applyFont="1" applyAlignment="1">
      <alignment horizontal="center"/>
    </xf>
    <xf numFmtId="3" fontId="66" fillId="0" borderId="0" xfId="0" applyNumberFormat="1" applyFont="1"/>
    <xf numFmtId="3" fontId="19" fillId="0" borderId="0" xfId="0" applyNumberFormat="1" applyFont="1"/>
    <xf numFmtId="168" fontId="63" fillId="0" borderId="0" xfId="0" applyNumberFormat="1" applyFont="1"/>
    <xf numFmtId="168" fontId="63"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10" fontId="23" fillId="0" borderId="0" xfId="0" applyNumberFormat="1" applyFont="1" applyAlignment="1">
      <alignment horizontal="center"/>
    </xf>
    <xf numFmtId="3" fontId="23" fillId="0" borderId="0" xfId="0" applyNumberFormat="1" applyFont="1" applyAlignment="1">
      <alignment vertical="top"/>
    </xf>
    <xf numFmtId="10" fontId="21" fillId="0" borderId="0" xfId="0" applyNumberFormat="1" applyFont="1" applyAlignment="1">
      <alignment horizontal="center"/>
    </xf>
    <xf numFmtId="0" fontId="62" fillId="0" borderId="6" xfId="0" applyFont="1" applyBorder="1" applyAlignment="1">
      <alignment horizontal="center"/>
    </xf>
    <xf numFmtId="172" fontId="23" fillId="0" borderId="0" xfId="0" applyNumberFormat="1" applyFont="1" applyAlignment="1">
      <alignment horizontal="center"/>
    </xf>
    <xf numFmtId="10" fontId="67" fillId="0" borderId="0" xfId="0" applyNumberFormat="1" applyFont="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9" borderId="6" xfId="0" applyFont="1" applyFill="1" applyBorder="1"/>
    <xf numFmtId="0" fontId="23" fillId="0" borderId="4" xfId="271" applyBorder="1"/>
    <xf numFmtId="0" fontId="23" fillId="0" borderId="6" xfId="271" applyBorder="1"/>
    <xf numFmtId="0" fontId="23" fillId="0" borderId="1" xfId="0" applyFont="1" applyBorder="1"/>
    <xf numFmtId="168" fontId="23" fillId="0" borderId="3" xfId="0" applyNumberFormat="1" applyFont="1" applyBorder="1" applyAlignment="1">
      <alignment vertical="top"/>
    </xf>
    <xf numFmtId="168" fontId="23" fillId="0" borderId="4" xfId="0" applyNumberFormat="1" applyFont="1" applyBorder="1" applyAlignment="1">
      <alignment vertical="top"/>
    </xf>
    <xf numFmtId="168" fontId="23" fillId="0" borderId="5" xfId="0" applyNumberFormat="1" applyFont="1" applyBorder="1" applyAlignment="1">
      <alignment vertical="top"/>
    </xf>
    <xf numFmtId="168" fontId="23" fillId="0" borderId="8" xfId="0" applyNumberFormat="1" applyFont="1" applyBorder="1" applyAlignment="1">
      <alignment vertical="top"/>
    </xf>
    <xf numFmtId="168" fontId="23" fillId="0" borderId="0" xfId="0" applyNumberFormat="1" applyFont="1" applyAlignment="1">
      <alignment vertical="top"/>
    </xf>
    <xf numFmtId="0" fontId="23" fillId="0" borderId="0" xfId="0" applyFont="1" applyAlignment="1">
      <alignment horizontal="right" vertical="top"/>
    </xf>
    <xf numFmtId="0" fontId="23"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5" borderId="4" xfId="0" applyFont="1" applyFill="1" applyBorder="1" applyAlignment="1" applyProtection="1">
      <alignment horizontal="left" vertical="top"/>
      <protection locked="0"/>
    </xf>
    <xf numFmtId="0" fontId="23" fillId="5" borderId="5" xfId="0" applyFont="1" applyFill="1" applyBorder="1" applyAlignment="1" applyProtection="1">
      <alignment horizontal="left" vertical="top"/>
      <protection locked="0"/>
    </xf>
    <xf numFmtId="4" fontId="49" fillId="0" borderId="0" xfId="0" applyNumberFormat="1" applyFont="1" applyAlignment="1">
      <alignment horizontal="center"/>
    </xf>
    <xf numFmtId="4" fontId="23" fillId="0" borderId="0" xfId="0" applyNumberFormat="1" applyFont="1" applyAlignment="1">
      <alignment horizontal="center"/>
    </xf>
    <xf numFmtId="4" fontId="0" fillId="0" borderId="0" xfId="0" applyNumberFormat="1"/>
    <xf numFmtId="0" fontId="33" fillId="0" borderId="1" xfId="543" applyFont="1" applyBorder="1" applyAlignment="1">
      <alignment horizontal="left" vertical="top" wrapText="1"/>
    </xf>
    <xf numFmtId="0" fontId="33" fillId="0" borderId="12" xfId="543" applyFont="1" applyBorder="1" applyAlignment="1">
      <alignment horizontal="center" vertical="top" wrapText="1"/>
    </xf>
    <xf numFmtId="0" fontId="33" fillId="0" borderId="8" xfId="543" applyFont="1" applyBorder="1" applyAlignment="1">
      <alignment horizontal="left" vertical="top" wrapText="1"/>
    </xf>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6"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6" fillId="2" borderId="11" xfId="271" applyFont="1" applyFill="1" applyBorder="1" applyAlignment="1" applyProtection="1">
      <alignment horizontal="left" vertical="top" wrapText="1"/>
      <protection locked="0"/>
    </xf>
    <xf numFmtId="0" fontId="51" fillId="0" borderId="11" xfId="0" applyFont="1" applyBorder="1" applyAlignment="1">
      <alignment horizontal="right" vertical="top" wrapText="1"/>
    </xf>
    <xf numFmtId="0" fontId="60" fillId="0" borderId="0" xfId="542"/>
    <xf numFmtId="0" fontId="23" fillId="8" borderId="0" xfId="542" quotePrefix="1" applyFont="1" applyFill="1" applyAlignment="1">
      <alignment horizontal="left"/>
    </xf>
    <xf numFmtId="0" fontId="23" fillId="8" borderId="0" xfId="542" applyFont="1" applyFill="1"/>
    <xf numFmtId="0" fontId="31" fillId="8" borderId="0" xfId="542" applyFont="1" applyFill="1"/>
    <xf numFmtId="0" fontId="51" fillId="0" borderId="11" xfId="271" applyFont="1" applyBorder="1" applyAlignment="1">
      <alignment horizontal="right" vertical="top"/>
    </xf>
    <xf numFmtId="0" fontId="51"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5" fontId="23" fillId="0" borderId="0" xfId="542" applyNumberFormat="1" applyFont="1"/>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3" fontId="54" fillId="0" borderId="11" xfId="0" applyNumberFormat="1" applyFont="1" applyBorder="1" applyAlignment="1">
      <alignment vertical="top" wrapText="1"/>
    </xf>
    <xf numFmtId="166" fontId="23" fillId="0" borderId="0" xfId="0" applyNumberFormat="1" applyFont="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21" fillId="0" borderId="0" xfId="0" applyFont="1" applyAlignment="1">
      <alignment horizontal="left" vertical="top"/>
    </xf>
    <xf numFmtId="0" fontId="72" fillId="0" borderId="0" xfId="0" applyFont="1" applyAlignment="1">
      <alignment vertical="center" wrapText="1"/>
    </xf>
    <xf numFmtId="0" fontId="72" fillId="0" borderId="0" xfId="0" applyFont="1" applyAlignment="1">
      <alignment vertical="center"/>
    </xf>
    <xf numFmtId="0" fontId="72" fillId="0" borderId="0" xfId="0" applyFont="1" applyAlignment="1">
      <alignment horizontal="left" vertical="center" indent="1"/>
    </xf>
    <xf numFmtId="172" fontId="23" fillId="5" borderId="0" xfId="0" applyNumberFormat="1" applyFont="1" applyFill="1" applyAlignment="1">
      <alignment horizontal="center"/>
    </xf>
    <xf numFmtId="0" fontId="23" fillId="0" borderId="0" xfId="271" applyAlignment="1" applyProtection="1">
      <alignment horizontal="left"/>
      <protection locked="0"/>
    </xf>
    <xf numFmtId="0" fontId="23" fillId="0" borderId="0" xfId="0" applyFont="1" applyAlignment="1" applyProtection="1">
      <alignment horizontal="left"/>
      <protection locked="0"/>
    </xf>
    <xf numFmtId="0" fontId="73" fillId="0" borderId="0" xfId="0" applyFont="1" applyAlignment="1">
      <alignment horizontal="left" vertical="center"/>
    </xf>
    <xf numFmtId="0" fontId="33" fillId="0" borderId="2" xfId="543" applyFont="1" applyBorder="1" applyAlignment="1">
      <alignment horizontal="center" vertical="top" wrapText="1"/>
    </xf>
    <xf numFmtId="49" fontId="44" fillId="0" borderId="0" xfId="0" applyNumberFormat="1" applyFont="1" applyAlignment="1">
      <alignment horizontal="center"/>
    </xf>
    <xf numFmtId="0" fontId="49" fillId="0" borderId="0" xfId="271" applyFont="1" applyAlignment="1">
      <alignment horizontal="center"/>
    </xf>
    <xf numFmtId="49" fontId="23" fillId="0" borderId="0" xfId="271" applyNumberFormat="1" applyAlignment="1">
      <alignment horizontal="center"/>
    </xf>
    <xf numFmtId="0" fontId="51" fillId="0" borderId="0" xfId="0" applyFont="1"/>
    <xf numFmtId="5" fontId="77" fillId="0" borderId="11" xfId="541" applyNumberFormat="1" applyFont="1" applyBorder="1" applyAlignment="1" applyProtection="1">
      <alignment horizontal="center"/>
    </xf>
    <xf numFmtId="5" fontId="77" fillId="42" borderId="11" xfId="541" applyNumberFormat="1" applyFont="1" applyFill="1" applyBorder="1" applyAlignment="1" applyProtection="1">
      <alignment horizontal="center"/>
    </xf>
    <xf numFmtId="5" fontId="77" fillId="2" borderId="11" xfId="541" applyNumberFormat="1" applyFont="1" applyFill="1" applyBorder="1" applyAlignment="1" applyProtection="1">
      <alignment horizontal="center"/>
    </xf>
    <xf numFmtId="0" fontId="51" fillId="0" borderId="0" xfId="0" applyFont="1" applyAlignment="1">
      <alignment vertical="top" wrapText="1"/>
    </xf>
    <xf numFmtId="0" fontId="51" fillId="0" borderId="0" xfId="0" applyFont="1" applyAlignment="1">
      <alignment vertical="top"/>
    </xf>
    <xf numFmtId="0" fontId="51" fillId="2" borderId="0" xfId="0" applyFont="1" applyFill="1" applyAlignment="1">
      <alignment vertical="top" wrapText="1"/>
    </xf>
    <xf numFmtId="0" fontId="79" fillId="0" borderId="13" xfId="0" applyFont="1" applyBorder="1" applyAlignment="1">
      <alignment vertical="top" wrapText="1"/>
    </xf>
    <xf numFmtId="0" fontId="28" fillId="0" borderId="0" xfId="0" applyFont="1" applyAlignment="1">
      <alignment vertical="top" wrapText="1"/>
    </xf>
    <xf numFmtId="0" fontId="79" fillId="2" borderId="13" xfId="0" applyFont="1" applyFill="1" applyBorder="1" applyAlignment="1">
      <alignment vertical="top" wrapText="1"/>
    </xf>
    <xf numFmtId="0" fontId="79" fillId="0" borderId="0" xfId="0" applyFont="1" applyAlignment="1">
      <alignment vertical="top" wrapText="1"/>
    </xf>
    <xf numFmtId="0" fontId="79" fillId="2" borderId="0" xfId="0" applyFont="1" applyFill="1" applyAlignment="1">
      <alignment vertical="top" wrapText="1"/>
    </xf>
    <xf numFmtId="0" fontId="51" fillId="0" borderId="0" xfId="0" applyFont="1" applyAlignment="1">
      <alignment horizontal="right" vertical="top" wrapText="1"/>
    </xf>
    <xf numFmtId="168" fontId="51" fillId="5" borderId="6" xfId="0" applyNumberFormat="1" applyFont="1" applyFill="1" applyBorder="1" applyAlignment="1" applyProtection="1">
      <alignment horizontal="right" vertical="top" wrapText="1"/>
      <protection locked="0"/>
    </xf>
    <xf numFmtId="168" fontId="51" fillId="0" borderId="6" xfId="0" applyNumberFormat="1" applyFont="1" applyBorder="1" applyAlignment="1">
      <alignment horizontal="right" vertical="top" wrapText="1"/>
    </xf>
    <xf numFmtId="0" fontId="21" fillId="0" borderId="0" xfId="0" applyFont="1" applyAlignment="1">
      <alignment horizontal="left" vertical="top" wrapText="1"/>
    </xf>
    <xf numFmtId="0" fontId="23" fillId="0" borderId="0" xfId="0" applyFont="1" applyAlignment="1">
      <alignment horizontal="right" vertical="top" wrapText="1"/>
    </xf>
    <xf numFmtId="10" fontId="23" fillId="5" borderId="6" xfId="0" applyNumberFormat="1" applyFont="1" applyFill="1" applyBorder="1" applyAlignment="1" applyProtection="1">
      <alignment horizontal="center" vertical="top" wrapText="1"/>
      <protection locked="0"/>
    </xf>
    <xf numFmtId="0" fontId="62"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0" fontId="15" fillId="0" borderId="0" xfId="244" quotePrefix="1" applyAlignment="1" applyProtection="1">
      <alignment horizontal="left"/>
    </xf>
    <xf numFmtId="168" fontId="51" fillId="0" borderId="11" xfId="0" applyNumberFormat="1" applyFont="1" applyBorder="1" applyAlignment="1">
      <alignment vertical="top" wrapText="1"/>
    </xf>
    <xf numFmtId="168" fontId="51" fillId="4" borderId="11" xfId="0" applyNumberFormat="1" applyFont="1" applyFill="1" applyBorder="1" applyAlignment="1">
      <alignment vertical="top" wrapText="1"/>
    </xf>
    <xf numFmtId="0" fontId="103" fillId="0" borderId="0" xfId="0" applyFont="1" applyAlignment="1">
      <alignment horizontal="left" vertical="top"/>
    </xf>
    <xf numFmtId="0" fontId="104" fillId="0" borderId="0" xfId="0" applyFont="1" applyAlignment="1">
      <alignment horizontal="left" vertical="top"/>
    </xf>
    <xf numFmtId="0" fontId="7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61" fillId="8" borderId="11" xfId="542" applyFont="1" applyFill="1" applyBorder="1" applyAlignment="1">
      <alignment horizontal="left"/>
    </xf>
    <xf numFmtId="0" fontId="61"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14" fillId="0" borderId="0" xfId="0" applyFont="1" applyAlignment="1">
      <alignment horizontal="center"/>
    </xf>
    <xf numFmtId="0" fontId="28" fillId="0" borderId="8" xfId="569" applyFont="1" applyBorder="1" applyAlignment="1">
      <alignment vertical="top" wrapText="1"/>
    </xf>
    <xf numFmtId="0" fontId="28" fillId="0" borderId="0" xfId="569" applyFont="1" applyAlignment="1">
      <alignment vertical="top" wrapText="1"/>
    </xf>
    <xf numFmtId="0" fontId="53" fillId="2" borderId="11" xfId="569" applyFont="1" applyFill="1" applyBorder="1" applyAlignment="1">
      <alignment horizontal="left" vertical="top" wrapText="1"/>
    </xf>
    <xf numFmtId="6" fontId="51" fillId="4" borderId="11" xfId="569" applyNumberFormat="1" applyFont="1" applyFill="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6" fontId="51" fillId="0" borderId="11" xfId="569" applyNumberFormat="1" applyFont="1" applyBorder="1" applyAlignment="1">
      <alignment vertical="top" wrapText="1"/>
    </xf>
    <xf numFmtId="6" fontId="51" fillId="5" borderId="11" xfId="569" applyNumberFormat="1" applyFont="1" applyFill="1" applyBorder="1" applyAlignment="1" applyProtection="1">
      <alignment vertical="top" wrapText="1"/>
      <protection locked="0"/>
    </xf>
    <xf numFmtId="6" fontId="51" fillId="6" borderId="11" xfId="569" applyNumberFormat="1" applyFont="1" applyFill="1" applyBorder="1" applyAlignment="1">
      <alignment horizontal="center" vertical="top" wrapText="1"/>
    </xf>
    <xf numFmtId="0" fontId="51" fillId="0" borderId="11" xfId="569" applyFont="1" applyBorder="1" applyAlignment="1">
      <alignment horizontal="right" vertical="top" wrapText="1"/>
    </xf>
    <xf numFmtId="0" fontId="52" fillId="0" borderId="11" xfId="569" applyFont="1" applyBorder="1" applyAlignment="1">
      <alignment horizontal="right" vertical="top" wrapText="1"/>
    </xf>
    <xf numFmtId="0" fontId="51" fillId="0" borderId="11" xfId="569" applyFont="1" applyBorder="1" applyAlignment="1">
      <alignment horizontal="right" vertical="top"/>
    </xf>
    <xf numFmtId="6" fontId="52" fillId="0" borderId="11" xfId="569" applyNumberFormat="1" applyFont="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0" fontId="17" fillId="0" borderId="11" xfId="569" applyFont="1" applyBorder="1" applyAlignment="1">
      <alignment horizontal="right" vertical="top" wrapText="1"/>
    </xf>
    <xf numFmtId="0" fontId="52" fillId="0" borderId="0" xfId="569" applyFont="1" applyAlignment="1">
      <alignment horizontal="left" vertical="top"/>
    </xf>
    <xf numFmtId="6" fontId="51" fillId="0" borderId="0" xfId="569" applyNumberFormat="1" applyFont="1" applyAlignment="1">
      <alignment horizontal="left" vertical="top"/>
    </xf>
    <xf numFmtId="0" fontId="104" fillId="0" borderId="0" xfId="569" applyFont="1" applyAlignment="1">
      <alignment horizontal="left" vertical="top"/>
    </xf>
    <xf numFmtId="6" fontId="51" fillId="0" borderId="0" xfId="569" applyNumberFormat="1" applyFont="1" applyAlignment="1">
      <alignment vertical="top" wrapText="1"/>
    </xf>
    <xf numFmtId="0" fontId="51" fillId="0" borderId="0" xfId="569" applyFont="1" applyAlignment="1">
      <alignment horizontal="left" vertical="top"/>
    </xf>
    <xf numFmtId="0" fontId="51" fillId="0" borderId="12" xfId="569" applyFont="1" applyBorder="1" applyAlignment="1">
      <alignment vertical="top" wrapText="1"/>
    </xf>
    <xf numFmtId="0" fontId="21" fillId="0" borderId="0" xfId="569" applyFont="1" applyAlignment="1">
      <alignment horizontal="left" vertical="top"/>
    </xf>
    <xf numFmtId="0" fontId="107" fillId="0" borderId="0" xfId="569" applyFont="1" applyAlignment="1">
      <alignment horizontal="left" vertical="top"/>
    </xf>
    <xf numFmtId="0" fontId="62"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51" fillId="0" borderId="0" xfId="569" applyFont="1" applyAlignment="1">
      <alignment vertical="top"/>
    </xf>
    <xf numFmtId="168" fontId="51" fillId="0" borderId="0" xfId="569" applyNumberFormat="1" applyFont="1" applyAlignment="1" applyProtection="1">
      <alignment horizontal="right" vertical="top" wrapText="1"/>
      <protection locked="0"/>
    </xf>
    <xf numFmtId="0" fontId="14" fillId="0" borderId="0" xfId="569" applyAlignment="1">
      <alignment vertical="top" wrapText="1"/>
    </xf>
    <xf numFmtId="0" fontId="14" fillId="0" borderId="0" xfId="569" applyAlignment="1">
      <alignment vertical="top"/>
    </xf>
    <xf numFmtId="0" fontId="51" fillId="0" borderId="0" xfId="569" applyFont="1" applyAlignment="1">
      <alignment horizontal="right" vertical="top" wrapText="1"/>
    </xf>
    <xf numFmtId="0" fontId="21" fillId="0" borderId="0" xfId="569" applyFont="1" applyAlignment="1">
      <alignment horizontal="left" vertical="top" wrapText="1"/>
    </xf>
    <xf numFmtId="168" fontId="51"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14" fillId="0" borderId="0" xfId="569" applyAlignment="1">
      <alignment horizontal="right" vertical="top" wrapText="1"/>
    </xf>
    <xf numFmtId="0" fontId="14" fillId="0" borderId="0" xfId="569" applyAlignment="1">
      <alignment horizontal="left" vertical="top"/>
    </xf>
    <xf numFmtId="0" fontId="79" fillId="0" borderId="0" xfId="569" applyFont="1" applyAlignment="1">
      <alignment vertical="top" wrapText="1"/>
    </xf>
    <xf numFmtId="0" fontId="79" fillId="0" borderId="12" xfId="569" applyFont="1" applyBorder="1" applyAlignment="1">
      <alignment vertical="top" wrapText="1"/>
    </xf>
    <xf numFmtId="0" fontId="79" fillId="0" borderId="8" xfId="569" applyFont="1" applyBorder="1" applyAlignment="1">
      <alignment vertical="top" wrapText="1"/>
    </xf>
    <xf numFmtId="0" fontId="28" fillId="0" borderId="0" xfId="569" applyFont="1" applyAlignment="1">
      <alignment horizontal="right" vertical="top" wrapText="1"/>
    </xf>
    <xf numFmtId="0" fontId="79" fillId="0" borderId="0" xfId="569" applyFont="1" applyAlignment="1">
      <alignment horizontal="right" vertical="top" wrapText="1"/>
    </xf>
    <xf numFmtId="0" fontId="52" fillId="0" borderId="3" xfId="569" applyFont="1" applyBorder="1" applyAlignment="1">
      <alignment horizontal="left"/>
    </xf>
    <xf numFmtId="0" fontId="52" fillId="0" borderId="13" xfId="569" applyFont="1" applyBorder="1" applyAlignment="1">
      <alignment horizontal="center" wrapText="1"/>
    </xf>
    <xf numFmtId="0" fontId="52" fillId="0" borderId="8" xfId="569" applyFont="1" applyBorder="1" applyAlignment="1">
      <alignment horizontal="center" wrapText="1"/>
    </xf>
    <xf numFmtId="0" fontId="52"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wrapText="1"/>
    </xf>
    <xf numFmtId="0" fontId="14" fillId="0" borderId="0" xfId="569" applyAlignment="1">
      <alignment vertical="center"/>
    </xf>
    <xf numFmtId="0" fontId="38"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10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63" fillId="0" borderId="0" xfId="271" applyFont="1" applyAlignment="1">
      <alignment horizontal="left"/>
    </xf>
    <xf numFmtId="0" fontId="63"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51" fillId="0" borderId="0" xfId="569" applyFont="1" applyAlignment="1">
      <alignment horizontal="left"/>
    </xf>
    <xf numFmtId="0" fontId="14" fillId="0" borderId="3" xfId="569" applyBorder="1"/>
    <xf numFmtId="0" fontId="0" fillId="5" borderId="6" xfId="0" applyFill="1" applyBorder="1" applyProtection="1">
      <protection locked="0"/>
    </xf>
    <xf numFmtId="0" fontId="106" fillId="0" borderId="0" xfId="1834"/>
    <xf numFmtId="0" fontId="0" fillId="0" borderId="0" xfId="0" applyAlignment="1">
      <alignment horizontal="left" vertical="top"/>
    </xf>
    <xf numFmtId="0" fontId="105" fillId="0" borderId="0" xfId="0" applyFont="1" applyAlignment="1">
      <alignment vertical="top" wrapText="1"/>
    </xf>
    <xf numFmtId="0" fontId="51" fillId="0" borderId="0" xfId="271" applyFont="1" applyAlignment="1">
      <alignment vertical="top" wrapText="1"/>
    </xf>
    <xf numFmtId="4" fontId="14" fillId="0" borderId="0" xfId="1192" applyNumberFormat="1" applyAlignment="1">
      <alignment horizontal="left" vertical="top" wrapText="1"/>
    </xf>
    <xf numFmtId="0" fontId="14" fillId="0" borderId="0" xfId="0" applyFont="1" applyAlignment="1">
      <alignment horizontal="left" vertical="top" wrapText="1"/>
    </xf>
    <xf numFmtId="0" fontId="14" fillId="0" borderId="0" xfId="271" applyFont="1" applyAlignment="1">
      <alignment horizontal="left" vertical="top" wrapText="1"/>
    </xf>
    <xf numFmtId="0" fontId="21" fillId="0" borderId="12" xfId="543" applyFont="1" applyBorder="1" applyAlignment="1">
      <alignment horizontal="right"/>
    </xf>
    <xf numFmtId="0" fontId="33" fillId="0" borderId="0" xfId="543" applyFont="1" applyAlignment="1">
      <alignment horizontal="center"/>
    </xf>
    <xf numFmtId="4" fontId="14" fillId="0" borderId="0" xfId="569" applyNumberForma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1192" applyAlignment="1">
      <alignment horizontal="left"/>
    </xf>
    <xf numFmtId="0" fontId="21" fillId="0" borderId="0" xfId="569" applyFont="1" applyAlignment="1">
      <alignment horizontal="left"/>
    </xf>
    <xf numFmtId="0" fontId="43" fillId="0" borderId="0" xfId="1192" applyFont="1"/>
    <xf numFmtId="0" fontId="51" fillId="0" borderId="11" xfId="0" applyFont="1" applyBorder="1" applyAlignment="1">
      <alignment horizontal="right" vertical="center"/>
    </xf>
    <xf numFmtId="0" fontId="14" fillId="0" borderId="0" xfId="1192" applyAlignment="1">
      <alignment horizontal="left" vertical="top" wrapText="1"/>
    </xf>
    <xf numFmtId="0" fontId="43" fillId="0" borderId="0" xfId="0" applyFont="1" applyAlignment="1">
      <alignment vertical="top" wrapText="1"/>
    </xf>
    <xf numFmtId="0" fontId="43" fillId="0" borderId="0" xfId="0" applyFont="1" applyAlignment="1">
      <alignment horizontal="left" vertical="top" wrapText="1"/>
    </xf>
    <xf numFmtId="6" fontId="52" fillId="0" borderId="0" xfId="569" applyNumberFormat="1" applyFont="1" applyAlignment="1">
      <alignment horizontal="right" vertical="top"/>
    </xf>
    <xf numFmtId="0" fontId="14" fillId="0" borderId="0" xfId="0" applyFont="1" applyAlignment="1">
      <alignment vertical="top" wrapText="1"/>
    </xf>
    <xf numFmtId="168" fontId="23" fillId="0" borderId="0" xfId="0" applyNumberFormat="1" applyFont="1" applyAlignment="1">
      <alignment horizontal="right"/>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14" fillId="0" borderId="0" xfId="0" applyFont="1" applyAlignment="1">
      <alignment wrapText="1"/>
    </xf>
    <xf numFmtId="0" fontId="43" fillId="0" borderId="0" xfId="0" applyFont="1" applyAlignment="1">
      <alignment horizontal="left" vertical="top"/>
    </xf>
    <xf numFmtId="0" fontId="43" fillId="0" borderId="0" xfId="0" applyFont="1" applyAlignment="1">
      <alignment vertical="top"/>
    </xf>
    <xf numFmtId="0" fontId="14" fillId="0" borderId="0" xfId="569" applyAlignment="1">
      <alignment horizontal="center"/>
    </xf>
    <xf numFmtId="0" fontId="32" fillId="0" borderId="0" xfId="569" applyFont="1" applyAlignment="1">
      <alignment horizontal="left"/>
    </xf>
    <xf numFmtId="0" fontId="32" fillId="0" borderId="0" xfId="569" applyFont="1" applyAlignment="1">
      <alignment horizontal="center"/>
    </xf>
    <xf numFmtId="49" fontId="21" fillId="0" borderId="0" xfId="569" applyNumberFormat="1" applyFont="1" applyAlignment="1">
      <alignment horizontal="center"/>
    </xf>
    <xf numFmtId="0" fontId="49"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21" fillId="0" borderId="0" xfId="569" applyFont="1"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9"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6" fillId="0" borderId="0" xfId="569" applyFont="1" applyAlignment="1">
      <alignment horizontal="left"/>
    </xf>
    <xf numFmtId="4" fontId="49"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44" fillId="0" borderId="0" xfId="569" applyFont="1" applyAlignment="1">
      <alignment horizontal="left"/>
    </xf>
    <xf numFmtId="0" fontId="15" fillId="0" borderId="0" xfId="244" applyNumberFormat="1" applyFill="1" applyAlignment="1" applyProtection="1">
      <alignment horizontal="left"/>
      <protection locked="0"/>
    </xf>
    <xf numFmtId="0" fontId="51" fillId="0" borderId="11" xfId="0" applyFont="1" applyBorder="1" applyAlignment="1" applyProtection="1">
      <alignment horizontal="right" vertical="top" wrapText="1"/>
      <protection locked="0"/>
    </xf>
    <xf numFmtId="168" fontId="54" fillId="44" borderId="11" xfId="0" applyNumberFormat="1" applyFont="1" applyFill="1" applyBorder="1" applyAlignment="1">
      <alignment vertical="top" wrapText="1"/>
    </xf>
    <xf numFmtId="0" fontId="14" fillId="0" borderId="11" xfId="271" applyFont="1" applyBorder="1" applyAlignment="1">
      <alignment horizontal="right" vertical="top" wrapText="1"/>
    </xf>
    <xf numFmtId="0" fontId="22" fillId="0" borderId="0" xfId="569" applyFont="1" applyAlignment="1">
      <alignment horizontal="left"/>
    </xf>
    <xf numFmtId="0" fontId="103" fillId="0" borderId="0" xfId="0" applyFont="1"/>
    <xf numFmtId="0" fontId="114" fillId="0" borderId="0" xfId="0" applyFont="1" applyAlignment="1">
      <alignment horizontal="left" vertical="top"/>
    </xf>
    <xf numFmtId="0" fontId="115" fillId="0" borderId="0" xfId="0" applyFont="1" applyAlignment="1">
      <alignment horizontal="left" vertical="top"/>
    </xf>
    <xf numFmtId="168" fontId="22" fillId="0" borderId="0" xfId="0" applyNumberFormat="1" applyFont="1" applyAlignment="1">
      <alignment horizontal="left" vertical="top" wrapText="1"/>
    </xf>
    <xf numFmtId="168" fontId="51" fillId="5" borderId="11" xfId="0" applyNumberFormat="1" applyFont="1" applyFill="1" applyBorder="1" applyAlignment="1">
      <alignment vertical="top" wrapText="1"/>
    </xf>
    <xf numFmtId="0" fontId="14" fillId="0" borderId="0" xfId="271" applyFont="1" applyAlignment="1">
      <alignment horizontal="left" vertical="top"/>
    </xf>
    <xf numFmtId="0" fontId="51" fillId="0" borderId="0" xfId="569" applyFont="1"/>
    <xf numFmtId="0" fontId="14" fillId="0" borderId="0" xfId="0" applyFont="1" applyAlignment="1">
      <alignment horizontal="left" vertical="top"/>
    </xf>
    <xf numFmtId="4" fontId="14" fillId="0" borderId="0" xfId="1192" applyNumberFormat="1" applyAlignment="1">
      <alignment vertical="top" wrapText="1"/>
    </xf>
    <xf numFmtId="0" fontId="21" fillId="0" borderId="16" xfId="271" applyFont="1" applyBorder="1"/>
    <xf numFmtId="0" fontId="58" fillId="0" borderId="0" xfId="569" applyFont="1"/>
    <xf numFmtId="0" fontId="38" fillId="0" borderId="0" xfId="569" applyFont="1"/>
    <xf numFmtId="0" fontId="14" fillId="0" borderId="0" xfId="1192" applyAlignment="1">
      <alignment vertical="top" wrapText="1"/>
    </xf>
    <xf numFmtId="49" fontId="14" fillId="0" borderId="0" xfId="1192" applyNumberFormat="1" applyAlignment="1">
      <alignment vertical="top" wrapText="1"/>
    </xf>
    <xf numFmtId="0" fontId="53" fillId="0" borderId="9" xfId="543" applyFont="1" applyBorder="1" applyAlignment="1">
      <alignment vertical="top"/>
    </xf>
    <xf numFmtId="0" fontId="14" fillId="0" borderId="0" xfId="0" applyFont="1" applyAlignment="1">
      <alignment vertical="center"/>
    </xf>
    <xf numFmtId="0" fontId="116" fillId="0" borderId="0" xfId="0" applyFont="1"/>
    <xf numFmtId="3" fontId="103" fillId="0" borderId="0" xfId="0" applyNumberFormat="1" applyFont="1"/>
    <xf numFmtId="0" fontId="103" fillId="0" borderId="0" xfId="0" applyFont="1" applyAlignment="1">
      <alignment horizontal="left"/>
    </xf>
    <xf numFmtId="168" fontId="117" fillId="0" borderId="0" xfId="0" applyNumberFormat="1" applyFont="1" applyAlignment="1">
      <alignment horizontal="left" vertical="top"/>
    </xf>
    <xf numFmtId="0" fontId="103" fillId="0" borderId="0" xfId="0" applyFont="1" applyAlignment="1">
      <alignment horizontal="left" vertical="center"/>
    </xf>
    <xf numFmtId="0" fontId="11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21" fillId="0" borderId="0" xfId="4495" applyFont="1" applyAlignment="1">
      <alignment horizontal="right"/>
    </xf>
    <xf numFmtId="0" fontId="32" fillId="0" borderId="0" xfId="4495" applyFont="1" applyAlignment="1">
      <alignment horizontal="left" vertical="center"/>
    </xf>
    <xf numFmtId="0" fontId="14" fillId="0" borderId="0" xfId="1192" quotePrefix="1" applyAlignment="1">
      <alignment horizontal="center"/>
    </xf>
    <xf numFmtId="0" fontId="44"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21" fillId="0" borderId="53" xfId="4496" applyFont="1" applyBorder="1" applyAlignment="1">
      <alignment horizontal="left" vertical="top"/>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4" fillId="0" borderId="0" xfId="4495" applyFont="1" applyAlignment="1">
      <alignment horizontal="left" vertical="center"/>
    </xf>
    <xf numFmtId="0" fontId="122" fillId="0" borderId="0" xfId="4496" applyFont="1" applyAlignment="1">
      <alignment vertical="center"/>
    </xf>
    <xf numFmtId="0" fontId="120" fillId="0" borderId="0" xfId="4496" applyFont="1"/>
    <xf numFmtId="0" fontId="120" fillId="0" borderId="0" xfId="4496" applyFont="1" applyAlignment="1">
      <alignment vertical="center"/>
    </xf>
    <xf numFmtId="0" fontId="12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1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1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20" fillId="0" borderId="53" xfId="4496" applyFont="1" applyBorder="1" applyAlignment="1">
      <alignment vertical="top" wrapText="1"/>
    </xf>
    <xf numFmtId="0" fontId="120" fillId="0" borderId="0" xfId="4496" applyFont="1" applyAlignment="1">
      <alignment vertical="top" wrapText="1"/>
    </xf>
    <xf numFmtId="10" fontId="120" fillId="0" borderId="0" xfId="4496" applyNumberFormat="1" applyFont="1" applyAlignment="1">
      <alignment vertical="top" wrapText="1"/>
    </xf>
    <xf numFmtId="0" fontId="120" fillId="0" borderId="54" xfId="4496" applyFont="1" applyBorder="1" applyAlignment="1">
      <alignment vertical="top" wrapText="1"/>
    </xf>
    <xf numFmtId="0" fontId="120" fillId="0" borderId="0" xfId="4496" applyFont="1" applyAlignment="1">
      <alignment vertical="top"/>
    </xf>
    <xf numFmtId="165" fontId="12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20" fillId="0" borderId="53" xfId="4496" applyFont="1" applyBorder="1" applyAlignment="1">
      <alignment horizontal="left" vertical="top" wrapText="1"/>
    </xf>
    <xf numFmtId="0" fontId="12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0" xfId="4495" applyFont="1" applyAlignment="1">
      <alignment horizontal="center"/>
    </xf>
    <xf numFmtId="0" fontId="21" fillId="0" borderId="8" xfId="4495" applyFont="1" applyBorder="1"/>
    <xf numFmtId="0" fontId="22" fillId="0" borderId="0" xfId="4495" applyFont="1" applyAlignment="1">
      <alignment horizontal="left"/>
    </xf>
    <xf numFmtId="0" fontId="21" fillId="0" borderId="0" xfId="4495" applyFont="1" applyAlignment="1">
      <alignment horizontal="center" vertical="top"/>
    </xf>
    <xf numFmtId="0" fontId="14" fillId="0" borderId="0" xfId="4495" applyFont="1" applyAlignment="1">
      <alignment horizontal="center"/>
    </xf>
    <xf numFmtId="0" fontId="30" fillId="0" borderId="0" xfId="4495" applyFont="1"/>
    <xf numFmtId="0" fontId="22" fillId="0" borderId="8" xfId="4495" applyFont="1" applyBorder="1"/>
    <xf numFmtId="0" fontId="51"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14" fillId="0" borderId="0" xfId="4495" applyFont="1" applyAlignment="1">
      <alignment horizontal="left"/>
    </xf>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51"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21" fillId="0" borderId="0" xfId="4495" applyFont="1" applyAlignment="1">
      <alignment horizontal="lef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0" fontId="21" fillId="0" borderId="0" xfId="4495" applyFont="1" applyAlignment="1">
      <alignment horizontal="left" vertical="top"/>
    </xf>
    <xf numFmtId="1" fontId="118" fillId="0" borderId="0" xfId="4495" applyNumberFormat="1"/>
    <xf numFmtId="0" fontId="14" fillId="0" borderId="0" xfId="4495" applyFont="1" applyAlignment="1">
      <alignment vertical="top" wrapText="1"/>
    </xf>
    <xf numFmtId="0" fontId="14" fillId="0" borderId="0" xfId="4495" applyFont="1" applyAlignment="1">
      <alignment horizontal="lef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18" fillId="0" borderId="0" xfId="4495" applyAlignment="1" applyProtection="1">
      <alignment horizontal="center"/>
      <protection locked="0"/>
    </xf>
    <xf numFmtId="0" fontId="14" fillId="0" borderId="53" xfId="4495" applyFont="1" applyBorder="1" applyAlignment="1">
      <alignment vertical="top"/>
    </xf>
    <xf numFmtId="0" fontId="14" fillId="0" borderId="54" xfId="4495" applyFont="1" applyBorder="1" applyAlignment="1">
      <alignment vertical="top" wrapText="1"/>
    </xf>
    <xf numFmtId="0" fontId="59"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9"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2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1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applyFont="1" applyAlignment="1">
      <alignment horizontal="center"/>
    </xf>
    <xf numFmtId="0" fontId="22" fillId="0" borderId="0" xfId="4495" quotePrefix="1" applyFont="1"/>
    <xf numFmtId="0" fontId="22" fillId="0" borderId="0" xfId="4495" applyFont="1" applyAlignment="1">
      <alignment horizontal="left" vertical="top" shrinkToFit="1"/>
    </xf>
    <xf numFmtId="0" fontId="44" fillId="0" borderId="0" xfId="4495" applyFont="1"/>
    <xf numFmtId="0" fontId="22" fillId="0" borderId="3" xfId="4495" applyFont="1" applyBorder="1" applyAlignment="1">
      <alignment horizontal="center"/>
    </xf>
    <xf numFmtId="0" fontId="118" fillId="0" borderId="8" xfId="4495" applyBorder="1"/>
    <xf numFmtId="0" fontId="21" fillId="0" borderId="8" xfId="4495" applyFont="1" applyBorder="1" applyAlignment="1">
      <alignment vertical="top"/>
    </xf>
    <xf numFmtId="0" fontId="118" fillId="0" borderId="0" xfId="4495" applyAlignment="1">
      <alignment vertical="top"/>
    </xf>
    <xf numFmtId="0" fontId="21" fillId="0" borderId="4" xfId="4495" applyFont="1" applyBorder="1" applyAlignment="1">
      <alignment horizontal="center" vertical="top"/>
    </xf>
    <xf numFmtId="0" fontId="124" fillId="0" borderId="0" xfId="4495" applyFont="1" applyAlignment="1">
      <alignment horizontal="left" vertical="top"/>
    </xf>
    <xf numFmtId="0" fontId="12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28" fillId="0" borderId="0" xfId="4495" applyFont="1" applyAlignment="1">
      <alignment vertical="top" wrapText="1"/>
    </xf>
    <xf numFmtId="0" fontId="128" fillId="0" borderId="0" xfId="4495" applyFont="1" applyAlignment="1">
      <alignment horizontal="left" vertical="top" wrapText="1"/>
    </xf>
    <xf numFmtId="0" fontId="22" fillId="0" borderId="6" xfId="4495" applyFont="1" applyBorder="1"/>
    <xf numFmtId="1" fontId="22" fillId="0" borderId="8" xfId="4495" applyNumberFormat="1" applyFont="1" applyBorder="1" applyAlignment="1">
      <alignment horizontal="center" vertical="top"/>
    </xf>
    <xf numFmtId="0" fontId="118" fillId="0" borderId="12" xfId="4495" applyBorder="1"/>
    <xf numFmtId="0" fontId="22" fillId="0" borderId="9" xfId="4495" applyFont="1" applyBorder="1"/>
    <xf numFmtId="0" fontId="118" fillId="0" borderId="10" xfId="4495" applyBorder="1"/>
    <xf numFmtId="0" fontId="30" fillId="0" borderId="3" xfId="4495" applyFont="1" applyBorder="1"/>
    <xf numFmtId="0" fontId="21" fillId="0" borderId="4" xfId="4495" applyFont="1" applyBorder="1"/>
    <xf numFmtId="0" fontId="118" fillId="0" borderId="12" xfId="4495" applyBorder="1" applyAlignment="1">
      <alignment vertical="top"/>
    </xf>
    <xf numFmtId="0" fontId="30" fillId="0" borderId="1" xfId="4495" applyFont="1" applyBorder="1"/>
    <xf numFmtId="0" fontId="128" fillId="0" borderId="2" xfId="4495" applyFont="1" applyBorder="1" applyAlignment="1">
      <alignment horizontal="left" wrapText="1"/>
    </xf>
    <xf numFmtId="0" fontId="128" fillId="0" borderId="2" xfId="4495" applyFont="1" applyBorder="1" applyAlignment="1">
      <alignment horizontal="left"/>
    </xf>
    <xf numFmtId="0" fontId="128" fillId="0" borderId="7" xfId="4495" applyFont="1" applyBorder="1" applyAlignment="1">
      <alignment horizontal="left" wrapText="1"/>
    </xf>
    <xf numFmtId="0" fontId="128" fillId="0" borderId="0" xfId="4495" applyFont="1" applyAlignment="1">
      <alignment horizontal="left" wrapText="1"/>
    </xf>
    <xf numFmtId="0" fontId="30" fillId="0" borderId="9" xfId="4495" applyFont="1" applyBorder="1"/>
    <xf numFmtId="0" fontId="22" fillId="0" borderId="10" xfId="4495" applyFont="1" applyBorder="1"/>
    <xf numFmtId="0" fontId="12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21" fillId="0" borderId="54" xfId="4495" applyFont="1" applyBorder="1" applyAlignment="1">
      <alignment horizontal="center"/>
    </xf>
    <xf numFmtId="0" fontId="30" fillId="0" borderId="0" xfId="4495" applyFont="1" applyAlignment="1">
      <alignment vertical="top"/>
    </xf>
    <xf numFmtId="0" fontId="22" fillId="0" borderId="61" xfId="4495" applyFont="1" applyBorder="1"/>
    <xf numFmtId="0" fontId="11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18" fillId="0" borderId="61" xfId="4495" applyBorder="1"/>
    <xf numFmtId="0" fontId="118" fillId="0" borderId="0" xfId="4495" applyAlignment="1">
      <alignment horizontal="center"/>
    </xf>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1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0" fontId="21" fillId="0" borderId="54" xfId="4495" applyFont="1" applyBorder="1" applyAlignment="1">
      <alignment horizontal="center" vertical="top"/>
    </xf>
    <xf numFmtId="0" fontId="118" fillId="0" borderId="53" xfId="4495" applyBorder="1" applyAlignment="1">
      <alignment horizontal="center"/>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27" fillId="0" borderId="0" xfId="4495" applyFont="1"/>
    <xf numFmtId="0" fontId="11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1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51" fillId="0" borderId="0" xfId="4495" applyFont="1" applyAlignment="1">
      <alignment horizontal="left" vertical="top"/>
    </xf>
    <xf numFmtId="0" fontId="22" fillId="0" borderId="0" xfId="4495" quotePrefix="1" applyFont="1" applyAlignment="1">
      <alignment horizontal="center" vertical="top"/>
    </xf>
    <xf numFmtId="0" fontId="52" fillId="0" borderId="0" xfId="4495" applyFont="1" applyAlignment="1">
      <alignment horizontal="center"/>
    </xf>
    <xf numFmtId="0" fontId="52" fillId="0" borderId="0" xfId="4495" applyFont="1" applyAlignment="1">
      <alignment vertical="top"/>
    </xf>
    <xf numFmtId="0" fontId="105" fillId="0" borderId="0" xfId="4495" applyFont="1"/>
    <xf numFmtId="0" fontId="51"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51" fillId="0" borderId="51" xfId="4495" applyFont="1" applyBorder="1" applyAlignment="1">
      <alignment horizontal="left" vertical="top"/>
    </xf>
    <xf numFmtId="0" fontId="118" fillId="0" borderId="53" xfId="4495" applyBorder="1"/>
    <xf numFmtId="0" fontId="10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22" fillId="0" borderId="51" xfId="4495" applyFont="1" applyBorder="1" applyAlignment="1">
      <alignment horizontal="lef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2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21" fillId="0" borderId="3" xfId="4495" applyFont="1" applyBorder="1" applyAlignment="1">
      <alignment horizontal="left"/>
    </xf>
    <xf numFmtId="0" fontId="21" fillId="0" borderId="4"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0" fontId="21" fillId="0" borderId="5" xfId="4495" applyFont="1" applyBorder="1" applyAlignment="1">
      <alignment horizontal="left"/>
    </xf>
    <xf numFmtId="180" fontId="62" fillId="0" borderId="0" xfId="4495" applyNumberFormat="1" applyFont="1" applyAlignment="1">
      <alignment horizontal="center" vertical="center"/>
    </xf>
    <xf numFmtId="0" fontId="14" fillId="0" borderId="12" xfId="4495" applyFont="1" applyBorder="1" applyAlignment="1">
      <alignment vertical="top"/>
    </xf>
    <xf numFmtId="0" fontId="44" fillId="0" borderId="0" xfId="4495" applyFont="1" applyAlignment="1">
      <alignment vertical="top" wrapText="1"/>
    </xf>
    <xf numFmtId="0" fontId="14" fillId="0" borderId="51" xfId="4495" applyFont="1" applyBorder="1" applyAlignment="1">
      <alignment horizontal="lef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left" vertical="top" wrapText="1"/>
    </xf>
    <xf numFmtId="0" fontId="14" fillId="0" borderId="58" xfId="4495" applyFont="1" applyBorder="1" applyAlignment="1">
      <alignment horizontal="right"/>
    </xf>
    <xf numFmtId="0" fontId="14" fillId="0" borderId="59" xfId="4495" applyFont="1" applyBorder="1" applyAlignment="1">
      <alignment horizontal="right"/>
    </xf>
    <xf numFmtId="0" fontId="44"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165" fontId="14" fillId="0" borderId="0" xfId="1192" applyNumberFormat="1" applyAlignment="1">
      <alignment horizontal="right"/>
    </xf>
    <xf numFmtId="2" fontId="14" fillId="0" borderId="0" xfId="1192" applyNumberFormat="1"/>
    <xf numFmtId="6" fontId="14" fillId="0" borderId="0" xfId="1192" applyNumberFormat="1"/>
    <xf numFmtId="0" fontId="21" fillId="0" borderId="0" xfId="1192" applyFont="1"/>
    <xf numFmtId="0" fontId="44" fillId="0" borderId="0" xfId="1192" applyFont="1"/>
    <xf numFmtId="168" fontId="14" fillId="0" borderId="0" xfId="4495" applyNumberFormat="1" applyFont="1"/>
    <xf numFmtId="0" fontId="21" fillId="0" borderId="0" xfId="1192" applyFont="1" applyAlignment="1">
      <alignment vertical="center"/>
    </xf>
    <xf numFmtId="0" fontId="116" fillId="0" borderId="0" xfId="1192" applyFont="1" applyAlignment="1">
      <alignment horizontal="left"/>
    </xf>
    <xf numFmtId="0" fontId="113" fillId="0" borderId="0" xfId="1192" applyFont="1" applyAlignment="1">
      <alignment horizontal="left"/>
    </xf>
    <xf numFmtId="0" fontId="11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0" xfId="1192" applyAlignment="1">
      <alignment horizontal="right"/>
    </xf>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52" fillId="0" borderId="4" xfId="4495" applyFont="1" applyBorder="1"/>
    <xf numFmtId="0" fontId="34" fillId="0" borderId="0" xfId="543" applyFont="1" applyAlignment="1">
      <alignment vertical="center" wrapText="1"/>
    </xf>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20" fillId="0" borderId="0" xfId="4496" applyNumberFormat="1" applyFont="1" applyAlignment="1">
      <alignment horizontal="center" vertical="top" wrapText="1"/>
    </xf>
    <xf numFmtId="168" fontId="120" fillId="0" borderId="0" xfId="4496" applyNumberFormat="1" applyFont="1" applyAlignment="1">
      <alignment vertical="top" wrapText="1"/>
    </xf>
    <xf numFmtId="165" fontId="120" fillId="0" borderId="64" xfId="4496" applyNumberFormat="1" applyFont="1" applyBorder="1" applyAlignment="1">
      <alignment horizontal="center" vertical="top" wrapText="1"/>
    </xf>
    <xf numFmtId="165" fontId="120" fillId="0" borderId="53" xfId="4496" applyNumberFormat="1" applyFont="1" applyBorder="1" applyAlignment="1">
      <alignment horizontal="left" vertical="top"/>
    </xf>
    <xf numFmtId="165" fontId="120" fillId="0" borderId="53" xfId="4496" applyNumberFormat="1" applyFont="1" applyBorder="1" applyAlignment="1">
      <alignment horizontal="center" vertical="top" wrapText="1"/>
    </xf>
    <xf numFmtId="168" fontId="120" fillId="0" borderId="0" xfId="4496" applyNumberFormat="1" applyFont="1" applyAlignment="1">
      <alignment vertical="top"/>
    </xf>
    <xf numFmtId="1" fontId="120" fillId="0" borderId="0" xfId="4496" applyNumberFormat="1" applyFont="1" applyAlignment="1">
      <alignment vertical="top" wrapText="1"/>
    </xf>
    <xf numFmtId="164" fontId="22" fillId="0" borderId="0" xfId="4495" applyNumberFormat="1" applyFont="1"/>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9" fillId="0" borderId="50" xfId="1192" applyFont="1" applyBorder="1" applyAlignment="1">
      <alignment horizontal="left"/>
    </xf>
    <xf numFmtId="0" fontId="140" fillId="0" borderId="51" xfId="4495" applyFont="1" applyBorder="1" applyAlignment="1">
      <alignment vertical="top"/>
    </xf>
    <xf numFmtId="0" fontId="139" fillId="0" borderId="51" xfId="4495" applyFont="1" applyBorder="1" applyAlignment="1">
      <alignment vertical="top" wrapText="1"/>
    </xf>
    <xf numFmtId="0" fontId="140" fillId="0" borderId="51" xfId="4495" applyFont="1" applyBorder="1"/>
    <xf numFmtId="0" fontId="140" fillId="0" borderId="53" xfId="1192" applyFont="1" applyBorder="1" applyAlignment="1">
      <alignment horizontal="left"/>
    </xf>
    <xf numFmtId="0" fontId="140" fillId="0" borderId="0" xfId="4495" applyFont="1" applyAlignment="1">
      <alignment vertical="top"/>
    </xf>
    <xf numFmtId="0" fontId="139" fillId="0" borderId="0" xfId="4495" applyFont="1" applyAlignment="1">
      <alignment vertical="top" wrapText="1"/>
    </xf>
    <xf numFmtId="0" fontId="140" fillId="0" borderId="0" xfId="4495" applyFont="1"/>
    <xf numFmtId="0" fontId="139" fillId="0" borderId="53" xfId="1192" applyFont="1" applyBorder="1" applyAlignment="1">
      <alignment horizontal="left"/>
    </xf>
    <xf numFmtId="0" fontId="139" fillId="0" borderId="57" xfId="1192" applyFont="1" applyBorder="1" applyAlignment="1">
      <alignment horizontal="left"/>
    </xf>
    <xf numFmtId="0" fontId="140" fillId="0" borderId="58" xfId="4495" applyFont="1" applyBorder="1" applyAlignment="1">
      <alignment vertical="top"/>
    </xf>
    <xf numFmtId="0" fontId="139" fillId="0" borderId="58" xfId="4495" applyFont="1" applyBorder="1" applyAlignment="1">
      <alignment vertical="top" wrapText="1"/>
    </xf>
    <xf numFmtId="0" fontId="140" fillId="0" borderId="58" xfId="4495" applyFont="1" applyBorder="1"/>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1" fillId="0" borderId="7" xfId="0" applyFont="1" applyBorder="1" applyAlignment="1">
      <alignment horizontal="right"/>
    </xf>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47" fillId="0" borderId="0" xfId="0" applyFont="1" applyAlignment="1">
      <alignment horizontal="center"/>
    </xf>
    <xf numFmtId="0" fontId="20" fillId="0" borderId="0" xfId="0" applyFont="1" applyAlignment="1">
      <alignment horizontal="center" vertical="center" wrapText="1"/>
    </xf>
    <xf numFmtId="0" fontId="29" fillId="0" borderId="0" xfId="0" applyFont="1" applyAlignment="1">
      <alignment horizontal="center"/>
    </xf>
    <xf numFmtId="0" fontId="22" fillId="0" borderId="0" xfId="0" applyFont="1" applyAlignment="1">
      <alignment horizontal="center"/>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14" fillId="0" borderId="58" xfId="4495" applyFont="1" applyBorder="1" applyAlignment="1">
      <alignment vertical="center" wrapText="1"/>
    </xf>
    <xf numFmtId="0" fontId="14" fillId="0" borderId="59" xfId="4495" applyFont="1" applyBorder="1" applyAlignment="1">
      <alignment vertical="center" wrapText="1"/>
    </xf>
    <xf numFmtId="0" fontId="14" fillId="0" borderId="0" xfId="4495" applyFont="1" applyAlignment="1">
      <alignment horizontal="left" vertical="center" wrapText="1"/>
    </xf>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34" fillId="0" borderId="12" xfId="543" applyFont="1" applyBorder="1" applyAlignment="1">
      <alignment horizontal="center" vertical="top"/>
    </xf>
    <xf numFmtId="0" fontId="35" fillId="0" borderId="7" xfId="543" applyFont="1" applyBorder="1"/>
    <xf numFmtId="0" fontId="14" fillId="0" borderId="12" xfId="543" quotePrefix="1" applyBorder="1"/>
    <xf numFmtId="0" fontId="51"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5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0" xfId="4495" applyFont="1" applyAlignment="1">
      <alignment horizontal="left" vertical="top" wrapText="1" shrinkToFit="1"/>
    </xf>
    <xf numFmtId="0" fontId="14" fillId="0" borderId="6" xfId="4495" applyFont="1" applyBorder="1" applyAlignment="1">
      <alignment vertical="top" wrapText="1"/>
    </xf>
    <xf numFmtId="0" fontId="15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0" xfId="707" applyFont="1" applyFill="1" applyBorder="1" applyAlignment="1" applyProtection="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0" xfId="4495" applyFont="1" applyAlignment="1">
      <alignment horizontal="left" vertical="center" wrapText="1" shrinkToFit="1"/>
    </xf>
    <xf numFmtId="0" fontId="14" fillId="0" borderId="6" xfId="4495" applyFont="1" applyBorder="1" applyAlignment="1">
      <alignment horizontal="left" vertical="top" wrapText="1"/>
    </xf>
    <xf numFmtId="2" fontId="11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6" fillId="0" borderId="0" xfId="4496" applyFont="1"/>
    <xf numFmtId="168" fontId="51" fillId="5" borderId="11" xfId="0" applyNumberFormat="1" applyFont="1" applyFill="1" applyBorder="1" applyAlignment="1" applyProtection="1">
      <alignment vertical="top" wrapText="1"/>
      <protection locked="0"/>
    </xf>
    <xf numFmtId="0" fontId="14" fillId="0" borderId="0" xfId="0" applyFont="1" applyAlignment="1">
      <alignment horizontal="left"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4" xfId="0" applyFont="1" applyBorder="1" applyAlignment="1">
      <alignment horizontal="left"/>
    </xf>
    <xf numFmtId="4" fontId="14" fillId="0" borderId="0" xfId="0" applyNumberFormat="1" applyFont="1" applyAlignment="1">
      <alignment horizontal="left"/>
    </xf>
    <xf numFmtId="43" fontId="49"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44" fillId="0" borderId="0" xfId="0" applyFont="1" applyAlignment="1">
      <alignment horizontal="left"/>
    </xf>
    <xf numFmtId="0" fontId="14" fillId="0" borderId="4" xfId="0" applyFont="1" applyBorder="1" applyAlignment="1">
      <alignment horizontal="left"/>
    </xf>
    <xf numFmtId="0" fontId="14" fillId="0" borderId="0" xfId="0" quotePrefix="1" applyFont="1" applyAlignment="1">
      <alignment horizontal="left"/>
    </xf>
    <xf numFmtId="0" fontId="14" fillId="0" borderId="0" xfId="0" quotePrefix="1" applyFont="1" applyAlignment="1">
      <alignment horizontal="left" vertical="top"/>
    </xf>
    <xf numFmtId="0" fontId="44" fillId="0" borderId="0" xfId="1192" applyFont="1" applyAlignment="1">
      <alignment horizontal="left"/>
    </xf>
    <xf numFmtId="0" fontId="49"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20" fillId="0" borderId="0" xfId="4496" applyNumberFormat="1" applyFont="1" applyAlignment="1">
      <alignment horizontal="center" vertical="top" wrapText="1"/>
    </xf>
    <xf numFmtId="10" fontId="120" fillId="0" borderId="64" xfId="4496" applyNumberFormat="1" applyFont="1" applyBorder="1" applyAlignment="1">
      <alignment horizontal="center" vertical="top" wrapText="1"/>
    </xf>
    <xf numFmtId="10" fontId="120"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4" fillId="0" borderId="0" xfId="1192" quotePrefix="1" applyNumberFormat="1" applyAlignment="1">
      <alignment horizontal="center"/>
    </xf>
    <xf numFmtId="0" fontId="120" fillId="0" borderId="0" xfId="4495" applyFont="1"/>
    <xf numFmtId="10" fontId="120" fillId="0" borderId="0" xfId="4495" applyNumberFormat="1" applyFont="1"/>
    <xf numFmtId="172" fontId="14" fillId="0" borderId="0" xfId="4495" applyNumberFormat="1" applyFont="1"/>
    <xf numFmtId="0" fontId="37" fillId="0" borderId="0" xfId="0" applyFont="1" applyAlignment="1">
      <alignment horizontal="center"/>
    </xf>
    <xf numFmtId="0" fontId="33" fillId="0" borderId="0" xfId="0" applyFont="1" applyAlignment="1">
      <alignment horizontal="left"/>
    </xf>
    <xf numFmtId="0" fontId="0" fillId="0" borderId="10" xfId="0" applyBorder="1" applyAlignment="1">
      <alignment horizontal="left"/>
    </xf>
    <xf numFmtId="1" fontId="14" fillId="0" borderId="0" xfId="1192" applyNumberFormat="1" applyAlignment="1">
      <alignment horizontal="center"/>
    </xf>
    <xf numFmtId="0" fontId="118" fillId="0" borderId="63" xfId="4495" applyBorder="1"/>
    <xf numFmtId="0" fontId="51"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9" fontId="23" fillId="0" borderId="0" xfId="0" applyNumberFormat="1" applyFont="1"/>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21" fillId="0" borderId="0" xfId="1192" applyFont="1" applyAlignment="1">
      <alignment horizontal="lef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6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0" fontId="15" fillId="0" borderId="0" xfId="244" applyAlignment="1"/>
    <xf numFmtId="0" fontId="21" fillId="0" borderId="0" xfId="0" applyFont="1" applyAlignment="1">
      <alignment vertical="top" wrapText="1"/>
    </xf>
    <xf numFmtId="49" fontId="21" fillId="0" borderId="0" xfId="0" applyNumberFormat="1" applyFont="1"/>
    <xf numFmtId="49" fontId="21" fillId="0" borderId="0" xfId="0" applyNumberFormat="1" applyFont="1" applyAlignment="1">
      <alignment vertical="top"/>
    </xf>
    <xf numFmtId="0" fontId="37" fillId="0" borderId="11" xfId="0" applyFont="1" applyBorder="1"/>
    <xf numFmtId="175" fontId="14" fillId="0" borderId="0" xfId="543" applyNumberFormat="1" applyAlignment="1">
      <alignment vertical="center"/>
    </xf>
    <xf numFmtId="0" fontId="96" fillId="43" borderId="6" xfId="4496" applyFont="1" applyFill="1" applyBorder="1" applyAlignment="1" applyProtection="1">
      <alignment horizontal="center"/>
      <protection locked="0"/>
    </xf>
    <xf numFmtId="0" fontId="96" fillId="0" borderId="0" xfId="4496" applyFont="1"/>
    <xf numFmtId="0" fontId="96" fillId="0" borderId="0" xfId="4496" applyFont="1" applyAlignment="1">
      <alignment wrapText="1"/>
    </xf>
    <xf numFmtId="0" fontId="135" fillId="0" borderId="0" xfId="4496" applyFont="1"/>
    <xf numFmtId="181" fontId="136" fillId="0" borderId="0" xfId="4498" applyNumberFormat="1" applyFont="1" applyBorder="1" applyProtection="1"/>
    <xf numFmtId="0" fontId="137" fillId="0" borderId="0" xfId="4496" applyFont="1" applyAlignment="1">
      <alignment vertical="center" wrapText="1"/>
    </xf>
    <xf numFmtId="49" fontId="96" fillId="0" borderId="0" xfId="4496" applyNumberFormat="1" applyFont="1" applyAlignment="1">
      <alignment horizontal="center"/>
    </xf>
    <xf numFmtId="182" fontId="96" fillId="0" borderId="6" xfId="4496" applyNumberFormat="1" applyFont="1" applyBorder="1"/>
    <xf numFmtId="0" fontId="96" fillId="0" borderId="0" xfId="4496" applyFont="1" applyAlignment="1">
      <alignment vertical="center"/>
    </xf>
    <xf numFmtId="182" fontId="96" fillId="0" borderId="0" xfId="4496" applyNumberFormat="1" applyFont="1" applyAlignment="1">
      <alignment vertical="center"/>
    </xf>
    <xf numFmtId="175" fontId="96" fillId="0" borderId="0" xfId="4499" applyNumberFormat="1" applyFont="1" applyFill="1" applyBorder="1" applyAlignment="1" applyProtection="1">
      <alignment horizontal="left" vertical="center"/>
    </xf>
    <xf numFmtId="9" fontId="96" fillId="0" borderId="0" xfId="4499" applyFont="1" applyFill="1" applyBorder="1" applyAlignment="1" applyProtection="1">
      <alignment vertical="center"/>
    </xf>
    <xf numFmtId="183" fontId="96" fillId="0" borderId="0" xfId="4496" applyNumberFormat="1" applyFont="1" applyAlignment="1">
      <alignment vertical="center" wrapText="1"/>
    </xf>
    <xf numFmtId="9" fontId="96" fillId="0" borderId="0" xfId="4499" applyFont="1" applyBorder="1" applyAlignment="1" applyProtection="1">
      <alignment vertical="center"/>
    </xf>
    <xf numFmtId="164" fontId="96" fillId="0" borderId="0" xfId="4496" applyNumberFormat="1" applyFont="1" applyAlignment="1">
      <alignment vertical="center" wrapText="1"/>
    </xf>
    <xf numFmtId="0" fontId="96" fillId="0" borderId="0" xfId="4496" applyFont="1" applyAlignment="1">
      <alignment horizontal="center" vertical="center"/>
    </xf>
    <xf numFmtId="182" fontId="96" fillId="0" borderId="11" xfId="8722" applyNumberFormat="1" applyFont="1" applyBorder="1" applyProtection="1"/>
    <xf numFmtId="182" fontId="96" fillId="0" borderId="11" xfId="4496" applyNumberFormat="1" applyFont="1" applyBorder="1"/>
    <xf numFmtId="164" fontId="96" fillId="0" borderId="0" xfId="4496" applyNumberFormat="1" applyFont="1" applyAlignment="1">
      <alignment wrapText="1"/>
    </xf>
    <xf numFmtId="49" fontId="96" fillId="0" borderId="0" xfId="4496" applyNumberFormat="1" applyFont="1" applyAlignment="1">
      <alignment horizontal="left"/>
    </xf>
    <xf numFmtId="0" fontId="138" fillId="0" borderId="0" xfId="4496" applyFont="1"/>
    <xf numFmtId="9" fontId="96" fillId="0" borderId="11" xfId="4494" applyFont="1" applyFill="1" applyBorder="1" applyAlignment="1" applyProtection="1">
      <alignment horizontal="right"/>
    </xf>
    <xf numFmtId="182" fontId="96" fillId="0" borderId="11" xfId="4496" applyNumberFormat="1" applyFont="1" applyBorder="1" applyAlignment="1">
      <alignment horizontal="left"/>
    </xf>
    <xf numFmtId="1" fontId="96" fillId="0" borderId="0" xfId="4496" applyNumberFormat="1" applyFont="1"/>
    <xf numFmtId="2" fontId="96" fillId="0" borderId="0" xfId="4496" applyNumberFormat="1" applyFont="1" applyAlignment="1">
      <alignment horizontal="center"/>
    </xf>
    <xf numFmtId="2" fontId="96" fillId="0" borderId="0" xfId="4496" applyNumberFormat="1" applyFont="1"/>
    <xf numFmtId="0" fontId="135" fillId="45" borderId="3" xfId="4496" applyFont="1" applyFill="1" applyBorder="1" applyAlignment="1">
      <alignment horizontal="left" indent="1"/>
    </xf>
    <xf numFmtId="0" fontId="96" fillId="45" borderId="4" xfId="4496" applyFont="1" applyFill="1" applyBorder="1"/>
    <xf numFmtId="2" fontId="96" fillId="45" borderId="5" xfId="4496" applyNumberFormat="1" applyFont="1" applyFill="1" applyBorder="1"/>
    <xf numFmtId="181" fontId="96" fillId="0" borderId="0" xfId="4496" applyNumberFormat="1" applyFont="1"/>
    <xf numFmtId="165" fontId="136" fillId="0" borderId="0" xfId="4499" applyNumberFormat="1" applyFont="1" applyFill="1" applyBorder="1" applyProtection="1"/>
    <xf numFmtId="9" fontId="96" fillId="0" borderId="0" xfId="4494" applyFont="1" applyFill="1" applyProtection="1"/>
    <xf numFmtId="0" fontId="96" fillId="0" borderId="11" xfId="4496" applyFont="1" applyBorder="1" applyAlignment="1">
      <alignment horizontal="center"/>
    </xf>
    <xf numFmtId="2" fontId="96" fillId="0" borderId="11" xfId="4496" applyNumberFormat="1" applyFont="1" applyBorder="1" applyAlignment="1">
      <alignment horizontal="center"/>
    </xf>
    <xf numFmtId="0" fontId="96" fillId="0" borderId="0" xfId="4496" applyFont="1" applyAlignment="1">
      <alignment vertical="top" wrapText="1"/>
    </xf>
    <xf numFmtId="0" fontId="96" fillId="0" borderId="11" xfId="4496" applyFont="1" applyBorder="1" applyAlignment="1">
      <alignment horizontal="center" vertical="top" wrapText="1"/>
    </xf>
    <xf numFmtId="182" fontId="96" fillId="0" borderId="0" xfId="8722" applyNumberFormat="1" applyFont="1" applyBorder="1" applyProtection="1"/>
    <xf numFmtId="0" fontId="96" fillId="0" borderId="0" xfId="4496" applyFont="1" applyAlignment="1">
      <alignment horizontal="left" indent="1"/>
    </xf>
    <xf numFmtId="182" fontId="96" fillId="0" borderId="0" xfId="4496" applyNumberFormat="1" applyFont="1"/>
    <xf numFmtId="184" fontId="96" fillId="0" borderId="0" xfId="4496" applyNumberFormat="1" applyFont="1"/>
    <xf numFmtId="0" fontId="96" fillId="0" borderId="0" xfId="4496" applyFont="1" applyAlignment="1">
      <alignment horizontal="left"/>
    </xf>
    <xf numFmtId="0" fontId="96" fillId="0" borderId="0" xfId="4496" applyFont="1" applyAlignment="1">
      <alignment horizontal="center"/>
    </xf>
    <xf numFmtId="9" fontId="9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96" fillId="0" borderId="0" xfId="4496" applyFont="1" applyAlignment="1">
      <alignment horizontal="right"/>
    </xf>
    <xf numFmtId="168" fontId="23" fillId="0" borderId="0" xfId="0" applyNumberFormat="1" applyFont="1"/>
    <xf numFmtId="0" fontId="96" fillId="0" borderId="15" xfId="4496" applyFont="1" applyBorder="1" applyAlignment="1">
      <alignment horizontal="center" vertical="top" wrapText="1"/>
    </xf>
    <xf numFmtId="2" fontId="96" fillId="0" borderId="15" xfId="4496" applyNumberFormat="1" applyFont="1" applyBorder="1" applyAlignment="1">
      <alignment horizontal="center"/>
    </xf>
    <xf numFmtId="0" fontId="96" fillId="0" borderId="15" xfId="4496" applyFont="1" applyBorder="1" applyAlignment="1">
      <alignment horizontal="center"/>
    </xf>
    <xf numFmtId="0" fontId="135" fillId="0" borderId="71" xfId="4496" applyFont="1" applyBorder="1" applyAlignment="1">
      <alignment horizontal="center" vertical="top" wrapText="1"/>
    </xf>
    <xf numFmtId="0" fontId="135" fillId="0" borderId="71" xfId="4496" applyFont="1" applyBorder="1" applyAlignment="1">
      <alignment horizontal="center"/>
    </xf>
    <xf numFmtId="0" fontId="165" fillId="0" borderId="0" xfId="4496" applyFont="1" applyAlignment="1">
      <alignment horizontal="right" vertical="center"/>
    </xf>
    <xf numFmtId="175" fontId="96" fillId="0" borderId="0" xfId="4499" applyNumberFormat="1" applyFont="1" applyFill="1" applyBorder="1" applyAlignment="1" applyProtection="1">
      <alignment horizontal="right" vertical="center"/>
    </xf>
    <xf numFmtId="5" fontId="96" fillId="0" borderId="6" xfId="4496" applyNumberFormat="1" applyFont="1" applyBorder="1" applyAlignment="1">
      <alignment vertical="center"/>
    </xf>
    <xf numFmtId="0" fontId="96" fillId="0" borderId="66" xfId="4496" applyFont="1" applyBorder="1" applyAlignment="1">
      <alignment vertical="center"/>
    </xf>
    <xf numFmtId="0" fontId="96" fillId="0" borderId="41" xfId="4496" applyFont="1" applyBorder="1" applyAlignment="1">
      <alignment vertical="center"/>
    </xf>
    <xf numFmtId="182" fontId="96" fillId="0" borderId="86" xfId="4496" applyNumberFormat="1" applyFont="1" applyBorder="1" applyAlignment="1">
      <alignment vertical="center"/>
    </xf>
    <xf numFmtId="175" fontId="96" fillId="0" borderId="42" xfId="4499" applyNumberFormat="1" applyFont="1" applyFill="1" applyBorder="1" applyAlignment="1" applyProtection="1">
      <alignment horizontal="left" vertical="center"/>
    </xf>
    <xf numFmtId="0" fontId="96" fillId="0" borderId="42" xfId="4496" applyFont="1" applyBorder="1" applyAlignment="1">
      <alignment vertical="center"/>
    </xf>
    <xf numFmtId="0" fontId="96" fillId="0" borderId="44" xfId="4496" applyFont="1" applyBorder="1" applyAlignment="1">
      <alignment vertical="center"/>
    </xf>
    <xf numFmtId="49" fontId="96" fillId="0" borderId="0" xfId="4496" applyNumberFormat="1" applyFont="1" applyAlignment="1">
      <alignment horizontal="center" vertical="center"/>
    </xf>
    <xf numFmtId="0" fontId="96" fillId="0" borderId="65" xfId="4496" applyFont="1" applyBorder="1" applyAlignment="1">
      <alignment vertical="center"/>
    </xf>
    <xf numFmtId="0" fontId="96" fillId="0" borderId="29" xfId="4496" applyFont="1" applyBorder="1" applyAlignment="1">
      <alignment vertical="center"/>
    </xf>
    <xf numFmtId="0" fontId="96" fillId="0" borderId="29" xfId="4496" applyFont="1" applyBorder="1" applyAlignment="1">
      <alignment horizontal="right" vertical="center"/>
    </xf>
    <xf numFmtId="5" fontId="96" fillId="0" borderId="29" xfId="4496" applyNumberFormat="1" applyFont="1" applyBorder="1" applyAlignment="1">
      <alignment vertical="center"/>
    </xf>
    <xf numFmtId="0" fontId="96" fillId="0" borderId="31" xfId="4496" applyFont="1" applyBorder="1" applyAlignment="1">
      <alignment vertical="center"/>
    </xf>
    <xf numFmtId="175" fontId="135" fillId="0" borderId="42" xfId="4494" applyNumberFormat="1" applyFont="1" applyFill="1" applyBorder="1" applyAlignment="1" applyProtection="1">
      <alignment horizontal="center" vertical="center"/>
    </xf>
    <xf numFmtId="0" fontId="135" fillId="0" borderId="29" xfId="4496" applyFont="1" applyBorder="1" applyAlignment="1">
      <alignment vertical="center"/>
    </xf>
    <xf numFmtId="0" fontId="135" fillId="0" borderId="0" xfId="4496" applyFont="1" applyAlignment="1">
      <alignment vertical="center"/>
    </xf>
    <xf numFmtId="0" fontId="135" fillId="0" borderId="42" xfId="4496" applyFont="1" applyBorder="1" applyAlignment="1">
      <alignment vertical="center"/>
    </xf>
    <xf numFmtId="9" fontId="135" fillId="0" borderId="42" xfId="4499" applyFont="1" applyFill="1" applyBorder="1" applyAlignment="1" applyProtection="1">
      <alignment vertical="center"/>
    </xf>
    <xf numFmtId="182" fontId="96" fillId="0" borderId="15" xfId="4496" applyNumberFormat="1" applyFont="1" applyBorder="1"/>
    <xf numFmtId="182" fontId="135" fillId="0" borderId="71" xfId="8722" applyNumberFormat="1" applyFont="1" applyBorder="1" applyProtection="1"/>
    <xf numFmtId="9" fontId="96" fillId="0" borderId="15" xfId="4494" applyFont="1" applyFill="1" applyBorder="1" applyAlignment="1" applyProtection="1">
      <alignment horizontal="right"/>
    </xf>
    <xf numFmtId="182" fontId="135" fillId="0" borderId="71" xfId="4496" applyNumberFormat="1" applyFont="1" applyBorder="1"/>
    <xf numFmtId="0" fontId="165" fillId="0" borderId="0" xfId="4496" applyFont="1" applyAlignment="1">
      <alignment horizontal="right"/>
    </xf>
    <xf numFmtId="0" fontId="96" fillId="0" borderId="0" xfId="4496" applyFont="1" applyAlignment="1">
      <alignment horizontal="right" vertical="top" wrapText="1" indent="1"/>
    </xf>
    <xf numFmtId="182" fontId="96" fillId="0" borderId="6" xfId="8722" applyNumberFormat="1" applyFont="1" applyBorder="1" applyAlignment="1" applyProtection="1">
      <alignment horizontal="center"/>
    </xf>
    <xf numFmtId="0" fontId="96" fillId="0" borderId="0" xfId="4496" applyFont="1" applyAlignment="1">
      <alignment horizontal="right" indent="1"/>
    </xf>
    <xf numFmtId="0" fontId="96" fillId="0" borderId="0" xfId="4496" applyFont="1" applyAlignment="1">
      <alignment horizontal="right" vertical="top"/>
    </xf>
    <xf numFmtId="0" fontId="135" fillId="0" borderId="0" xfId="4496" applyFont="1" applyAlignment="1">
      <alignment horizontal="right"/>
    </xf>
    <xf numFmtId="182" fontId="135" fillId="0" borderId="0" xfId="8722" applyNumberFormat="1" applyFont="1" applyBorder="1" applyAlignment="1" applyProtection="1">
      <alignment horizontal="center"/>
    </xf>
    <xf numFmtId="10" fontId="96" fillId="0" borderId="0" xfId="4494" applyNumberFormat="1" applyFont="1" applyBorder="1" applyAlignment="1" applyProtection="1">
      <alignment horizontal="center"/>
    </xf>
    <xf numFmtId="184" fontId="96" fillId="0" borderId="6" xfId="4496" applyNumberFormat="1" applyFont="1" applyBorder="1"/>
    <xf numFmtId="0" fontId="135" fillId="0" borderId="0" xfId="4496" applyFont="1" applyAlignment="1">
      <alignment horizontal="right" vertical="top"/>
    </xf>
    <xf numFmtId="182" fontId="135" fillId="0" borderId="0" xfId="4496" applyNumberFormat="1" applyFont="1"/>
    <xf numFmtId="182" fontId="96" fillId="0" borderId="6" xfId="8722" applyNumberFormat="1" applyFont="1" applyBorder="1" applyProtection="1"/>
    <xf numFmtId="184" fontId="96" fillId="0" borderId="0" xfId="4496" applyNumberFormat="1" applyFont="1" applyAlignment="1">
      <alignment horizontal="center"/>
    </xf>
    <xf numFmtId="0" fontId="96" fillId="0" borderId="6" xfId="4496" applyFont="1" applyBorder="1" applyAlignment="1">
      <alignment horizontal="right" vertical="top" wrapText="1" indent="1"/>
    </xf>
    <xf numFmtId="0" fontId="96" fillId="0" borderId="70" xfId="4496" applyFont="1" applyBorder="1" applyAlignment="1">
      <alignment horizontal="right" indent="1"/>
    </xf>
    <xf numFmtId="0" fontId="96" fillId="0" borderId="80" xfId="4496" applyFont="1" applyBorder="1" applyAlignment="1">
      <alignment horizontal="right" indent="1"/>
    </xf>
    <xf numFmtId="0" fontId="96" fillId="0" borderId="80" xfId="4496" quotePrefix="1" applyFont="1" applyBorder="1" applyAlignment="1">
      <alignment horizontal="right" indent="1"/>
    </xf>
    <xf numFmtId="0" fontId="96" fillId="0" borderId="72" xfId="4496" applyFont="1" applyBorder="1" applyAlignment="1">
      <alignment horizontal="right" indent="1"/>
    </xf>
    <xf numFmtId="182" fontId="96" fillId="0" borderId="74" xfId="4496" applyNumberFormat="1" applyFont="1" applyBorder="1"/>
    <xf numFmtId="182" fontId="96" fillId="0" borderId="91" xfId="4496" applyNumberFormat="1" applyFont="1" applyBorder="1"/>
    <xf numFmtId="182" fontId="96" fillId="0" borderId="93" xfId="4496" applyNumberFormat="1" applyFont="1" applyBorder="1"/>
    <xf numFmtId="175" fontId="21" fillId="0" borderId="0" xfId="543" applyNumberFormat="1" applyFont="1" applyAlignment="1">
      <alignment vertical="center"/>
    </xf>
    <xf numFmtId="10" fontId="135" fillId="0" borderId="0" xfId="4494" applyNumberFormat="1" applyFont="1" applyProtection="1"/>
    <xf numFmtId="0" fontId="21" fillId="0" borderId="0" xfId="1192" applyFont="1" applyAlignment="1">
      <alignment horizontal="left" indent="1"/>
    </xf>
    <xf numFmtId="168" fontId="96" fillId="0" borderId="11" xfId="4499" applyNumberFormat="1" applyFont="1" applyFill="1" applyBorder="1" applyAlignment="1" applyProtection="1">
      <alignment horizontal="left" vertical="center" indent="1"/>
    </xf>
    <xf numFmtId="168" fontId="135" fillId="0" borderId="71" xfId="4499" applyNumberFormat="1" applyFont="1" applyFill="1" applyBorder="1" applyAlignment="1" applyProtection="1">
      <alignment horizontal="left" vertical="center" indent="1"/>
    </xf>
    <xf numFmtId="182" fontId="96" fillId="0" borderId="13" xfId="4496" applyNumberFormat="1" applyFont="1" applyBorder="1"/>
    <xf numFmtId="182" fontId="96" fillId="0" borderId="73" xfId="4496" applyNumberFormat="1" applyFont="1" applyBorder="1"/>
    <xf numFmtId="0" fontId="135" fillId="0" borderId="4" xfId="4496" applyFont="1" applyBorder="1" applyAlignment="1">
      <alignment horizontal="left" indent="1"/>
    </xf>
    <xf numFmtId="0" fontId="96" fillId="0" borderId="4" xfId="4496" applyFont="1" applyBorder="1"/>
    <xf numFmtId="0" fontId="32" fillId="0" borderId="0" xfId="4495" applyFont="1" applyAlignment="1">
      <alignment vertical="center"/>
    </xf>
    <xf numFmtId="0" fontId="120" fillId="0" borderId="0" xfId="4496" applyFont="1" applyAlignment="1">
      <alignment vertical="center" wrapText="1"/>
    </xf>
    <xf numFmtId="0" fontId="19" fillId="43" borderId="0" xfId="1192" applyFont="1" applyFill="1"/>
    <xf numFmtId="3" fontId="66" fillId="43" borderId="6" xfId="1192" applyNumberFormat="1" applyFont="1" applyFill="1" applyBorder="1"/>
    <xf numFmtId="0" fontId="167" fillId="0" borderId="0" xfId="0" applyFont="1"/>
    <xf numFmtId="0" fontId="19" fillId="0" borderId="11" xfId="253" applyFont="1" applyBorder="1" applyAlignment="1" applyProtection="1">
      <alignment horizontal="center" wrapText="1"/>
      <protection locked="0"/>
    </xf>
    <xf numFmtId="0" fontId="168" fillId="0" borderId="0" xfId="0" applyFont="1"/>
    <xf numFmtId="0" fontId="169" fillId="0" borderId="0" xfId="0" applyFont="1" applyAlignment="1">
      <alignment horizontal="center"/>
    </xf>
    <xf numFmtId="0" fontId="51" fillId="5" borderId="11" xfId="0" applyFont="1" applyFill="1" applyBorder="1" applyAlignment="1" applyProtection="1">
      <alignment horizontal="right" vertical="top" wrapText="1"/>
      <protection locked="0"/>
    </xf>
    <xf numFmtId="0" fontId="14" fillId="43" borderId="3" xfId="569" applyFill="1" applyBorder="1"/>
    <xf numFmtId="0" fontId="174" fillId="0" borderId="0" xfId="0" applyFont="1" applyAlignment="1">
      <alignment horizontal="right"/>
    </xf>
    <xf numFmtId="1" fontId="22" fillId="0" borderId="0" xfId="4495" applyNumberFormat="1" applyFont="1"/>
    <xf numFmtId="0" fontId="2" fillId="0" borderId="0" xfId="8726"/>
    <xf numFmtId="0" fontId="101" fillId="0" borderId="0" xfId="8726" applyFont="1"/>
    <xf numFmtId="0" fontId="15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100" fillId="48" borderId="66" xfId="8726" applyNumberFormat="1" applyFont="1" applyFill="1" applyBorder="1" applyAlignment="1">
      <alignment horizontal="right" vertical="top"/>
    </xf>
    <xf numFmtId="0" fontId="100" fillId="48" borderId="0" xfId="8726" applyFont="1" applyFill="1"/>
    <xf numFmtId="0" fontId="100" fillId="48" borderId="66" xfId="8726" applyFont="1" applyFill="1" applyBorder="1"/>
    <xf numFmtId="0" fontId="100" fillId="48" borderId="41" xfId="8726" applyFont="1" applyFill="1" applyBorder="1" applyAlignment="1">
      <alignment horizontal="center"/>
    </xf>
    <xf numFmtId="0" fontId="101" fillId="48" borderId="0" xfId="8726" applyFont="1" applyFill="1"/>
    <xf numFmtId="0" fontId="2" fillId="48" borderId="69" xfId="8726" applyFill="1" applyBorder="1"/>
    <xf numFmtId="168" fontId="157" fillId="48" borderId="68" xfId="700" applyNumberFormat="1" applyFont="1" applyFill="1" applyBorder="1" applyAlignment="1" applyProtection="1">
      <protection locked="0"/>
    </xf>
    <xf numFmtId="0" fontId="162" fillId="48" borderId="0" xfId="8726" applyFont="1" applyFill="1"/>
    <xf numFmtId="0" fontId="147" fillId="47" borderId="91" xfId="8726" applyFont="1" applyFill="1" applyBorder="1" applyAlignment="1">
      <alignment horizontal="center"/>
    </xf>
    <xf numFmtId="0" fontId="147" fillId="47" borderId="11" xfId="8726" applyFont="1" applyFill="1" applyBorder="1" applyAlignment="1">
      <alignment horizontal="center"/>
    </xf>
    <xf numFmtId="0" fontId="161" fillId="47" borderId="91" xfId="8726" applyFont="1" applyFill="1" applyBorder="1"/>
    <xf numFmtId="0" fontId="161" fillId="47" borderId="11" xfId="8726" applyFont="1" applyFill="1" applyBorder="1"/>
    <xf numFmtId="0" fontId="2" fillId="45" borderId="69" xfId="8726" applyFill="1" applyBorder="1"/>
    <xf numFmtId="0" fontId="2" fillId="45" borderId="68" xfId="8726" applyFill="1" applyBorder="1"/>
    <xf numFmtId="0" fontId="100" fillId="45" borderId="68" xfId="8726" applyFont="1" applyFill="1" applyBorder="1"/>
    <xf numFmtId="0" fontId="100" fillId="45" borderId="67" xfId="8726" applyFont="1" applyFill="1" applyBorder="1"/>
    <xf numFmtId="0" fontId="100" fillId="45" borderId="69" xfId="8726" applyFont="1" applyFill="1" applyBorder="1"/>
    <xf numFmtId="0" fontId="2" fillId="48" borderId="0" xfId="8726" applyFill="1" applyAlignment="1">
      <alignment horizontal="left"/>
    </xf>
    <xf numFmtId="0" fontId="151" fillId="48" borderId="0" xfId="8726" applyFont="1" applyFill="1"/>
    <xf numFmtId="0" fontId="100" fillId="45" borderId="89" xfId="8726" applyFont="1" applyFill="1" applyBorder="1"/>
    <xf numFmtId="0" fontId="100" fillId="45" borderId="76" xfId="8726" applyFont="1" applyFill="1" applyBorder="1"/>
    <xf numFmtId="0" fontId="100" fillId="45" borderId="75" xfId="8726" applyFont="1" applyFill="1" applyBorder="1"/>
    <xf numFmtId="0" fontId="100" fillId="45" borderId="31" xfId="8726" applyFont="1" applyFill="1" applyBorder="1"/>
    <xf numFmtId="0" fontId="100" fillId="45" borderId="29" xfId="8726" applyFont="1" applyFill="1" applyBorder="1"/>
    <xf numFmtId="0" fontId="10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10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84" fillId="0" borderId="0" xfId="8726" applyFont="1"/>
    <xf numFmtId="0" fontId="2" fillId="45" borderId="99" xfId="8726" applyFill="1" applyBorder="1"/>
    <xf numFmtId="0" fontId="2" fillId="45" borderId="65" xfId="8726" applyFill="1" applyBorder="1"/>
    <xf numFmtId="0" fontId="100" fillId="45" borderId="28" xfId="8726" applyFont="1" applyFill="1" applyBorder="1"/>
    <xf numFmtId="0" fontId="2" fillId="52" borderId="101" xfId="8726" applyFill="1" applyBorder="1"/>
    <xf numFmtId="0" fontId="2" fillId="51" borderId="101" xfId="8726" applyFill="1" applyBorder="1"/>
    <xf numFmtId="0" fontId="100" fillId="50" borderId="100" xfId="8726" applyFont="1" applyFill="1" applyBorder="1"/>
    <xf numFmtId="0" fontId="100" fillId="0" borderId="0" xfId="8726" applyFont="1"/>
    <xf numFmtId="0" fontId="100" fillId="48" borderId="41" xfId="8726" applyFont="1" applyFill="1" applyBorder="1"/>
    <xf numFmtId="0" fontId="149" fillId="48" borderId="0" xfId="8726" applyFont="1" applyFill="1"/>
    <xf numFmtId="182" fontId="16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181" fontId="14" fillId="0" borderId="11" xfId="4504" applyNumberFormat="1" applyFont="1" applyBorder="1" applyAlignment="1">
      <alignment horizontal="center"/>
    </xf>
    <xf numFmtId="0" fontId="96" fillId="0" borderId="6" xfId="4496" applyFont="1" applyBorder="1" applyAlignment="1">
      <alignment horizontal="left" vertical="top"/>
    </xf>
    <xf numFmtId="0" fontId="14" fillId="0" borderId="0" xfId="0" applyFont="1" applyAlignment="1">
      <alignment horizontal="left" vertical="top" wrapText="1"/>
    </xf>
    <xf numFmtId="0" fontId="15" fillId="0" borderId="0" xfId="244"/>
    <xf numFmtId="0" fontId="0" fillId="0" borderId="0" xfId="0"/>
    <xf numFmtId="0" fontId="14" fillId="0" borderId="0" xfId="1192" applyAlignment="1">
      <alignment horizontal="left" vertical="top" wrapText="1"/>
    </xf>
    <xf numFmtId="0" fontId="21" fillId="0" borderId="0" xfId="0" applyFont="1" applyAlignment="1">
      <alignment horizontal="left" vertical="top" wrapText="1"/>
    </xf>
    <xf numFmtId="0" fontId="43" fillId="0" borderId="0" xfId="0" applyFont="1" applyAlignment="1">
      <alignment horizontal="left" vertical="top" wrapText="1"/>
    </xf>
    <xf numFmtId="0" fontId="14" fillId="0" borderId="0" xfId="0" applyFont="1" applyAlignment="1">
      <alignment horizontal="left" wrapText="1"/>
    </xf>
    <xf numFmtId="0" fontId="15" fillId="0" borderId="0" xfId="244" applyAlignment="1" applyProtection="1">
      <alignment horizontal="left"/>
    </xf>
    <xf numFmtId="0" fontId="111" fillId="0" borderId="0" xfId="0" applyFont="1" applyAlignment="1">
      <alignment horizontal="left" wrapText="1"/>
    </xf>
    <xf numFmtId="0" fontId="23" fillId="0" borderId="0" xfId="0" applyFont="1" applyAlignment="1">
      <alignment horizontal="left" wrapText="1"/>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103" fillId="0" borderId="0" xfId="0" applyFont="1" applyAlignment="1">
      <alignment horizontal="left" vertical="top" wrapText="1"/>
    </xf>
    <xf numFmtId="0" fontId="32" fillId="0" borderId="0" xfId="569" applyFont="1" applyAlignment="1">
      <alignment horizontal="left"/>
    </xf>
    <xf numFmtId="4" fontId="14" fillId="0" borderId="0" xfId="569" applyNumberFormat="1" applyAlignment="1">
      <alignment horizontal="left"/>
    </xf>
    <xf numFmtId="0" fontId="14" fillId="0" borderId="0" xfId="569" applyAlignment="1">
      <alignment horizontal="left" vertical="top" wrapText="1"/>
    </xf>
    <xf numFmtId="4" fontId="32" fillId="0" borderId="0" xfId="569" applyNumberFormat="1" applyFont="1" applyAlignment="1">
      <alignment horizontal="left" vertical="top" wrapText="1"/>
    </xf>
    <xf numFmtId="4" fontId="14" fillId="0" borderId="0" xfId="569" applyNumberFormat="1" applyAlignment="1">
      <alignment horizontal="left" vertical="top" wrapText="1"/>
    </xf>
    <xf numFmtId="0" fontId="23" fillId="0" borderId="0" xfId="0" applyFont="1" applyAlignment="1">
      <alignment horizontal="left" vertical="top"/>
    </xf>
    <xf numFmtId="0" fontId="32" fillId="0" borderId="0" xfId="0" applyFont="1" applyAlignment="1">
      <alignment horizontal="left"/>
    </xf>
    <xf numFmtId="0" fontId="14" fillId="0" borderId="0" xfId="0" applyFont="1" applyAlignment="1">
      <alignment horizontal="left"/>
    </xf>
    <xf numFmtId="0" fontId="21" fillId="0" borderId="4" xfId="569" applyFont="1" applyBorder="1" applyAlignment="1">
      <alignment horizontal="left"/>
    </xf>
    <xf numFmtId="0" fontId="21" fillId="0" borderId="4" xfId="569" applyFont="1" applyBorder="1" applyAlignment="1">
      <alignment horizontal="left" vertical="top"/>
    </xf>
    <xf numFmtId="0" fontId="32" fillId="0" borderId="0" xfId="0" applyFont="1" applyAlignment="1">
      <alignment horizontal="left" wrapText="1"/>
    </xf>
    <xf numFmtId="0" fontId="14" fillId="0" borderId="0" xfId="0" applyFont="1" applyAlignment="1">
      <alignment horizontal="left" vertical="top"/>
    </xf>
    <xf numFmtId="0" fontId="21" fillId="0" borderId="0" xfId="0" applyFont="1" applyAlignment="1">
      <alignment horizontal="left"/>
    </xf>
    <xf numFmtId="0" fontId="23" fillId="0" borderId="0" xfId="0" applyFont="1" applyAlignment="1">
      <alignment horizontal="left"/>
    </xf>
    <xf numFmtId="0" fontId="15" fillId="0" borderId="0" xfId="244" quotePrefix="1" applyAlignment="1" applyProtection="1">
      <alignment horizontal="left"/>
    </xf>
    <xf numFmtId="0" fontId="21" fillId="0" borderId="4" xfId="0" applyFont="1" applyBorder="1" applyAlignment="1">
      <alignment horizontal="left"/>
    </xf>
    <xf numFmtId="0" fontId="32" fillId="0" borderId="0" xfId="569" applyFont="1" applyAlignment="1">
      <alignment horizontal="left" vertical="top"/>
    </xf>
    <xf numFmtId="0" fontId="14" fillId="0" borderId="0" xfId="569" applyAlignment="1">
      <alignment horizontal="left" vertical="top"/>
    </xf>
    <xf numFmtId="0" fontId="21" fillId="0" borderId="0" xfId="569" applyFont="1" applyAlignment="1">
      <alignment horizontal="left" vertical="top"/>
    </xf>
    <xf numFmtId="0" fontId="32" fillId="0" borderId="0" xfId="0" applyFont="1" applyAlignment="1">
      <alignment horizontal="left" vertical="top" wrapText="1"/>
    </xf>
    <xf numFmtId="4" fontId="14" fillId="0" borderId="0" xfId="0" applyNumberFormat="1" applyFont="1" applyAlignment="1">
      <alignment horizontal="left" vertical="top" wrapText="1"/>
    </xf>
    <xf numFmtId="4" fontId="32" fillId="0" borderId="0" xfId="0" applyNumberFormat="1" applyFont="1" applyAlignment="1">
      <alignment horizontal="left"/>
    </xf>
    <xf numFmtId="4" fontId="15" fillId="0" borderId="0" xfId="244" applyNumberFormat="1" applyFill="1" applyAlignment="1" applyProtection="1">
      <alignment horizontal="left"/>
    </xf>
    <xf numFmtId="0" fontId="14" fillId="0" borderId="0" xfId="271" applyFont="1" applyAlignment="1">
      <alignment horizontal="left" vertical="top" wrapText="1"/>
    </xf>
    <xf numFmtId="4" fontId="14" fillId="0" borderId="0" xfId="1192" applyNumberForma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0" fontId="32" fillId="0" borderId="0" xfId="569" applyFont="1" applyAlignment="1">
      <alignment horizontal="left" vertical="top" wrapText="1"/>
    </xf>
    <xf numFmtId="0" fontId="14" fillId="0" borderId="0" xfId="569" applyAlignment="1">
      <alignment horizontal="left"/>
    </xf>
    <xf numFmtId="0" fontId="15" fillId="0" borderId="0" xfId="244"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0" fontId="14" fillId="0" borderId="0" xfId="1192" applyAlignment="1">
      <alignment horizontal="left"/>
    </xf>
    <xf numFmtId="0" fontId="0" fillId="0" borderId="0" xfId="0" applyAlignment="1">
      <alignment horizontal="left" vertical="top" wrapText="1"/>
    </xf>
    <xf numFmtId="0" fontId="14" fillId="0" borderId="0" xfId="271" applyFont="1" applyAlignment="1" applyProtection="1">
      <alignment horizontal="left" vertical="top" wrapText="1"/>
      <protection locked="0"/>
    </xf>
    <xf numFmtId="0" fontId="32" fillId="0" borderId="0" xfId="1192" applyFont="1" applyAlignment="1">
      <alignment horizontal="left"/>
    </xf>
    <xf numFmtId="0" fontId="21" fillId="0" borderId="0" xfId="271" applyFont="1" applyAlignment="1">
      <alignment horizontal="left" vertical="top" wrapText="1"/>
    </xf>
    <xf numFmtId="0" fontId="112" fillId="0" borderId="0" xfId="569" applyFont="1" applyAlignment="1">
      <alignment horizontal="center"/>
    </xf>
    <xf numFmtId="0" fontId="113" fillId="0" borderId="0" xfId="569" applyFont="1"/>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569"/>
    <xf numFmtId="0" fontId="14" fillId="0" borderId="0" xfId="1192" applyAlignment="1">
      <alignment vertical="top" wrapText="1"/>
    </xf>
    <xf numFmtId="0" fontId="32" fillId="0" borderId="0" xfId="569" applyFont="1" applyAlignment="1">
      <alignment horizontal="center"/>
    </xf>
    <xf numFmtId="0" fontId="21"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15" fillId="0" borderId="0" xfId="244" applyAlignment="1" applyProtection="1">
      <alignment horizontal="left" vertical="top" wrapText="1"/>
    </xf>
    <xf numFmtId="0" fontId="21" fillId="0" borderId="0" xfId="569" applyFont="1" applyAlignment="1">
      <alignment horizontal="left"/>
    </xf>
    <xf numFmtId="0" fontId="21" fillId="0" borderId="4" xfId="0" applyFont="1" applyBorder="1" applyAlignment="1">
      <alignment horizontal="left" vertical="top"/>
    </xf>
    <xf numFmtId="0" fontId="21" fillId="0" borderId="16" xfId="569" applyFont="1" applyBorder="1" applyAlignment="1">
      <alignment horizontal="left"/>
    </xf>
    <xf numFmtId="0" fontId="14" fillId="0" borderId="0" xfId="569" applyAlignment="1">
      <alignment horizontal="left" vertical="center" wrapText="1"/>
    </xf>
    <xf numFmtId="0" fontId="21" fillId="0" borderId="0" xfId="0" applyFont="1" applyAlignment="1">
      <alignment horizontal="left" vertical="top"/>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4" fontId="14" fillId="0" borderId="0" xfId="0" applyNumberFormat="1" applyFont="1" applyAlignment="1">
      <alignment horizontal="left"/>
    </xf>
    <xf numFmtId="0" fontId="21" fillId="0" borderId="0" xfId="0" applyFont="1" applyAlignment="1">
      <alignment vertical="top" wrapText="1"/>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32" fillId="0" borderId="0" xfId="0" applyFont="1" applyAlignment="1">
      <alignment horizontal="left" vertical="top"/>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168" fontId="23" fillId="5" borderId="3" xfId="0" applyNumberFormat="1" applyFont="1" applyFill="1" applyBorder="1" applyAlignment="1" applyProtection="1">
      <alignment horizontal="center"/>
      <protection locked="0"/>
    </xf>
    <xf numFmtId="168" fontId="23" fillId="5" borderId="4" xfId="0" applyNumberFormat="1" applyFont="1" applyFill="1" applyBorder="1" applyAlignment="1" applyProtection="1">
      <alignment horizontal="center"/>
      <protection locked="0"/>
    </xf>
    <xf numFmtId="168" fontId="23" fillId="5" borderId="5" xfId="0" applyNumberFormat="1" applyFont="1" applyFill="1" applyBorder="1" applyAlignment="1" applyProtection="1">
      <alignment horizontal="center"/>
      <protection locked="0"/>
    </xf>
    <xf numFmtId="9" fontId="23" fillId="5" borderId="3" xfId="0" applyNumberFormat="1" applyFont="1" applyFill="1" applyBorder="1" applyAlignment="1" applyProtection="1">
      <alignment horizontal="center"/>
      <protection locked="0"/>
    </xf>
    <xf numFmtId="9" fontId="23" fillId="5" borderId="4" xfId="0" applyNumberFormat="1" applyFont="1" applyFill="1" applyBorder="1" applyAlignment="1" applyProtection="1">
      <alignment horizontal="center"/>
      <protection locked="0"/>
    </xf>
    <xf numFmtId="9" fontId="23" fillId="5" borderId="5" xfId="0" applyNumberFormat="1" applyFont="1" applyFill="1" applyBorder="1" applyAlignment="1" applyProtection="1">
      <alignment horizontal="center"/>
      <protection locked="0"/>
    </xf>
    <xf numFmtId="165" fontId="23" fillId="0" borderId="1" xfId="0" applyNumberFormat="1" applyFont="1" applyBorder="1" applyAlignment="1">
      <alignment horizontal="right"/>
    </xf>
    <xf numFmtId="165" fontId="23" fillId="0" borderId="2" xfId="0" applyNumberFormat="1" applyFont="1" applyBorder="1" applyAlignment="1">
      <alignment horizontal="right"/>
    </xf>
    <xf numFmtId="165" fontId="23" fillId="0" borderId="7" xfId="0" applyNumberFormat="1" applyFont="1" applyBorder="1" applyAlignment="1">
      <alignment horizontal="right"/>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23" fillId="0" borderId="3" xfId="0" applyNumberFormat="1" applyFont="1" applyBorder="1" applyAlignment="1">
      <alignment horizontal="center"/>
    </xf>
    <xf numFmtId="168" fontId="23" fillId="0" borderId="4" xfId="0" applyNumberFormat="1" applyFont="1" applyBorder="1" applyAlignment="1">
      <alignment horizontal="center"/>
    </xf>
    <xf numFmtId="168" fontId="23" fillId="0" borderId="5" xfId="0" applyNumberFormat="1" applyFont="1" applyBorder="1" applyAlignment="1">
      <alignment horizontal="center"/>
    </xf>
    <xf numFmtId="0" fontId="0" fillId="0" borderId="11" xfId="0"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14" fillId="0" borderId="11" xfId="0" applyFont="1" applyBorder="1" applyAlignment="1">
      <alignment horizontal="center"/>
    </xf>
    <xf numFmtId="0" fontId="23" fillId="2" borderId="11" xfId="0" applyFont="1" applyFill="1" applyBorder="1" applyAlignment="1">
      <alignment horizontal="center"/>
    </xf>
    <xf numFmtId="0" fontId="14"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7" xfId="0" applyFont="1" applyBorder="1" applyAlignment="1">
      <alignment horizontal="center" vertical="top" wrapText="1"/>
    </xf>
    <xf numFmtId="0" fontId="23" fillId="0" borderId="8" xfId="0" applyFont="1" applyBorder="1" applyAlignment="1">
      <alignment horizontal="center" vertical="top" wrapText="1"/>
    </xf>
    <xf numFmtId="0" fontId="23"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23" fillId="0" borderId="10" xfId="0" applyFont="1" applyBorder="1" applyAlignment="1">
      <alignment horizontal="center" vertical="top" wrapText="1"/>
    </xf>
    <xf numFmtId="0" fontId="23" fillId="45" borderId="3" xfId="0" applyFont="1" applyFill="1" applyBorder="1" applyAlignment="1">
      <alignment horizontal="center"/>
    </xf>
    <xf numFmtId="0" fontId="23" fillId="45" borderId="4" xfId="0" applyFont="1" applyFill="1" applyBorder="1" applyAlignment="1">
      <alignment horizontal="center"/>
    </xf>
    <xf numFmtId="0" fontId="23" fillId="45" borderId="5" xfId="0" applyFont="1" applyFill="1" applyBorder="1" applyAlignment="1">
      <alignment horizontal="center"/>
    </xf>
    <xf numFmtId="0" fontId="23" fillId="45" borderId="11" xfId="0" applyFont="1" applyFill="1" applyBorder="1" applyAlignment="1">
      <alignment horizontal="center"/>
    </xf>
    <xf numFmtId="0" fontId="23" fillId="0" borderId="3" xfId="0" applyFont="1" applyBorder="1" applyAlignment="1">
      <alignment horizontal="center"/>
    </xf>
    <xf numFmtId="0" fontId="23" fillId="0" borderId="5" xfId="0" applyFont="1" applyBorder="1" applyAlignment="1">
      <alignment horizontal="center"/>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1" xfId="0" applyFont="1" applyBorder="1" applyAlignment="1">
      <alignment horizontal="center" vertical="top" wrapText="1"/>
    </xf>
    <xf numFmtId="0" fontId="23" fillId="5" borderId="4" xfId="0" applyFont="1" applyFill="1" applyBorder="1" applyAlignment="1" applyProtection="1">
      <alignment horizontal="left"/>
      <protection locked="0"/>
    </xf>
    <xf numFmtId="166" fontId="23" fillId="5" borderId="4" xfId="0" applyNumberFormat="1" applyFont="1" applyFill="1" applyBorder="1" applyAlignment="1" applyProtection="1">
      <alignment horizontal="left"/>
      <protection locked="0"/>
    </xf>
    <xf numFmtId="0" fontId="23" fillId="5" borderId="11" xfId="0" applyFont="1" applyFill="1" applyBorder="1" applyAlignment="1" applyProtection="1">
      <alignment horizontal="center"/>
      <protection locked="0"/>
    </xf>
    <xf numFmtId="0" fontId="14" fillId="0" borderId="3"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3" fillId="5" borderId="9" xfId="0" applyFon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14" fillId="0" borderId="3" xfId="0" applyNumberFormat="1" applyFont="1" applyBorder="1" applyAlignment="1">
      <alignment horizontal="left" vertical="top"/>
    </xf>
    <xf numFmtId="168" fontId="23" fillId="0" borderId="4" xfId="0" applyNumberFormat="1" applyFont="1" applyBorder="1" applyAlignment="1">
      <alignment horizontal="left" vertical="top"/>
    </xf>
    <xf numFmtId="168" fontId="23" fillId="0" borderId="5" xfId="0" applyNumberFormat="1" applyFont="1" applyBorder="1" applyAlignment="1">
      <alignment horizontal="left" vertical="top"/>
    </xf>
    <xf numFmtId="168" fontId="23" fillId="0" borderId="11" xfId="0" applyNumberFormat="1" applyFont="1" applyBorder="1" applyAlignment="1">
      <alignment horizontal="center"/>
    </xf>
    <xf numFmtId="0" fontId="21" fillId="0" borderId="3" xfId="0"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14" fillId="0" borderId="4" xfId="0" applyFont="1" applyBorder="1" applyAlignment="1">
      <alignment horizontal="left"/>
    </xf>
    <xf numFmtId="0" fontId="14" fillId="0" borderId="5" xfId="0" applyFont="1" applyBorder="1" applyAlignment="1">
      <alignment horizontal="left"/>
    </xf>
    <xf numFmtId="3" fontId="23" fillId="5" borderId="11" xfId="0" applyNumberFormat="1" applyFont="1" applyFill="1" applyBorder="1" applyAlignment="1" applyProtection="1">
      <alignment horizontal="center"/>
      <protection locked="0"/>
    </xf>
    <xf numFmtId="3" fontId="2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1"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0" fontId="14" fillId="5" borderId="4" xfId="0" applyFont="1" applyFill="1" applyBorder="1" applyAlignment="1" applyProtection="1">
      <alignment horizontal="left"/>
      <protection locked="0"/>
    </xf>
    <xf numFmtId="0" fontId="0" fillId="43" borderId="4" xfId="0" applyFill="1" applyBorder="1" applyAlignment="1" applyProtection="1">
      <alignment horizontal="left"/>
      <protection locked="0"/>
    </xf>
    <xf numFmtId="0" fontId="23" fillId="5" borderId="6" xfId="0" applyFont="1" applyFill="1" applyBorder="1" applyAlignment="1" applyProtection="1">
      <alignment horizontal="left"/>
      <protection locked="0"/>
    </xf>
    <xf numFmtId="1" fontId="23" fillId="5" borderId="3" xfId="0" applyNumberFormat="1" applyFont="1" applyFill="1" applyBorder="1" applyAlignment="1" applyProtection="1">
      <alignment horizontal="right" vertical="top"/>
      <protection locked="0"/>
    </xf>
    <xf numFmtId="1" fontId="23" fillId="5" borderId="4" xfId="0" applyNumberFormat="1" applyFont="1" applyFill="1" applyBorder="1" applyAlignment="1" applyProtection="1">
      <alignment horizontal="right" vertical="top"/>
      <protection locked="0"/>
    </xf>
    <xf numFmtId="1" fontId="23" fillId="5" borderId="5" xfId="0" applyNumberFormat="1" applyFont="1" applyFill="1" applyBorder="1" applyAlignment="1" applyProtection="1">
      <alignment horizontal="right" vertical="top"/>
      <protection locked="0"/>
    </xf>
    <xf numFmtId="168" fontId="23" fillId="5" borderId="6" xfId="0" applyNumberFormat="1" applyFont="1" applyFill="1" applyBorder="1" applyAlignment="1" applyProtection="1">
      <alignment horizontal="right"/>
      <protection locked="0"/>
    </xf>
    <xf numFmtId="10" fontId="23" fillId="0" borderId="11" xfId="0" applyNumberFormat="1" applyFont="1" applyBorder="1" applyAlignment="1">
      <alignment horizontal="center"/>
    </xf>
    <xf numFmtId="168" fontId="170" fillId="0" borderId="0" xfId="0" applyNumberFormat="1" applyFont="1" applyAlignment="1">
      <alignment horizontal="center" vertical="center" wrapText="1"/>
    </xf>
    <xf numFmtId="168" fontId="23" fillId="0" borderId="3" xfId="0" applyNumberFormat="1" applyFont="1" applyBorder="1" applyAlignment="1">
      <alignment horizontal="left" vertical="top"/>
    </xf>
    <xf numFmtId="168" fontId="23"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23" fillId="0" borderId="0" xfId="0" applyFont="1" applyAlignment="1">
      <alignment horizontal="left" vertical="top" wrapText="1"/>
    </xf>
    <xf numFmtId="0" fontId="0" fillId="43" borderId="10" xfId="0" applyFill="1" applyBorder="1" applyAlignment="1" applyProtection="1">
      <alignment horizontal="left"/>
      <protection locked="0"/>
    </xf>
    <xf numFmtId="166" fontId="14" fillId="5" borderId="6" xfId="0" applyNumberFormat="1" applyFont="1" applyFill="1" applyBorder="1" applyAlignment="1" applyProtection="1">
      <alignment horizontal="left"/>
      <protection locked="0"/>
    </xf>
    <xf numFmtId="166" fontId="23" fillId="5" borderId="6" xfId="0" applyNumberFormat="1" applyFont="1" applyFill="1" applyBorder="1" applyAlignment="1" applyProtection="1">
      <alignment horizontal="left"/>
      <protection locked="0"/>
    </xf>
    <xf numFmtId="168" fontId="23" fillId="5" borderId="3" xfId="0" applyNumberFormat="1" applyFont="1" applyFill="1" applyBorder="1" applyAlignment="1" applyProtection="1">
      <alignment horizontal="left" vertical="top"/>
      <protection locked="0"/>
    </xf>
    <xf numFmtId="168" fontId="23" fillId="5" borderId="4" xfId="0" applyNumberFormat="1" applyFont="1" applyFill="1" applyBorder="1" applyAlignment="1" applyProtection="1">
      <alignment horizontal="left" vertical="top"/>
      <protection locked="0"/>
    </xf>
    <xf numFmtId="168" fontId="23" fillId="5" borderId="5" xfId="0" applyNumberFormat="1" applyFont="1" applyFill="1" applyBorder="1" applyAlignment="1" applyProtection="1">
      <alignment horizontal="left" vertical="top"/>
      <protection locked="0"/>
    </xf>
    <xf numFmtId="0" fontId="14" fillId="5" borderId="6" xfId="0" applyFont="1" applyFill="1" applyBorder="1" applyAlignment="1" applyProtection="1">
      <alignment horizontal="left"/>
      <protection locked="0"/>
    </xf>
    <xf numFmtId="0" fontId="14" fillId="5" borderId="3" xfId="0" applyFont="1" applyFill="1" applyBorder="1" applyAlignment="1" applyProtection="1">
      <alignment horizontal="left"/>
      <protection locked="0"/>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3" fontId="0" fillId="0" borderId="6" xfId="0" applyNumberFormat="1" applyBorder="1" applyAlignment="1">
      <alignment horizontal="right"/>
    </xf>
    <xf numFmtId="0" fontId="23" fillId="5" borderId="0" xfId="0" applyFont="1" applyFill="1" applyAlignment="1" applyProtection="1">
      <alignment horizontal="left" vertical="top" wrapText="1"/>
      <protection locked="0"/>
    </xf>
    <xf numFmtId="0" fontId="23" fillId="5" borderId="6" xfId="0" applyFont="1" applyFill="1" applyBorder="1" applyAlignment="1" applyProtection="1">
      <alignment horizontal="left" vertical="top" wrapText="1"/>
      <protection locked="0"/>
    </xf>
    <xf numFmtId="0" fontId="14"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21" fillId="0" borderId="6" xfId="0" applyFont="1" applyBorder="1" applyAlignment="1">
      <alignment horizontal="center"/>
    </xf>
    <xf numFmtId="0" fontId="21" fillId="0" borderId="10" xfId="0" applyFont="1" applyBorder="1" applyAlignment="1">
      <alignment horizontal="center"/>
    </xf>
    <xf numFmtId="165" fontId="23" fillId="5" borderId="3" xfId="0" applyNumberFormat="1" applyFont="1" applyFill="1" applyBorder="1" applyAlignment="1" applyProtection="1">
      <alignment horizontal="center"/>
      <protection locked="0"/>
    </xf>
    <xf numFmtId="165" fontId="23" fillId="5" borderId="4" xfId="0" applyNumberFormat="1" applyFont="1" applyFill="1" applyBorder="1" applyAlignment="1" applyProtection="1">
      <alignment horizontal="center"/>
      <protection locked="0"/>
    </xf>
    <xf numFmtId="165" fontId="2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43" borderId="6" xfId="0" applyFont="1" applyFill="1" applyBorder="1" applyAlignment="1" applyProtection="1">
      <alignment horizontal="left"/>
      <protection locked="0"/>
    </xf>
    <xf numFmtId="1" fontId="23" fillId="5" borderId="6" xfId="0" applyNumberFormat="1" applyFont="1" applyFill="1" applyBorder="1" applyAlignment="1" applyProtection="1">
      <alignment horizontal="right"/>
      <protection locked="0"/>
    </xf>
    <xf numFmtId="1" fontId="23" fillId="5" borderId="11" xfId="0" quotePrefix="1" applyNumberFormat="1" applyFont="1" applyFill="1" applyBorder="1" applyAlignment="1" applyProtection="1">
      <alignment horizontal="center"/>
      <protection locked="0"/>
    </xf>
    <xf numFmtId="1" fontId="23" fillId="5" borderId="11" xfId="0" applyNumberFormat="1" applyFont="1" applyFill="1" applyBorder="1" applyAlignment="1" applyProtection="1">
      <alignment horizontal="center"/>
      <protection locked="0"/>
    </xf>
    <xf numFmtId="0" fontId="33"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0" fontId="14" fillId="5" borderId="11" xfId="0" applyFont="1" applyFill="1" applyBorder="1" applyAlignment="1" applyProtection="1">
      <alignment horizontal="left" vertical="center" wrapText="1"/>
      <protection locked="0"/>
    </xf>
    <xf numFmtId="175" fontId="0" fillId="5" borderId="4" xfId="0" applyNumberFormat="1" applyFill="1" applyBorder="1" applyAlignment="1" applyProtection="1">
      <alignment horizontal="left" vertical="center" wrapText="1"/>
      <protection locked="0"/>
    </xf>
    <xf numFmtId="0" fontId="14" fillId="5" borderId="11" xfId="0" applyFont="1" applyFill="1" applyBorder="1" applyAlignment="1" applyProtection="1">
      <alignment vertical="center" wrapText="1"/>
      <protection locked="0"/>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3" fillId="0" borderId="4" xfId="0" applyFont="1"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14" fillId="0" borderId="11" xfId="543" applyBorder="1" applyAlignment="1">
      <alignment horizontal="center"/>
    </xf>
    <xf numFmtId="0" fontId="21" fillId="0" borderId="9" xfId="0" applyFont="1" applyBorder="1" applyAlignment="1">
      <alignment horizontal="center"/>
    </xf>
    <xf numFmtId="0" fontId="14"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4" fillId="43" borderId="4" xfId="0" applyFont="1" applyFill="1" applyBorder="1" applyAlignment="1" applyProtection="1">
      <alignment horizontal="left" wrapText="1"/>
      <protection locked="0"/>
    </xf>
    <xf numFmtId="0" fontId="14"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14" fillId="5" borderId="4" xfId="0" applyFont="1" applyFill="1" applyBorder="1" applyAlignment="1" applyProtection="1">
      <alignment horizontal="center"/>
      <protection locked="0"/>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168" fontId="51" fillId="0" borderId="2" xfId="0" applyNumberFormat="1" applyFont="1" applyBorder="1" applyAlignment="1">
      <alignment horizontal="left" vertical="top" wrapText="1"/>
    </xf>
    <xf numFmtId="168" fontId="51" fillId="0" borderId="0" xfId="0" applyNumberFormat="1" applyFont="1" applyAlignment="1">
      <alignment horizontal="left" vertical="top" wrapText="1"/>
    </xf>
    <xf numFmtId="178" fontId="2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0" fontId="23" fillId="5" borderId="4" xfId="0" applyNumberFormat="1" applyFont="1" applyFill="1" applyBorder="1" applyAlignment="1" applyProtection="1">
      <alignment horizontal="right"/>
      <protection locked="0"/>
    </xf>
    <xf numFmtId="0" fontId="0" fillId="0" borderId="12" xfId="0" applyBorder="1" applyAlignment="1">
      <alignment horizontal="center"/>
    </xf>
    <xf numFmtId="14" fontId="0" fillId="5" borderId="6" xfId="0" applyNumberFormat="1" applyFill="1" applyBorder="1" applyAlignment="1" applyProtection="1">
      <alignment horizontal="center"/>
      <protection locked="0"/>
    </xf>
    <xf numFmtId="0" fontId="14" fillId="5" borderId="6" xfId="244" applyFont="1" applyFill="1" applyBorder="1" applyAlignment="1" applyProtection="1">
      <alignment horizontal="left"/>
      <protection locked="0"/>
    </xf>
    <xf numFmtId="0" fontId="14" fillId="5" borderId="0" xfId="244" applyFont="1" applyFill="1" applyBorder="1" applyAlignment="1" applyProtection="1">
      <alignment horizontal="left"/>
      <protection locked="0"/>
    </xf>
    <xf numFmtId="0" fontId="23" fillId="5" borderId="6" xfId="0" applyFont="1" applyFill="1" applyBorder="1" applyAlignment="1" applyProtection="1">
      <alignment horizontal="left" wrapText="1"/>
      <protection locked="0"/>
    </xf>
    <xf numFmtId="0" fontId="23" fillId="0" borderId="6" xfId="0" applyFont="1" applyBorder="1" applyAlignment="1">
      <alignment horizontal="left"/>
    </xf>
    <xf numFmtId="166" fontId="14" fillId="5" borderId="6" xfId="271" applyNumberFormat="1" applyFont="1" applyFill="1" applyBorder="1" applyAlignment="1" applyProtection="1">
      <alignment horizontal="left"/>
      <protection locked="0"/>
    </xf>
    <xf numFmtId="166" fontId="23" fillId="5" borderId="6" xfId="271" applyNumberFormat="1" applyFill="1" applyBorder="1" applyAlignment="1" applyProtection="1">
      <alignment horizontal="left"/>
      <protection locked="0"/>
    </xf>
    <xf numFmtId="166" fontId="23"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0" fillId="3" borderId="0" xfId="0" applyFont="1" applyFill="1" applyAlignment="1">
      <alignment horizontal="center" vertical="center"/>
    </xf>
    <xf numFmtId="0" fontId="0" fillId="0" borderId="0" xfId="0" applyAlignment="1">
      <alignment wrapText="1"/>
    </xf>
    <xf numFmtId="0" fontId="167" fillId="0" borderId="0" xfId="0" applyFont="1" applyAlignment="1" applyProtection="1">
      <alignment horizontal="left" vertical="top" wrapText="1"/>
      <protection locked="0"/>
    </xf>
    <xf numFmtId="166" fontId="14" fillId="5" borderId="4" xfId="0" applyNumberFormat="1" applyFont="1" applyFill="1" applyBorder="1" applyAlignment="1" applyProtection="1">
      <alignment horizontal="left"/>
      <protection locked="0"/>
    </xf>
    <xf numFmtId="0" fontId="14" fillId="0" borderId="6" xfId="0" applyFont="1" applyBorder="1" applyAlignment="1" applyProtection="1">
      <alignment horizontal="center"/>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14"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0" fillId="5" borderId="6" xfId="0" applyFill="1" applyBorder="1" applyProtection="1">
      <protection locked="0"/>
    </xf>
    <xf numFmtId="0" fontId="14" fillId="0" borderId="4" xfId="0" applyFont="1" applyBorder="1" applyAlignment="1" applyProtection="1">
      <alignment horizontal="left"/>
      <protection locked="0"/>
    </xf>
    <xf numFmtId="0" fontId="23"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4" fillId="0" borderId="0" xfId="0" applyFont="1" applyAlignment="1" applyProtection="1">
      <alignment horizontal="left"/>
      <protection locked="0"/>
    </xf>
    <xf numFmtId="0" fontId="14" fillId="5" borderId="6" xfId="0" applyFont="1" applyFill="1" applyBorder="1" applyAlignment="1" applyProtection="1">
      <alignment horizontal="left" wrapText="1"/>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3"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4" fillId="0" borderId="6" xfId="0" applyFont="1" applyBorder="1" applyAlignment="1">
      <alignment horizontal="left"/>
    </xf>
    <xf numFmtId="0" fontId="14" fillId="43" borderId="0" xfId="0" applyFont="1" applyFill="1" applyAlignment="1" applyProtection="1">
      <alignment horizontal="left" vertical="center" wrapText="1"/>
      <protection locked="0"/>
    </xf>
    <xf numFmtId="0" fontId="14" fillId="43" borderId="6" xfId="0" applyFont="1" applyFill="1" applyBorder="1" applyAlignment="1" applyProtection="1">
      <alignment horizontal="left" vertical="center" wrapText="1"/>
      <protection locked="0"/>
    </xf>
    <xf numFmtId="0" fontId="14"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4" fillId="5" borderId="11" xfId="0" applyFont="1" applyFill="1" applyBorder="1" applyAlignment="1" applyProtection="1">
      <alignment horizontal="left" wrapText="1"/>
      <protection locked="0"/>
    </xf>
    <xf numFmtId="10" fontId="0" fillId="5" borderId="4" xfId="0" applyNumberFormat="1" applyFill="1" applyBorder="1" applyAlignment="1" applyProtection="1">
      <alignment horizontal="center"/>
      <protection locked="0"/>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left"/>
    </xf>
    <xf numFmtId="0" fontId="21"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0" borderId="3" xfId="0" applyFont="1" applyBorder="1" applyAlignment="1">
      <alignment horizontal="right"/>
    </xf>
    <xf numFmtId="0" fontId="21" fillId="0" borderId="4" xfId="0" applyFont="1" applyBorder="1" applyAlignment="1">
      <alignment horizontal="right"/>
    </xf>
    <xf numFmtId="0" fontId="21" fillId="0" borderId="5" xfId="0" applyFont="1" applyBorder="1" applyAlignment="1">
      <alignment horizontal="right"/>
    </xf>
    <xf numFmtId="168" fontId="0" fillId="0" borderId="11" xfId="0" applyNumberFormat="1" applyBorder="1" applyAlignment="1">
      <alignment horizontal="right"/>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1" fillId="0" borderId="2" xfId="0" applyFont="1" applyBorder="1" applyAlignment="1">
      <alignment horizontal="center" wrapText="1"/>
    </xf>
    <xf numFmtId="0" fontId="21" fillId="0" borderId="7" xfId="0" applyFont="1" applyBorder="1" applyAlignment="1">
      <alignment horizontal="center" wrapText="1"/>
    </xf>
    <xf numFmtId="0" fontId="21" fillId="0" borderId="6" xfId="0" applyFont="1" applyBorder="1" applyAlignment="1">
      <alignment horizontal="center" wrapText="1"/>
    </xf>
    <xf numFmtId="0" fontId="21" fillId="0" borderId="10" xfId="0" applyFont="1" applyBorder="1" applyAlignment="1">
      <alignment horizontal="center" wrapText="1"/>
    </xf>
    <xf numFmtId="0" fontId="23" fillId="0" borderId="11" xfId="0" applyFont="1" applyBorder="1" applyAlignment="1">
      <alignment horizontal="center"/>
    </xf>
    <xf numFmtId="168" fontId="0" fillId="5" borderId="11" xfId="0" applyNumberFormat="1" applyFill="1" applyBorder="1" applyProtection="1">
      <protection locked="0"/>
    </xf>
    <xf numFmtId="0" fontId="21" fillId="5" borderId="11" xfId="0" applyFont="1" applyFill="1" applyBorder="1" applyAlignment="1" applyProtection="1">
      <alignment horizontal="center"/>
      <protection locked="0"/>
    </xf>
    <xf numFmtId="164" fontId="22" fillId="5" borderId="3" xfId="0" applyNumberFormat="1" applyFont="1" applyFill="1" applyBorder="1" applyAlignment="1" applyProtection="1">
      <alignment horizontal="left"/>
      <protection locked="0"/>
    </xf>
    <xf numFmtId="164" fontId="22" fillId="5" borderId="4" xfId="0" applyNumberFormat="1" applyFont="1" applyFill="1" applyBorder="1" applyAlignment="1" applyProtection="1">
      <alignment horizontal="left"/>
      <protection locked="0"/>
    </xf>
    <xf numFmtId="164" fontId="22" fillId="5" borderId="5" xfId="0" applyNumberFormat="1" applyFont="1" applyFill="1" applyBorder="1" applyAlignment="1" applyProtection="1">
      <alignment horizontal="left"/>
      <protection locked="0"/>
    </xf>
    <xf numFmtId="9" fontId="14" fillId="0" borderId="0" xfId="543" applyNumberFormat="1" applyAlignment="1">
      <alignment horizontal="center" vertical="center"/>
    </xf>
    <xf numFmtId="2" fontId="14" fillId="0" borderId="0" xfId="543" applyNumberFormat="1" applyAlignment="1">
      <alignment horizontal="center"/>
    </xf>
    <xf numFmtId="0" fontId="14" fillId="0" borderId="0" xfId="543"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0" fontId="14" fillId="0" borderId="3" xfId="0" applyFont="1" applyBorder="1"/>
    <xf numFmtId="0" fontId="14" fillId="0" borderId="4" xfId="0" applyFont="1" applyBorder="1"/>
    <xf numFmtId="0" fontId="14" fillId="0" borderId="5" xfId="0" applyFon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71" fontId="14" fillId="0" borderId="0" xfId="543" applyNumberFormat="1" applyAlignment="1">
      <alignment horizontal="center"/>
    </xf>
    <xf numFmtId="171" fontId="14" fillId="0" borderId="0" xfId="543" applyNumberFormat="1" applyAlignment="1">
      <alignment horizontal="right"/>
    </xf>
    <xf numFmtId="0" fontId="0" fillId="0" borderId="3" xfId="0" applyBorder="1"/>
    <xf numFmtId="0" fontId="0" fillId="0" borderId="4" xfId="0" applyBorder="1"/>
    <xf numFmtId="0" fontId="0" fillId="0" borderId="5" xfId="0" applyBorder="1"/>
    <xf numFmtId="0" fontId="21" fillId="0" borderId="8" xfId="0" applyFont="1" applyBorder="1" applyAlignment="1">
      <alignment horizontal="center" wrapText="1"/>
    </xf>
    <xf numFmtId="0" fontId="21" fillId="0" borderId="0" xfId="0" applyFont="1" applyAlignment="1">
      <alignment horizontal="center" wrapText="1"/>
    </xf>
    <xf numFmtId="0" fontId="21" fillId="0" borderId="12" xfId="0" applyFont="1" applyBorder="1" applyAlignment="1">
      <alignment horizontal="center" wrapText="1"/>
    </xf>
    <xf numFmtId="0" fontId="21" fillId="0" borderId="9" xfId="0" applyFont="1" applyBorder="1" applyAlignment="1">
      <alignment horizontal="center" wrapText="1"/>
    </xf>
    <xf numFmtId="0" fontId="21" fillId="0" borderId="1" xfId="0" applyFont="1" applyBorder="1" applyAlignment="1">
      <alignment horizontal="center" wrapText="1"/>
    </xf>
    <xf numFmtId="164" fontId="33" fillId="5" borderId="3" xfId="0" applyNumberFormat="1" applyFont="1" applyFill="1" applyBorder="1" applyAlignment="1" applyProtection="1">
      <alignment horizontal="left"/>
      <protection locked="0"/>
    </xf>
    <xf numFmtId="164" fontId="33" fillId="5" borderId="4" xfId="0" applyNumberFormat="1" applyFont="1" applyFill="1" applyBorder="1" applyAlignment="1" applyProtection="1">
      <alignment horizontal="left"/>
      <protection locked="0"/>
    </xf>
    <xf numFmtId="164" fontId="33"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0" fontId="34" fillId="0" borderId="4" xfId="543" applyFont="1" applyBorder="1" applyAlignment="1">
      <alignment horizontal="right" vertical="top" wrapText="1"/>
    </xf>
    <xf numFmtId="0" fontId="34" fillId="0" borderId="5" xfId="543" applyFont="1" applyBorder="1" applyAlignment="1">
      <alignment horizontal="right" vertical="top" wrapText="1"/>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0" fontId="22" fillId="0" borderId="3" xfId="543" applyFont="1" applyBorder="1" applyAlignment="1">
      <alignment horizontal="center"/>
    </xf>
    <xf numFmtId="0" fontId="22" fillId="0" borderId="5" xfId="543" applyFont="1" applyBorder="1" applyAlignment="1">
      <alignment horizontal="center"/>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0" fontId="33" fillId="0" borderId="3" xfId="543" applyFont="1" applyBorder="1" applyAlignment="1">
      <alignment horizontal="center"/>
    </xf>
    <xf numFmtId="0" fontId="33" fillId="0" borderId="5" xfId="543" applyFont="1" applyBorder="1" applyAlignment="1">
      <alignment horizontal="center"/>
    </xf>
    <xf numFmtId="0" fontId="33" fillId="5" borderId="3" xfId="543" applyFont="1" applyFill="1" applyBorder="1" applyAlignment="1" applyProtection="1">
      <alignment horizontal="center"/>
      <protection locked="0"/>
    </xf>
    <xf numFmtId="0" fontId="33" fillId="5" borderId="5" xfId="543" applyFont="1" applyFill="1" applyBorder="1" applyAlignment="1" applyProtection="1">
      <alignment horizontal="center"/>
      <protection locked="0"/>
    </xf>
    <xf numFmtId="0" fontId="51" fillId="5" borderId="3" xfId="0" applyFont="1" applyFill="1" applyBorder="1" applyAlignment="1" applyProtection="1">
      <alignment horizontal="right"/>
      <protection locked="0"/>
    </xf>
    <xf numFmtId="0" fontId="51" fillId="5" borderId="4" xfId="0" applyFont="1" applyFill="1" applyBorder="1" applyAlignment="1" applyProtection="1">
      <alignment horizontal="right"/>
      <protection locked="0"/>
    </xf>
    <xf numFmtId="0" fontId="51" fillId="5" borderId="5" xfId="0" applyFont="1" applyFill="1" applyBorder="1" applyAlignment="1" applyProtection="1">
      <alignment horizontal="right"/>
      <protection locked="0"/>
    </xf>
    <xf numFmtId="168" fontId="14"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14" fillId="5" borderId="3" xfId="543"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14" fillId="5" borderId="4" xfId="0" applyFont="1" applyFill="1" applyBorder="1" applyAlignment="1" applyProtection="1">
      <alignment wrapText="1"/>
      <protection locked="0"/>
    </xf>
    <xf numFmtId="0" fontId="23" fillId="5" borderId="4" xfId="0" applyFont="1" applyFill="1" applyBorder="1" applyAlignment="1" applyProtection="1">
      <alignment wrapText="1"/>
      <protection locked="0"/>
    </xf>
    <xf numFmtId="0" fontId="21" fillId="0" borderId="11" xfId="0" applyFont="1" applyBorder="1" applyAlignment="1">
      <alignment horizontal="center" vertical="center"/>
    </xf>
    <xf numFmtId="0" fontId="21" fillId="0" borderId="11" xfId="0"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0" xfId="0" applyFont="1" applyAlignment="1">
      <alignment horizontal="center" vertical="center" wrapText="1"/>
    </xf>
    <xf numFmtId="0" fontId="52" fillId="0" borderId="1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0" xfId="0" applyFont="1" applyBorder="1" applyAlignment="1">
      <alignment horizontal="center" vertical="center" wrapText="1"/>
    </xf>
    <xf numFmtId="0" fontId="37" fillId="0" borderId="3" xfId="0" applyFont="1" applyBorder="1" applyAlignment="1">
      <alignment horizontal="center"/>
    </xf>
    <xf numFmtId="0" fontId="37" fillId="0" borderId="4" xfId="0" applyFont="1" applyBorder="1" applyAlignment="1">
      <alignment horizontal="center"/>
    </xf>
    <xf numFmtId="0" fontId="37" fillId="0" borderId="5" xfId="0" applyFont="1" applyBorder="1" applyAlignment="1">
      <alignment horizontal="center"/>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2" fontId="0" fillId="0" borderId="6" xfId="0" applyNumberFormat="1" applyBorder="1" applyAlignment="1">
      <alignment horizontal="center"/>
    </xf>
    <xf numFmtId="0" fontId="21" fillId="0" borderId="6" xfId="0" applyFont="1" applyBorder="1" applyAlignment="1">
      <alignment horizontal="right"/>
    </xf>
    <xf numFmtId="0" fontId="14" fillId="5" borderId="3" xfId="0" applyFont="1" applyFill="1" applyBorder="1" applyProtection="1">
      <protection locked="0"/>
    </xf>
    <xf numFmtId="0" fontId="23" fillId="0" borderId="4" xfId="0" applyFont="1" applyBorder="1" applyProtection="1">
      <protection locked="0"/>
    </xf>
    <xf numFmtId="0" fontId="23" fillId="0" borderId="5" xfId="0" applyFont="1" applyBorder="1" applyProtection="1">
      <protection locked="0"/>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0" fontId="0" fillId="5" borderId="3" xfId="0" quotePrefix="1" applyFill="1" applyBorder="1" applyAlignment="1" applyProtection="1">
      <alignment horizontal="right"/>
      <protection locked="0"/>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168" fontId="14" fillId="0" borderId="11" xfId="543" applyNumberFormat="1" applyBorder="1" applyAlignment="1">
      <alignment horizontal="center"/>
    </xf>
    <xf numFmtId="0" fontId="21" fillId="0" borderId="2" xfId="0" applyFont="1" applyBorder="1" applyAlignment="1">
      <alignment horizontal="right"/>
    </xf>
    <xf numFmtId="0" fontId="21" fillId="0" borderId="7" xfId="0" applyFont="1" applyBorder="1" applyAlignment="1">
      <alignment horizontal="right"/>
    </xf>
    <xf numFmtId="0" fontId="14" fillId="5" borderId="5" xfId="0" applyFont="1" applyFill="1" applyBorder="1" applyAlignment="1" applyProtection="1">
      <alignment horizontal="left"/>
      <protection locked="0"/>
    </xf>
    <xf numFmtId="168" fontId="0" fillId="0" borderId="11" xfId="0" applyNumberFormat="1" applyBorder="1"/>
    <xf numFmtId="0" fontId="23" fillId="0" borderId="3" xfId="0" applyFont="1" applyBorder="1" applyAlignment="1">
      <alignment horizontal="left"/>
    </xf>
    <xf numFmtId="0" fontId="21" fillId="0" borderId="0" xfId="0" applyFont="1" applyAlignment="1">
      <alignment horizontal="center" vertical="center"/>
    </xf>
    <xf numFmtId="1" fontId="14" fillId="0" borderId="3" xfId="0" applyNumberFormat="1" applyFont="1" applyBorder="1" applyAlignment="1">
      <alignment horizontal="center"/>
    </xf>
    <xf numFmtId="1" fontId="23" fillId="0" borderId="4" xfId="0" applyNumberFormat="1" applyFont="1" applyBorder="1" applyAlignment="1">
      <alignment horizontal="center"/>
    </xf>
    <xf numFmtId="1" fontId="23" fillId="0" borderId="5" xfId="0" applyNumberFormat="1" applyFont="1" applyBorder="1" applyAlignment="1">
      <alignment horizontal="center"/>
    </xf>
    <xf numFmtId="0" fontId="23" fillId="5" borderId="6" xfId="271" applyFill="1"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11" xfId="0" applyFont="1" applyBorder="1" applyAlignment="1">
      <alignment horizontal="center" vertical="top" wrapText="1"/>
    </xf>
    <xf numFmtId="9" fontId="14"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4" fillId="43" borderId="11" xfId="0" applyFont="1" applyFill="1" applyBorder="1" applyAlignment="1" applyProtection="1">
      <alignment horizontal="center"/>
      <protection locked="0"/>
    </xf>
    <xf numFmtId="9" fontId="0" fillId="5" borderId="3" xfId="0" applyNumberFormat="1" applyFill="1" applyBorder="1" applyAlignment="1" applyProtection="1">
      <alignment horizontal="right"/>
      <protection locked="0"/>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182" fontId="22" fillId="43" borderId="11" xfId="8722" applyNumberFormat="1" applyFont="1" applyFill="1" applyBorder="1" applyAlignment="1" applyProtection="1">
      <alignment horizontal="center" vertical="center" wrapText="1"/>
      <protection locked="0"/>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6" xfId="0" applyFont="1" applyBorder="1" applyAlignment="1">
      <alignment horizontal="left" wrapText="1"/>
    </xf>
    <xf numFmtId="0" fontId="14" fillId="0" borderId="10" xfId="0" applyFont="1" applyBorder="1" applyAlignment="1">
      <alignment horizontal="left" wrapText="1"/>
    </xf>
    <xf numFmtId="0" fontId="33" fillId="5" borderId="9" xfId="543" applyFont="1" applyFill="1" applyBorder="1" applyAlignment="1" applyProtection="1">
      <alignment horizontal="center"/>
      <protection locked="0"/>
    </xf>
    <xf numFmtId="0" fontId="33" fillId="5" borderId="10" xfId="543" applyFont="1" applyFill="1" applyBorder="1" applyAlignment="1" applyProtection="1">
      <alignment horizontal="center"/>
      <protection locked="0"/>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0" fontId="166" fillId="0" borderId="8" xfId="543" applyFont="1" applyBorder="1" applyAlignment="1">
      <alignment horizontal="center" vertical="center" wrapText="1"/>
    </xf>
    <xf numFmtId="0" fontId="166" fillId="0" borderId="0" xfId="543" applyFont="1" applyAlignment="1">
      <alignment horizontal="center" vertical="center" wrapText="1"/>
    </xf>
    <xf numFmtId="0" fontId="166" fillId="0" borderId="12" xfId="543" applyFont="1" applyBorder="1" applyAlignment="1">
      <alignment horizontal="center" vertical="center" wrapText="1"/>
    </xf>
    <xf numFmtId="0" fontId="34" fillId="0" borderId="1" xfId="543" applyFont="1" applyBorder="1" applyAlignment="1">
      <alignment horizontal="right"/>
    </xf>
    <xf numFmtId="0" fontId="34" fillId="0" borderId="2" xfId="543" applyFont="1" applyBorder="1" applyAlignment="1">
      <alignment horizontal="right"/>
    </xf>
    <xf numFmtId="0" fontId="34" fillId="0" borderId="7" xfId="543" applyFont="1" applyBorder="1" applyAlignment="1">
      <alignment horizontal="right"/>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33" fillId="5" borderId="3" xfId="543" applyFont="1" applyFill="1" applyBorder="1" applyAlignment="1" applyProtection="1">
      <alignment horizontal="center" vertical="top"/>
      <protection locked="0"/>
    </xf>
    <xf numFmtId="0" fontId="33" fillId="5" borderId="5" xfId="543" applyFont="1" applyFill="1" applyBorder="1" applyAlignment="1" applyProtection="1">
      <alignment horizontal="center" vertical="top"/>
      <protection locked="0"/>
    </xf>
    <xf numFmtId="0" fontId="41" fillId="0" borderId="8" xfId="543" applyFont="1" applyBorder="1" applyAlignment="1">
      <alignment horizontal="center" vertical="center" wrapText="1"/>
    </xf>
    <xf numFmtId="0" fontId="41" fillId="0" borderId="0" xfId="543" applyFont="1" applyAlignment="1">
      <alignment horizontal="center" vertical="center" wrapText="1"/>
    </xf>
    <xf numFmtId="0" fontId="41" fillId="0" borderId="12" xfId="543" applyFont="1" applyBorder="1" applyAlignment="1">
      <alignment horizontal="center" vertical="center" wrapText="1"/>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0" fontId="33" fillId="5" borderId="3" xfId="543" applyFont="1" applyFill="1" applyBorder="1" applyAlignment="1">
      <alignment horizontal="center"/>
    </xf>
    <xf numFmtId="0" fontId="33" fillId="5" borderId="4" xfId="543" applyFont="1" applyFill="1" applyBorder="1" applyAlignment="1">
      <alignment horizontal="center"/>
    </xf>
    <xf numFmtId="0" fontId="33" fillId="5" borderId="5" xfId="543" applyFont="1" applyFill="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14" fontId="0" fillId="5" borderId="4" xfId="0" applyNumberFormat="1" applyFill="1" applyBorder="1" applyAlignment="1" applyProtection="1">
      <alignment horizontal="center"/>
      <protection locked="0"/>
    </xf>
    <xf numFmtId="0" fontId="14" fillId="5" borderId="3" xfId="0" applyFont="1" applyFill="1" applyBorder="1" applyAlignment="1" applyProtection="1">
      <alignment horizontal="center"/>
      <protection locked="0"/>
    </xf>
    <xf numFmtId="172" fontId="21" fillId="0" borderId="11" xfId="0" applyNumberFormat="1" applyFont="1" applyBorder="1" applyAlignment="1">
      <alignment horizontal="center" vertical="center" wrapText="1"/>
    </xf>
    <xf numFmtId="0" fontId="21" fillId="0" borderId="9" xfId="0" applyFont="1" applyBorder="1" applyAlignment="1">
      <alignment horizontal="right"/>
    </xf>
    <xf numFmtId="0" fontId="21" fillId="0" borderId="10" xfId="0" applyFont="1" applyBorder="1" applyAlignment="1">
      <alignment horizontal="right"/>
    </xf>
    <xf numFmtId="14" fontId="23" fillId="5" borderId="4" xfId="0" applyNumberFormat="1" applyFont="1" applyFill="1" applyBorder="1" applyAlignment="1" applyProtection="1">
      <alignment horizontal="right"/>
      <protection locked="0"/>
    </xf>
    <xf numFmtId="180" fontId="0" fillId="0" borderId="6" xfId="0" applyNumberFormat="1" applyBorder="1" applyAlignment="1">
      <alignment horizontal="center"/>
    </xf>
    <xf numFmtId="0" fontId="23" fillId="5" borderId="4" xfId="0" applyFont="1" applyFill="1" applyBorder="1" applyAlignment="1" applyProtection="1">
      <alignment horizontal="right"/>
      <protection locked="0"/>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47"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wrapText="1"/>
    </xf>
    <xf numFmtId="0" fontId="14" fillId="0" borderId="0" xfId="0" applyFont="1" applyAlignment="1">
      <alignment horizontal="center" vertical="top"/>
    </xf>
    <xf numFmtId="168" fontId="23" fillId="0" borderId="6" xfId="0" applyNumberFormat="1" applyFont="1" applyBorder="1" applyAlignment="1">
      <alignment horizontal="center"/>
    </xf>
    <xf numFmtId="0" fontId="22" fillId="0" borderId="0" xfId="0" applyFont="1" applyAlignment="1">
      <alignment horizontal="center"/>
    </xf>
    <xf numFmtId="0" fontId="175" fillId="0" borderId="8" xfId="543" applyFont="1" applyBorder="1" applyAlignment="1">
      <alignment horizontal="center" wrapText="1"/>
    </xf>
    <xf numFmtId="0" fontId="175" fillId="0" borderId="0" xfId="543" applyFont="1" applyAlignment="1">
      <alignment horizontal="center" wrapText="1"/>
    </xf>
    <xf numFmtId="0" fontId="175" fillId="0" borderId="12" xfId="543" applyFont="1" applyBorder="1" applyAlignment="1">
      <alignment horizontal="center" wrapText="1"/>
    </xf>
    <xf numFmtId="0" fontId="175" fillId="0" borderId="9" xfId="543" applyFont="1" applyBorder="1" applyAlignment="1">
      <alignment horizontal="center" wrapText="1"/>
    </xf>
    <xf numFmtId="0" fontId="175" fillId="0" borderId="6" xfId="543" applyFont="1" applyBorder="1" applyAlignment="1">
      <alignment horizontal="center" wrapText="1"/>
    </xf>
    <xf numFmtId="0" fontId="175" fillId="0" borderId="10" xfId="543" applyFont="1" applyBorder="1" applyAlignment="1">
      <alignment horizontal="center" wrapText="1"/>
    </xf>
    <xf numFmtId="0" fontId="175" fillId="0" borderId="8" xfId="543" applyFont="1" applyBorder="1" applyAlignment="1">
      <alignment horizontal="center" vertical="top" wrapText="1"/>
    </xf>
    <xf numFmtId="0" fontId="175" fillId="0" borderId="0" xfId="543" applyFont="1" applyAlignment="1">
      <alignment horizontal="center" vertical="top" wrapText="1"/>
    </xf>
    <xf numFmtId="0" fontId="175" fillId="0" borderId="12" xfId="543" applyFont="1" applyBorder="1" applyAlignment="1">
      <alignment horizontal="center" vertical="top" wrapText="1"/>
    </xf>
    <xf numFmtId="0" fontId="175" fillId="0" borderId="9" xfId="543" applyFont="1" applyBorder="1" applyAlignment="1">
      <alignment horizontal="center" vertical="top" wrapText="1"/>
    </xf>
    <xf numFmtId="0" fontId="175" fillId="0" borderId="6" xfId="543" applyFont="1" applyBorder="1" applyAlignment="1">
      <alignment horizontal="center" vertical="top" wrapText="1"/>
    </xf>
    <xf numFmtId="0" fontId="175" fillId="0" borderId="10" xfId="543" applyFont="1" applyBorder="1" applyAlignment="1">
      <alignment horizontal="center" vertical="top" wrapText="1"/>
    </xf>
    <xf numFmtId="0" fontId="170" fillId="0" borderId="0" xfId="0" applyFont="1" applyAlignment="1">
      <alignment horizontal="center" vertical="center" wrapText="1"/>
    </xf>
    <xf numFmtId="3" fontId="42" fillId="10" borderId="0" xfId="543" applyNumberFormat="1" applyFont="1" applyFill="1" applyAlignment="1">
      <alignment horizontal="left" vertical="center" wrapText="1"/>
    </xf>
    <xf numFmtId="2" fontId="0" fillId="5" borderId="6" xfId="0" applyNumberFormat="1" applyFill="1" applyBorder="1" applyAlignment="1" applyProtection="1">
      <alignment horizontal="center"/>
      <protection locked="0"/>
    </xf>
    <xf numFmtId="0" fontId="14" fillId="5" borderId="6" xfId="569" applyFill="1" applyBorder="1" applyAlignment="1" applyProtection="1">
      <alignment horizontal="left"/>
      <protection locked="0"/>
    </xf>
    <xf numFmtId="0" fontId="23" fillId="0" borderId="2" xfId="0" applyFont="1" applyBorder="1" applyAlignment="1">
      <alignment horizontal="left" vertical="top" wrapText="1"/>
    </xf>
    <xf numFmtId="177" fontId="23" fillId="5" borderId="6" xfId="0" applyNumberFormat="1" applyFont="1" applyFill="1" applyBorder="1" applyAlignment="1" applyProtection="1">
      <alignment horizontal="left" vertical="top" wrapText="1"/>
      <protection locked="0"/>
    </xf>
    <xf numFmtId="0" fontId="52" fillId="0" borderId="0" xfId="0" applyFont="1" applyAlignment="1">
      <alignment vertical="top" wrapText="1"/>
    </xf>
    <xf numFmtId="0" fontId="23" fillId="0" borderId="0" xfId="0" applyFont="1" applyAlignment="1">
      <alignment vertical="top" wrapText="1"/>
    </xf>
    <xf numFmtId="0" fontId="23" fillId="0" borderId="6" xfId="0" applyFont="1" applyBorder="1" applyAlignment="1">
      <alignment horizontal="right" vertical="top" wrapText="1"/>
    </xf>
    <xf numFmtId="0" fontId="23" fillId="0" borderId="6" xfId="0" applyFont="1" applyBorder="1" applyAlignment="1">
      <alignment vertical="top" wrapText="1"/>
    </xf>
    <xf numFmtId="0" fontId="56" fillId="2" borderId="3" xfId="0" applyFont="1" applyFill="1" applyBorder="1" applyAlignment="1">
      <alignment horizontal="center" vertical="top"/>
    </xf>
    <xf numFmtId="0" fontId="56" fillId="2" borderId="4" xfId="0" applyFont="1" applyFill="1" applyBorder="1" applyAlignment="1">
      <alignment horizontal="center" vertical="top"/>
    </xf>
    <xf numFmtId="0" fontId="56" fillId="2" borderId="5" xfId="0" applyFont="1" applyFill="1" applyBorder="1" applyAlignment="1">
      <alignment horizontal="center" vertical="top"/>
    </xf>
    <xf numFmtId="0" fontId="23" fillId="0" borderId="2" xfId="0" applyFont="1" applyBorder="1" applyAlignment="1">
      <alignment vertical="top" wrapText="1"/>
    </xf>
    <xf numFmtId="0" fontId="51" fillId="0" borderId="0" xfId="0" applyFont="1" applyAlignment="1">
      <alignment vertical="top" wrapText="1"/>
    </xf>
    <xf numFmtId="0" fontId="52"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0" fontId="14" fillId="45" borderId="11" xfId="4495" applyFont="1" applyFill="1" applyBorder="1" applyAlignment="1">
      <alignment horizontal="center"/>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20" fillId="0" borderId="3" xfId="4496" applyNumberFormat="1" applyFont="1" applyBorder="1" applyAlignment="1">
      <alignment horizontal="center" vertical="top" wrapText="1"/>
    </xf>
    <xf numFmtId="165" fontId="120" fillId="0" borderId="4" xfId="4496" applyNumberFormat="1" applyFont="1" applyBorder="1" applyAlignment="1">
      <alignment horizontal="center" vertical="top" wrapText="1"/>
    </xf>
    <xf numFmtId="165" fontId="12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168" fontId="14" fillId="0" borderId="0" xfId="1192" applyNumberFormat="1" applyAlignment="1">
      <alignment horizontal="right"/>
    </xf>
    <xf numFmtId="0" fontId="140" fillId="0" borderId="0" xfId="1192" applyFont="1" applyAlignment="1">
      <alignment horizontal="center"/>
    </xf>
    <xf numFmtId="168" fontId="14" fillId="43" borderId="6" xfId="543" applyNumberFormat="1" applyFill="1" applyBorder="1" applyAlignment="1" applyProtection="1">
      <alignment horizontal="center"/>
      <protection locked="0"/>
    </xf>
    <xf numFmtId="168" fontId="14" fillId="5" borderId="4" xfId="1192" applyNumberFormat="1" applyFill="1" applyBorder="1" applyAlignment="1" applyProtection="1">
      <alignment horizontal="center"/>
      <protection locked="0"/>
    </xf>
    <xf numFmtId="4" fontId="22" fillId="0" borderId="0" xfId="4495" applyNumberFormat="1" applyFont="1" applyAlignment="1">
      <alignment horizontal="center"/>
    </xf>
    <xf numFmtId="4" fontId="22" fillId="0" borderId="6" xfId="4495" applyNumberFormat="1" applyFont="1" applyBorder="1" applyAlignment="1">
      <alignment horizontal="center"/>
    </xf>
    <xf numFmtId="1" fontId="14" fillId="5" borderId="2" xfId="1192" applyNumberFormat="1" applyFill="1" applyBorder="1" applyAlignment="1" applyProtection="1">
      <alignment horizontal="center"/>
      <protection locked="0"/>
    </xf>
    <xf numFmtId="168" fontId="14" fillId="0" borderId="6" xfId="1192" applyNumberFormat="1" applyBorder="1" applyAlignment="1">
      <alignment horizontal="right"/>
    </xf>
    <xf numFmtId="168" fontId="14" fillId="0" borderId="4" xfId="1192" applyNumberFormat="1" applyBorder="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168" fontId="14" fillId="0" borderId="6" xfId="4496" applyNumberFormat="1" applyFont="1" applyBorder="1" applyAlignment="1">
      <alignment horizontal="center"/>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0" fontId="21" fillId="0" borderId="0" xfId="4495" applyFont="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0" xfId="4495" applyFont="1" applyAlignment="1">
      <alignment horizontal="right"/>
    </xf>
    <xf numFmtId="10" fontId="22" fillId="0" borderId="2" xfId="4495" applyNumberFormat="1" applyFont="1" applyBorder="1" applyAlignment="1">
      <alignment horizontal="center"/>
    </xf>
    <xf numFmtId="0" fontId="22" fillId="0" borderId="0" xfId="4495" applyFont="1" applyAlignment="1">
      <alignment horizontal="center"/>
    </xf>
    <xf numFmtId="9" fontId="22" fillId="5" borderId="6" xfId="4495" applyNumberFormat="1" applyFont="1" applyFill="1" applyBorder="1" applyAlignment="1">
      <alignment horizontal="left"/>
    </xf>
    <xf numFmtId="0" fontId="128" fillId="0" borderId="0" xfId="4495" applyFont="1" applyAlignment="1">
      <alignment horizontal="left" vertical="top" wrapText="1"/>
    </xf>
    <xf numFmtId="0" fontId="30" fillId="42" borderId="2" xfId="4495" applyFont="1" applyFill="1" applyBorder="1" applyAlignment="1">
      <alignment horizontal="center"/>
    </xf>
    <xf numFmtId="0" fontId="30" fillId="42" borderId="6" xfId="4495" applyFont="1" applyFill="1" applyBorder="1" applyAlignment="1">
      <alignment horizontal="center"/>
    </xf>
    <xf numFmtId="0" fontId="21" fillId="0" borderId="11" xfId="4495" applyFont="1" applyBorder="1" applyAlignment="1">
      <alignment horizontal="center"/>
    </xf>
    <xf numFmtId="0" fontId="118" fillId="5" borderId="55" xfId="4495" applyFill="1" applyBorder="1" applyAlignment="1" applyProtection="1">
      <alignment horizontal="center"/>
      <protection locked="0"/>
    </xf>
    <xf numFmtId="0" fontId="118" fillId="5" borderId="6" xfId="4495" applyFill="1" applyBorder="1" applyAlignment="1" applyProtection="1">
      <alignment horizontal="center"/>
      <protection locked="0"/>
    </xf>
    <xf numFmtId="0" fontId="21" fillId="0" borderId="54" xfId="4495" applyFont="1" applyBorder="1" applyAlignment="1">
      <alignment horizontal="center"/>
    </xf>
    <xf numFmtId="0" fontId="14" fillId="5" borderId="6" xfId="4495" applyFont="1" applyFill="1" applyBorder="1" applyAlignment="1" applyProtection="1">
      <alignment horizontal="center" vertical="center" wrapText="1" shrinkToFit="1"/>
      <protection locked="0"/>
    </xf>
    <xf numFmtId="0" fontId="116" fillId="0" borderId="4" xfId="1192" applyFont="1" applyBorder="1" applyAlignment="1">
      <alignment horizontal="left"/>
    </xf>
    <xf numFmtId="0" fontId="140" fillId="0" borderId="6" xfId="1192" applyFont="1" applyBorder="1" applyAlignment="1">
      <alignment horizontal="center"/>
    </xf>
    <xf numFmtId="0" fontId="14" fillId="0" borderId="6" xfId="1192" applyBorder="1" applyAlignment="1">
      <alignment horizontal="left"/>
    </xf>
    <xf numFmtId="9" fontId="14" fillId="5" borderId="4" xfId="1192" applyNumberFormat="1" applyFill="1" applyBorder="1" applyAlignment="1" applyProtection="1">
      <alignment horizontal="left"/>
      <protection locked="0"/>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0" fontId="21" fillId="0" borderId="4" xfId="4495" applyFont="1" applyBorder="1" applyAlignment="1">
      <alignment horizontal="left"/>
    </xf>
    <xf numFmtId="0" fontId="21" fillId="0" borderId="5" xfId="4495" applyFont="1" applyBorder="1" applyAlignment="1">
      <alignment horizontal="left"/>
    </xf>
    <xf numFmtId="1" fontId="21" fillId="0" borderId="11" xfId="4495" applyNumberFormat="1" applyFont="1" applyBorder="1" applyAlignment="1">
      <alignment horizontal="center"/>
    </xf>
    <xf numFmtId="0" fontId="21" fillId="0" borderId="3" xfId="4495"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14" fillId="0" borderId="4" xfId="4495" applyFont="1" applyBorder="1" applyAlignment="1">
      <alignment horizontal="left"/>
    </xf>
    <xf numFmtId="0" fontId="14" fillId="0" borderId="5" xfId="4495" applyFont="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1" fontId="14" fillId="46" borderId="11" xfId="4495" applyNumberFormat="1" applyFont="1" applyFill="1" applyBorder="1" applyAlignment="1">
      <alignment horizontal="center"/>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164" fontId="62" fillId="0" borderId="1" xfId="4495" applyNumberFormat="1" applyFont="1" applyBorder="1" applyAlignment="1">
      <alignment horizontal="right" vertical="center"/>
    </xf>
    <xf numFmtId="164" fontId="62" fillId="0" borderId="2" xfId="4495" applyNumberFormat="1" applyFont="1" applyBorder="1" applyAlignment="1">
      <alignment horizontal="right" vertical="center"/>
    </xf>
    <xf numFmtId="164" fontId="62" fillId="0" borderId="7" xfId="4495" applyNumberFormat="1" applyFont="1" applyBorder="1" applyAlignment="1">
      <alignment horizontal="right" vertical="center"/>
    </xf>
    <xf numFmtId="164" fontId="62" fillId="0" borderId="9" xfId="4495" applyNumberFormat="1" applyFont="1" applyBorder="1" applyAlignment="1">
      <alignment horizontal="right" vertical="center"/>
    </xf>
    <xf numFmtId="164" fontId="62" fillId="0" borderId="6" xfId="4495" applyNumberFormat="1" applyFont="1" applyBorder="1" applyAlignment="1">
      <alignment horizontal="right" vertical="center"/>
    </xf>
    <xf numFmtId="164" fontId="62" fillId="0" borderId="10" xfId="4495" applyNumberFormat="1" applyFont="1" applyBorder="1" applyAlignment="1">
      <alignment horizontal="right" vertical="center"/>
    </xf>
    <xf numFmtId="180" fontId="62" fillId="0" borderId="1" xfId="4495" applyNumberFormat="1" applyFont="1" applyBorder="1" applyAlignment="1">
      <alignment horizontal="center" vertical="center"/>
    </xf>
    <xf numFmtId="180" fontId="62" fillId="0" borderId="2" xfId="4495" applyNumberFormat="1" applyFont="1" applyBorder="1" applyAlignment="1">
      <alignment horizontal="center" vertical="center"/>
    </xf>
    <xf numFmtId="180" fontId="62" fillId="0" borderId="7" xfId="4495" applyNumberFormat="1" applyFont="1" applyBorder="1" applyAlignment="1">
      <alignment horizontal="center" vertical="center"/>
    </xf>
    <xf numFmtId="180" fontId="62" fillId="0" borderId="9" xfId="4495" applyNumberFormat="1" applyFont="1" applyBorder="1" applyAlignment="1">
      <alignment horizontal="center" vertical="center"/>
    </xf>
    <xf numFmtId="180" fontId="62" fillId="0" borderId="6" xfId="4495" applyNumberFormat="1" applyFont="1" applyBorder="1" applyAlignment="1">
      <alignment horizontal="center" vertical="center"/>
    </xf>
    <xf numFmtId="180" fontId="62" fillId="0" borderId="10" xfId="4495" applyNumberFormat="1" applyFont="1" applyBorder="1" applyAlignment="1">
      <alignment horizontal="center" vertical="center"/>
    </xf>
    <xf numFmtId="1" fontId="21" fillId="0" borderId="4" xfId="4495" applyNumberFormat="1"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0" fontId="21" fillId="0" borderId="0" xfId="4495" applyFont="1" applyAlignment="1">
      <alignment horizontal="center" vertical="top"/>
    </xf>
    <xf numFmtId="0" fontId="120" fillId="0" borderId="50" xfId="4496" applyFont="1" applyBorder="1" applyAlignment="1">
      <alignment horizontal="left" wrapText="1"/>
    </xf>
    <xf numFmtId="0" fontId="120" fillId="0" borderId="51" xfId="4496" applyFont="1" applyBorder="1" applyAlignment="1">
      <alignment horizontal="left" wrapText="1"/>
    </xf>
    <xf numFmtId="0" fontId="120" fillId="0" borderId="52" xfId="4496" applyFont="1" applyBorder="1" applyAlignment="1">
      <alignment horizontal="left" wrapText="1"/>
    </xf>
    <xf numFmtId="0" fontId="120" fillId="0" borderId="57" xfId="4496" applyFont="1" applyBorder="1" applyAlignment="1">
      <alignment horizontal="left" wrapText="1"/>
    </xf>
    <xf numFmtId="0" fontId="120" fillId="0" borderId="58" xfId="4496" applyFont="1" applyBorder="1" applyAlignment="1">
      <alignment horizontal="left" wrapText="1"/>
    </xf>
    <xf numFmtId="0" fontId="120" fillId="0" borderId="59" xfId="4496" applyFont="1" applyBorder="1" applyAlignment="1">
      <alignment horizontal="left" wrapText="1"/>
    </xf>
    <xf numFmtId="0" fontId="118" fillId="5" borderId="50" xfId="4495" applyFill="1" applyBorder="1" applyAlignment="1">
      <alignment horizontal="center"/>
    </xf>
    <xf numFmtId="0" fontId="118" fillId="5" borderId="51" xfId="4495" applyFill="1" applyBorder="1" applyAlignment="1">
      <alignment horizontal="center"/>
    </xf>
    <xf numFmtId="0" fontId="118" fillId="0" borderId="53" xfId="4495" applyBorder="1" applyAlignment="1">
      <alignment horizontal="center"/>
    </xf>
    <xf numFmtId="0" fontId="118" fillId="0" borderId="0" xfId="4495" applyAlignment="1">
      <alignment horizontal="center"/>
    </xf>
    <xf numFmtId="0" fontId="22" fillId="5" borderId="0" xfId="4495" applyFont="1" applyFill="1" applyAlignment="1">
      <alignment horizontal="left" vertical="top"/>
    </xf>
    <xf numFmtId="0" fontId="118" fillId="5" borderId="53" xfId="4495" applyFill="1" applyBorder="1" applyAlignment="1">
      <alignment horizontal="center"/>
    </xf>
    <xf numFmtId="0" fontId="118" fillId="5" borderId="0" xfId="4495" applyFill="1" applyAlignment="1">
      <alignment horizontal="center"/>
    </xf>
    <xf numFmtId="0" fontId="22" fillId="0" borderId="58" xfId="4495" applyFont="1" applyBorder="1" applyAlignment="1">
      <alignment horizontal="left" vertical="top" wrapText="1"/>
    </xf>
    <xf numFmtId="0" fontId="22" fillId="5" borderId="58" xfId="4495" applyFont="1" applyFill="1" applyBorder="1" applyAlignment="1">
      <alignment horizontal="left"/>
    </xf>
    <xf numFmtId="0" fontId="51" fillId="0" borderId="51" xfId="4495" applyFont="1" applyBorder="1" applyAlignment="1">
      <alignment horizontal="left" vertical="top" wrapText="1"/>
    </xf>
    <xf numFmtId="0" fontId="51" fillId="0" borderId="0" xfId="4495" applyFont="1" applyAlignment="1">
      <alignment horizontal="left" vertical="top" wrapText="1"/>
    </xf>
    <xf numFmtId="9" fontId="22" fillId="5" borderId="58" xfId="4495" applyNumberFormat="1" applyFont="1" applyFill="1" applyBorder="1" applyAlignment="1">
      <alignment horizontal="left"/>
    </xf>
    <xf numFmtId="0" fontId="118" fillId="5" borderId="55" xfId="4495" applyFill="1" applyBorder="1" applyAlignment="1">
      <alignment horizontal="center"/>
    </xf>
    <xf numFmtId="0" fontId="11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22" fillId="5" borderId="6" xfId="4495" applyFont="1" applyFill="1" applyBorder="1" applyAlignment="1">
      <alignment horizontal="left"/>
    </xf>
    <xf numFmtId="0" fontId="118" fillId="5" borderId="62" xfId="4495" applyFill="1" applyBorder="1" applyAlignment="1">
      <alignment horizontal="center"/>
    </xf>
    <xf numFmtId="0" fontId="118" fillId="5" borderId="63" xfId="4495" applyFill="1" applyBorder="1" applyAlignment="1">
      <alignment horizontal="center"/>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51" fillId="0" borderId="51" xfId="4495" applyFont="1" applyBorder="1" applyAlignment="1">
      <alignment horizontal="left" wrapText="1"/>
    </xf>
    <xf numFmtId="0" fontId="51" fillId="0" borderId="0" xfId="4495" applyFont="1" applyAlignment="1">
      <alignment horizontal="left" wrapText="1"/>
    </xf>
    <xf numFmtId="0" fontId="21" fillId="0" borderId="54" xfId="4495" applyFont="1" applyBorder="1" applyAlignment="1">
      <alignment horizontal="center" vertical="top"/>
    </xf>
    <xf numFmtId="0" fontId="128" fillId="0" borderId="0" xfId="4495" applyFont="1" applyAlignment="1">
      <alignment horizontal="left" vertical="center" wrapText="1"/>
    </xf>
    <xf numFmtId="0" fontId="21" fillId="0" borderId="0" xfId="4495" applyFont="1" applyAlignment="1">
      <alignment horizontal="left" vertical="top"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14" fillId="0" borderId="0" xfId="4495" applyFont="1" applyAlignment="1">
      <alignment wrapText="1"/>
    </xf>
    <xf numFmtId="0" fontId="14" fillId="5" borderId="6" xfId="4495" applyFont="1"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73" fillId="0" borderId="0" xfId="0" applyFont="1" applyAlignment="1" applyProtection="1">
      <alignment horizontal="left"/>
      <protection locked="0"/>
    </xf>
    <xf numFmtId="168" fontId="170" fillId="0" borderId="0" xfId="0" applyNumberFormat="1" applyFont="1" applyAlignment="1">
      <alignment horizontal="center" vertical="top" wrapText="1"/>
    </xf>
    <xf numFmtId="168" fontId="170" fillId="0" borderId="12" xfId="0" applyNumberFormat="1" applyFont="1" applyBorder="1" applyAlignment="1">
      <alignment horizontal="center" vertical="top" wrapText="1"/>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18" fillId="5" borderId="62" xfId="4495" applyFill="1" applyBorder="1" applyAlignment="1" applyProtection="1">
      <alignment horizontal="center"/>
      <protection locked="0"/>
    </xf>
    <xf numFmtId="0" fontId="118" fillId="5" borderId="63" xfId="4495" applyFill="1" applyBorder="1" applyAlignment="1" applyProtection="1">
      <alignment horizontal="center"/>
      <protection locked="0"/>
    </xf>
    <xf numFmtId="0" fontId="14" fillId="0" borderId="59" xfId="4495" applyFont="1" applyBorder="1" applyAlignment="1">
      <alignment horizontal="left" vertical="top" wrapText="1"/>
    </xf>
    <xf numFmtId="0" fontId="14" fillId="0" borderId="4" xfId="4496" applyFont="1" applyBorder="1" applyAlignment="1">
      <alignment horizontal="center"/>
    </xf>
    <xf numFmtId="0" fontId="14" fillId="0" borderId="5" xfId="4496" applyFont="1" applyBorder="1" applyAlignment="1">
      <alignment horizontal="center"/>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21" fillId="0" borderId="0" xfId="4495" applyFont="1"/>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21" fillId="0" borderId="0" xfId="4495" applyFont="1" applyAlignment="1">
      <alignment horizontal="left" vertical="top"/>
    </xf>
    <xf numFmtId="0" fontId="118" fillId="0" borderId="0" xfId="4495" applyAlignment="1" applyProtection="1">
      <alignment horizontal="center"/>
      <protection locked="0"/>
    </xf>
    <xf numFmtId="9" fontId="14" fillId="0" borderId="4" xfId="543" applyNumberFormat="1" applyBorder="1" applyAlignment="1">
      <alignment horizontal="center"/>
    </xf>
    <xf numFmtId="168" fontId="14" fillId="0" borderId="6" xfId="4495" applyNumberFormat="1" applyFont="1" applyBorder="1" applyAlignment="1">
      <alignment horizontal="right"/>
    </xf>
    <xf numFmtId="168" fontId="116" fillId="0" borderId="6" xfId="4495" applyNumberFormat="1" applyFont="1" applyBorder="1" applyAlignment="1">
      <alignment horizontal="right"/>
    </xf>
    <xf numFmtId="168" fontId="14" fillId="43" borderId="6" xfId="4495" applyNumberFormat="1" applyFont="1" applyFill="1" applyBorder="1" applyAlignment="1" applyProtection="1">
      <alignment horizontal="right"/>
      <protection locked="0"/>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0" fontId="14" fillId="5" borderId="6" xfId="1192" applyFill="1" applyBorder="1" applyAlignment="1" applyProtection="1">
      <alignment horizontal="left"/>
      <protection locked="0"/>
    </xf>
    <xf numFmtId="165" fontId="14" fillId="0" borderId="0" xfId="1192" applyNumberFormat="1" applyAlignment="1">
      <alignment horizontal="right"/>
    </xf>
    <xf numFmtId="2" fontId="14" fillId="0" borderId="0" xfId="1192" applyNumberFormat="1" applyAlignment="1">
      <alignment horizontal="right"/>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14" fillId="5" borderId="6" xfId="4495" applyFont="1" applyFill="1" applyBorder="1" applyAlignment="1" applyProtection="1">
      <alignment horizontal="left"/>
      <protection locked="0"/>
    </xf>
    <xf numFmtId="0" fontId="51" fillId="5" borderId="6" xfId="4495" applyFont="1" applyFill="1" applyBorder="1" applyAlignment="1" applyProtection="1">
      <alignment horizontal="left"/>
      <protection locked="0"/>
    </xf>
    <xf numFmtId="0" fontId="14" fillId="44" borderId="6" xfId="4495" applyFont="1" applyFill="1" applyBorder="1" applyAlignment="1">
      <alignment horizontal="left"/>
    </xf>
    <xf numFmtId="0" fontId="14" fillId="0" borderId="0" xfId="1192" applyAlignment="1">
      <alignment horizontal="right"/>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4" xfId="1192" applyNumberFormat="1" applyFill="1" applyBorder="1" applyAlignment="1" applyProtection="1">
      <alignment horizontal="center"/>
      <protection locked="0"/>
    </xf>
    <xf numFmtId="1" fontId="120" fillId="0" borderId="55" xfId="4496" applyNumberFormat="1" applyFont="1" applyBorder="1" applyAlignment="1">
      <alignment horizontal="center" vertical="top" wrapText="1"/>
    </xf>
    <xf numFmtId="1" fontId="120" fillId="0" borderId="6" xfId="4496" applyNumberFormat="1" applyFont="1" applyBorder="1" applyAlignment="1">
      <alignment horizontal="center" vertical="top" wrapText="1"/>
    </xf>
    <xf numFmtId="165" fontId="120" fillId="0" borderId="55" xfId="4496" applyNumberFormat="1" applyFont="1" applyBorder="1" applyAlignment="1">
      <alignment horizontal="center" vertical="top" wrapText="1"/>
    </xf>
    <xf numFmtId="165" fontId="120" fillId="0" borderId="6" xfId="4496" applyNumberFormat="1" applyFont="1" applyBorder="1" applyAlignment="1">
      <alignment horizontal="center" vertical="top" wrapText="1"/>
    </xf>
    <xf numFmtId="168" fontId="120" fillId="43" borderId="55" xfId="4496" applyNumberFormat="1" applyFont="1" applyFill="1" applyBorder="1" applyAlignment="1" applyProtection="1">
      <alignment horizontal="center" vertical="top" wrapText="1"/>
      <protection locked="0"/>
    </xf>
    <xf numFmtId="168" fontId="120" fillId="43" borderId="6" xfId="4496" applyNumberFormat="1" applyFont="1" applyFill="1" applyBorder="1" applyAlignment="1" applyProtection="1">
      <alignment horizontal="center" vertical="top" wrapText="1"/>
      <protection locked="0"/>
    </xf>
    <xf numFmtId="0" fontId="120" fillId="0" borderId="50" xfId="4496" applyFont="1" applyBorder="1" applyAlignment="1">
      <alignment horizontal="left" vertical="top" wrapText="1"/>
    </xf>
    <xf numFmtId="0" fontId="120" fillId="0" borderId="51" xfId="4496" applyFont="1" applyBorder="1" applyAlignment="1">
      <alignment horizontal="left" vertical="top" wrapText="1"/>
    </xf>
    <xf numFmtId="0" fontId="120" fillId="0" borderId="52" xfId="4496" applyFont="1" applyBorder="1" applyAlignment="1">
      <alignment horizontal="left" vertical="top" wrapText="1"/>
    </xf>
    <xf numFmtId="0" fontId="120" fillId="0" borderId="53" xfId="4496" applyFont="1" applyBorder="1" applyAlignment="1">
      <alignment horizontal="left" vertical="top" wrapText="1"/>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168" fontId="120" fillId="0" borderId="55" xfId="4496" applyNumberFormat="1" applyFont="1" applyBorder="1" applyAlignment="1">
      <alignment horizontal="center" vertical="top"/>
    </xf>
    <xf numFmtId="168" fontId="120" fillId="0" borderId="6" xfId="4496" applyNumberFormat="1" applyFont="1" applyBorder="1" applyAlignment="1">
      <alignment horizontal="center" vertical="top"/>
    </xf>
    <xf numFmtId="0" fontId="120" fillId="5" borderId="6" xfId="4496" applyFont="1" applyFill="1" applyBorder="1" applyAlignment="1" applyProtection="1">
      <alignment horizontal="center"/>
      <protection locked="0"/>
    </xf>
    <xf numFmtId="10" fontId="120" fillId="0" borderId="3" xfId="4496" applyNumberFormat="1" applyFont="1" applyBorder="1" applyAlignment="1">
      <alignment horizontal="center" vertical="top" wrapText="1"/>
    </xf>
    <xf numFmtId="10" fontId="120" fillId="0" borderId="4" xfId="4496" applyNumberFormat="1" applyFont="1" applyBorder="1" applyAlignment="1">
      <alignment horizontal="center" vertical="top" wrapText="1"/>
    </xf>
    <xf numFmtId="10" fontId="120" fillId="0" borderId="5" xfId="4496" applyNumberFormat="1" applyFont="1" applyBorder="1" applyAlignment="1">
      <alignment horizontal="center" vertical="top" wrapText="1"/>
    </xf>
    <xf numFmtId="0" fontId="120" fillId="0" borderId="55" xfId="4496" applyFont="1" applyBorder="1" applyAlignment="1">
      <alignment horizontal="center" vertical="top" wrapText="1"/>
    </xf>
    <xf numFmtId="0" fontId="12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20" fillId="43" borderId="55" xfId="4496" applyFont="1" applyFill="1" applyBorder="1" applyAlignment="1" applyProtection="1">
      <alignment horizontal="left" vertical="top" wrapText="1"/>
      <protection locked="0"/>
    </xf>
    <xf numFmtId="0" fontId="120" fillId="43" borderId="6" xfId="4496" applyFont="1" applyFill="1" applyBorder="1" applyAlignment="1" applyProtection="1">
      <alignment horizontal="left" vertical="top" wrapText="1"/>
      <protection locked="0"/>
    </xf>
    <xf numFmtId="0" fontId="120" fillId="43" borderId="56" xfId="4496" applyFont="1" applyFill="1" applyBorder="1" applyAlignment="1" applyProtection="1">
      <alignment horizontal="left" vertical="top" wrapText="1"/>
      <protection locked="0"/>
    </xf>
    <xf numFmtId="165" fontId="120" fillId="0" borderId="60" xfId="4496" applyNumberFormat="1" applyFont="1" applyBorder="1" applyAlignment="1">
      <alignment horizontal="center" vertical="top" wrapText="1"/>
    </xf>
    <xf numFmtId="0" fontId="120" fillId="5" borderId="60" xfId="4496" applyFont="1" applyFill="1" applyBorder="1" applyAlignment="1" applyProtection="1">
      <alignment horizontal="center"/>
      <protection locked="0"/>
    </xf>
    <xf numFmtId="0" fontId="120" fillId="5" borderId="4" xfId="4496" applyFont="1" applyFill="1" applyBorder="1" applyAlignment="1" applyProtection="1">
      <alignment horizontal="center"/>
      <protection locked="0"/>
    </xf>
    <xf numFmtId="0" fontId="120" fillId="0" borderId="57" xfId="4496" applyFont="1" applyBorder="1" applyAlignment="1">
      <alignment horizontal="left" vertical="top" wrapText="1"/>
    </xf>
    <xf numFmtId="0" fontId="120" fillId="0" borderId="58" xfId="4496" applyFont="1" applyBorder="1" applyAlignment="1">
      <alignment horizontal="left" vertical="top" wrapText="1"/>
    </xf>
    <xf numFmtId="0" fontId="120" fillId="0" borderId="59" xfId="4496" applyFont="1" applyBorder="1" applyAlignment="1">
      <alignment horizontal="left" vertical="top" wrapText="1"/>
    </xf>
    <xf numFmtId="0" fontId="120" fillId="5" borderId="55" xfId="4496" applyFont="1" applyFill="1" applyBorder="1" applyAlignment="1" applyProtection="1">
      <alignment horizontal="center"/>
      <protection locked="0"/>
    </xf>
    <xf numFmtId="0" fontId="120" fillId="0" borderId="47" xfId="4496" applyFont="1" applyBorder="1"/>
    <xf numFmtId="0" fontId="120" fillId="0" borderId="48" xfId="4496" applyFont="1" applyBorder="1"/>
    <xf numFmtId="0" fontId="120" fillId="0" borderId="49" xfId="4496" applyFont="1" applyBorder="1"/>
    <xf numFmtId="0" fontId="96" fillId="0" borderId="0" xfId="4496" applyFont="1" applyAlignment="1">
      <alignment horizontal="left" wrapText="1"/>
    </xf>
    <xf numFmtId="0" fontId="96" fillId="43" borderId="0" xfId="4496" applyFont="1" applyFill="1" applyAlignment="1" applyProtection="1">
      <alignment horizontal="left" vertical="top" wrapText="1"/>
      <protection locked="0"/>
    </xf>
    <xf numFmtId="0" fontId="96" fillId="43" borderId="6" xfId="4496" applyFont="1" applyFill="1" applyBorder="1" applyAlignment="1" applyProtection="1">
      <alignment horizontal="left" vertical="top" wrapText="1"/>
      <protection locked="0"/>
    </xf>
    <xf numFmtId="49" fontId="96" fillId="45" borderId="15" xfId="4496" applyNumberFormat="1" applyFont="1" applyFill="1" applyBorder="1" applyAlignment="1">
      <alignment horizontal="center" vertical="center" wrapText="1"/>
    </xf>
    <xf numFmtId="49" fontId="96" fillId="45" borderId="13" xfId="4496" applyNumberFormat="1" applyFont="1" applyFill="1" applyBorder="1" applyAlignment="1">
      <alignment horizontal="center" vertical="center" wrapText="1"/>
    </xf>
    <xf numFmtId="0" fontId="135" fillId="0" borderId="90" xfId="4496" applyFont="1" applyBorder="1" applyAlignment="1">
      <alignment horizontal="center" vertical="top" wrapText="1"/>
    </xf>
    <xf numFmtId="0" fontId="135" fillId="0" borderId="89" xfId="4496" applyFont="1" applyBorder="1" applyAlignment="1">
      <alignment horizontal="center" vertical="top" wrapText="1"/>
    </xf>
    <xf numFmtId="168" fontId="96" fillId="0" borderId="84" xfId="4499" applyNumberFormat="1" applyFont="1" applyFill="1" applyBorder="1" applyAlignment="1" applyProtection="1">
      <alignment horizontal="left" vertical="center" indent="1"/>
    </xf>
    <xf numFmtId="168" fontId="96" fillId="0" borderId="83" xfId="4499" applyNumberFormat="1" applyFont="1" applyFill="1" applyBorder="1" applyAlignment="1" applyProtection="1">
      <alignment horizontal="left" vertical="center" indent="1"/>
    </xf>
    <xf numFmtId="0" fontId="96" fillId="0" borderId="11" xfId="4496" applyFont="1" applyBorder="1" applyAlignment="1">
      <alignment horizontal="left" indent="1"/>
    </xf>
    <xf numFmtId="0" fontId="96" fillId="0" borderId="15" xfId="4496" applyFont="1" applyBorder="1" applyAlignment="1">
      <alignment horizontal="left" indent="1"/>
    </xf>
    <xf numFmtId="0" fontId="135" fillId="0" borderId="71" xfId="4496" applyFont="1" applyBorder="1" applyAlignment="1">
      <alignment horizontal="left" indent="1"/>
    </xf>
    <xf numFmtId="168" fontId="96" fillId="0" borderId="11" xfId="4499" applyNumberFormat="1" applyFont="1" applyFill="1" applyBorder="1" applyAlignment="1" applyProtection="1">
      <alignment horizontal="left" vertical="center" indent="1"/>
    </xf>
    <xf numFmtId="168" fontId="96" fillId="0" borderId="13" xfId="4499" applyNumberFormat="1" applyFont="1" applyFill="1" applyBorder="1" applyAlignment="1" applyProtection="1">
      <alignment horizontal="left" vertical="center" indent="1"/>
    </xf>
    <xf numFmtId="49" fontId="134" fillId="3" borderId="0" xfId="1192" applyNumberFormat="1" applyFont="1" applyFill="1" applyAlignment="1">
      <alignment horizontal="center" vertical="center"/>
    </xf>
    <xf numFmtId="0" fontId="135" fillId="45" borderId="3" xfId="4496" applyFont="1" applyFill="1" applyBorder="1" applyAlignment="1">
      <alignment horizontal="center" vertical="center"/>
    </xf>
    <xf numFmtId="0" fontId="135" fillId="45" borderId="4" xfId="4496" applyFont="1" applyFill="1" applyBorder="1" applyAlignment="1">
      <alignment horizontal="center" vertical="center"/>
    </xf>
    <xf numFmtId="0" fontId="135" fillId="45" borderId="5" xfId="4496" applyFont="1" applyFill="1" applyBorder="1" applyAlignment="1">
      <alignment horizontal="center" vertical="center"/>
    </xf>
    <xf numFmtId="9" fontId="135" fillId="45" borderId="3" xfId="4499" applyFont="1" applyFill="1" applyBorder="1" applyAlignment="1" applyProtection="1">
      <alignment horizontal="center" vertical="center"/>
    </xf>
    <xf numFmtId="9" fontId="135" fillId="45" borderId="4" xfId="4499" applyFont="1" applyFill="1" applyBorder="1" applyAlignment="1" applyProtection="1">
      <alignment horizontal="center" vertical="center"/>
    </xf>
    <xf numFmtId="9" fontId="135" fillId="45" borderId="5" xfId="4499" applyFont="1" applyFill="1" applyBorder="1" applyAlignment="1" applyProtection="1">
      <alignment horizontal="center" vertical="center"/>
    </xf>
    <xf numFmtId="0" fontId="96" fillId="0" borderId="71" xfId="4496" applyFont="1" applyBorder="1"/>
    <xf numFmtId="0" fontId="96" fillId="0" borderId="74" xfId="4496" applyFont="1" applyBorder="1"/>
    <xf numFmtId="0" fontId="96" fillId="0" borderId="11" xfId="4496" applyFont="1" applyBorder="1"/>
    <xf numFmtId="0" fontId="96" fillId="0" borderId="91" xfId="4496" applyFont="1" applyBorder="1"/>
    <xf numFmtId="0" fontId="96" fillId="0" borderId="80" xfId="4496" applyFont="1" applyBorder="1" applyAlignment="1">
      <alignment horizontal="right"/>
    </xf>
    <xf numFmtId="0" fontId="96" fillId="0" borderId="11" xfId="4496" applyFont="1" applyBorder="1" applyAlignment="1">
      <alignment horizontal="right"/>
    </xf>
    <xf numFmtId="0" fontId="96" fillId="0" borderId="72" xfId="4496" applyFont="1" applyBorder="1" applyAlignment="1">
      <alignment horizontal="right"/>
    </xf>
    <xf numFmtId="0" fontId="96" fillId="0" borderId="73" xfId="4496" applyFont="1" applyBorder="1" applyAlignment="1">
      <alignment horizontal="right"/>
    </xf>
    <xf numFmtId="0" fontId="96" fillId="0" borderId="73" xfId="4496" applyFont="1" applyBorder="1"/>
    <xf numFmtId="0" fontId="96" fillId="0" borderId="93" xfId="4496" applyFont="1" applyBorder="1"/>
    <xf numFmtId="0" fontId="96" fillId="0" borderId="70" xfId="4496" applyFont="1" applyBorder="1" applyAlignment="1">
      <alignment horizontal="right"/>
    </xf>
    <xf numFmtId="0" fontId="96" fillId="0" borderId="71" xfId="4496" applyFont="1" applyBorder="1" applyAlignment="1">
      <alignment horizontal="right"/>
    </xf>
    <xf numFmtId="0" fontId="147" fillId="45" borderId="72" xfId="8726" applyFont="1" applyFill="1" applyBorder="1" applyAlignment="1">
      <alignment horizontal="center"/>
    </xf>
    <xf numFmtId="0" fontId="14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0" fontId="2" fillId="49" borderId="11" xfId="8726" applyFill="1" applyBorder="1" applyAlignment="1" applyProtection="1">
      <alignment horizontal="center"/>
      <protection locked="0"/>
    </xf>
    <xf numFmtId="0" fontId="2" fillId="49" borderId="91" xfId="8726" applyFill="1" applyBorder="1" applyAlignment="1" applyProtection="1">
      <alignment horizontal="center"/>
      <protection locked="0"/>
    </xf>
    <xf numFmtId="0" fontId="147" fillId="45" borderId="80" xfId="8726" applyFont="1" applyFill="1" applyBorder="1" applyAlignment="1">
      <alignment horizontal="center"/>
    </xf>
    <xf numFmtId="0" fontId="147" fillId="45" borderId="11" xfId="8726" applyFont="1" applyFill="1" applyBorder="1" applyAlignment="1">
      <alignment horizontal="center"/>
    </xf>
    <xf numFmtId="0" fontId="147" fillId="45" borderId="11" xfId="8726" applyFont="1" applyFill="1" applyBorder="1" applyAlignment="1">
      <alignment horizontal="center" wrapText="1"/>
    </xf>
    <xf numFmtId="0" fontId="148" fillId="45" borderId="11" xfId="8726" applyFont="1" applyFill="1" applyBorder="1" applyAlignment="1">
      <alignment horizontal="center"/>
    </xf>
    <xf numFmtId="0" fontId="148" fillId="45" borderId="91" xfId="8726" applyFont="1" applyFill="1" applyBorder="1" applyAlignment="1">
      <alignment horizontal="center"/>
    </xf>
    <xf numFmtId="0" fontId="100" fillId="45" borderId="70" xfId="8726" applyFont="1" applyFill="1" applyBorder="1" applyAlignment="1">
      <alignment horizontal="center"/>
    </xf>
    <xf numFmtId="0" fontId="100" fillId="45" borderId="71" xfId="8726" applyFont="1" applyFill="1" applyBorder="1" applyAlignment="1">
      <alignment horizontal="center"/>
    </xf>
    <xf numFmtId="0" fontId="100" fillId="45" borderId="74" xfId="8726" applyFont="1" applyFill="1" applyBorder="1" applyAlignment="1">
      <alignment horizontal="center"/>
    </xf>
    <xf numFmtId="0" fontId="100" fillId="45" borderId="70" xfId="8726" applyFont="1" applyFill="1" applyBorder="1" applyAlignment="1">
      <alignment horizontal="left" wrapText="1"/>
    </xf>
    <xf numFmtId="0" fontId="100" fillId="45" borderId="71" xfId="8726" applyFont="1" applyFill="1" applyBorder="1" applyAlignment="1">
      <alignment horizontal="left" wrapText="1"/>
    </xf>
    <xf numFmtId="0" fontId="100" fillId="45" borderId="80" xfId="8726" applyFont="1" applyFill="1" applyBorder="1" applyAlignment="1">
      <alignment horizontal="left" wrapText="1"/>
    </xf>
    <xf numFmtId="0" fontId="100" fillId="45" borderId="11" xfId="8726" applyFont="1" applyFill="1" applyBorder="1" applyAlignment="1">
      <alignment horizontal="left" wrapText="1"/>
    </xf>
    <xf numFmtId="0" fontId="161" fillId="49" borderId="80" xfId="8726" applyFont="1" applyFill="1" applyBorder="1" applyAlignment="1">
      <alignment horizontal="left" vertical="top"/>
    </xf>
    <xf numFmtId="0" fontId="161" fillId="49" borderId="11" xfId="8726" applyFont="1" applyFill="1" applyBorder="1" applyAlignment="1">
      <alignment horizontal="left" vertical="top"/>
    </xf>
    <xf numFmtId="0" fontId="161" fillId="49" borderId="91" xfId="8726" applyFont="1" applyFill="1" applyBorder="1" applyAlignment="1">
      <alignment horizontal="left" vertical="top"/>
    </xf>
    <xf numFmtId="0" fontId="161" fillId="49" borderId="72" xfId="8726" applyFont="1" applyFill="1" applyBorder="1" applyAlignment="1">
      <alignment horizontal="left" vertical="top"/>
    </xf>
    <xf numFmtId="0" fontId="161" fillId="49" borderId="73" xfId="8726" applyFont="1" applyFill="1" applyBorder="1" applyAlignment="1">
      <alignment horizontal="left" vertical="top"/>
    </xf>
    <xf numFmtId="0" fontId="161" fillId="49" borderId="93" xfId="8726" applyFont="1" applyFill="1" applyBorder="1" applyAlignment="1">
      <alignment horizontal="left" vertical="top"/>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0" fontId="146" fillId="49" borderId="3" xfId="8726" applyFont="1" applyFill="1" applyBorder="1" applyAlignment="1" applyProtection="1">
      <alignment horizontal="center"/>
      <protection locked="0"/>
    </xf>
    <xf numFmtId="0" fontId="146" fillId="49" borderId="4" xfId="8726" applyFont="1" applyFill="1" applyBorder="1" applyAlignment="1" applyProtection="1">
      <alignment horizontal="center"/>
      <protection locked="0"/>
    </xf>
    <xf numFmtId="0" fontId="146" fillId="49" borderId="79" xfId="8726" applyFont="1"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46" fillId="49" borderId="71" xfId="8726" applyFont="1" applyFill="1" applyBorder="1" applyAlignment="1" applyProtection="1">
      <alignment horizontal="left" wrapText="1"/>
      <protection locked="0"/>
    </xf>
    <xf numFmtId="0" fontId="146" fillId="49" borderId="74" xfId="8726" applyFont="1" applyFill="1" applyBorder="1" applyAlignment="1" applyProtection="1">
      <alignment horizontal="left" wrapText="1"/>
      <protection locked="0"/>
    </xf>
    <xf numFmtId="0" fontId="146" fillId="49" borderId="11" xfId="8726" applyFont="1" applyFill="1" applyBorder="1" applyAlignment="1" applyProtection="1">
      <alignment horizontal="left" wrapText="1"/>
      <protection locked="0"/>
    </xf>
    <xf numFmtId="0" fontId="146" fillId="49" borderId="91" xfId="8726" applyFont="1" applyFill="1" applyBorder="1" applyAlignment="1" applyProtection="1">
      <alignment horizontal="left" wrapText="1"/>
      <protection locked="0"/>
    </xf>
    <xf numFmtId="168" fontId="163" fillId="49" borderId="11" xfId="700" applyNumberFormat="1" applyFont="1" applyFill="1" applyBorder="1" applyAlignment="1" applyProtection="1">
      <alignment horizontal="left"/>
      <protection locked="0"/>
    </xf>
    <xf numFmtId="168" fontId="163" fillId="49" borderId="91" xfId="700" applyNumberFormat="1" applyFont="1" applyFill="1" applyBorder="1" applyAlignment="1" applyProtection="1">
      <alignment horizontal="left"/>
      <protection locked="0"/>
    </xf>
    <xf numFmtId="0" fontId="144" fillId="45" borderId="95" xfId="8726" applyFont="1" applyFill="1" applyBorder="1" applyAlignment="1">
      <alignment horizontal="center"/>
    </xf>
    <xf numFmtId="0" fontId="144" fillId="45" borderId="13" xfId="8726" applyFont="1" applyFill="1" applyBorder="1" applyAlignment="1">
      <alignment horizontal="center"/>
    </xf>
    <xf numFmtId="0" fontId="144" fillId="45" borderId="71" xfId="8726" applyFont="1" applyFill="1" applyBorder="1" applyAlignment="1">
      <alignment horizontal="center"/>
    </xf>
    <xf numFmtId="0" fontId="144" fillId="45" borderId="74" xfId="8726" applyFont="1" applyFill="1" applyBorder="1" applyAlignment="1">
      <alignment horizontal="center"/>
    </xf>
    <xf numFmtId="0" fontId="161" fillId="49" borderId="80" xfId="8726" applyFont="1" applyFill="1" applyBorder="1" applyAlignment="1" applyProtection="1">
      <alignment horizontal="right"/>
      <protection locked="0"/>
    </xf>
    <xf numFmtId="0" fontId="161" fillId="49" borderId="11" xfId="8726" applyFont="1" applyFill="1" applyBorder="1" applyAlignment="1" applyProtection="1">
      <alignment horizontal="right"/>
      <protection locked="0"/>
    </xf>
    <xf numFmtId="168" fontId="144" fillId="45" borderId="43" xfId="8726" applyNumberFormat="1" applyFont="1" applyFill="1" applyBorder="1" applyAlignment="1">
      <alignment horizontal="left"/>
    </xf>
    <xf numFmtId="168" fontId="144" fillId="45" borderId="96" xfId="8726" applyNumberFormat="1" applyFont="1" applyFill="1" applyBorder="1" applyAlignment="1">
      <alignment horizontal="left"/>
    </xf>
    <xf numFmtId="0" fontId="159" fillId="45" borderId="11" xfId="8726" applyFont="1" applyFill="1" applyBorder="1" applyAlignment="1">
      <alignment horizontal="right"/>
    </xf>
    <xf numFmtId="14" fontId="146"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1" fontId="162" fillId="49" borderId="3" xfId="8726" applyNumberFormat="1" applyFont="1" applyFill="1" applyBorder="1" applyAlignment="1" applyProtection="1">
      <alignment horizontal="center"/>
      <protection locked="0"/>
    </xf>
    <xf numFmtId="1" fontId="162" fillId="49" borderId="4" xfId="8726" applyNumberFormat="1" applyFont="1" applyFill="1" applyBorder="1" applyAlignment="1" applyProtection="1">
      <alignment horizontal="center"/>
      <protection locked="0"/>
    </xf>
    <xf numFmtId="1" fontId="162" fillId="49" borderId="5" xfId="8726" applyNumberFormat="1" applyFont="1" applyFill="1" applyBorder="1" applyAlignment="1" applyProtection="1">
      <alignment horizontal="center"/>
      <protection locked="0"/>
    </xf>
    <xf numFmtId="1" fontId="148" fillId="44" borderId="3" xfId="8726" applyNumberFormat="1" applyFont="1" applyFill="1" applyBorder="1" applyAlignment="1">
      <alignment horizontal="center"/>
    </xf>
    <xf numFmtId="1" fontId="148" fillId="44" borderId="4" xfId="8726" applyNumberFormat="1" applyFont="1" applyFill="1" applyBorder="1" applyAlignment="1">
      <alignment horizontal="center"/>
    </xf>
    <xf numFmtId="1" fontId="148" fillId="44" borderId="5" xfId="8726" applyNumberFormat="1" applyFont="1" applyFill="1" applyBorder="1" applyAlignment="1">
      <alignment horizontal="center"/>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146" fillId="49" borderId="89" xfId="8726" applyFont="1" applyFill="1" applyBorder="1" applyAlignment="1" applyProtection="1">
      <alignment horizontal="left"/>
      <protection locked="0"/>
    </xf>
    <xf numFmtId="0" fontId="146" fillId="49" borderId="71" xfId="8726" applyFont="1" applyFill="1" applyBorder="1" applyAlignment="1" applyProtection="1">
      <alignment horizontal="left"/>
      <protection locked="0"/>
    </xf>
    <xf numFmtId="0" fontId="146" fillId="49" borderId="74" xfId="8726" applyFont="1" applyFill="1" applyBorder="1" applyAlignment="1" applyProtection="1">
      <alignment horizontal="left"/>
      <protection locked="0"/>
    </xf>
    <xf numFmtId="0" fontId="144" fillId="45" borderId="80" xfId="8726" applyFont="1" applyFill="1" applyBorder="1" applyAlignment="1">
      <alignment horizontal="center"/>
    </xf>
    <xf numFmtId="0" fontId="144" fillId="45" borderId="11" xfId="8726" applyFont="1" applyFill="1" applyBorder="1" applyAlignment="1">
      <alignment horizontal="center"/>
    </xf>
    <xf numFmtId="0" fontId="144" fillId="45" borderId="3" xfId="8726" applyFont="1" applyFill="1" applyBorder="1" applyAlignment="1">
      <alignment horizontal="center"/>
    </xf>
    <xf numFmtId="0" fontId="144" fillId="45" borderId="4" xfId="8726" applyFont="1" applyFill="1" applyBorder="1" applyAlignment="1">
      <alignment horizontal="center"/>
    </xf>
    <xf numFmtId="0" fontId="144" fillId="45" borderId="79" xfId="8726" applyFont="1" applyFill="1" applyBorder="1" applyAlignment="1">
      <alignment horizontal="center"/>
    </xf>
    <xf numFmtId="0" fontId="100" fillId="45" borderId="72" xfId="8726" applyFont="1" applyFill="1" applyBorder="1" applyAlignment="1">
      <alignment horizontal="center"/>
    </xf>
    <xf numFmtId="0" fontId="100" fillId="45" borderId="73" xfId="8726" applyFont="1" applyFill="1" applyBorder="1" applyAlignment="1">
      <alignment horizontal="center"/>
    </xf>
    <xf numFmtId="14" fontId="146" fillId="49" borderId="83" xfId="8726" applyNumberFormat="1" applyFont="1" applyFill="1" applyBorder="1" applyAlignment="1" applyProtection="1">
      <alignment horizontal="center"/>
      <protection locked="0"/>
    </xf>
    <xf numFmtId="0" fontId="146" fillId="49" borderId="73" xfId="8726" applyFont="1" applyFill="1" applyBorder="1" applyAlignment="1" applyProtection="1">
      <alignment horizontal="center"/>
      <protection locked="0"/>
    </xf>
    <xf numFmtId="0" fontId="146" fillId="49" borderId="93" xfId="8726" applyFont="1" applyFill="1" applyBorder="1" applyAlignment="1" applyProtection="1">
      <alignment horizontal="center"/>
      <protection locked="0"/>
    </xf>
    <xf numFmtId="0" fontId="163" fillId="49" borderId="80" xfId="8726" applyFont="1" applyFill="1" applyBorder="1" applyAlignment="1" applyProtection="1">
      <alignment horizontal="right"/>
      <protection locked="0"/>
    </xf>
    <xf numFmtId="0" fontId="163" fillId="49" borderId="11" xfId="8726" applyFont="1" applyFill="1" applyBorder="1" applyAlignment="1" applyProtection="1">
      <alignment horizontal="right"/>
      <protection locked="0"/>
    </xf>
    <xf numFmtId="43" fontId="144" fillId="53" borderId="3" xfId="698" applyFont="1" applyFill="1" applyBorder="1" applyAlignment="1" applyProtection="1">
      <alignment horizontal="center"/>
      <protection hidden="1"/>
    </xf>
    <xf numFmtId="43" fontId="144" fillId="53" borderId="4" xfId="698" applyFont="1" applyFill="1" applyBorder="1" applyAlignment="1" applyProtection="1">
      <alignment horizontal="center"/>
      <protection hidden="1"/>
    </xf>
    <xf numFmtId="43" fontId="144" fillId="53" borderId="79" xfId="698" applyFont="1" applyFill="1" applyBorder="1" applyAlignment="1" applyProtection="1">
      <alignment horizontal="center"/>
      <protection hidden="1"/>
    </xf>
    <xf numFmtId="0" fontId="176" fillId="54" borderId="3" xfId="698" applyNumberFormat="1" applyFont="1" applyFill="1" applyBorder="1" applyAlignment="1" applyProtection="1">
      <alignment horizontal="center"/>
      <protection locked="0"/>
    </xf>
    <xf numFmtId="0" fontId="176" fillId="54" borderId="4" xfId="698" applyNumberFormat="1" applyFont="1" applyFill="1" applyBorder="1" applyAlignment="1" applyProtection="1">
      <alignment horizontal="center"/>
      <protection locked="0"/>
    </xf>
    <xf numFmtId="0" fontId="176" fillId="54" borderId="79" xfId="698" applyNumberFormat="1" applyFont="1" applyFill="1" applyBorder="1" applyAlignment="1" applyProtection="1">
      <alignment horizontal="center"/>
      <protection locked="0"/>
    </xf>
    <xf numFmtId="44" fontId="145" fillId="0" borderId="8" xfId="700" applyFont="1" applyBorder="1" applyAlignment="1" applyProtection="1">
      <alignment horizontal="center" wrapText="1"/>
      <protection hidden="1"/>
    </xf>
    <xf numFmtId="44" fontId="145" fillId="0" borderId="0" xfId="700" applyFont="1" applyBorder="1" applyAlignment="1" applyProtection="1">
      <alignment horizontal="center" wrapText="1"/>
      <protection hidden="1"/>
    </xf>
    <xf numFmtId="44" fontId="145" fillId="0" borderId="12" xfId="700" applyFont="1" applyBorder="1" applyAlignment="1" applyProtection="1">
      <alignment horizontal="center" wrapText="1"/>
      <protection hidden="1"/>
    </xf>
    <xf numFmtId="44" fontId="145" fillId="0" borderId="9" xfId="700" applyFont="1" applyBorder="1" applyAlignment="1" applyProtection="1">
      <alignment horizontal="center" wrapText="1"/>
      <protection hidden="1"/>
    </xf>
    <xf numFmtId="44" fontId="145" fillId="0" borderId="6" xfId="700" applyFont="1" applyBorder="1" applyAlignment="1" applyProtection="1">
      <alignment horizontal="center" wrapText="1"/>
      <protection hidden="1"/>
    </xf>
    <xf numFmtId="44" fontId="145" fillId="0" borderId="10" xfId="700" applyFont="1" applyBorder="1" applyAlignment="1" applyProtection="1">
      <alignment horizontal="center" wrapText="1"/>
      <protection hidden="1"/>
    </xf>
    <xf numFmtId="43" fontId="145" fillId="53" borderId="8" xfId="698" applyFont="1" applyFill="1" applyBorder="1" applyAlignment="1" applyProtection="1">
      <alignment horizontal="center" wrapText="1"/>
      <protection hidden="1"/>
    </xf>
    <xf numFmtId="43" fontId="145" fillId="53" borderId="0" xfId="698" applyFont="1" applyFill="1" applyBorder="1" applyAlignment="1" applyProtection="1">
      <alignment horizontal="center" wrapText="1"/>
      <protection hidden="1"/>
    </xf>
    <xf numFmtId="43" fontId="145" fillId="53" borderId="41" xfId="698" applyFont="1" applyFill="1" applyBorder="1" applyAlignment="1" applyProtection="1">
      <alignment horizontal="center" wrapText="1"/>
      <protection hidden="1"/>
    </xf>
    <xf numFmtId="43" fontId="145" fillId="53" borderId="9" xfId="698" applyFont="1" applyFill="1" applyBorder="1" applyAlignment="1" applyProtection="1">
      <alignment horizontal="center" wrapText="1"/>
      <protection hidden="1"/>
    </xf>
    <xf numFmtId="43" fontId="145" fillId="53" borderId="6" xfId="698" applyFont="1" applyFill="1" applyBorder="1" applyAlignment="1" applyProtection="1">
      <alignment horizontal="center" wrapText="1"/>
      <protection hidden="1"/>
    </xf>
    <xf numFmtId="43" fontId="145" fillId="53" borderId="103" xfId="698" applyFont="1" applyFill="1" applyBorder="1" applyAlignment="1" applyProtection="1">
      <alignment horizontal="center" wrapText="1"/>
      <protection hidden="1"/>
    </xf>
    <xf numFmtId="0" fontId="146" fillId="53" borderId="80" xfId="698" applyNumberFormat="1" applyFont="1" applyFill="1" applyBorder="1" applyAlignment="1" applyProtection="1">
      <alignment horizontal="center"/>
      <protection hidden="1"/>
    </xf>
    <xf numFmtId="0" fontId="146" fillId="53" borderId="11" xfId="698" applyNumberFormat="1" applyFont="1" applyFill="1" applyBorder="1" applyAlignment="1" applyProtection="1">
      <alignment horizontal="center"/>
      <protection hidden="1"/>
    </xf>
    <xf numFmtId="0" fontId="146" fillId="49" borderId="11" xfId="0" applyFont="1" applyFill="1" applyBorder="1" applyAlignment="1" applyProtection="1">
      <alignment horizontal="center"/>
      <protection locked="0"/>
    </xf>
    <xf numFmtId="14" fontId="176" fillId="49" borderId="11" xfId="700" applyNumberFormat="1" applyFont="1" applyFill="1" applyBorder="1" applyAlignment="1" applyProtection="1">
      <alignment horizontal="center"/>
      <protection locked="0"/>
    </xf>
    <xf numFmtId="44" fontId="176" fillId="49" borderId="11" xfId="700" applyFont="1" applyFill="1" applyBorder="1" applyAlignment="1" applyProtection="1">
      <alignment horizontal="center"/>
      <protection locked="0"/>
    </xf>
    <xf numFmtId="164" fontId="146" fillId="49" borderId="11" xfId="700" applyNumberFormat="1" applyFont="1" applyFill="1" applyBorder="1" applyAlignment="1" applyProtection="1">
      <alignment horizontal="center"/>
      <protection locked="0"/>
    </xf>
    <xf numFmtId="9" fontId="146" fillId="49" borderId="11" xfId="1022" applyFont="1" applyFill="1" applyBorder="1" applyAlignment="1" applyProtection="1">
      <alignment horizontal="center"/>
      <protection locked="0"/>
    </xf>
    <xf numFmtId="0" fontId="100" fillId="44" borderId="0" xfId="8726" applyFont="1" applyFill="1" applyAlignment="1">
      <alignment horizontal="left"/>
    </xf>
    <xf numFmtId="0" fontId="148" fillId="44" borderId="0" xfId="8726" applyFont="1" applyFill="1" applyAlignment="1">
      <alignment horizontal="left" vertical="top"/>
    </xf>
    <xf numFmtId="0" fontId="100" fillId="44" borderId="0" xfId="4503" applyFont="1" applyFill="1" applyBorder="1" applyAlignment="1">
      <alignment horizontal="left" vertical="top"/>
    </xf>
    <xf numFmtId="0" fontId="172" fillId="48" borderId="65" xfId="8726" applyFont="1" applyFill="1" applyBorder="1" applyAlignment="1">
      <alignment horizontal="center"/>
    </xf>
    <xf numFmtId="0" fontId="172" fillId="48" borderId="29" xfId="8726" applyFont="1" applyFill="1" applyBorder="1" applyAlignment="1">
      <alignment horizontal="center"/>
    </xf>
    <xf numFmtId="0" fontId="17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44" fillId="48" borderId="66" xfId="8726" applyFont="1" applyFill="1" applyBorder="1" applyAlignment="1">
      <alignment horizontal="center"/>
    </xf>
    <xf numFmtId="0" fontId="144" fillId="48" borderId="0" xfId="8726" applyFont="1" applyFill="1" applyAlignment="1">
      <alignment horizontal="center"/>
    </xf>
    <xf numFmtId="0" fontId="144" fillId="48" borderId="41" xfId="8726" applyFont="1" applyFill="1" applyBorder="1" applyAlignment="1">
      <alignment horizontal="center"/>
    </xf>
    <xf numFmtId="0" fontId="100" fillId="48" borderId="66" xfId="8726" applyFont="1" applyFill="1" applyBorder="1" applyAlignment="1">
      <alignment horizontal="center"/>
    </xf>
    <xf numFmtId="0" fontId="100" fillId="48" borderId="0" xfId="8726" applyFont="1" applyFill="1" applyAlignment="1">
      <alignment horizontal="center"/>
    </xf>
    <xf numFmtId="0" fontId="10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100" fillId="48" borderId="42" xfId="8726" applyFont="1" applyFill="1" applyBorder="1" applyAlignment="1">
      <alignment horizontal="center"/>
    </xf>
    <xf numFmtId="0" fontId="144" fillId="48" borderId="0" xfId="8726" applyFont="1" applyFill="1" applyAlignment="1">
      <alignment horizontal="left" vertical="top" wrapText="1"/>
    </xf>
    <xf numFmtId="0" fontId="100" fillId="48" borderId="0" xfId="8726" applyFont="1" applyFill="1" applyAlignment="1">
      <alignment horizontal="left"/>
    </xf>
    <xf numFmtId="43" fontId="144" fillId="45" borderId="67" xfId="698" applyFont="1" applyFill="1" applyBorder="1" applyAlignment="1" applyProtection="1">
      <alignment horizontal="center"/>
      <protection hidden="1"/>
    </xf>
    <xf numFmtId="43" fontId="144" fillId="45" borderId="68" xfId="698" applyFont="1" applyFill="1" applyBorder="1" applyAlignment="1" applyProtection="1">
      <alignment horizontal="center"/>
      <protection hidden="1"/>
    </xf>
    <xf numFmtId="43" fontId="144" fillId="45" borderId="69" xfId="698" applyFont="1" applyFill="1" applyBorder="1" applyAlignment="1" applyProtection="1">
      <alignment horizontal="center"/>
      <protection hidden="1"/>
    </xf>
    <xf numFmtId="43" fontId="145" fillId="53" borderId="66" xfId="698" applyFont="1" applyFill="1" applyBorder="1" applyAlignment="1" applyProtection="1">
      <alignment horizontal="center" wrapText="1"/>
      <protection hidden="1"/>
    </xf>
    <xf numFmtId="43" fontId="145" fillId="53" borderId="12" xfId="698" applyFont="1" applyFill="1" applyBorder="1" applyAlignment="1" applyProtection="1">
      <alignment horizontal="center" wrapText="1"/>
      <protection hidden="1"/>
    </xf>
    <xf numFmtId="43" fontId="145" fillId="53" borderId="102" xfId="698" applyFont="1" applyFill="1" applyBorder="1" applyAlignment="1" applyProtection="1">
      <alignment horizontal="center" wrapText="1"/>
      <protection hidden="1"/>
    </xf>
    <xf numFmtId="43" fontId="145" fillId="53" borderId="10" xfId="698" applyFont="1" applyFill="1" applyBorder="1" applyAlignment="1" applyProtection="1">
      <alignment horizontal="center" wrapText="1"/>
      <protection hidden="1"/>
    </xf>
    <xf numFmtId="14" fontId="145" fillId="0" borderId="8" xfId="700" applyNumberFormat="1" applyFont="1" applyFill="1" applyBorder="1" applyAlignment="1" applyProtection="1">
      <alignment horizontal="center" wrapText="1"/>
      <protection hidden="1"/>
    </xf>
    <xf numFmtId="14" fontId="145" fillId="0" borderId="0" xfId="700" applyNumberFormat="1" applyFont="1" applyFill="1" applyBorder="1" applyAlignment="1" applyProtection="1">
      <alignment horizontal="center" wrapText="1"/>
      <protection hidden="1"/>
    </xf>
    <xf numFmtId="14" fontId="145" fillId="0" borderId="12" xfId="700" applyNumberFormat="1" applyFont="1" applyFill="1" applyBorder="1" applyAlignment="1" applyProtection="1">
      <alignment horizontal="center" wrapText="1"/>
      <protection hidden="1"/>
    </xf>
    <xf numFmtId="14" fontId="145" fillId="0" borderId="9" xfId="700" applyNumberFormat="1" applyFont="1" applyFill="1" applyBorder="1" applyAlignment="1" applyProtection="1">
      <alignment horizontal="center" wrapText="1"/>
      <protection hidden="1"/>
    </xf>
    <xf numFmtId="14" fontId="145" fillId="0" borderId="6" xfId="700" applyNumberFormat="1" applyFont="1" applyFill="1" applyBorder="1" applyAlignment="1" applyProtection="1">
      <alignment horizontal="center" wrapText="1"/>
      <protection hidden="1"/>
    </xf>
    <xf numFmtId="14" fontId="145" fillId="0" borderId="10" xfId="700" applyNumberFormat="1" applyFont="1" applyFill="1" applyBorder="1" applyAlignment="1" applyProtection="1">
      <alignment horizontal="center" wrapText="1"/>
      <protection hidden="1"/>
    </xf>
    <xf numFmtId="0" fontId="100" fillId="0" borderId="67" xfId="8726" applyFont="1" applyBorder="1" applyAlignment="1">
      <alignment horizontal="left"/>
    </xf>
    <xf numFmtId="0" fontId="100" fillId="0" borderId="68" xfId="8726" applyFont="1" applyBorder="1" applyAlignment="1">
      <alignment horizontal="left"/>
    </xf>
    <xf numFmtId="0" fontId="147" fillId="45" borderId="72" xfId="8726" applyFont="1" applyFill="1" applyBorder="1" applyAlignment="1">
      <alignment horizontal="right"/>
    </xf>
    <xf numFmtId="0" fontId="147" fillId="45" borderId="73" xfId="8726" applyFont="1" applyFill="1" applyBorder="1" applyAlignment="1">
      <alignment horizontal="right"/>
    </xf>
    <xf numFmtId="0" fontId="148" fillId="44" borderId="73" xfId="700" applyNumberFormat="1" applyFont="1" applyFill="1" applyBorder="1" applyAlignment="1">
      <alignment horizontal="left"/>
    </xf>
    <xf numFmtId="168" fontId="148" fillId="44" borderId="73" xfId="700" applyNumberFormat="1" applyFont="1" applyFill="1" applyBorder="1" applyAlignment="1">
      <alignment horizontal="left"/>
    </xf>
    <xf numFmtId="168" fontId="148" fillId="44" borderId="93" xfId="700" applyNumberFormat="1" applyFont="1" applyFill="1" applyBorder="1" applyAlignment="1">
      <alignment horizontal="left"/>
    </xf>
    <xf numFmtId="0" fontId="144" fillId="48" borderId="0" xfId="8726" applyFont="1" applyFill="1" applyAlignment="1">
      <alignment horizontal="right"/>
    </xf>
    <xf numFmtId="182" fontId="2" fillId="49" borderId="11" xfId="700" applyNumberFormat="1" applyFont="1" applyFill="1" applyBorder="1" applyAlignment="1" applyProtection="1">
      <alignment horizontal="center"/>
      <protection locked="0"/>
    </xf>
    <xf numFmtId="10" fontId="161" fillId="49" borderId="11" xfId="1022" applyNumberFormat="1" applyFont="1" applyFill="1" applyBorder="1" applyAlignment="1" applyProtection="1">
      <alignment horizontal="center"/>
      <protection locked="0"/>
    </xf>
    <xf numFmtId="44" fontId="2" fillId="49" borderId="97" xfId="700" applyFont="1" applyFill="1" applyBorder="1" applyAlignment="1" applyProtection="1">
      <alignment horizontal="center"/>
      <protection locked="0"/>
    </xf>
    <xf numFmtId="168" fontId="145" fillId="48" borderId="0" xfId="700" applyNumberFormat="1" applyFont="1" applyFill="1" applyBorder="1" applyAlignment="1" applyProtection="1">
      <alignment horizontal="left"/>
      <protection locked="0"/>
    </xf>
    <xf numFmtId="0" fontId="148" fillId="45" borderId="67" xfId="0" applyFont="1" applyFill="1" applyBorder="1" applyAlignment="1" applyProtection="1">
      <alignment horizontal="center" wrapText="1"/>
      <protection hidden="1"/>
    </xf>
    <xf numFmtId="0" fontId="148" fillId="45" borderId="68" xfId="0" applyFont="1" applyFill="1" applyBorder="1" applyAlignment="1" applyProtection="1">
      <alignment horizontal="center" wrapText="1"/>
      <protection hidden="1"/>
    </xf>
    <xf numFmtId="0" fontId="148" fillId="45" borderId="69" xfId="0" applyFont="1" applyFill="1" applyBorder="1" applyAlignment="1" applyProtection="1">
      <alignment horizontal="center" wrapText="1"/>
      <protection hidden="1"/>
    </xf>
    <xf numFmtId="44" fontId="2" fillId="44" borderId="11" xfId="700" applyFont="1" applyFill="1" applyBorder="1" applyAlignment="1" applyProtection="1">
      <alignment horizontal="center"/>
      <protection hidden="1"/>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63" fillId="45" borderId="70" xfId="8726" applyFont="1" applyFill="1" applyBorder="1" applyAlignment="1">
      <alignment horizontal="right"/>
    </xf>
    <xf numFmtId="0" fontId="163" fillId="45" borderId="71" xfId="8726" applyFont="1" applyFill="1" applyBorder="1" applyAlignment="1">
      <alignment horizontal="right"/>
    </xf>
    <xf numFmtId="168" fontId="146" fillId="44" borderId="71" xfId="700" applyNumberFormat="1" applyFont="1" applyFill="1" applyBorder="1" applyAlignment="1">
      <alignment horizontal="left"/>
    </xf>
    <xf numFmtId="168" fontId="146" fillId="44" borderId="74" xfId="700" applyNumberFormat="1" applyFont="1" applyFill="1" applyBorder="1" applyAlignment="1">
      <alignment horizontal="left"/>
    </xf>
    <xf numFmtId="0" fontId="161" fillId="49" borderId="81" xfId="8726" applyFont="1" applyFill="1" applyBorder="1" applyAlignment="1" applyProtection="1">
      <alignment horizontal="center"/>
      <protection locked="0"/>
    </xf>
    <xf numFmtId="0" fontId="161" fillId="49" borderId="82" xfId="8726" applyFont="1" applyFill="1" applyBorder="1" applyAlignment="1" applyProtection="1">
      <alignment horizontal="center"/>
      <protection locked="0"/>
    </xf>
    <xf numFmtId="0" fontId="163" fillId="49" borderId="73" xfId="8726" applyFont="1" applyFill="1" applyBorder="1" applyAlignment="1" applyProtection="1">
      <alignment horizontal="left"/>
      <protection locked="0"/>
    </xf>
    <xf numFmtId="0" fontId="163" fillId="49" borderId="93" xfId="8726" applyFont="1" applyFill="1" applyBorder="1" applyAlignment="1" applyProtection="1">
      <alignment horizontal="left"/>
      <protection locked="0"/>
    </xf>
    <xf numFmtId="168" fontId="161" fillId="49" borderId="82" xfId="700" applyNumberFormat="1" applyFont="1" applyFill="1" applyBorder="1" applyAlignment="1" applyProtection="1">
      <alignment horizontal="left"/>
      <protection locked="0"/>
    </xf>
    <xf numFmtId="168" fontId="161" fillId="49" borderId="85" xfId="700" applyNumberFormat="1" applyFont="1" applyFill="1" applyBorder="1" applyAlignment="1" applyProtection="1">
      <alignment horizontal="left"/>
      <protection locked="0"/>
    </xf>
    <xf numFmtId="0" fontId="161" fillId="49" borderId="81" xfId="8726" applyFont="1" applyFill="1" applyBorder="1" applyAlignment="1" applyProtection="1">
      <alignment horizontal="left"/>
      <protection locked="0"/>
    </xf>
    <xf numFmtId="0" fontId="161" fillId="49" borderId="82" xfId="8726" applyFont="1" applyFill="1" applyBorder="1" applyAlignment="1" applyProtection="1">
      <alignment horizontal="left"/>
      <protection locked="0"/>
    </xf>
    <xf numFmtId="0" fontId="161" fillId="49" borderId="85" xfId="8726" applyFont="1" applyFill="1" applyBorder="1" applyAlignment="1" applyProtection="1">
      <alignment horizontal="left"/>
      <protection locked="0"/>
    </xf>
    <xf numFmtId="0" fontId="171" fillId="48" borderId="0" xfId="8726" applyFont="1" applyFill="1" applyAlignment="1">
      <alignment horizontal="left" wrapText="1"/>
    </xf>
    <xf numFmtId="0" fontId="171" fillId="48" borderId="41" xfId="8726" applyFont="1" applyFill="1" applyBorder="1" applyAlignment="1">
      <alignment horizontal="left" wrapText="1"/>
    </xf>
    <xf numFmtId="0" fontId="161" fillId="49" borderId="80"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0" fontId="163" fillId="49" borderId="11" xfId="8726" applyFont="1" applyFill="1" applyBorder="1" applyAlignment="1" applyProtection="1">
      <alignment horizontal="left"/>
      <protection locked="0"/>
    </xf>
    <xf numFmtId="168" fontId="161" fillId="49" borderId="11" xfId="700" applyNumberFormat="1" applyFont="1" applyFill="1" applyBorder="1" applyAlignment="1" applyProtection="1">
      <alignment horizontal="left"/>
      <protection locked="0"/>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center"/>
      <protection locked="0"/>
    </xf>
    <xf numFmtId="0" fontId="163" fillId="49" borderId="11" xfId="8726" applyFont="1" applyFill="1" applyBorder="1" applyAlignment="1" applyProtection="1">
      <alignment horizontal="center"/>
      <protection locked="0"/>
    </xf>
    <xf numFmtId="44" fontId="2" fillId="49" borderId="11" xfId="700" applyFont="1" applyFill="1" applyBorder="1" applyAlignment="1" applyProtection="1">
      <alignment horizontal="center"/>
      <protection locked="0"/>
    </xf>
    <xf numFmtId="0" fontId="161" fillId="45" borderId="80" xfId="8726" applyFont="1" applyFill="1" applyBorder="1" applyAlignment="1">
      <alignment horizontal="right"/>
    </xf>
    <xf numFmtId="0" fontId="161" fillId="45" borderId="11" xfId="8726" applyFont="1" applyFill="1" applyBorder="1" applyAlignment="1">
      <alignment horizontal="right"/>
    </xf>
    <xf numFmtId="168" fontId="161" fillId="44" borderId="11" xfId="700" applyNumberFormat="1" applyFont="1" applyFill="1" applyBorder="1" applyAlignment="1">
      <alignment horizontal="left"/>
    </xf>
    <xf numFmtId="43" fontId="144" fillId="55" borderId="104" xfId="698" applyFont="1" applyFill="1" applyBorder="1" applyAlignment="1" applyProtection="1">
      <alignment horizontal="center"/>
      <protection hidden="1"/>
    </xf>
    <xf numFmtId="43" fontId="144" fillId="55" borderId="97" xfId="698" applyFont="1" applyFill="1" applyBorder="1" applyAlignment="1" applyProtection="1">
      <alignment horizontal="center"/>
      <protection hidden="1"/>
    </xf>
    <xf numFmtId="43" fontId="144" fillId="55" borderId="98" xfId="698" applyFont="1" applyFill="1" applyBorder="1" applyAlignment="1" applyProtection="1">
      <alignment horizontal="center"/>
      <protection hidden="1"/>
    </xf>
    <xf numFmtId="43" fontId="146" fillId="53" borderId="13" xfId="698" applyFont="1" applyFill="1" applyBorder="1" applyAlignment="1" applyProtection="1">
      <alignment horizontal="left"/>
      <protection hidden="1"/>
    </xf>
    <xf numFmtId="44" fontId="2" fillId="49" borderId="13" xfId="700" applyFont="1" applyFill="1" applyBorder="1" applyAlignment="1" applyProtection="1">
      <alignment horizontal="center"/>
      <protection locked="0"/>
    </xf>
    <xf numFmtId="0" fontId="161" fillId="48" borderId="9" xfId="8726" applyFont="1" applyFill="1" applyBorder="1" applyAlignment="1">
      <alignment horizontal="center"/>
    </xf>
    <xf numFmtId="0" fontId="161" fillId="48" borderId="6" xfId="8726" applyFont="1" applyFill="1" applyBorder="1" applyAlignment="1">
      <alignment horizontal="center"/>
    </xf>
    <xf numFmtId="0" fontId="161" fillId="48" borderId="10" xfId="8726" applyFont="1" applyFill="1" applyBorder="1" applyAlignment="1">
      <alignment horizontal="center"/>
    </xf>
    <xf numFmtId="43" fontId="146" fillId="53" borderId="11" xfId="698" applyFont="1" applyFill="1" applyBorder="1" applyAlignment="1" applyProtection="1">
      <alignment horizontal="left"/>
      <protection hidden="1"/>
    </xf>
    <xf numFmtId="14" fontId="161" fillId="49" borderId="11" xfId="8726" applyNumberFormat="1" applyFont="1" applyFill="1" applyBorder="1" applyAlignment="1" applyProtection="1">
      <alignment horizontal="center"/>
      <protection locked="0"/>
    </xf>
    <xf numFmtId="14" fontId="161" fillId="49" borderId="91" xfId="8726" applyNumberFormat="1" applyFont="1" applyFill="1" applyBorder="1" applyAlignment="1" applyProtection="1">
      <alignment horizontal="center"/>
      <protection locked="0"/>
    </xf>
    <xf numFmtId="168" fontId="163" fillId="44" borderId="11" xfId="700" applyNumberFormat="1" applyFont="1" applyFill="1" applyBorder="1" applyAlignment="1">
      <alignment horizontal="left"/>
    </xf>
    <xf numFmtId="0" fontId="147" fillId="47" borderId="11" xfId="8726" applyFont="1" applyFill="1" applyBorder="1" applyAlignment="1">
      <alignment horizontal="center"/>
    </xf>
    <xf numFmtId="0" fontId="147" fillId="47" borderId="91" xfId="8726" applyFont="1" applyFill="1" applyBorder="1" applyAlignment="1">
      <alignment horizontal="center"/>
    </xf>
    <xf numFmtId="0" fontId="163" fillId="45" borderId="80" xfId="8726" applyFont="1" applyFill="1" applyBorder="1" applyAlignment="1">
      <alignment horizontal="right"/>
    </xf>
    <xf numFmtId="0" fontId="163" fillId="45" borderId="11" xfId="8726" applyFont="1" applyFill="1" applyBorder="1" applyAlignment="1">
      <alignment horizontal="right"/>
    </xf>
    <xf numFmtId="0" fontId="171" fillId="45" borderId="72" xfId="8726" applyFont="1" applyFill="1" applyBorder="1" applyAlignment="1">
      <alignment horizontal="center"/>
    </xf>
    <xf numFmtId="0" fontId="171" fillId="45" borderId="73" xfId="8726" applyFont="1" applyFill="1" applyBorder="1" applyAlignment="1">
      <alignment horizontal="center"/>
    </xf>
    <xf numFmtId="0" fontId="157" fillId="49" borderId="73" xfId="8726" applyFont="1" applyFill="1" applyBorder="1" applyAlignment="1" applyProtection="1">
      <alignment horizontal="left"/>
      <protection locked="0"/>
    </xf>
    <xf numFmtId="0" fontId="163" fillId="49" borderId="73" xfId="8726" applyFont="1" applyFill="1" applyBorder="1" applyAlignment="1" applyProtection="1">
      <alignment horizontal="center"/>
      <protection locked="0"/>
    </xf>
    <xf numFmtId="14" fontId="163" fillId="49" borderId="73" xfId="8726" applyNumberFormat="1" applyFont="1" applyFill="1" applyBorder="1" applyAlignment="1" applyProtection="1">
      <alignment horizontal="center"/>
      <protection locked="0"/>
    </xf>
    <xf numFmtId="168" fontId="163" fillId="49" borderId="73" xfId="8727" applyNumberFormat="1" applyFont="1" applyFill="1" applyBorder="1" applyAlignment="1" applyProtection="1">
      <alignment horizontal="center"/>
      <protection locked="0"/>
    </xf>
    <xf numFmtId="168" fontId="163" fillId="49" borderId="93" xfId="8727" applyNumberFormat="1" applyFont="1" applyFill="1" applyBorder="1" applyAlignment="1" applyProtection="1">
      <alignment horizontal="center"/>
      <protection locked="0"/>
    </xf>
    <xf numFmtId="0" fontId="161" fillId="49" borderId="72" xfId="8726" applyFont="1" applyFill="1" applyBorder="1" applyAlignment="1" applyProtection="1">
      <alignment horizontal="center"/>
      <protection locked="0"/>
    </xf>
    <xf numFmtId="0" fontId="161" fillId="49" borderId="73" xfId="8726" applyFont="1" applyFill="1" applyBorder="1" applyAlignment="1" applyProtection="1">
      <alignment horizontal="center"/>
      <protection locked="0"/>
    </xf>
    <xf numFmtId="14" fontId="161" fillId="49" borderId="73" xfId="8726" applyNumberFormat="1" applyFont="1" applyFill="1" applyBorder="1" applyAlignment="1" applyProtection="1">
      <alignment horizontal="center"/>
      <protection locked="0"/>
    </xf>
    <xf numFmtId="14" fontId="161" fillId="49" borderId="93" xfId="8726" applyNumberFormat="1" applyFont="1" applyFill="1" applyBorder="1" applyAlignment="1" applyProtection="1">
      <alignment horizontal="center"/>
      <protection locked="0"/>
    </xf>
    <xf numFmtId="0" fontId="100" fillId="45" borderId="65" xfId="8726" applyFont="1" applyFill="1" applyBorder="1" applyAlignment="1">
      <alignment horizontal="left" wrapText="1"/>
    </xf>
    <xf numFmtId="0" fontId="100" fillId="45" borderId="29" xfId="8726" applyFont="1" applyFill="1" applyBorder="1" applyAlignment="1">
      <alignment horizontal="left" wrapText="1"/>
    </xf>
    <xf numFmtId="0" fontId="100" fillId="45" borderId="31" xfId="8726" applyFont="1" applyFill="1" applyBorder="1" applyAlignment="1">
      <alignment horizontal="left" wrapText="1"/>
    </xf>
    <xf numFmtId="0" fontId="100" fillId="45" borderId="86" xfId="8726" applyFont="1" applyFill="1" applyBorder="1" applyAlignment="1">
      <alignment horizontal="left" wrapText="1"/>
    </xf>
    <xf numFmtId="0" fontId="100" fillId="45" borderId="42" xfId="8726" applyFont="1" applyFill="1" applyBorder="1" applyAlignment="1">
      <alignment horizontal="left" wrapText="1"/>
    </xf>
    <xf numFmtId="0" fontId="100" fillId="45" borderId="44" xfId="8726" applyFont="1" applyFill="1" applyBorder="1" applyAlignment="1">
      <alignment horizontal="left" wrapText="1"/>
    </xf>
    <xf numFmtId="0" fontId="144" fillId="45" borderId="70" xfId="8726" applyFont="1" applyFill="1" applyBorder="1" applyAlignment="1">
      <alignment horizontal="left"/>
    </xf>
    <xf numFmtId="0" fontId="144" fillId="45" borderId="71" xfId="8726" applyFont="1" applyFill="1" applyBorder="1" applyAlignment="1">
      <alignment horizontal="left"/>
    </xf>
    <xf numFmtId="0" fontId="144" fillId="45" borderId="74" xfId="8726" applyFont="1" applyFill="1" applyBorder="1" applyAlignment="1">
      <alignment horizontal="left"/>
    </xf>
    <xf numFmtId="0" fontId="100" fillId="45" borderId="80" xfId="8726" applyFont="1" applyFill="1" applyBorder="1" applyAlignment="1">
      <alignment horizontal="center"/>
    </xf>
    <xf numFmtId="0" fontId="100" fillId="45" borderId="11" xfId="8726" applyFont="1" applyFill="1" applyBorder="1" applyAlignment="1">
      <alignment horizontal="center"/>
    </xf>
    <xf numFmtId="0" fontId="100" fillId="45" borderId="91" xfId="8726" applyFont="1" applyFill="1" applyBorder="1" applyAlignment="1">
      <alignment horizontal="center"/>
    </xf>
    <xf numFmtId="0" fontId="161" fillId="49" borderId="80" xfId="8726" applyFont="1" applyFill="1" applyBorder="1" applyAlignment="1" applyProtection="1">
      <alignment horizontal="left" vertical="top"/>
      <protection locked="0"/>
    </xf>
    <xf numFmtId="0" fontId="161" fillId="49" borderId="11" xfId="8726" applyFont="1" applyFill="1" applyBorder="1" applyAlignment="1" applyProtection="1">
      <alignment horizontal="left" vertical="top"/>
      <protection locked="0"/>
    </xf>
    <xf numFmtId="0" fontId="161" fillId="49" borderId="91" xfId="8726" applyFont="1" applyFill="1" applyBorder="1" applyAlignment="1" applyProtection="1">
      <alignment horizontal="left" vertical="top"/>
      <protection locked="0"/>
    </xf>
    <xf numFmtId="0" fontId="161" fillId="49" borderId="72" xfId="8726" applyFont="1" applyFill="1" applyBorder="1" applyAlignment="1" applyProtection="1">
      <alignment horizontal="left" vertical="top"/>
      <protection locked="0"/>
    </xf>
    <xf numFmtId="0" fontId="161" fillId="49" borderId="73" xfId="8726" applyFont="1" applyFill="1" applyBorder="1" applyAlignment="1" applyProtection="1">
      <alignment horizontal="left" vertical="top"/>
      <protection locked="0"/>
    </xf>
    <xf numFmtId="0" fontId="161" fillId="49" borderId="93" xfId="8726" applyFont="1" applyFill="1" applyBorder="1" applyAlignment="1" applyProtection="1">
      <alignment horizontal="left" vertical="top"/>
      <protection locked="0"/>
    </xf>
    <xf numFmtId="0" fontId="171" fillId="45" borderId="80" xfId="8726" applyFont="1" applyFill="1" applyBorder="1" applyAlignment="1">
      <alignment horizontal="center"/>
    </xf>
    <xf numFmtId="0" fontId="171" fillId="45" borderId="11" xfId="8726" applyFont="1" applyFill="1" applyBorder="1" applyAlignment="1">
      <alignment horizontal="center"/>
    </xf>
    <xf numFmtId="0" fontId="157" fillId="49" borderId="11" xfId="8726" applyFont="1" applyFill="1" applyBorder="1" applyAlignment="1" applyProtection="1">
      <alignment horizontal="left"/>
      <protection locked="0"/>
    </xf>
    <xf numFmtId="14" fontId="163" fillId="49" borderId="11" xfId="8726" applyNumberFormat="1" applyFont="1" applyFill="1" applyBorder="1" applyAlignment="1" applyProtection="1">
      <alignment horizontal="center"/>
      <protection locked="0"/>
    </xf>
    <xf numFmtId="168" fontId="163" fillId="49" borderId="11" xfId="8727" applyNumberFormat="1" applyFont="1" applyFill="1" applyBorder="1" applyAlignment="1" applyProtection="1">
      <alignment horizontal="center"/>
      <protection locked="0"/>
    </xf>
    <xf numFmtId="168" fontId="163" fillId="49" borderId="91" xfId="8727" applyNumberFormat="1" applyFont="1" applyFill="1" applyBorder="1" applyAlignment="1" applyProtection="1">
      <alignment horizontal="center"/>
      <protection locked="0"/>
    </xf>
    <xf numFmtId="0" fontId="148" fillId="45" borderId="11" xfId="8726" applyFont="1" applyFill="1" applyBorder="1" applyAlignment="1">
      <alignment horizontal="center" wrapText="1"/>
    </xf>
    <xf numFmtId="0" fontId="148" fillId="45" borderId="91" xfId="8726" applyFont="1" applyFill="1" applyBorder="1" applyAlignment="1">
      <alignment horizontal="center" wrapText="1"/>
    </xf>
    <xf numFmtId="0" fontId="159" fillId="45" borderId="80" xfId="8726" applyFont="1" applyFill="1" applyBorder="1" applyAlignment="1">
      <alignment horizontal="left"/>
    </xf>
    <xf numFmtId="0" fontId="159" fillId="45" borderId="11" xfId="8726" applyFont="1" applyFill="1" applyBorder="1" applyAlignment="1">
      <alignment horizontal="left"/>
    </xf>
    <xf numFmtId="0" fontId="159" fillId="45" borderId="72" xfId="8726" applyFont="1" applyFill="1" applyBorder="1" applyAlignment="1">
      <alignment horizontal="left"/>
    </xf>
    <xf numFmtId="0" fontId="159" fillId="45" borderId="73" xfId="8726" applyFont="1" applyFill="1" applyBorder="1" applyAlignment="1">
      <alignment horizontal="left"/>
    </xf>
    <xf numFmtId="0" fontId="144" fillId="45" borderId="70" xfId="8726" applyFont="1" applyFill="1" applyBorder="1" applyAlignment="1">
      <alignment horizontal="center"/>
    </xf>
    <xf numFmtId="0" fontId="152" fillId="45" borderId="80" xfId="8726" applyFont="1" applyFill="1" applyBorder="1" applyAlignment="1">
      <alignment horizontal="left"/>
    </xf>
    <xf numFmtId="0" fontId="152" fillId="45" borderId="11" xfId="8726" applyFont="1" applyFill="1" applyBorder="1" applyAlignment="1">
      <alignment horizontal="left"/>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left" vertical="top"/>
      <protection locked="0"/>
    </xf>
    <xf numFmtId="0" fontId="163" fillId="49" borderId="11" xfId="8726" applyFont="1" applyFill="1" applyBorder="1" applyAlignment="1" applyProtection="1">
      <alignment horizontal="left" vertical="top"/>
      <protection locked="0"/>
    </xf>
    <xf numFmtId="0" fontId="163" fillId="49" borderId="91" xfId="8726" applyFont="1" applyFill="1" applyBorder="1" applyAlignment="1" applyProtection="1">
      <alignment horizontal="left" vertical="top"/>
      <protection locked="0"/>
    </xf>
    <xf numFmtId="0" fontId="163" fillId="49" borderId="72" xfId="8726" applyFont="1" applyFill="1" applyBorder="1" applyAlignment="1" applyProtection="1">
      <alignment horizontal="left" vertical="top"/>
      <protection locked="0"/>
    </xf>
    <xf numFmtId="0" fontId="163" fillId="49" borderId="73" xfId="8726" applyFont="1" applyFill="1" applyBorder="1" applyAlignment="1" applyProtection="1">
      <alignment horizontal="left" vertical="top"/>
      <protection locked="0"/>
    </xf>
    <xf numFmtId="0" fontId="163" fillId="49" borderId="93" xfId="8726" applyFont="1" applyFill="1" applyBorder="1" applyAlignment="1" applyProtection="1">
      <alignment horizontal="left" vertical="top"/>
      <protection locked="0"/>
    </xf>
    <xf numFmtId="0" fontId="144" fillId="45" borderId="75" xfId="8726" applyFont="1" applyFill="1" applyBorder="1" applyAlignment="1">
      <alignment horizontal="center"/>
    </xf>
    <xf numFmtId="0" fontId="144" fillId="45" borderId="76" xfId="8726" applyFont="1" applyFill="1" applyBorder="1" applyAlignment="1">
      <alignment horizontal="center"/>
    </xf>
    <xf numFmtId="0" fontId="144" fillId="45" borderId="77" xfId="8726" applyFont="1" applyFill="1" applyBorder="1" applyAlignment="1">
      <alignment horizontal="center"/>
    </xf>
    <xf numFmtId="0" fontId="100" fillId="45" borderId="74" xfId="8726" applyFont="1" applyFill="1" applyBorder="1" applyAlignment="1">
      <alignment horizontal="left" wrapText="1"/>
    </xf>
    <xf numFmtId="0" fontId="100" fillId="45" borderId="91" xfId="8726" applyFont="1" applyFill="1" applyBorder="1" applyAlignment="1">
      <alignment horizontal="left" wrapText="1"/>
    </xf>
    <xf numFmtId="0" fontId="100" fillId="45" borderId="65" xfId="8726" applyFont="1" applyFill="1" applyBorder="1" applyAlignment="1">
      <alignment horizontal="center"/>
    </xf>
    <xf numFmtId="0" fontId="100" fillId="45" borderId="29" xfId="8726" applyFont="1" applyFill="1" applyBorder="1" applyAlignment="1">
      <alignment horizontal="center"/>
    </xf>
    <xf numFmtId="0" fontId="100" fillId="45" borderId="31" xfId="8726" applyFont="1" applyFill="1" applyBorder="1" applyAlignment="1">
      <alignment horizontal="center"/>
    </xf>
    <xf numFmtId="0" fontId="158" fillId="45" borderId="11" xfId="8726" applyFont="1" applyFill="1" applyBorder="1" applyAlignment="1">
      <alignment horizontal="left"/>
    </xf>
    <xf numFmtId="0" fontId="158" fillId="45" borderId="91" xfId="8726" applyFont="1" applyFill="1" applyBorder="1" applyAlignment="1">
      <alignment horizontal="left"/>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44" fillId="45" borderId="94" xfId="8726" applyFont="1" applyFill="1" applyBorder="1" applyAlignment="1">
      <alignment horizontal="right"/>
    </xf>
    <xf numFmtId="0" fontId="144" fillId="45" borderId="43" xfId="8726" applyFont="1" applyFill="1" applyBorder="1" applyAlignment="1">
      <alignment horizontal="right"/>
    </xf>
    <xf numFmtId="0" fontId="161" fillId="49" borderId="71" xfId="8726" applyFont="1" applyFill="1" applyBorder="1" applyAlignment="1" applyProtection="1">
      <alignment horizontal="left"/>
      <protection locked="0"/>
    </xf>
    <xf numFmtId="0" fontId="161" fillId="49" borderId="74" xfId="8726" applyFont="1" applyFill="1" applyBorder="1" applyAlignment="1" applyProtection="1">
      <alignment horizontal="left"/>
      <protection locked="0"/>
    </xf>
    <xf numFmtId="0" fontId="144" fillId="45" borderId="72" xfId="8726" applyFont="1" applyFill="1" applyBorder="1" applyAlignment="1">
      <alignment horizontal="center"/>
    </xf>
    <xf numFmtId="0" fontId="144" fillId="45" borderId="73" xfId="8726" applyFont="1" applyFill="1" applyBorder="1" applyAlignment="1">
      <alignment horizontal="center"/>
    </xf>
    <xf numFmtId="0" fontId="161" fillId="49" borderId="73" xfId="8726" applyFont="1" applyFill="1" applyBorder="1" applyAlignment="1" applyProtection="1">
      <alignment horizontal="left"/>
      <protection locked="0"/>
    </xf>
    <xf numFmtId="0" fontId="161" fillId="49" borderId="93" xfId="8726" applyFont="1" applyFill="1" applyBorder="1" applyAlignment="1" applyProtection="1">
      <alignment horizontal="left"/>
      <protection locked="0"/>
    </xf>
    <xf numFmtId="0" fontId="161" fillId="44" borderId="80" xfId="8726" applyFont="1" applyFill="1" applyBorder="1" applyAlignment="1" applyProtection="1">
      <alignment horizontal="right"/>
      <protection locked="0"/>
    </xf>
    <xf numFmtId="0" fontId="161" fillId="44" borderId="11" xfId="8726" applyFont="1" applyFill="1" applyBorder="1" applyAlignment="1" applyProtection="1">
      <alignment horizontal="right"/>
      <protection locked="0"/>
    </xf>
    <xf numFmtId="0" fontId="161" fillId="44" borderId="91" xfId="8726" applyFont="1" applyFill="1" applyBorder="1" applyAlignment="1" applyProtection="1">
      <alignment horizontal="right"/>
      <protection locked="0"/>
    </xf>
    <xf numFmtId="0" fontId="161" fillId="49" borderId="5" xfId="8726" applyFont="1" applyFill="1" applyBorder="1" applyAlignment="1" applyProtection="1">
      <alignment horizontal="left"/>
      <protection locked="0"/>
    </xf>
    <xf numFmtId="0" fontId="161" fillId="44" borderId="72" xfId="8726" applyFont="1" applyFill="1" applyBorder="1" applyAlignment="1" applyProtection="1">
      <alignment horizontal="right"/>
      <protection locked="0"/>
    </xf>
    <xf numFmtId="0" fontId="161" fillId="44" borderId="73" xfId="8726" applyFont="1" applyFill="1" applyBorder="1" applyAlignment="1" applyProtection="1">
      <alignment horizontal="right"/>
      <protection locked="0"/>
    </xf>
    <xf numFmtId="0" fontId="161" fillId="44" borderId="93" xfId="8726" applyFont="1" applyFill="1" applyBorder="1" applyAlignment="1" applyProtection="1">
      <alignment horizontal="right"/>
      <protection locked="0"/>
    </xf>
    <xf numFmtId="168" fontId="161" fillId="49" borderId="11" xfId="8727" applyNumberFormat="1"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61" fillId="49" borderId="11" xfId="700" applyNumberFormat="1" applyFont="1" applyFill="1" applyBorder="1" applyAlignment="1" applyProtection="1">
      <alignment horizontal="left"/>
      <protection locked="0"/>
    </xf>
    <xf numFmtId="0" fontId="161" fillId="49" borderId="91" xfId="700" applyNumberFormat="1" applyFont="1" applyFill="1" applyBorder="1" applyAlignment="1" applyProtection="1">
      <alignment horizontal="left"/>
      <protection locked="0"/>
    </xf>
    <xf numFmtId="168" fontId="147" fillId="45" borderId="73" xfId="8727" applyNumberFormat="1" applyFont="1" applyFill="1" applyBorder="1" applyAlignment="1">
      <alignment horizontal="center"/>
    </xf>
    <xf numFmtId="1" fontId="147" fillId="45" borderId="73" xfId="8727" applyNumberFormat="1" applyFont="1" applyFill="1" applyBorder="1" applyAlignment="1">
      <alignment horizontal="center"/>
    </xf>
    <xf numFmtId="0" fontId="147" fillId="45" borderId="73" xfId="8727" applyNumberFormat="1" applyFont="1" applyFill="1" applyBorder="1" applyAlignment="1">
      <alignment horizontal="center"/>
    </xf>
    <xf numFmtId="0" fontId="147" fillId="45" borderId="93" xfId="8727" applyNumberFormat="1" applyFont="1" applyFill="1" applyBorder="1" applyAlignment="1">
      <alignment horizontal="center"/>
    </xf>
    <xf numFmtId="0" fontId="144" fillId="45" borderId="65" xfId="8726" applyFont="1" applyFill="1" applyBorder="1" applyAlignment="1">
      <alignment horizontal="center"/>
    </xf>
    <xf numFmtId="0" fontId="144" fillId="45" borderId="29" xfId="8726" applyFont="1" applyFill="1" applyBorder="1" applyAlignment="1">
      <alignment horizontal="center"/>
    </xf>
    <xf numFmtId="0" fontId="144" fillId="45" borderId="31" xfId="8726" applyFont="1" applyFill="1" applyBorder="1" applyAlignment="1">
      <alignment horizontal="center"/>
    </xf>
    <xf numFmtId="0" fontId="161" fillId="49" borderId="83" xfId="8726" applyFont="1" applyFill="1" applyBorder="1" applyAlignment="1" applyProtection="1">
      <alignment horizontal="left"/>
      <protection locked="0"/>
    </xf>
    <xf numFmtId="0" fontId="148" fillId="45" borderId="11" xfId="8726" applyFont="1" applyFill="1" applyBorder="1" applyAlignment="1">
      <alignment horizontal="center" vertical="center" wrapText="1"/>
    </xf>
    <xf numFmtId="0" fontId="148" fillId="45" borderId="91" xfId="8726" applyFont="1" applyFill="1" applyBorder="1" applyAlignment="1">
      <alignment horizontal="center" vertical="center" wrapText="1"/>
    </xf>
    <xf numFmtId="1" fontId="162" fillId="49" borderId="73" xfId="8726" applyNumberFormat="1" applyFont="1" applyFill="1" applyBorder="1" applyAlignment="1" applyProtection="1">
      <alignment horizontal="center"/>
      <protection locked="0"/>
    </xf>
    <xf numFmtId="1" fontId="162" fillId="49" borderId="84" xfId="8726" applyNumberFormat="1" applyFont="1" applyFill="1" applyBorder="1" applyAlignment="1" applyProtection="1">
      <alignment horizontal="center"/>
      <protection locked="0"/>
    </xf>
    <xf numFmtId="1" fontId="162" fillId="49" borderId="82" xfId="8726" applyNumberFormat="1" applyFont="1" applyFill="1" applyBorder="1" applyAlignment="1" applyProtection="1">
      <alignment horizontal="center"/>
      <protection locked="0"/>
    </xf>
    <xf numFmtId="1" fontId="162" fillId="49" borderId="83" xfId="8726" applyNumberFormat="1" applyFont="1" applyFill="1" applyBorder="1" applyAlignment="1" applyProtection="1">
      <alignment horizontal="center"/>
      <protection locked="0"/>
    </xf>
    <xf numFmtId="0" fontId="161" fillId="49" borderId="72" xfId="8726" applyFont="1" applyFill="1" applyBorder="1" applyAlignment="1" applyProtection="1">
      <alignment horizontal="right"/>
      <protection locked="0"/>
    </xf>
    <xf numFmtId="0" fontId="161" fillId="49" borderId="73" xfId="8726" applyFont="1" applyFill="1" applyBorder="1" applyAlignment="1" applyProtection="1">
      <alignment horizontal="right"/>
      <protection locked="0"/>
    </xf>
    <xf numFmtId="0" fontId="162" fillId="49" borderId="73"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9" fontId="148" fillId="44" borderId="84" xfId="8728" applyFont="1" applyFill="1" applyBorder="1" applyAlignment="1">
      <alignment horizontal="center"/>
    </xf>
    <xf numFmtId="9" fontId="148" fillId="44" borderId="82" xfId="8728" applyFont="1" applyFill="1" applyBorder="1" applyAlignment="1">
      <alignment horizontal="center"/>
    </xf>
    <xf numFmtId="9" fontId="148" fillId="44" borderId="85" xfId="8728" applyFont="1" applyFill="1" applyBorder="1" applyAlignment="1">
      <alignment horizontal="center"/>
    </xf>
    <xf numFmtId="9" fontId="148" fillId="44" borderId="3" xfId="8728" applyFont="1" applyFill="1" applyBorder="1" applyAlignment="1">
      <alignment horizontal="center"/>
    </xf>
    <xf numFmtId="9" fontId="148" fillId="44" borderId="4" xfId="8728" applyFont="1" applyFill="1" applyBorder="1" applyAlignment="1">
      <alignment horizontal="center"/>
    </xf>
    <xf numFmtId="9" fontId="148" fillId="44" borderId="79" xfId="8728" applyFont="1" applyFill="1" applyBorder="1" applyAlignment="1">
      <alignment horizontal="center"/>
    </xf>
    <xf numFmtId="0" fontId="147" fillId="44" borderId="88" xfId="8726" applyFont="1" applyFill="1" applyBorder="1" applyAlignment="1">
      <alignment horizontal="center"/>
    </xf>
    <xf numFmtId="0" fontId="147" fillId="44" borderId="42" xfId="8726" applyFont="1" applyFill="1" applyBorder="1" applyAlignment="1">
      <alignment horizontal="center"/>
    </xf>
    <xf numFmtId="0" fontId="147" fillId="44" borderId="87" xfId="8726" applyFont="1" applyFill="1" applyBorder="1" applyAlignment="1">
      <alignment horizontal="center"/>
    </xf>
    <xf numFmtId="9" fontId="147" fillId="49" borderId="13" xfId="8726" applyNumberFormat="1" applyFont="1" applyFill="1" applyBorder="1" applyAlignment="1" applyProtection="1">
      <alignment horizontal="center"/>
      <protection locked="0"/>
    </xf>
    <xf numFmtId="0" fontId="144" fillId="45" borderId="67" xfId="8726" applyFont="1" applyFill="1" applyBorder="1" applyAlignment="1">
      <alignment horizontal="center"/>
    </xf>
    <xf numFmtId="0" fontId="144" fillId="45" borderId="68" xfId="8726" applyFont="1" applyFill="1" applyBorder="1" applyAlignment="1">
      <alignment horizontal="center"/>
    </xf>
    <xf numFmtId="0" fontId="144" fillId="45" borderId="69" xfId="8726" applyFont="1" applyFill="1" applyBorder="1" applyAlignment="1">
      <alignment horizontal="center"/>
    </xf>
    <xf numFmtId="0" fontId="148" fillId="45" borderId="65" xfId="8726" applyFont="1" applyFill="1" applyBorder="1" applyAlignment="1">
      <alignment horizontal="center" vertical="center" wrapText="1"/>
    </xf>
    <xf numFmtId="0" fontId="148" fillId="45" borderId="29" xfId="8726" applyFont="1" applyFill="1" applyBorder="1" applyAlignment="1">
      <alignment horizontal="center" vertical="center" wrapText="1"/>
    </xf>
    <xf numFmtId="0" fontId="148" fillId="45" borderId="31" xfId="8726" applyFont="1" applyFill="1" applyBorder="1" applyAlignment="1">
      <alignment horizontal="center" vertical="center" wrapText="1"/>
    </xf>
    <xf numFmtId="0" fontId="148" fillId="45" borderId="86" xfId="8726" applyFont="1" applyFill="1" applyBorder="1" applyAlignment="1">
      <alignment horizontal="center" vertical="center" wrapText="1"/>
    </xf>
    <xf numFmtId="0" fontId="148" fillId="45" borderId="42" xfId="8726" applyFont="1" applyFill="1" applyBorder="1" applyAlignment="1">
      <alignment horizontal="center" vertical="center" wrapText="1"/>
    </xf>
    <xf numFmtId="0" fontId="148" fillId="45" borderId="44" xfId="8726" applyFont="1" applyFill="1" applyBorder="1" applyAlignment="1">
      <alignment horizontal="center" vertical="center" wrapText="1"/>
    </xf>
    <xf numFmtId="0" fontId="148" fillId="45" borderId="67" xfId="8726" applyFont="1" applyFill="1" applyBorder="1" applyAlignment="1">
      <alignment horizontal="center"/>
    </xf>
    <xf numFmtId="0" fontId="148" fillId="45" borderId="68" xfId="8726" applyFont="1" applyFill="1" applyBorder="1" applyAlignment="1">
      <alignment horizontal="center"/>
    </xf>
    <xf numFmtId="0" fontId="148" fillId="45" borderId="69" xfId="8726" applyFont="1" applyFill="1" applyBorder="1" applyAlignment="1">
      <alignment horizontal="center"/>
    </xf>
    <xf numFmtId="9" fontId="147" fillId="44" borderId="88" xfId="1022" applyFont="1" applyFill="1" applyBorder="1" applyAlignment="1">
      <alignment horizontal="center"/>
    </xf>
    <xf numFmtId="9" fontId="147" fillId="44" borderId="42" xfId="1022" applyFont="1" applyFill="1" applyBorder="1" applyAlignment="1">
      <alignment horizontal="center"/>
    </xf>
    <xf numFmtId="9" fontId="147" fillId="44" borderId="44" xfId="1022" applyFont="1" applyFill="1" applyBorder="1" applyAlignment="1">
      <alignment horizontal="center"/>
    </xf>
    <xf numFmtId="0" fontId="148" fillId="45" borderId="95"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80" xfId="8726" applyFont="1" applyFill="1" applyBorder="1" applyAlignment="1">
      <alignment horizontal="center" vertical="center"/>
    </xf>
    <xf numFmtId="0" fontId="148" fillId="45" borderId="11" xfId="8726" applyFont="1" applyFill="1" applyBorder="1" applyAlignment="1">
      <alignment horizontal="center" vertical="center"/>
    </xf>
    <xf numFmtId="0" fontId="147" fillId="44" borderId="86" xfId="8726" applyFont="1" applyFill="1" applyBorder="1" applyAlignment="1">
      <alignment horizontal="center"/>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0" fontId="148" fillId="44" borderId="9" xfId="8726" applyFont="1" applyFill="1" applyBorder="1" applyAlignment="1">
      <alignment horizontal="center"/>
    </xf>
    <xf numFmtId="0" fontId="148" fillId="44" borderId="6" xfId="8726" applyFont="1" applyFill="1" applyBorder="1" applyAlignment="1">
      <alignment horizontal="center"/>
    </xf>
    <xf numFmtId="0" fontId="148" fillId="44" borderId="10" xfId="8726" applyFont="1" applyFill="1" applyBorder="1" applyAlignment="1">
      <alignment horizontal="center"/>
    </xf>
    <xf numFmtId="0" fontId="148" fillId="44" borderId="103" xfId="8726" applyFont="1" applyFill="1" applyBorder="1" applyAlignment="1">
      <alignment horizontal="center"/>
    </xf>
    <xf numFmtId="9" fontId="161" fillId="49" borderId="92" xfId="8726" applyNumberFormat="1" applyFont="1" applyFill="1" applyBorder="1" applyAlignment="1">
      <alignment horizontal="center"/>
    </xf>
    <xf numFmtId="9" fontId="161" fillId="49" borderId="4" xfId="8726" applyNumberFormat="1" applyFont="1" applyFill="1" applyBorder="1" applyAlignment="1">
      <alignment horizontal="center"/>
    </xf>
    <xf numFmtId="9" fontId="161" fillId="49" borderId="5" xfId="8726" applyNumberFormat="1" applyFont="1" applyFill="1" applyBorder="1" applyAlignment="1">
      <alignment horizontal="center"/>
    </xf>
    <xf numFmtId="0" fontId="161" fillId="44" borderId="3" xfId="8726" applyFont="1" applyFill="1" applyBorder="1" applyAlignment="1">
      <alignment horizontal="center"/>
    </xf>
    <xf numFmtId="0" fontId="161" fillId="44" borderId="4" xfId="8726" applyFont="1" applyFill="1" applyBorder="1" applyAlignment="1">
      <alignment horizontal="center"/>
    </xf>
    <xf numFmtId="0" fontId="161" fillId="44" borderId="5" xfId="8726" applyFont="1" applyFill="1" applyBorder="1" applyAlignment="1">
      <alignment horizontal="center"/>
    </xf>
    <xf numFmtId="9" fontId="147" fillId="44" borderId="3" xfId="8726" applyNumberFormat="1" applyFont="1" applyFill="1" applyBorder="1" applyAlignment="1">
      <alignment horizontal="center"/>
    </xf>
    <xf numFmtId="9" fontId="147" fillId="44" borderId="4" xfId="8726" applyNumberFormat="1" applyFont="1" applyFill="1" applyBorder="1" applyAlignment="1">
      <alignment horizontal="center"/>
    </xf>
    <xf numFmtId="9" fontId="147" fillId="44" borderId="79" xfId="8726" applyNumberFormat="1" applyFont="1" applyFill="1" applyBorder="1" applyAlignment="1">
      <alignment horizontal="center"/>
    </xf>
    <xf numFmtId="0" fontId="147" fillId="44" borderId="81" xfId="8726" applyFont="1" applyFill="1" applyBorder="1" applyAlignment="1">
      <alignment horizontal="center"/>
    </xf>
    <xf numFmtId="0" fontId="147" fillId="44" borderId="82" xfId="8726" applyFont="1" applyFill="1" applyBorder="1" applyAlignment="1">
      <alignment horizontal="center"/>
    </xf>
    <xf numFmtId="0" fontId="147" fillId="44" borderId="83" xfId="8726" applyFont="1" applyFill="1" applyBorder="1" applyAlignment="1">
      <alignment horizontal="center"/>
    </xf>
    <xf numFmtId="0" fontId="161" fillId="44" borderId="84" xfId="8726" applyFont="1" applyFill="1" applyBorder="1" applyAlignment="1">
      <alignment horizontal="center"/>
    </xf>
    <xf numFmtId="0" fontId="161" fillId="44" borderId="82" xfId="8726" applyFont="1" applyFill="1" applyBorder="1" applyAlignment="1">
      <alignment horizontal="center"/>
    </xf>
    <xf numFmtId="0" fontId="161" fillId="44" borderId="83" xfId="8726" applyFont="1" applyFill="1" applyBorder="1" applyAlignment="1">
      <alignment horizontal="center"/>
    </xf>
    <xf numFmtId="9" fontId="147" fillId="44" borderId="84" xfId="8726" applyNumberFormat="1" applyFont="1" applyFill="1" applyBorder="1" applyAlignment="1">
      <alignment horizontal="center"/>
    </xf>
    <xf numFmtId="9" fontId="147" fillId="44" borderId="82" xfId="8726" applyNumberFormat="1" applyFont="1" applyFill="1" applyBorder="1" applyAlignment="1">
      <alignment horizontal="center"/>
    </xf>
    <xf numFmtId="9" fontId="147" fillId="44" borderId="85" xfId="8726" applyNumberFormat="1" applyFont="1" applyFill="1" applyBorder="1" applyAlignment="1">
      <alignment horizontal="center"/>
    </xf>
    <xf numFmtId="0" fontId="147" fillId="45" borderId="13"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11" xfId="8726" applyFont="1" applyFill="1" applyBorder="1" applyAlignment="1">
      <alignment horizontal="center" vertical="center"/>
    </xf>
    <xf numFmtId="0" fontId="147" fillId="45" borderId="9" xfId="8726" applyFont="1" applyFill="1" applyBorder="1" applyAlignment="1">
      <alignment horizontal="center" vertical="center"/>
    </xf>
    <xf numFmtId="0" fontId="147" fillId="45" borderId="3" xfId="8726" applyFont="1" applyFill="1" applyBorder="1" applyAlignment="1">
      <alignment horizontal="center" vertical="center"/>
    </xf>
    <xf numFmtId="0" fontId="147" fillId="45" borderId="78" xfId="8726" applyFont="1" applyFill="1" applyBorder="1" applyAlignment="1">
      <alignment horizontal="center"/>
    </xf>
    <xf numFmtId="0" fontId="147" fillId="45" borderId="2" xfId="8726" applyFont="1" applyFill="1" applyBorder="1" applyAlignment="1">
      <alignment horizontal="center"/>
    </xf>
    <xf numFmtId="0" fontId="147" fillId="45" borderId="7" xfId="8726" applyFont="1" applyFill="1" applyBorder="1" applyAlignment="1">
      <alignment horizontal="center"/>
    </xf>
    <xf numFmtId="0" fontId="147" fillId="45" borderId="3" xfId="8726" applyFont="1" applyFill="1" applyBorder="1" applyAlignment="1">
      <alignment horizontal="center"/>
    </xf>
    <xf numFmtId="0" fontId="147" fillId="45" borderId="4" xfId="8726" applyFont="1" applyFill="1" applyBorder="1" applyAlignment="1">
      <alignment horizontal="center"/>
    </xf>
    <xf numFmtId="0" fontId="147" fillId="45" borderId="5" xfId="8726" applyFont="1" applyFill="1" applyBorder="1" applyAlignment="1">
      <alignment horizontal="center"/>
    </xf>
    <xf numFmtId="0" fontId="147" fillId="45" borderId="79" xfId="8726" applyFont="1" applyFill="1" applyBorder="1" applyAlignment="1">
      <alignment horizontal="center"/>
    </xf>
    <xf numFmtId="168" fontId="163" fillId="44" borderId="11" xfId="8727" applyNumberFormat="1" applyFont="1" applyFill="1" applyBorder="1" applyAlignment="1" applyProtection="1">
      <alignment horizontal="left"/>
    </xf>
    <xf numFmtId="0" fontId="14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45" fillId="45" borderId="11" xfId="8726" applyFont="1" applyFill="1" applyBorder="1" applyAlignment="1">
      <alignment horizontal="right" wrapText="1"/>
    </xf>
    <xf numFmtId="14" fontId="146" fillId="49" borderId="11" xfId="8726" applyNumberFormat="1" applyFont="1" applyFill="1" applyBorder="1" applyAlignment="1" applyProtection="1">
      <alignment horizontal="center" vertical="center"/>
      <protection locked="0"/>
    </xf>
    <xf numFmtId="0" fontId="146" fillId="49" borderId="11" xfId="8726" applyFont="1" applyFill="1" applyBorder="1" applyAlignment="1" applyProtection="1">
      <alignment horizontal="center" vertical="center"/>
      <protection locked="0"/>
    </xf>
    <xf numFmtId="0" fontId="100" fillId="45" borderId="67" xfId="8726" applyFont="1" applyFill="1" applyBorder="1" applyAlignment="1">
      <alignment horizontal="center"/>
    </xf>
    <xf numFmtId="0" fontId="100" fillId="45" borderId="68" xfId="8726" applyFont="1" applyFill="1" applyBorder="1" applyAlignment="1">
      <alignment horizontal="center"/>
    </xf>
    <xf numFmtId="0" fontId="100" fillId="45" borderId="69" xfId="8726" applyFont="1" applyFill="1" applyBorder="1" applyAlignment="1">
      <alignment horizontal="center"/>
    </xf>
    <xf numFmtId="0" fontId="146" fillId="49" borderId="67" xfId="8726" applyFont="1" applyFill="1" applyBorder="1" applyAlignment="1" applyProtection="1">
      <alignment horizontal="center"/>
      <protection locked="0"/>
    </xf>
    <xf numFmtId="0" fontId="146" fillId="49" borderId="68" xfId="8726" applyFont="1" applyFill="1" applyBorder="1" applyAlignment="1" applyProtection="1">
      <alignment horizontal="center"/>
      <protection locked="0"/>
    </xf>
    <xf numFmtId="0" fontId="146" fillId="49" borderId="69" xfId="8726" applyFont="1" applyFill="1" applyBorder="1" applyAlignment="1" applyProtection="1">
      <alignment horizontal="center"/>
      <protection locked="0"/>
    </xf>
    <xf numFmtId="0" fontId="100" fillId="45" borderId="67" xfId="8726" applyFont="1" applyFill="1" applyBorder="1" applyAlignment="1">
      <alignment horizontal="right"/>
    </xf>
    <xf numFmtId="0" fontId="100" fillId="45" borderId="68" xfId="8726" applyFont="1" applyFill="1" applyBorder="1" applyAlignment="1">
      <alignment horizontal="right"/>
    </xf>
    <xf numFmtId="0" fontId="10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1" fontId="146" fillId="49" borderId="11" xfId="8726" applyNumberFormat="1" applyFont="1" applyFill="1" applyBorder="1" applyAlignment="1" applyProtection="1">
      <alignment horizontal="center"/>
      <protection locked="0"/>
    </xf>
    <xf numFmtId="0" fontId="143" fillId="47" borderId="65" xfId="8726" applyFont="1" applyFill="1" applyBorder="1" applyAlignment="1">
      <alignment horizontal="center"/>
    </xf>
    <xf numFmtId="0" fontId="143" fillId="47" borderId="29" xfId="8726" applyFont="1" applyFill="1" applyBorder="1" applyAlignment="1">
      <alignment horizontal="center"/>
    </xf>
    <xf numFmtId="0" fontId="143" fillId="47" borderId="31" xfId="8726" applyFont="1" applyFill="1" applyBorder="1" applyAlignment="1">
      <alignment horizontal="center"/>
    </xf>
    <xf numFmtId="0" fontId="144" fillId="49" borderId="66" xfId="8726" applyFont="1" applyFill="1" applyBorder="1" applyAlignment="1">
      <alignment horizontal="center"/>
    </xf>
    <xf numFmtId="0" fontId="144" fillId="49" borderId="0" xfId="8726" applyFont="1" applyFill="1" applyAlignment="1">
      <alignment horizontal="center"/>
    </xf>
    <xf numFmtId="0" fontId="144" fillId="49" borderId="41" xfId="8726" applyFont="1" applyFill="1" applyBorder="1" applyAlignment="1">
      <alignment horizontal="center"/>
    </xf>
    <xf numFmtId="0" fontId="146" fillId="44" borderId="67" xfId="8726" applyFont="1" applyFill="1" applyBorder="1" applyAlignment="1">
      <alignment horizontal="left"/>
    </xf>
    <xf numFmtId="0" fontId="146" fillId="44" borderId="68" xfId="8726" applyFont="1" applyFill="1" applyBorder="1" applyAlignment="1">
      <alignment horizontal="left"/>
    </xf>
    <xf numFmtId="0" fontId="146" fillId="44" borderId="69" xfId="8726" applyFont="1" applyFill="1" applyBorder="1" applyAlignment="1">
      <alignment horizontal="left"/>
    </xf>
    <xf numFmtId="0" fontId="14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100" fillId="45" borderId="70" xfId="8726" applyFont="1" applyFill="1" applyBorder="1" applyAlignment="1">
      <alignment horizontal="center" wrapText="1"/>
    </xf>
    <xf numFmtId="0" fontId="100" fillId="45" borderId="71" xfId="8726" applyFont="1" applyFill="1" applyBorder="1" applyAlignment="1">
      <alignment horizontal="center" wrapText="1"/>
    </xf>
    <xf numFmtId="0" fontId="100" fillId="45" borderId="74" xfId="8726" applyFont="1" applyFill="1" applyBorder="1" applyAlignment="1">
      <alignment horizontal="center" wrapText="1"/>
    </xf>
    <xf numFmtId="0" fontId="100" fillId="45" borderId="104" xfId="8726" applyFont="1" applyFill="1" applyBorder="1" applyAlignment="1">
      <alignment horizontal="center"/>
    </xf>
    <xf numFmtId="0" fontId="100" fillId="45" borderId="97" xfId="8726" applyFont="1" applyFill="1" applyBorder="1" applyAlignment="1">
      <alignment horizontal="center"/>
    </xf>
    <xf numFmtId="0" fontId="100" fillId="45" borderId="98" xfId="8726" applyFont="1" applyFill="1" applyBorder="1" applyAlignment="1">
      <alignment horizontal="center"/>
    </xf>
    <xf numFmtId="43" fontId="144" fillId="56" borderId="13" xfId="698" applyFont="1" applyFill="1" applyBorder="1" applyAlignment="1" applyProtection="1">
      <alignment horizontal="center"/>
      <protection hidden="1"/>
    </xf>
    <xf numFmtId="43" fontId="146" fillId="53" borderId="11" xfId="698" applyFont="1" applyFill="1" applyBorder="1" applyAlignment="1" applyProtection="1">
      <alignment horizontal="left" wrapText="1"/>
      <protection hidden="1"/>
    </xf>
    <xf numFmtId="0" fontId="161" fillId="45" borderId="11" xfId="8726" applyFont="1" applyFill="1" applyBorder="1" applyAlignment="1">
      <alignment horizontal="left"/>
    </xf>
    <xf numFmtId="0" fontId="171" fillId="45" borderId="11" xfId="8726" applyFont="1" applyFill="1" applyBorder="1" applyAlignment="1">
      <alignment horizontal="left" wrapText="1"/>
    </xf>
    <xf numFmtId="0" fontId="148" fillId="45" borderId="13" xfId="0" applyFont="1" applyFill="1" applyBorder="1" applyAlignment="1" applyProtection="1">
      <alignment horizontal="left" wrapText="1"/>
      <protection hidden="1"/>
    </xf>
    <xf numFmtId="0" fontId="14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44" fontId="2" fillId="0" borderId="11" xfId="700" applyFont="1" applyBorder="1" applyAlignment="1" applyProtection="1">
      <alignment horizontal="center"/>
      <protection hidden="1"/>
    </xf>
    <xf numFmtId="44" fontId="2" fillId="49" borderId="11" xfId="700" applyFont="1" applyFill="1" applyBorder="1" applyAlignment="1" applyProtection="1">
      <alignment horizontal="center"/>
      <protection hidden="1"/>
    </xf>
    <xf numFmtId="168" fontId="146" fillId="49" borderId="11" xfId="8727" applyNumberFormat="1" applyFont="1" applyFill="1" applyBorder="1" applyAlignment="1">
      <alignment horizontal="center"/>
    </xf>
    <xf numFmtId="0" fontId="144" fillId="44" borderId="11" xfId="8726" applyFont="1" applyFill="1" applyBorder="1" applyAlignment="1">
      <alignment horizontal="left"/>
    </xf>
    <xf numFmtId="0" fontId="161" fillId="48" borderId="3" xfId="8726" applyFont="1" applyFill="1" applyBorder="1" applyAlignment="1">
      <alignment horizontal="center"/>
    </xf>
    <xf numFmtId="0" fontId="161" fillId="48" borderId="4" xfId="8726" applyFont="1" applyFill="1" applyBorder="1" applyAlignment="1">
      <alignment horizontal="center"/>
    </xf>
    <xf numFmtId="0" fontId="161" fillId="48" borderId="5" xfId="8726" applyFont="1" applyFill="1" applyBorder="1" applyAlignment="1">
      <alignment horizontal="center"/>
    </xf>
    <xf numFmtId="0" fontId="146" fillId="49" borderId="3" xfId="0" applyFont="1" applyFill="1" applyBorder="1" applyAlignment="1" applyProtection="1">
      <alignment horizontal="center"/>
      <protection locked="0"/>
    </xf>
    <xf numFmtId="0" fontId="146" fillId="49" borderId="4" xfId="0" applyFont="1" applyFill="1" applyBorder="1" applyAlignment="1" applyProtection="1">
      <alignment horizontal="center"/>
      <protection locked="0"/>
    </xf>
    <xf numFmtId="0" fontId="146" fillId="49" borderId="5" xfId="0" applyFont="1" applyFill="1" applyBorder="1" applyAlignment="1" applyProtection="1">
      <alignment horizontal="center"/>
      <protection locked="0"/>
    </xf>
    <xf numFmtId="43" fontId="144" fillId="53" borderId="80" xfId="698" applyFont="1" applyFill="1" applyBorder="1" applyAlignment="1" applyProtection="1">
      <alignment horizontal="right"/>
      <protection hidden="1"/>
    </xf>
    <xf numFmtId="43" fontId="144" fillId="53" borderId="11" xfId="698" applyFont="1" applyFill="1" applyBorder="1" applyAlignment="1" applyProtection="1">
      <alignment horizontal="right"/>
      <protection hidden="1"/>
    </xf>
    <xf numFmtId="44" fontId="144" fillId="0" borderId="11" xfId="700" applyFont="1" applyBorder="1" applyAlignment="1" applyProtection="1">
      <alignment horizontal="center"/>
      <protection hidden="1"/>
    </xf>
    <xf numFmtId="164" fontId="144" fillId="0" borderId="11" xfId="700" applyNumberFormat="1" applyFont="1" applyBorder="1" applyAlignment="1" applyProtection="1">
      <alignment horizontal="center"/>
      <protection hidden="1"/>
    </xf>
    <xf numFmtId="9" fontId="144" fillId="0" borderId="11" xfId="1022" applyFont="1" applyBorder="1" applyAlignment="1" applyProtection="1">
      <alignment horizontal="center"/>
      <protection hidden="1"/>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168" fontId="14" fillId="0" borderId="5" xfId="569" applyNumberFormat="1" applyBorder="1" applyAlignment="1">
      <alignment horizontal="center"/>
    </xf>
    <xf numFmtId="168" fontId="14" fillId="0" borderId="11" xfId="569" applyNumberFormat="1" applyBorder="1" applyAlignment="1">
      <alignment horizontal="center"/>
    </xf>
    <xf numFmtId="168" fontId="14" fillId="0" borderId="3" xfId="569" applyNumberFormat="1" applyBorder="1" applyAlignment="1">
      <alignment horizontal="center"/>
    </xf>
    <xf numFmtId="168" fontId="14" fillId="0" borderId="4" xfId="569" applyNumberFormat="1" applyBorder="1" applyAlignment="1">
      <alignment horizontal="center"/>
    </xf>
    <xf numFmtId="179" fontId="21" fillId="0" borderId="0" xfId="569" applyNumberFormat="1" applyFont="1" applyAlignment="1">
      <alignment horizontal="center" wrapText="1"/>
    </xf>
    <xf numFmtId="0" fontId="21" fillId="0" borderId="16" xfId="271" applyFont="1" applyBorder="1" applyAlignment="1">
      <alignment horizontal="center"/>
    </xf>
    <xf numFmtId="164" fontId="21" fillId="0" borderId="0" xfId="569" applyNumberFormat="1" applyFont="1" applyAlignment="1">
      <alignment horizontal="center"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51" fillId="0" borderId="0" xfId="569" applyFont="1" applyAlignment="1">
      <alignment horizontal="left"/>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9" fontId="14" fillId="0" borderId="5" xfId="569" applyNumberFormat="1" applyBorder="1" applyAlignment="1">
      <alignment horizontal="center"/>
    </xf>
    <xf numFmtId="9" fontId="14" fillId="0" borderId="11"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0" fontId="21" fillId="0" borderId="11" xfId="569" applyFont="1" applyBorder="1" applyAlignment="1">
      <alignment horizontal="center" wrapText="1"/>
    </xf>
    <xf numFmtId="168" fontId="14" fillId="0" borderId="7" xfId="569" applyNumberFormat="1" applyBorder="1" applyAlignment="1">
      <alignment horizontal="center"/>
    </xf>
    <xf numFmtId="168" fontId="14" fillId="0" borderId="15" xfId="569" applyNumberFormat="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0" borderId="11" xfId="569" applyNumberFormat="1" applyBorder="1" applyAlignment="1">
      <alignment horizontal="right"/>
    </xf>
    <xf numFmtId="0" fontId="21" fillId="0" borderId="6" xfId="569" applyFon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105" fillId="0" borderId="0" xfId="569" applyFont="1" applyAlignment="1">
      <alignment horizontal="left" wrapText="1"/>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168" fontId="14" fillId="0" borderId="11" xfId="569" applyNumberFormat="1" applyBorder="1"/>
    <xf numFmtId="168" fontId="14" fillId="0" borderId="3" xfId="569" applyNumberFormat="1" applyBorder="1"/>
    <xf numFmtId="168" fontId="14" fillId="0" borderId="4" xfId="569" applyNumberFormat="1" applyBorder="1"/>
    <xf numFmtId="168" fontId="14" fillId="0" borderId="5" xfId="569" applyNumberFormat="1" applyBorder="1"/>
    <xf numFmtId="168" fontId="14" fillId="0" borderId="11" xfId="569" applyNumberFormat="1" applyBorder="1" applyAlignment="1">
      <alignment wrapText="1"/>
    </xf>
    <xf numFmtId="9" fontId="14" fillId="0" borderId="15" xfId="569" applyNumberFormat="1" applyBorder="1" applyAlignment="1">
      <alignment horizontal="center"/>
    </xf>
    <xf numFmtId="0" fontId="14" fillId="0" borderId="11" xfId="569" applyBorder="1" applyAlignment="1">
      <alignment horizontal="center"/>
    </xf>
    <xf numFmtId="0" fontId="105" fillId="0" borderId="0" xfId="0" applyFont="1" applyAlignment="1">
      <alignment horizontal="left" vertical="top" wrapText="1"/>
    </xf>
    <xf numFmtId="0" fontId="19" fillId="0" borderId="6" xfId="271" applyFont="1" applyBorder="1" applyAlignment="1">
      <alignment horizontal="center"/>
    </xf>
    <xf numFmtId="3" fontId="14" fillId="0" borderId="0" xfId="0" applyNumberFormat="1" applyFont="1" applyAlignment="1">
      <alignment horizontal="left" vertical="top" wrapText="1"/>
    </xf>
    <xf numFmtId="3" fontId="23" fillId="0" borderId="0" xfId="0" applyNumberFormat="1" applyFont="1" applyAlignment="1">
      <alignment horizontal="left" vertical="top" wrapText="1"/>
    </xf>
    <xf numFmtId="0" fontId="14" fillId="43" borderId="0" xfId="0" applyFont="1" applyFill="1" applyAlignment="1">
      <alignment horizontal="left"/>
    </xf>
  </cellXfs>
  <cellStyles count="17170">
    <cellStyle name="20% - Accent1" xfId="1" builtinId="30" customBuiltin="1"/>
    <cellStyle name="20% - Accent1 10" xfId="4505" xr:uid="{00000000-0005-0000-0000-000001000000}"/>
    <cellStyle name="20% - Accent1 10 2" xfId="12947" xr:uid="{960B6C7A-9DE4-4AEB-A821-ADF9D1969703}"/>
    <cellStyle name="20% - Accent1 11" xfId="8729" xr:uid="{FDBC6471-9F69-4089-84FD-E58B70FA91B0}"/>
    <cellStyle name="20% - Accent1 2" xfId="2" xr:uid="{00000000-0005-0000-0000-000002000000}"/>
    <cellStyle name="20% - Accent1 2 10" xfId="8730" xr:uid="{60499C05-767E-4733-9663-838E97061329}"/>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15509" xr:uid="{EABF9B67-4CF0-49D3-87FA-0253313D8CC9}"/>
    <cellStyle name="20% - Accent1 2 2 2 2 2 3" xfId="11291" xr:uid="{D111E066-1B02-4391-BDA3-E630550247BB}"/>
    <cellStyle name="20% - Accent1 2 2 2 2 3" xfId="4922" xr:uid="{00000000-0005-0000-0000-000008000000}"/>
    <cellStyle name="20% - Accent1 2 2 2 2 3 2" xfId="13364" xr:uid="{9CBFE06E-07F3-4E6D-9949-8AB90D23949F}"/>
    <cellStyle name="20% - Accent1 2 2 2 2 4" xfId="9146" xr:uid="{3FA8CDC8-A3F4-4E61-8520-FC9F777501D1}"/>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15922" xr:uid="{2271C7EF-3451-492A-93E9-4E9035459C20}"/>
    <cellStyle name="20% - Accent1 2 2 2 3 2 3" xfId="11704" xr:uid="{A29C7962-469B-4A1B-972A-AA70161A4C83}"/>
    <cellStyle name="20% - Accent1 2 2 2 3 3" xfId="5335" xr:uid="{00000000-0005-0000-0000-00000C000000}"/>
    <cellStyle name="20% - Accent1 2 2 2 3 3 2" xfId="13777" xr:uid="{EF0DDFCC-38A8-4688-8887-46A60E4138FF}"/>
    <cellStyle name="20% - Accent1 2 2 2 3 4" xfId="9559" xr:uid="{CA040210-FE22-40B9-923D-BF308E48C3A2}"/>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16335" xr:uid="{CA1D3B94-D2C5-4789-B0A5-122A327D5FD6}"/>
    <cellStyle name="20% - Accent1 2 2 2 4 2 3" xfId="12117" xr:uid="{2E09C0F0-2B34-4B86-B9FF-8F14A3141342}"/>
    <cellStyle name="20% - Accent1 2 2 2 4 3" xfId="5748" xr:uid="{00000000-0005-0000-0000-000010000000}"/>
    <cellStyle name="20% - Accent1 2 2 2 4 3 2" xfId="14190" xr:uid="{2AB1FE4C-FA97-4866-A42D-D108A5535C11}"/>
    <cellStyle name="20% - Accent1 2 2 2 4 4" xfId="9972" xr:uid="{3805CEB2-A96F-4B6A-BBAC-691F33765BC9}"/>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16748" xr:uid="{E440EFFB-FB15-4BC8-A942-12B8F73F6944}"/>
    <cellStyle name="20% - Accent1 2 2 2 5 2 3" xfId="12530" xr:uid="{ED63F5E1-BA24-433F-BD52-84D8D9490779}"/>
    <cellStyle name="20% - Accent1 2 2 2 5 3" xfId="6161" xr:uid="{00000000-0005-0000-0000-000014000000}"/>
    <cellStyle name="20% - Accent1 2 2 2 5 3 2" xfId="14603" xr:uid="{47DDE2E6-293F-4539-9D0A-FC34C595C41A}"/>
    <cellStyle name="20% - Accent1 2 2 2 5 4" xfId="10385" xr:uid="{5296A1B1-5BB8-4971-A8B8-62F6A6B8A5E5}"/>
    <cellStyle name="20% - Accent1 2 2 2 6" xfId="2267" xr:uid="{00000000-0005-0000-0000-000015000000}"/>
    <cellStyle name="20% - Accent1 2 2 2 6 2" xfId="6574" xr:uid="{00000000-0005-0000-0000-000016000000}"/>
    <cellStyle name="20% - Accent1 2 2 2 6 2 2" xfId="15016" xr:uid="{15F88804-0FBA-44CD-BEA4-096CFA4BE379}"/>
    <cellStyle name="20% - Accent1 2 2 2 6 3" xfId="10798" xr:uid="{B61D348D-CF19-4B3E-A127-FA75643CED35}"/>
    <cellStyle name="20% - Accent1 2 2 2 7" xfId="4508" xr:uid="{00000000-0005-0000-0000-000017000000}"/>
    <cellStyle name="20% - Accent1 2 2 2 7 2" xfId="12950" xr:uid="{02F59864-741B-4891-AFE4-292FB726B6D8}"/>
    <cellStyle name="20% - Accent1 2 2 2 8" xfId="8732" xr:uid="{819A712E-0670-48D4-B1A9-EE20317D8104}"/>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15508" xr:uid="{CC71157A-0740-49A8-805D-B97798D1CEE7}"/>
    <cellStyle name="20% - Accent1 2 2 3 2 3" xfId="11290" xr:uid="{48C68C9F-53D2-4A9B-A8FD-0203C447F329}"/>
    <cellStyle name="20% - Accent1 2 2 3 3" xfId="4921" xr:uid="{00000000-0005-0000-0000-00001B000000}"/>
    <cellStyle name="20% - Accent1 2 2 3 3 2" xfId="13363" xr:uid="{4041B339-7CE9-4691-8C95-CE8060721DEE}"/>
    <cellStyle name="20% - Accent1 2 2 3 4" xfId="9145" xr:uid="{B7F964C7-7855-4AAC-BF1C-6E1627C37E9B}"/>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15921" xr:uid="{D3B88635-1546-4D63-9D35-2B0D6D6F4457}"/>
    <cellStyle name="20% - Accent1 2 2 4 2 3" xfId="11703" xr:uid="{F4491B6E-10E5-42D7-AFC7-20A829CA1749}"/>
    <cellStyle name="20% - Accent1 2 2 4 3" xfId="5334" xr:uid="{00000000-0005-0000-0000-00001F000000}"/>
    <cellStyle name="20% - Accent1 2 2 4 3 2" xfId="13776" xr:uid="{48DCE456-7E39-488D-874C-278C40FA3AA8}"/>
    <cellStyle name="20% - Accent1 2 2 4 4" xfId="9558" xr:uid="{194CCC01-B7D7-4DA1-B5D5-5F082BEF47C9}"/>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16334" xr:uid="{061B0626-F396-4B1F-BF83-FE34734ABCD8}"/>
    <cellStyle name="20% - Accent1 2 2 5 2 3" xfId="12116" xr:uid="{E4C0ADFE-8855-49A9-8375-F602369932B8}"/>
    <cellStyle name="20% - Accent1 2 2 5 3" xfId="5747" xr:uid="{00000000-0005-0000-0000-000023000000}"/>
    <cellStyle name="20% - Accent1 2 2 5 3 2" xfId="14189" xr:uid="{2B25DF66-780D-457A-A8AF-E1AFB22DAB54}"/>
    <cellStyle name="20% - Accent1 2 2 5 4" xfId="9971" xr:uid="{9910EC8A-3C28-4E86-9D10-76D716DB535E}"/>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16747" xr:uid="{DE08BDB2-A64B-4ACD-8428-4B19561FE8BA}"/>
    <cellStyle name="20% - Accent1 2 2 6 2 3" xfId="12529" xr:uid="{FBF518D2-B2E3-41CC-AA9E-BFA2CBA37420}"/>
    <cellStyle name="20% - Accent1 2 2 6 3" xfId="6160" xr:uid="{00000000-0005-0000-0000-000027000000}"/>
    <cellStyle name="20% - Accent1 2 2 6 3 2" xfId="14602" xr:uid="{5581C10D-9DB2-494C-8207-044D447B11FF}"/>
    <cellStyle name="20% - Accent1 2 2 6 4" xfId="10384" xr:uid="{4D7EFBDC-C9FC-4710-81A7-14CC861AD0CF}"/>
    <cellStyle name="20% - Accent1 2 2 7" xfId="2266" xr:uid="{00000000-0005-0000-0000-000028000000}"/>
    <cellStyle name="20% - Accent1 2 2 7 2" xfId="6573" xr:uid="{00000000-0005-0000-0000-000029000000}"/>
    <cellStyle name="20% - Accent1 2 2 7 2 2" xfId="15015" xr:uid="{C2EEA3AE-7A3E-4DAF-9D68-6A3973AB2965}"/>
    <cellStyle name="20% - Accent1 2 2 7 3" xfId="10797" xr:uid="{9F78651F-F09E-4FD6-BCAB-1C93EDE676B2}"/>
    <cellStyle name="20% - Accent1 2 2 8" xfId="4507" xr:uid="{00000000-0005-0000-0000-00002A000000}"/>
    <cellStyle name="20% - Accent1 2 2 8 2" xfId="12949" xr:uid="{96947FF6-2F25-448A-9A15-E82A53B9FF3B}"/>
    <cellStyle name="20% - Accent1 2 2 9" xfId="8731" xr:uid="{72A5D583-A0F7-491C-B085-74FE42916B14}"/>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15510" xr:uid="{8E1311C6-F57F-4B76-A1C5-4E891058F9D4}"/>
    <cellStyle name="20% - Accent1 2 3 2 2 3" xfId="11292" xr:uid="{07BFA305-32F4-4A43-B1CA-C6020239D064}"/>
    <cellStyle name="20% - Accent1 2 3 2 3" xfId="4923" xr:uid="{00000000-0005-0000-0000-00002F000000}"/>
    <cellStyle name="20% - Accent1 2 3 2 3 2" xfId="13365" xr:uid="{1AA93FDD-D58D-4E67-8EC3-7750B41AF355}"/>
    <cellStyle name="20% - Accent1 2 3 2 4" xfId="9147" xr:uid="{926C0652-CF63-4797-AC09-A157EA4E966D}"/>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15923" xr:uid="{22E48F4B-D139-427B-82EB-E1EA5C4B6532}"/>
    <cellStyle name="20% - Accent1 2 3 3 2 3" xfId="11705" xr:uid="{8A5EBA92-7687-47A4-B3B3-A1FDEC3ED470}"/>
    <cellStyle name="20% - Accent1 2 3 3 3" xfId="5336" xr:uid="{00000000-0005-0000-0000-000033000000}"/>
    <cellStyle name="20% - Accent1 2 3 3 3 2" xfId="13778" xr:uid="{23D6AEAF-D845-445A-AC6C-22C1C47C134E}"/>
    <cellStyle name="20% - Accent1 2 3 3 4" xfId="9560" xr:uid="{14AECA05-209D-46F0-8C03-E96C19616A80}"/>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16336" xr:uid="{9353D8C5-D51B-42E3-A010-2B99FA02552D}"/>
    <cellStyle name="20% - Accent1 2 3 4 2 3" xfId="12118" xr:uid="{A35326D3-2474-4F24-99A6-8BACEEECE31B}"/>
    <cellStyle name="20% - Accent1 2 3 4 3" xfId="5749" xr:uid="{00000000-0005-0000-0000-000037000000}"/>
    <cellStyle name="20% - Accent1 2 3 4 3 2" xfId="14191" xr:uid="{C0554587-5065-4CC0-95EE-59048EF3AF44}"/>
    <cellStyle name="20% - Accent1 2 3 4 4" xfId="9973" xr:uid="{F394B692-E459-4763-BA08-BB4117A7CC80}"/>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16749" xr:uid="{D95186CE-B5AE-4FEE-9CB8-2DF07908542D}"/>
    <cellStyle name="20% - Accent1 2 3 5 2 3" xfId="12531" xr:uid="{5CFCF1A9-E254-42BE-A7C3-78A1F5EA3EA6}"/>
    <cellStyle name="20% - Accent1 2 3 5 3" xfId="6162" xr:uid="{00000000-0005-0000-0000-00003B000000}"/>
    <cellStyle name="20% - Accent1 2 3 5 3 2" xfId="14604" xr:uid="{2C74E255-A29A-4E1E-B18C-19BBE1C7B1BE}"/>
    <cellStyle name="20% - Accent1 2 3 5 4" xfId="10386" xr:uid="{4B829E40-B641-4FE7-90B8-FB93720987DD}"/>
    <cellStyle name="20% - Accent1 2 3 6" xfId="2268" xr:uid="{00000000-0005-0000-0000-00003C000000}"/>
    <cellStyle name="20% - Accent1 2 3 6 2" xfId="6575" xr:uid="{00000000-0005-0000-0000-00003D000000}"/>
    <cellStyle name="20% - Accent1 2 3 6 2 2" xfId="15017" xr:uid="{72B49C1D-60A7-4755-898E-F89120239F91}"/>
    <cellStyle name="20% - Accent1 2 3 6 3" xfId="10799" xr:uid="{AABD1FDE-F118-4417-8277-EDEC0E78507E}"/>
    <cellStyle name="20% - Accent1 2 3 7" xfId="4509" xr:uid="{00000000-0005-0000-0000-00003E000000}"/>
    <cellStyle name="20% - Accent1 2 3 7 2" xfId="12951" xr:uid="{2C057FE7-845A-476C-957B-13855284F259}"/>
    <cellStyle name="20% - Accent1 2 3 8" xfId="8733" xr:uid="{C96DD40B-8E88-4B90-8385-4A661A4850AC}"/>
    <cellStyle name="20% - Accent1 2 4" xfId="571" xr:uid="{00000000-0005-0000-0000-00003F000000}"/>
    <cellStyle name="20% - Accent1 2 4 2" xfId="2842" xr:uid="{00000000-0005-0000-0000-000040000000}"/>
    <cellStyle name="20% - Accent1 2 4 2 2" xfId="7065" xr:uid="{00000000-0005-0000-0000-000041000000}"/>
    <cellStyle name="20% - Accent1 2 4 2 2 2" xfId="15507" xr:uid="{DE137D08-239F-4AD0-8734-9757E44F3518}"/>
    <cellStyle name="20% - Accent1 2 4 2 3" xfId="11289" xr:uid="{0FAA1AFB-E101-4343-A2A4-E5C55F0930BF}"/>
    <cellStyle name="20% - Accent1 2 4 3" xfId="4920" xr:uid="{00000000-0005-0000-0000-000042000000}"/>
    <cellStyle name="20% - Accent1 2 4 3 2" xfId="13362" xr:uid="{F1C9DEA2-F88D-4E74-890C-605F744A8479}"/>
    <cellStyle name="20% - Accent1 2 4 4" xfId="9144" xr:uid="{8A6A5FE9-1B07-406C-AFD7-6865267520B5}"/>
    <cellStyle name="20% - Accent1 2 5" xfId="1024" xr:uid="{00000000-0005-0000-0000-000043000000}"/>
    <cellStyle name="20% - Accent1 2 5 2" xfId="3255" xr:uid="{00000000-0005-0000-0000-000044000000}"/>
    <cellStyle name="20% - Accent1 2 5 2 2" xfId="7478" xr:uid="{00000000-0005-0000-0000-000045000000}"/>
    <cellStyle name="20% - Accent1 2 5 2 2 2" xfId="15920" xr:uid="{1D74B38F-4DDD-480B-863E-CD3C4A6FFA9F}"/>
    <cellStyle name="20% - Accent1 2 5 2 3" xfId="11702" xr:uid="{A3B25048-1088-448B-9CD0-AD6616D66A8B}"/>
    <cellStyle name="20% - Accent1 2 5 3" xfId="5333" xr:uid="{00000000-0005-0000-0000-000046000000}"/>
    <cellStyle name="20% - Accent1 2 5 3 2" xfId="13775" xr:uid="{55060723-A546-4443-A2CD-97F27BD32968}"/>
    <cellStyle name="20% - Accent1 2 5 4" xfId="9557" xr:uid="{F48F7480-C186-4863-96BF-B785FF3E04C9}"/>
    <cellStyle name="20% - Accent1 2 6" xfId="1438" xr:uid="{00000000-0005-0000-0000-000047000000}"/>
    <cellStyle name="20% - Accent1 2 6 2" xfId="3668" xr:uid="{00000000-0005-0000-0000-000048000000}"/>
    <cellStyle name="20% - Accent1 2 6 2 2" xfId="7891" xr:uid="{00000000-0005-0000-0000-000049000000}"/>
    <cellStyle name="20% - Accent1 2 6 2 2 2" xfId="16333" xr:uid="{77184391-E76B-466E-9304-8B55A7AAAC59}"/>
    <cellStyle name="20% - Accent1 2 6 2 3" xfId="12115" xr:uid="{D3012910-4846-443A-A60C-8884383B74B2}"/>
    <cellStyle name="20% - Accent1 2 6 3" xfId="5746" xr:uid="{00000000-0005-0000-0000-00004A000000}"/>
    <cellStyle name="20% - Accent1 2 6 3 2" xfId="14188" xr:uid="{7F23BCD1-2526-4DDD-985F-526D4ADAEA46}"/>
    <cellStyle name="20% - Accent1 2 6 4" xfId="9970" xr:uid="{AA5C596A-C33D-4C64-B4B3-F8522932292F}"/>
    <cellStyle name="20% - Accent1 2 7" xfId="1852" xr:uid="{00000000-0005-0000-0000-00004B000000}"/>
    <cellStyle name="20% - Accent1 2 7 2" xfId="4081" xr:uid="{00000000-0005-0000-0000-00004C000000}"/>
    <cellStyle name="20% - Accent1 2 7 2 2" xfId="8304" xr:uid="{00000000-0005-0000-0000-00004D000000}"/>
    <cellStyle name="20% - Accent1 2 7 2 2 2" xfId="16746" xr:uid="{B87AF74E-CDCF-4C3B-B8D2-731A7B5BEDD3}"/>
    <cellStyle name="20% - Accent1 2 7 2 3" xfId="12528" xr:uid="{7CB43F84-DB66-41A7-A281-224836DEC739}"/>
    <cellStyle name="20% - Accent1 2 7 3" xfId="6159" xr:uid="{00000000-0005-0000-0000-00004E000000}"/>
    <cellStyle name="20% - Accent1 2 7 3 2" xfId="14601" xr:uid="{FC3BD27C-D0DE-4896-A8DC-4CEE0848EB75}"/>
    <cellStyle name="20% - Accent1 2 7 4" xfId="10383" xr:uid="{300884C1-AE12-43AD-A2F0-4A6C34D35DED}"/>
    <cellStyle name="20% - Accent1 2 8" xfId="2265" xr:uid="{00000000-0005-0000-0000-00004F000000}"/>
    <cellStyle name="20% - Accent1 2 8 2" xfId="6572" xr:uid="{00000000-0005-0000-0000-000050000000}"/>
    <cellStyle name="20% - Accent1 2 8 2 2" xfId="15014" xr:uid="{EAEC575A-3DA9-4A88-928A-06224EFBBF6E}"/>
    <cellStyle name="20% - Accent1 2 8 3" xfId="10796" xr:uid="{61521CF0-346A-4580-B236-AEF427728DCF}"/>
    <cellStyle name="20% - Accent1 2 9" xfId="4506" xr:uid="{00000000-0005-0000-0000-000051000000}"/>
    <cellStyle name="20% - Accent1 2 9 2" xfId="12948" xr:uid="{1085A0F6-A1B0-4333-A153-7C686A9E885F}"/>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15512" xr:uid="{927FE674-5F92-4D2E-A9E3-370A7BF4EEAD}"/>
    <cellStyle name="20% - Accent1 3 2 2 2 3" xfId="11294" xr:uid="{5EE2BAF1-68AA-4A21-8F99-351F21AB231A}"/>
    <cellStyle name="20% - Accent1 3 2 2 3" xfId="4925" xr:uid="{00000000-0005-0000-0000-000057000000}"/>
    <cellStyle name="20% - Accent1 3 2 2 3 2" xfId="13367" xr:uid="{A6466A6A-4ED7-4F8A-89B6-523168599FF7}"/>
    <cellStyle name="20% - Accent1 3 2 2 4" xfId="9149" xr:uid="{063C2E4B-470E-474D-B8A1-1C5706DD94AD}"/>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15925" xr:uid="{EDA9440D-9D13-4412-9CC2-3892DA20E36E}"/>
    <cellStyle name="20% - Accent1 3 2 3 2 3" xfId="11707" xr:uid="{3EE9DEF7-D3F8-4A95-B680-B384C4F48D02}"/>
    <cellStyle name="20% - Accent1 3 2 3 3" xfId="5338" xr:uid="{00000000-0005-0000-0000-00005B000000}"/>
    <cellStyle name="20% - Accent1 3 2 3 3 2" xfId="13780" xr:uid="{56FA35C0-39D2-40EF-A913-283B931B2ACF}"/>
    <cellStyle name="20% - Accent1 3 2 3 4" xfId="9562" xr:uid="{029046BD-D0ED-4240-AA21-0A3C304C9122}"/>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16338" xr:uid="{AFC354FD-51D5-4D97-AB92-CD42D1786BF2}"/>
    <cellStyle name="20% - Accent1 3 2 4 2 3" xfId="12120" xr:uid="{DEBA96AB-0D6D-4E72-874A-06230D2376FD}"/>
    <cellStyle name="20% - Accent1 3 2 4 3" xfId="5751" xr:uid="{00000000-0005-0000-0000-00005F000000}"/>
    <cellStyle name="20% - Accent1 3 2 4 3 2" xfId="14193" xr:uid="{FF51BABB-7070-4BC8-BCC7-5B58648754E5}"/>
    <cellStyle name="20% - Accent1 3 2 4 4" xfId="9975" xr:uid="{B714B5B6-1F5C-4BFB-A67C-36D2D9AE1DE5}"/>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16751" xr:uid="{7F1AF45D-5373-4001-AF5C-0AB53383A280}"/>
    <cellStyle name="20% - Accent1 3 2 5 2 3" xfId="12533" xr:uid="{6B72CC27-B45C-45C2-8680-AD7A3B0BA7A4}"/>
    <cellStyle name="20% - Accent1 3 2 5 3" xfId="6164" xr:uid="{00000000-0005-0000-0000-000063000000}"/>
    <cellStyle name="20% - Accent1 3 2 5 3 2" xfId="14606" xr:uid="{098A0562-702C-49A2-9CA7-CE64C38CA732}"/>
    <cellStyle name="20% - Accent1 3 2 5 4" xfId="10388" xr:uid="{C3DA1DFB-39B6-4A81-B588-C18A6E2A543B}"/>
    <cellStyle name="20% - Accent1 3 2 6" xfId="2270" xr:uid="{00000000-0005-0000-0000-000064000000}"/>
    <cellStyle name="20% - Accent1 3 2 6 2" xfId="6577" xr:uid="{00000000-0005-0000-0000-000065000000}"/>
    <cellStyle name="20% - Accent1 3 2 6 2 2" xfId="15019" xr:uid="{BFC0342B-F187-462E-96F0-4D91C89E5932}"/>
    <cellStyle name="20% - Accent1 3 2 6 3" xfId="10801" xr:uid="{2A742670-C874-4BAD-A2F6-C4248816CCB2}"/>
    <cellStyle name="20% - Accent1 3 2 7" xfId="4511" xr:uid="{00000000-0005-0000-0000-000066000000}"/>
    <cellStyle name="20% - Accent1 3 2 7 2" xfId="12953" xr:uid="{0CD5B34F-71B9-435F-A72B-F3FFF571A875}"/>
    <cellStyle name="20% - Accent1 3 2 8" xfId="8735" xr:uid="{72855A86-C74A-439D-A9B0-1418328C8A8C}"/>
    <cellStyle name="20% - Accent1 3 3" xfId="575" xr:uid="{00000000-0005-0000-0000-000067000000}"/>
    <cellStyle name="20% - Accent1 3 3 2" xfId="2846" xr:uid="{00000000-0005-0000-0000-000068000000}"/>
    <cellStyle name="20% - Accent1 3 3 2 2" xfId="7069" xr:uid="{00000000-0005-0000-0000-000069000000}"/>
    <cellStyle name="20% - Accent1 3 3 2 2 2" xfId="15511" xr:uid="{47031D3B-4C93-4AC6-8750-57061658F797}"/>
    <cellStyle name="20% - Accent1 3 3 2 3" xfId="11293" xr:uid="{6227C996-60A9-4C92-8690-301F6EAB6B23}"/>
    <cellStyle name="20% - Accent1 3 3 3" xfId="4924" xr:uid="{00000000-0005-0000-0000-00006A000000}"/>
    <cellStyle name="20% - Accent1 3 3 3 2" xfId="13366" xr:uid="{9A00A508-6D25-4FAD-83B9-BA7FB7D993A5}"/>
    <cellStyle name="20% - Accent1 3 3 4" xfId="9148" xr:uid="{75749E13-0047-4DAB-BBCC-A8196031F154}"/>
    <cellStyle name="20% - Accent1 3 4" xfId="1028" xr:uid="{00000000-0005-0000-0000-00006B000000}"/>
    <cellStyle name="20% - Accent1 3 4 2" xfId="3259" xr:uid="{00000000-0005-0000-0000-00006C000000}"/>
    <cellStyle name="20% - Accent1 3 4 2 2" xfId="7482" xr:uid="{00000000-0005-0000-0000-00006D000000}"/>
    <cellStyle name="20% - Accent1 3 4 2 2 2" xfId="15924" xr:uid="{293300A5-D43A-4D57-A64B-629DD3C1311E}"/>
    <cellStyle name="20% - Accent1 3 4 2 3" xfId="11706" xr:uid="{5F42B662-ABBC-49F1-86F7-36FAC84D27DA}"/>
    <cellStyle name="20% - Accent1 3 4 3" xfId="5337" xr:uid="{00000000-0005-0000-0000-00006E000000}"/>
    <cellStyle name="20% - Accent1 3 4 3 2" xfId="13779" xr:uid="{01C87AFB-2F74-4F28-8543-B9F3C76F57A1}"/>
    <cellStyle name="20% - Accent1 3 4 4" xfId="9561" xr:uid="{B77BC2D7-C2AF-416E-9AEF-039FD3800FE8}"/>
    <cellStyle name="20% - Accent1 3 5" xfId="1442" xr:uid="{00000000-0005-0000-0000-00006F000000}"/>
    <cellStyle name="20% - Accent1 3 5 2" xfId="3672" xr:uid="{00000000-0005-0000-0000-000070000000}"/>
    <cellStyle name="20% - Accent1 3 5 2 2" xfId="7895" xr:uid="{00000000-0005-0000-0000-000071000000}"/>
    <cellStyle name="20% - Accent1 3 5 2 2 2" xfId="16337" xr:uid="{C8D6A1D3-F6A8-44FF-B5CD-7090E9EC6654}"/>
    <cellStyle name="20% - Accent1 3 5 2 3" xfId="12119" xr:uid="{A3915868-63C9-4251-8785-1DBFD2D35E0C}"/>
    <cellStyle name="20% - Accent1 3 5 3" xfId="5750" xr:uid="{00000000-0005-0000-0000-000072000000}"/>
    <cellStyle name="20% - Accent1 3 5 3 2" xfId="14192" xr:uid="{A96181AB-BA5E-47B1-B923-DC0F1EDD063D}"/>
    <cellStyle name="20% - Accent1 3 5 4" xfId="9974" xr:uid="{671763C2-BC19-4DAF-A2A6-F488F556C1CC}"/>
    <cellStyle name="20% - Accent1 3 6" xfId="1856" xr:uid="{00000000-0005-0000-0000-000073000000}"/>
    <cellStyle name="20% - Accent1 3 6 2" xfId="4085" xr:uid="{00000000-0005-0000-0000-000074000000}"/>
    <cellStyle name="20% - Accent1 3 6 2 2" xfId="8308" xr:uid="{00000000-0005-0000-0000-000075000000}"/>
    <cellStyle name="20% - Accent1 3 6 2 2 2" xfId="16750" xr:uid="{07F67702-0622-4732-9E26-243BE42C7BD0}"/>
    <cellStyle name="20% - Accent1 3 6 2 3" xfId="12532" xr:uid="{A2ABEFBD-D6DF-44B2-8F60-B794391FAD1F}"/>
    <cellStyle name="20% - Accent1 3 6 3" xfId="6163" xr:uid="{00000000-0005-0000-0000-000076000000}"/>
    <cellStyle name="20% - Accent1 3 6 3 2" xfId="14605" xr:uid="{E02D91FC-1101-4B08-A33E-F21828521786}"/>
    <cellStyle name="20% - Accent1 3 6 4" xfId="10387" xr:uid="{CB742191-1B8E-4D42-AB2D-E121FC5FD059}"/>
    <cellStyle name="20% - Accent1 3 7" xfId="2269" xr:uid="{00000000-0005-0000-0000-000077000000}"/>
    <cellStyle name="20% - Accent1 3 7 2" xfId="6576" xr:uid="{00000000-0005-0000-0000-000078000000}"/>
    <cellStyle name="20% - Accent1 3 7 2 2" xfId="15018" xr:uid="{5E30C4B1-D22A-4DC8-9802-ED0B8445B17D}"/>
    <cellStyle name="20% - Accent1 3 7 3" xfId="10800" xr:uid="{746D36D4-EA21-4294-98B4-93DC59BD2DE4}"/>
    <cellStyle name="20% - Accent1 3 8" xfId="4510" xr:uid="{00000000-0005-0000-0000-000079000000}"/>
    <cellStyle name="20% - Accent1 3 8 2" xfId="12952" xr:uid="{C6B43F69-4E33-4C38-B84B-0DFF71C788C3}"/>
    <cellStyle name="20% - Accent1 3 9" xfId="8734" xr:uid="{EEC85D99-751D-42D7-8498-8AA2AB89110F}"/>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2 2 2" xfId="15513" xr:uid="{EFA8EC31-A207-4E3A-BB02-735751DF4B30}"/>
    <cellStyle name="20% - Accent1 4 2 2 3" xfId="11295" xr:uid="{10C53CFC-BE15-408B-8F05-641DF8925C11}"/>
    <cellStyle name="20% - Accent1 4 2 3" xfId="4926" xr:uid="{00000000-0005-0000-0000-00007E000000}"/>
    <cellStyle name="20% - Accent1 4 2 3 2" xfId="13368" xr:uid="{265DDC6E-EA76-43A9-B443-24DF36B138A9}"/>
    <cellStyle name="20% - Accent1 4 2 4" xfId="9150" xr:uid="{E29C8895-B76E-445B-A0A6-80A01C613B5E}"/>
    <cellStyle name="20% - Accent1 4 3" xfId="1030" xr:uid="{00000000-0005-0000-0000-00007F000000}"/>
    <cellStyle name="20% - Accent1 4 3 2" xfId="3261" xr:uid="{00000000-0005-0000-0000-000080000000}"/>
    <cellStyle name="20% - Accent1 4 3 2 2" xfId="7484" xr:uid="{00000000-0005-0000-0000-000081000000}"/>
    <cellStyle name="20% - Accent1 4 3 2 2 2" xfId="15926" xr:uid="{6E660484-2AEF-4724-A4B4-AE9B38E7942C}"/>
    <cellStyle name="20% - Accent1 4 3 2 3" xfId="11708" xr:uid="{4B73860E-7FA7-4F72-B479-798643C7FAB0}"/>
    <cellStyle name="20% - Accent1 4 3 3" xfId="5339" xr:uid="{00000000-0005-0000-0000-000082000000}"/>
    <cellStyle name="20% - Accent1 4 3 3 2" xfId="13781" xr:uid="{3B8F3E78-0182-4327-BD08-C769F1633579}"/>
    <cellStyle name="20% - Accent1 4 3 4" xfId="9563" xr:uid="{3FFD9392-D775-44DF-9F2D-FC1E0AA84EA5}"/>
    <cellStyle name="20% - Accent1 4 4" xfId="1444" xr:uid="{00000000-0005-0000-0000-000083000000}"/>
    <cellStyle name="20% - Accent1 4 4 2" xfId="3674" xr:uid="{00000000-0005-0000-0000-000084000000}"/>
    <cellStyle name="20% - Accent1 4 4 2 2" xfId="7897" xr:uid="{00000000-0005-0000-0000-000085000000}"/>
    <cellStyle name="20% - Accent1 4 4 2 2 2" xfId="16339" xr:uid="{3044E4D2-E92C-4D3A-B650-C5239D5E6C1B}"/>
    <cellStyle name="20% - Accent1 4 4 2 3" xfId="12121" xr:uid="{88652E98-DBE7-43D8-8898-80D4B8FE1357}"/>
    <cellStyle name="20% - Accent1 4 4 3" xfId="5752" xr:uid="{00000000-0005-0000-0000-000086000000}"/>
    <cellStyle name="20% - Accent1 4 4 3 2" xfId="14194" xr:uid="{293B7863-8AA2-433B-BA9D-D90D8C31943C}"/>
    <cellStyle name="20% - Accent1 4 4 4" xfId="9976" xr:uid="{3D336894-23B8-41EB-9BF5-7F63F859638A}"/>
    <cellStyle name="20% - Accent1 4 5" xfId="1858" xr:uid="{00000000-0005-0000-0000-000087000000}"/>
    <cellStyle name="20% - Accent1 4 5 2" xfId="4087" xr:uid="{00000000-0005-0000-0000-000088000000}"/>
    <cellStyle name="20% - Accent1 4 5 2 2" xfId="8310" xr:uid="{00000000-0005-0000-0000-000089000000}"/>
    <cellStyle name="20% - Accent1 4 5 2 2 2" xfId="16752" xr:uid="{F5521E39-1F9E-44D7-863D-600D6DE6788D}"/>
    <cellStyle name="20% - Accent1 4 5 2 3" xfId="12534" xr:uid="{C357ADB5-C3B2-4B9D-854A-BC026E638609}"/>
    <cellStyle name="20% - Accent1 4 5 3" xfId="6165" xr:uid="{00000000-0005-0000-0000-00008A000000}"/>
    <cellStyle name="20% - Accent1 4 5 3 2" xfId="14607" xr:uid="{46E267D6-B429-4238-804C-985C0723FC02}"/>
    <cellStyle name="20% - Accent1 4 5 4" xfId="10389" xr:uid="{BCFBFD19-DC84-4213-AF70-124F8F43C3F6}"/>
    <cellStyle name="20% - Accent1 4 6" xfId="2271" xr:uid="{00000000-0005-0000-0000-00008B000000}"/>
    <cellStyle name="20% - Accent1 4 6 2" xfId="6578" xr:uid="{00000000-0005-0000-0000-00008C000000}"/>
    <cellStyle name="20% - Accent1 4 6 2 2" xfId="15020" xr:uid="{373F6C29-1B73-4D4C-AF65-2045FF306B4F}"/>
    <cellStyle name="20% - Accent1 4 6 3" xfId="10802" xr:uid="{CE62840F-5334-40F1-962C-20F889FD4E42}"/>
    <cellStyle name="20% - Accent1 4 7" xfId="4512" xr:uid="{00000000-0005-0000-0000-00008D000000}"/>
    <cellStyle name="20% - Accent1 4 7 2" xfId="12954" xr:uid="{B2254892-AFE5-48AA-BF39-0AFA707FE332}"/>
    <cellStyle name="20% - Accent1 4 8" xfId="8736" xr:uid="{4608DB74-DE7C-4AA3-9D66-3C5785916840}"/>
    <cellStyle name="20% - Accent1 5" xfId="570" xr:uid="{00000000-0005-0000-0000-00008E000000}"/>
    <cellStyle name="20% - Accent1 5 2" xfId="2841" xr:uid="{00000000-0005-0000-0000-00008F000000}"/>
    <cellStyle name="20% - Accent1 5 2 2" xfId="7064" xr:uid="{00000000-0005-0000-0000-000090000000}"/>
    <cellStyle name="20% - Accent1 5 2 2 2" xfId="15506" xr:uid="{31269EDF-C42F-47DC-A040-8B75DF823635}"/>
    <cellStyle name="20% - Accent1 5 2 3" xfId="11288" xr:uid="{E57E7C07-5868-45EE-AE42-215377465558}"/>
    <cellStyle name="20% - Accent1 5 3" xfId="4919" xr:uid="{00000000-0005-0000-0000-000091000000}"/>
    <cellStyle name="20% - Accent1 5 3 2" xfId="13361" xr:uid="{2CA1CA06-3509-49D1-9FF0-81368159495D}"/>
    <cellStyle name="20% - Accent1 5 4" xfId="9143" xr:uid="{17044700-56BE-4A3B-B721-EA4808E54916}"/>
    <cellStyle name="20% - Accent1 6" xfId="1023" xr:uid="{00000000-0005-0000-0000-000092000000}"/>
    <cellStyle name="20% - Accent1 6 2" xfId="3254" xr:uid="{00000000-0005-0000-0000-000093000000}"/>
    <cellStyle name="20% - Accent1 6 2 2" xfId="7477" xr:uid="{00000000-0005-0000-0000-000094000000}"/>
    <cellStyle name="20% - Accent1 6 2 2 2" xfId="15919" xr:uid="{03FF254B-98D3-4B3E-967F-2EDCDAF49FCB}"/>
    <cellStyle name="20% - Accent1 6 2 3" xfId="11701" xr:uid="{1614A46A-0F00-467E-8841-914EBFAF039A}"/>
    <cellStyle name="20% - Accent1 6 3" xfId="5332" xr:uid="{00000000-0005-0000-0000-000095000000}"/>
    <cellStyle name="20% - Accent1 6 3 2" xfId="13774" xr:uid="{65A27825-FB6F-44CD-A168-1375B0E9A2A0}"/>
    <cellStyle name="20% - Accent1 6 4" xfId="9556" xr:uid="{B3CF500C-2FC2-424E-9559-1AA927745EDB}"/>
    <cellStyle name="20% - Accent1 7" xfId="1437" xr:uid="{00000000-0005-0000-0000-000096000000}"/>
    <cellStyle name="20% - Accent1 7 2" xfId="3667" xr:uid="{00000000-0005-0000-0000-000097000000}"/>
    <cellStyle name="20% - Accent1 7 2 2" xfId="7890" xr:uid="{00000000-0005-0000-0000-000098000000}"/>
    <cellStyle name="20% - Accent1 7 2 2 2" xfId="16332" xr:uid="{D220811D-C6A9-4FB5-9030-B12EC30F7E92}"/>
    <cellStyle name="20% - Accent1 7 2 3" xfId="12114" xr:uid="{3F4778BD-3754-44DE-9025-9433F3128671}"/>
    <cellStyle name="20% - Accent1 7 3" xfId="5745" xr:uid="{00000000-0005-0000-0000-000099000000}"/>
    <cellStyle name="20% - Accent1 7 3 2" xfId="14187" xr:uid="{EBB6B6D1-6549-4C03-83F1-39ED16A19A8C}"/>
    <cellStyle name="20% - Accent1 7 4" xfId="9969" xr:uid="{F171E790-38AB-4D03-B7A2-18BFB5D877F1}"/>
    <cellStyle name="20% - Accent1 8" xfId="1851" xr:uid="{00000000-0005-0000-0000-00009A000000}"/>
    <cellStyle name="20% - Accent1 8 2" xfId="4080" xr:uid="{00000000-0005-0000-0000-00009B000000}"/>
    <cellStyle name="20% - Accent1 8 2 2" xfId="8303" xr:uid="{00000000-0005-0000-0000-00009C000000}"/>
    <cellStyle name="20% - Accent1 8 2 2 2" xfId="16745" xr:uid="{7EFC0500-A7A1-4C27-8845-58FD3DA30753}"/>
    <cellStyle name="20% - Accent1 8 2 3" xfId="12527" xr:uid="{660F4D5A-7BDD-426C-8DAF-B879F837A10E}"/>
    <cellStyle name="20% - Accent1 8 3" xfId="6158" xr:uid="{00000000-0005-0000-0000-00009D000000}"/>
    <cellStyle name="20% - Accent1 8 3 2" xfId="14600" xr:uid="{CEC81D94-CFFA-4659-BAC8-0D17862135AA}"/>
    <cellStyle name="20% - Accent1 8 4" xfId="10382" xr:uid="{E69E7011-248E-4236-A0CA-E643F25DD2C8}"/>
    <cellStyle name="20% - Accent1 9" xfId="2264" xr:uid="{00000000-0005-0000-0000-00009E000000}"/>
    <cellStyle name="20% - Accent1 9 2" xfId="6571" xr:uid="{00000000-0005-0000-0000-00009F000000}"/>
    <cellStyle name="20% - Accent1 9 2 2" xfId="15013" xr:uid="{7392F477-B347-47E4-BAB3-88CD4810BAC8}"/>
    <cellStyle name="20% - Accent1 9 3" xfId="10795" xr:uid="{52A29208-2493-4DF8-B7CA-FB9BAC736606}"/>
    <cellStyle name="20% - Accent2" xfId="9" builtinId="34" customBuiltin="1"/>
    <cellStyle name="20% - Accent2 10" xfId="4513" xr:uid="{00000000-0005-0000-0000-0000A1000000}"/>
    <cellStyle name="20% - Accent2 10 2" xfId="12955" xr:uid="{54127E53-2AFF-49E9-92A6-93F8D7CB7DED}"/>
    <cellStyle name="20% - Accent2 11" xfId="8737" xr:uid="{9D1F7CB9-7BFA-45AC-A763-D0653D4826C9}"/>
    <cellStyle name="20% - Accent2 2" xfId="10" xr:uid="{00000000-0005-0000-0000-0000A2000000}"/>
    <cellStyle name="20% - Accent2 2 10" xfId="8738" xr:uid="{097DBF3E-C81E-4FAA-8874-839F9EB0246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15517" xr:uid="{451E64B2-FC15-4A54-9C8C-1982D1B2C6DA}"/>
    <cellStyle name="20% - Accent2 2 2 2 2 2 3" xfId="11299" xr:uid="{626C2958-DCB7-4CD6-A412-689DEE0F727C}"/>
    <cellStyle name="20% - Accent2 2 2 2 2 3" xfId="4930" xr:uid="{00000000-0005-0000-0000-0000A8000000}"/>
    <cellStyle name="20% - Accent2 2 2 2 2 3 2" xfId="13372" xr:uid="{71B95A61-633F-434B-8DD0-95BADB116D75}"/>
    <cellStyle name="20% - Accent2 2 2 2 2 4" xfId="9154" xr:uid="{B6A86C1B-5C1D-4036-A60D-EBF481C04877}"/>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15930" xr:uid="{8A3B7886-AF65-4297-9A67-0403802BEED5}"/>
    <cellStyle name="20% - Accent2 2 2 2 3 2 3" xfId="11712" xr:uid="{7B066835-B98A-4631-B334-CD08BF78DDF3}"/>
    <cellStyle name="20% - Accent2 2 2 2 3 3" xfId="5343" xr:uid="{00000000-0005-0000-0000-0000AC000000}"/>
    <cellStyle name="20% - Accent2 2 2 2 3 3 2" xfId="13785" xr:uid="{65A39E4B-4FFE-4521-9BF6-9D4375BE3184}"/>
    <cellStyle name="20% - Accent2 2 2 2 3 4" xfId="9567" xr:uid="{C599E24D-EF4C-4999-9415-D82161A7F2BB}"/>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16343" xr:uid="{AB2902A7-27DD-4C5B-B16B-B281D0E99121}"/>
    <cellStyle name="20% - Accent2 2 2 2 4 2 3" xfId="12125" xr:uid="{5C9724C9-2A02-4546-8326-3CA77422FD89}"/>
    <cellStyle name="20% - Accent2 2 2 2 4 3" xfId="5756" xr:uid="{00000000-0005-0000-0000-0000B0000000}"/>
    <cellStyle name="20% - Accent2 2 2 2 4 3 2" xfId="14198" xr:uid="{273146AA-980D-4C17-ACEB-9ECC076BF494}"/>
    <cellStyle name="20% - Accent2 2 2 2 4 4" xfId="9980" xr:uid="{CC0EAEF1-DE46-4835-BB16-9613F86F8F37}"/>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16756" xr:uid="{C6AE4EA7-39F5-419D-BC57-93FF1C78A404}"/>
    <cellStyle name="20% - Accent2 2 2 2 5 2 3" xfId="12538" xr:uid="{58E1D094-5ABA-4C05-919D-AFACF8DFFCDA}"/>
    <cellStyle name="20% - Accent2 2 2 2 5 3" xfId="6169" xr:uid="{00000000-0005-0000-0000-0000B4000000}"/>
    <cellStyle name="20% - Accent2 2 2 2 5 3 2" xfId="14611" xr:uid="{1DEAB455-394F-4A29-A853-D21DF3B83B6D}"/>
    <cellStyle name="20% - Accent2 2 2 2 5 4" xfId="10393" xr:uid="{368B8D26-E30B-4D9D-83A8-0B5BAD1654F2}"/>
    <cellStyle name="20% - Accent2 2 2 2 6" xfId="2275" xr:uid="{00000000-0005-0000-0000-0000B5000000}"/>
    <cellStyle name="20% - Accent2 2 2 2 6 2" xfId="6582" xr:uid="{00000000-0005-0000-0000-0000B6000000}"/>
    <cellStyle name="20% - Accent2 2 2 2 6 2 2" xfId="15024" xr:uid="{1AC43558-4C4A-4C40-A9A6-5D72E34D1162}"/>
    <cellStyle name="20% - Accent2 2 2 2 6 3" xfId="10806" xr:uid="{7ED1B41B-8577-4B9F-AE57-16A6E8420598}"/>
    <cellStyle name="20% - Accent2 2 2 2 7" xfId="4516" xr:uid="{00000000-0005-0000-0000-0000B7000000}"/>
    <cellStyle name="20% - Accent2 2 2 2 7 2" xfId="12958" xr:uid="{EACC9B77-182C-4647-A5B3-D4FC1FAD3C78}"/>
    <cellStyle name="20% - Accent2 2 2 2 8" xfId="8740" xr:uid="{8EA89D1A-FA40-4821-98FD-66A8CB115370}"/>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15516" xr:uid="{C1031C0B-A147-4F5B-A3A7-47DCA274D142}"/>
    <cellStyle name="20% - Accent2 2 2 3 2 3" xfId="11298" xr:uid="{993037D1-5F42-4487-8492-98D38A6D78B2}"/>
    <cellStyle name="20% - Accent2 2 2 3 3" xfId="4929" xr:uid="{00000000-0005-0000-0000-0000BB000000}"/>
    <cellStyle name="20% - Accent2 2 2 3 3 2" xfId="13371" xr:uid="{352B07B9-C8E6-4F5C-9D90-53896E74C342}"/>
    <cellStyle name="20% - Accent2 2 2 3 4" xfId="9153" xr:uid="{E56C18E2-2CCF-43DB-AFD3-2859B9ED3898}"/>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15929" xr:uid="{179DFF7B-9C6F-4E32-9FDB-14B444739F73}"/>
    <cellStyle name="20% - Accent2 2 2 4 2 3" xfId="11711" xr:uid="{A6E061E6-FF19-4267-A4A2-F440734A2162}"/>
    <cellStyle name="20% - Accent2 2 2 4 3" xfId="5342" xr:uid="{00000000-0005-0000-0000-0000BF000000}"/>
    <cellStyle name="20% - Accent2 2 2 4 3 2" xfId="13784" xr:uid="{DE08F7C4-F896-4B88-973F-1CF3BEC88BBB}"/>
    <cellStyle name="20% - Accent2 2 2 4 4" xfId="9566" xr:uid="{DC1458F4-99A8-46F3-873E-ADE2315322F1}"/>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16342" xr:uid="{699154C1-5B21-438B-B030-84ED8BDD7944}"/>
    <cellStyle name="20% - Accent2 2 2 5 2 3" xfId="12124" xr:uid="{3BBD5EA3-87B5-448D-847F-DD4E8FAE3BD2}"/>
    <cellStyle name="20% - Accent2 2 2 5 3" xfId="5755" xr:uid="{00000000-0005-0000-0000-0000C3000000}"/>
    <cellStyle name="20% - Accent2 2 2 5 3 2" xfId="14197" xr:uid="{0776DEAA-7DDD-4F0B-8D33-4A45E0C6D7AF}"/>
    <cellStyle name="20% - Accent2 2 2 5 4" xfId="9979" xr:uid="{F0820C58-4C41-484C-8E62-9EC17C61BFD9}"/>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16755" xr:uid="{E1B354E1-38B7-4C95-8FB5-EF7E0475EB4B}"/>
    <cellStyle name="20% - Accent2 2 2 6 2 3" xfId="12537" xr:uid="{58CA5E93-6A22-4C4D-BD32-4AE01345DAF7}"/>
    <cellStyle name="20% - Accent2 2 2 6 3" xfId="6168" xr:uid="{00000000-0005-0000-0000-0000C7000000}"/>
    <cellStyle name="20% - Accent2 2 2 6 3 2" xfId="14610" xr:uid="{41A9B5E1-2231-4A62-AA9A-69F5FA7CC819}"/>
    <cellStyle name="20% - Accent2 2 2 6 4" xfId="10392" xr:uid="{1E7D2E41-4233-43AD-8A2B-458A41BCBAB2}"/>
    <cellStyle name="20% - Accent2 2 2 7" xfId="2274" xr:uid="{00000000-0005-0000-0000-0000C8000000}"/>
    <cellStyle name="20% - Accent2 2 2 7 2" xfId="6581" xr:uid="{00000000-0005-0000-0000-0000C9000000}"/>
    <cellStyle name="20% - Accent2 2 2 7 2 2" xfId="15023" xr:uid="{8584FD21-B4C2-43EE-96F5-A62240EDEAEE}"/>
    <cellStyle name="20% - Accent2 2 2 7 3" xfId="10805" xr:uid="{B5AF1D07-E251-4359-AD3E-6C598211FCC6}"/>
    <cellStyle name="20% - Accent2 2 2 8" xfId="4515" xr:uid="{00000000-0005-0000-0000-0000CA000000}"/>
    <cellStyle name="20% - Accent2 2 2 8 2" xfId="12957" xr:uid="{789F2CA1-A571-4C51-BBD0-1E9A370658ED}"/>
    <cellStyle name="20% - Accent2 2 2 9" xfId="8739" xr:uid="{0E4CE5A3-0EDA-4440-9AC9-212D57F23261}"/>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15518" xr:uid="{D04CDB79-78B7-4A23-9C17-18C6AA238248}"/>
    <cellStyle name="20% - Accent2 2 3 2 2 3" xfId="11300" xr:uid="{A4C0A0ED-7D24-4563-9420-8F5414362038}"/>
    <cellStyle name="20% - Accent2 2 3 2 3" xfId="4931" xr:uid="{00000000-0005-0000-0000-0000CF000000}"/>
    <cellStyle name="20% - Accent2 2 3 2 3 2" xfId="13373" xr:uid="{6F5FA93C-3E5A-4587-9ED5-7D2588C6EBA2}"/>
    <cellStyle name="20% - Accent2 2 3 2 4" xfId="9155" xr:uid="{EA5200D9-5686-4696-B574-8DBF2994454C}"/>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15931" xr:uid="{8693D0EE-7A2C-4EF6-BAF5-F59451DCC0AF}"/>
    <cellStyle name="20% - Accent2 2 3 3 2 3" xfId="11713" xr:uid="{10F06FEE-8EDB-4568-B817-548DB918A32E}"/>
    <cellStyle name="20% - Accent2 2 3 3 3" xfId="5344" xr:uid="{00000000-0005-0000-0000-0000D3000000}"/>
    <cellStyle name="20% - Accent2 2 3 3 3 2" xfId="13786" xr:uid="{1CDB710A-C819-41FD-BAC1-09E0D0FA0C65}"/>
    <cellStyle name="20% - Accent2 2 3 3 4" xfId="9568" xr:uid="{C0F11016-2CFA-466C-ABB5-DA9ABBF5E72A}"/>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16344" xr:uid="{4DD01BDD-21F4-4BA0-85E4-763DCE9D6B2D}"/>
    <cellStyle name="20% - Accent2 2 3 4 2 3" xfId="12126" xr:uid="{8D7223E2-EA89-49EC-832E-3C3C209F8792}"/>
    <cellStyle name="20% - Accent2 2 3 4 3" xfId="5757" xr:uid="{00000000-0005-0000-0000-0000D7000000}"/>
    <cellStyle name="20% - Accent2 2 3 4 3 2" xfId="14199" xr:uid="{6609C557-1839-44B1-A337-A18D01755FD4}"/>
    <cellStyle name="20% - Accent2 2 3 4 4" xfId="9981" xr:uid="{01A0ADA9-18B6-4E6D-8E18-18E55F5EAF98}"/>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16757" xr:uid="{6440B354-4FD5-4B8A-A106-AD8494527D52}"/>
    <cellStyle name="20% - Accent2 2 3 5 2 3" xfId="12539" xr:uid="{435572D8-A081-4A8F-9FAE-FC03208516C2}"/>
    <cellStyle name="20% - Accent2 2 3 5 3" xfId="6170" xr:uid="{00000000-0005-0000-0000-0000DB000000}"/>
    <cellStyle name="20% - Accent2 2 3 5 3 2" xfId="14612" xr:uid="{F696315D-BBC5-448C-AEAB-D1A385F5DF6C}"/>
    <cellStyle name="20% - Accent2 2 3 5 4" xfId="10394" xr:uid="{3540601A-DF4F-42B9-9A65-7B72D5E52F12}"/>
    <cellStyle name="20% - Accent2 2 3 6" xfId="2276" xr:uid="{00000000-0005-0000-0000-0000DC000000}"/>
    <cellStyle name="20% - Accent2 2 3 6 2" xfId="6583" xr:uid="{00000000-0005-0000-0000-0000DD000000}"/>
    <cellStyle name="20% - Accent2 2 3 6 2 2" xfId="15025" xr:uid="{0B925521-31D6-4E06-BA5B-0C1AF47BCCE0}"/>
    <cellStyle name="20% - Accent2 2 3 6 3" xfId="10807" xr:uid="{EDF6201F-B1AA-4A56-AAE4-B83E678960E9}"/>
    <cellStyle name="20% - Accent2 2 3 7" xfId="4517" xr:uid="{00000000-0005-0000-0000-0000DE000000}"/>
    <cellStyle name="20% - Accent2 2 3 7 2" xfId="12959" xr:uid="{E2FD3401-B73B-434A-B5A1-2F40A983C1DB}"/>
    <cellStyle name="20% - Accent2 2 3 8" xfId="8741" xr:uid="{6A614E58-C953-4885-B99C-212CF39F318B}"/>
    <cellStyle name="20% - Accent2 2 4" xfId="579" xr:uid="{00000000-0005-0000-0000-0000DF000000}"/>
    <cellStyle name="20% - Accent2 2 4 2" xfId="2850" xr:uid="{00000000-0005-0000-0000-0000E0000000}"/>
    <cellStyle name="20% - Accent2 2 4 2 2" xfId="7073" xr:uid="{00000000-0005-0000-0000-0000E1000000}"/>
    <cellStyle name="20% - Accent2 2 4 2 2 2" xfId="15515" xr:uid="{4162CB8D-DACA-4F19-A0F9-1FDD067A4D6A}"/>
    <cellStyle name="20% - Accent2 2 4 2 3" xfId="11297" xr:uid="{71C2F771-31FF-4D98-99A6-2849AFD66482}"/>
    <cellStyle name="20% - Accent2 2 4 3" xfId="4928" xr:uid="{00000000-0005-0000-0000-0000E2000000}"/>
    <cellStyle name="20% - Accent2 2 4 3 2" xfId="13370" xr:uid="{8CC3F6E6-1ACF-4C76-B934-8E0A91E2BC46}"/>
    <cellStyle name="20% - Accent2 2 4 4" xfId="9152" xr:uid="{6DEE8D28-6370-41B5-BF94-092BF8C629A9}"/>
    <cellStyle name="20% - Accent2 2 5" xfId="1032" xr:uid="{00000000-0005-0000-0000-0000E3000000}"/>
    <cellStyle name="20% - Accent2 2 5 2" xfId="3263" xr:uid="{00000000-0005-0000-0000-0000E4000000}"/>
    <cellStyle name="20% - Accent2 2 5 2 2" xfId="7486" xr:uid="{00000000-0005-0000-0000-0000E5000000}"/>
    <cellStyle name="20% - Accent2 2 5 2 2 2" xfId="15928" xr:uid="{3442EDE4-CA7E-4DE6-8C64-2CED553B25EF}"/>
    <cellStyle name="20% - Accent2 2 5 2 3" xfId="11710" xr:uid="{AD84E0E4-9CB6-4706-B8EC-8CB41AC03AB8}"/>
    <cellStyle name="20% - Accent2 2 5 3" xfId="5341" xr:uid="{00000000-0005-0000-0000-0000E6000000}"/>
    <cellStyle name="20% - Accent2 2 5 3 2" xfId="13783" xr:uid="{3B7604E1-836F-4B14-8F62-FE31080571C7}"/>
    <cellStyle name="20% - Accent2 2 5 4" xfId="9565" xr:uid="{5949C135-BED0-44E2-9606-7BD5EB5131B2}"/>
    <cellStyle name="20% - Accent2 2 6" xfId="1446" xr:uid="{00000000-0005-0000-0000-0000E7000000}"/>
    <cellStyle name="20% - Accent2 2 6 2" xfId="3676" xr:uid="{00000000-0005-0000-0000-0000E8000000}"/>
    <cellStyle name="20% - Accent2 2 6 2 2" xfId="7899" xr:uid="{00000000-0005-0000-0000-0000E9000000}"/>
    <cellStyle name="20% - Accent2 2 6 2 2 2" xfId="16341" xr:uid="{B1850DAF-EB22-4B86-B642-A4A12451CEF3}"/>
    <cellStyle name="20% - Accent2 2 6 2 3" xfId="12123" xr:uid="{ADF74513-F6E5-419E-9DD6-6F6C476BB971}"/>
    <cellStyle name="20% - Accent2 2 6 3" xfId="5754" xr:uid="{00000000-0005-0000-0000-0000EA000000}"/>
    <cellStyle name="20% - Accent2 2 6 3 2" xfId="14196" xr:uid="{78777A1A-82D3-4568-B86D-7D29658506B0}"/>
    <cellStyle name="20% - Accent2 2 6 4" xfId="9978" xr:uid="{04BCCF6B-816C-4887-840F-9B4465559E77}"/>
    <cellStyle name="20% - Accent2 2 7" xfId="1860" xr:uid="{00000000-0005-0000-0000-0000EB000000}"/>
    <cellStyle name="20% - Accent2 2 7 2" xfId="4089" xr:uid="{00000000-0005-0000-0000-0000EC000000}"/>
    <cellStyle name="20% - Accent2 2 7 2 2" xfId="8312" xr:uid="{00000000-0005-0000-0000-0000ED000000}"/>
    <cellStyle name="20% - Accent2 2 7 2 2 2" xfId="16754" xr:uid="{B39D7A57-B1DC-4A70-B691-25E2E7C7ADB0}"/>
    <cellStyle name="20% - Accent2 2 7 2 3" xfId="12536" xr:uid="{B39A9A1C-5FBE-4CFE-B73B-EBB6E0C0E6BA}"/>
    <cellStyle name="20% - Accent2 2 7 3" xfId="6167" xr:uid="{00000000-0005-0000-0000-0000EE000000}"/>
    <cellStyle name="20% - Accent2 2 7 3 2" xfId="14609" xr:uid="{BA95187C-DF25-424A-AA3A-7CA5B83D3D73}"/>
    <cellStyle name="20% - Accent2 2 7 4" xfId="10391" xr:uid="{0C3BBBC2-0335-44CB-B9B3-B0ACE8E7878D}"/>
    <cellStyle name="20% - Accent2 2 8" xfId="2273" xr:uid="{00000000-0005-0000-0000-0000EF000000}"/>
    <cellStyle name="20% - Accent2 2 8 2" xfId="6580" xr:uid="{00000000-0005-0000-0000-0000F0000000}"/>
    <cellStyle name="20% - Accent2 2 8 2 2" xfId="15022" xr:uid="{C85AA5BE-C47A-4718-9725-7F84D49F9F53}"/>
    <cellStyle name="20% - Accent2 2 8 3" xfId="10804" xr:uid="{BD5CEF7B-EB5D-45A1-9D11-BED3FCA014B3}"/>
    <cellStyle name="20% - Accent2 2 9" xfId="4514" xr:uid="{00000000-0005-0000-0000-0000F1000000}"/>
    <cellStyle name="20% - Accent2 2 9 2" xfId="12956" xr:uid="{38E50A16-27D1-457F-A8CF-59A9F39EE763}"/>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15520" xr:uid="{67CF1C2E-1DE2-4245-BB95-7F815E8F3A71}"/>
    <cellStyle name="20% - Accent2 3 2 2 2 3" xfId="11302" xr:uid="{5C2F65B7-A27B-462C-A937-9D051881B9EA}"/>
    <cellStyle name="20% - Accent2 3 2 2 3" xfId="4933" xr:uid="{00000000-0005-0000-0000-0000F7000000}"/>
    <cellStyle name="20% - Accent2 3 2 2 3 2" xfId="13375" xr:uid="{B6D2E8F0-D8C9-49ED-8478-FB161AFFA2FA}"/>
    <cellStyle name="20% - Accent2 3 2 2 4" xfId="9157" xr:uid="{A773757D-A181-4515-9679-8D0E9902FCAC}"/>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15933" xr:uid="{AE0B0E77-C496-4461-A00E-1F25B9CD05B2}"/>
    <cellStyle name="20% - Accent2 3 2 3 2 3" xfId="11715" xr:uid="{3F8AE55A-8BAB-42D1-B6AA-FE6947DCE0A1}"/>
    <cellStyle name="20% - Accent2 3 2 3 3" xfId="5346" xr:uid="{00000000-0005-0000-0000-0000FB000000}"/>
    <cellStyle name="20% - Accent2 3 2 3 3 2" xfId="13788" xr:uid="{F3D2C161-B6DF-4084-870A-005C310C3FB9}"/>
    <cellStyle name="20% - Accent2 3 2 3 4" xfId="9570" xr:uid="{EEDCD1F6-6183-4A3D-8D1C-ED45277B1246}"/>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16346" xr:uid="{FD818412-1647-4653-8AB4-6A5714CFA3A2}"/>
    <cellStyle name="20% - Accent2 3 2 4 2 3" xfId="12128" xr:uid="{9904E6E5-8BDE-4C39-820B-3829E4A007F4}"/>
    <cellStyle name="20% - Accent2 3 2 4 3" xfId="5759" xr:uid="{00000000-0005-0000-0000-0000FF000000}"/>
    <cellStyle name="20% - Accent2 3 2 4 3 2" xfId="14201" xr:uid="{B3835ACB-57CA-459C-92E5-55D987C66D26}"/>
    <cellStyle name="20% - Accent2 3 2 4 4" xfId="9983" xr:uid="{E4838F29-6C7D-421F-BCF8-56F43E1B9D6C}"/>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16759" xr:uid="{1E339869-E182-4B1F-872A-C79DE8C8BD42}"/>
    <cellStyle name="20% - Accent2 3 2 5 2 3" xfId="12541" xr:uid="{F8D3A74A-0556-4D68-9325-165DEAC69381}"/>
    <cellStyle name="20% - Accent2 3 2 5 3" xfId="6172" xr:uid="{00000000-0005-0000-0000-000003010000}"/>
    <cellStyle name="20% - Accent2 3 2 5 3 2" xfId="14614" xr:uid="{B46EF6AE-30E1-48ED-A10B-E499D327E053}"/>
    <cellStyle name="20% - Accent2 3 2 5 4" xfId="10396" xr:uid="{89044CA7-8BC6-4F38-B001-C16632F6B8CB}"/>
    <cellStyle name="20% - Accent2 3 2 6" xfId="2278" xr:uid="{00000000-0005-0000-0000-000004010000}"/>
    <cellStyle name="20% - Accent2 3 2 6 2" xfId="6585" xr:uid="{00000000-0005-0000-0000-000005010000}"/>
    <cellStyle name="20% - Accent2 3 2 6 2 2" xfId="15027" xr:uid="{9C70C7DC-38ED-4155-B3FA-27890708616D}"/>
    <cellStyle name="20% - Accent2 3 2 6 3" xfId="10809" xr:uid="{AB99FB4B-045F-4CB7-AE65-50B4517A3177}"/>
    <cellStyle name="20% - Accent2 3 2 7" xfId="4519" xr:uid="{00000000-0005-0000-0000-000006010000}"/>
    <cellStyle name="20% - Accent2 3 2 7 2" xfId="12961" xr:uid="{2774C7AD-940F-448F-A0EB-5F84FCF9E4EE}"/>
    <cellStyle name="20% - Accent2 3 2 8" xfId="8743" xr:uid="{A8BEBEED-1F2A-4D73-B497-A7CF18CF22F3}"/>
    <cellStyle name="20% - Accent2 3 3" xfId="583" xr:uid="{00000000-0005-0000-0000-000007010000}"/>
    <cellStyle name="20% - Accent2 3 3 2" xfId="2854" xr:uid="{00000000-0005-0000-0000-000008010000}"/>
    <cellStyle name="20% - Accent2 3 3 2 2" xfId="7077" xr:uid="{00000000-0005-0000-0000-000009010000}"/>
    <cellStyle name="20% - Accent2 3 3 2 2 2" xfId="15519" xr:uid="{3D5086CF-B3B3-4328-988A-8173333842D2}"/>
    <cellStyle name="20% - Accent2 3 3 2 3" xfId="11301" xr:uid="{47026669-381D-4C38-BFB1-7B3E8B09CC51}"/>
    <cellStyle name="20% - Accent2 3 3 3" xfId="4932" xr:uid="{00000000-0005-0000-0000-00000A010000}"/>
    <cellStyle name="20% - Accent2 3 3 3 2" xfId="13374" xr:uid="{2A0A9EFC-F9FC-4D47-9A01-1BCC04FA1FD0}"/>
    <cellStyle name="20% - Accent2 3 3 4" xfId="9156" xr:uid="{A7A14A71-0E27-48BA-9C0B-2F056403872B}"/>
    <cellStyle name="20% - Accent2 3 4" xfId="1036" xr:uid="{00000000-0005-0000-0000-00000B010000}"/>
    <cellStyle name="20% - Accent2 3 4 2" xfId="3267" xr:uid="{00000000-0005-0000-0000-00000C010000}"/>
    <cellStyle name="20% - Accent2 3 4 2 2" xfId="7490" xr:uid="{00000000-0005-0000-0000-00000D010000}"/>
    <cellStyle name="20% - Accent2 3 4 2 2 2" xfId="15932" xr:uid="{757E4488-E887-4984-A69A-C3219D712F41}"/>
    <cellStyle name="20% - Accent2 3 4 2 3" xfId="11714" xr:uid="{4F9F5E52-6A28-45DB-8088-274C642774D7}"/>
    <cellStyle name="20% - Accent2 3 4 3" xfId="5345" xr:uid="{00000000-0005-0000-0000-00000E010000}"/>
    <cellStyle name="20% - Accent2 3 4 3 2" xfId="13787" xr:uid="{C4928BEE-1182-4F53-BF93-BF88AB4C3E8C}"/>
    <cellStyle name="20% - Accent2 3 4 4" xfId="9569" xr:uid="{D99843CC-1DD5-42EB-B3A5-38B7FE32C922}"/>
    <cellStyle name="20% - Accent2 3 5" xfId="1450" xr:uid="{00000000-0005-0000-0000-00000F010000}"/>
    <cellStyle name="20% - Accent2 3 5 2" xfId="3680" xr:uid="{00000000-0005-0000-0000-000010010000}"/>
    <cellStyle name="20% - Accent2 3 5 2 2" xfId="7903" xr:uid="{00000000-0005-0000-0000-000011010000}"/>
    <cellStyle name="20% - Accent2 3 5 2 2 2" xfId="16345" xr:uid="{FD379FD0-1AAB-49B0-805F-D8D9EEE9496A}"/>
    <cellStyle name="20% - Accent2 3 5 2 3" xfId="12127" xr:uid="{8AC2FCC3-3A83-4752-BF09-5EE1B57ACECF}"/>
    <cellStyle name="20% - Accent2 3 5 3" xfId="5758" xr:uid="{00000000-0005-0000-0000-000012010000}"/>
    <cellStyle name="20% - Accent2 3 5 3 2" xfId="14200" xr:uid="{D37B7941-DD2C-41A0-9182-A0985A8B1A21}"/>
    <cellStyle name="20% - Accent2 3 5 4" xfId="9982" xr:uid="{53EC3641-E352-4B34-930C-36E8BE342784}"/>
    <cellStyle name="20% - Accent2 3 6" xfId="1864" xr:uid="{00000000-0005-0000-0000-000013010000}"/>
    <cellStyle name="20% - Accent2 3 6 2" xfId="4093" xr:uid="{00000000-0005-0000-0000-000014010000}"/>
    <cellStyle name="20% - Accent2 3 6 2 2" xfId="8316" xr:uid="{00000000-0005-0000-0000-000015010000}"/>
    <cellStyle name="20% - Accent2 3 6 2 2 2" xfId="16758" xr:uid="{C7D98B83-DDF5-4467-91FF-90B2768C66CD}"/>
    <cellStyle name="20% - Accent2 3 6 2 3" xfId="12540" xr:uid="{6432707E-B81B-4579-BCA6-A710485C9A70}"/>
    <cellStyle name="20% - Accent2 3 6 3" xfId="6171" xr:uid="{00000000-0005-0000-0000-000016010000}"/>
    <cellStyle name="20% - Accent2 3 6 3 2" xfId="14613" xr:uid="{C8912655-A3FA-4ADD-95F8-052BA10E2EC7}"/>
    <cellStyle name="20% - Accent2 3 6 4" xfId="10395" xr:uid="{39E999D6-446B-4797-8117-B1E62B6B500F}"/>
    <cellStyle name="20% - Accent2 3 7" xfId="2277" xr:uid="{00000000-0005-0000-0000-000017010000}"/>
    <cellStyle name="20% - Accent2 3 7 2" xfId="6584" xr:uid="{00000000-0005-0000-0000-000018010000}"/>
    <cellStyle name="20% - Accent2 3 7 2 2" xfId="15026" xr:uid="{BF62C3E9-1393-4F48-94AF-4952589DA160}"/>
    <cellStyle name="20% - Accent2 3 7 3" xfId="10808" xr:uid="{DE950F76-852C-4DD3-A3E1-83D0232537FB}"/>
    <cellStyle name="20% - Accent2 3 8" xfId="4518" xr:uid="{00000000-0005-0000-0000-000019010000}"/>
    <cellStyle name="20% - Accent2 3 8 2" xfId="12960" xr:uid="{5067BA57-4CBC-40B6-9E9F-242C8E4C74ED}"/>
    <cellStyle name="20% - Accent2 3 9" xfId="8742" xr:uid="{687BF4E8-BE0D-4848-A40D-B77EBD37279D}"/>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2 2 2" xfId="15521" xr:uid="{11D960E5-92B6-43BE-9048-5D1603E4E41A}"/>
    <cellStyle name="20% - Accent2 4 2 2 3" xfId="11303" xr:uid="{E314A905-2C3A-4FB7-A9D6-86A3F9D809BD}"/>
    <cellStyle name="20% - Accent2 4 2 3" xfId="4934" xr:uid="{00000000-0005-0000-0000-00001E010000}"/>
    <cellStyle name="20% - Accent2 4 2 3 2" xfId="13376" xr:uid="{15D65DEE-1754-4F13-B787-60B452E170A7}"/>
    <cellStyle name="20% - Accent2 4 2 4" xfId="9158" xr:uid="{C23D01D8-C81D-4482-BDCF-78524F5A907B}"/>
    <cellStyle name="20% - Accent2 4 3" xfId="1038" xr:uid="{00000000-0005-0000-0000-00001F010000}"/>
    <cellStyle name="20% - Accent2 4 3 2" xfId="3269" xr:uid="{00000000-0005-0000-0000-000020010000}"/>
    <cellStyle name="20% - Accent2 4 3 2 2" xfId="7492" xr:uid="{00000000-0005-0000-0000-000021010000}"/>
    <cellStyle name="20% - Accent2 4 3 2 2 2" xfId="15934" xr:uid="{88C4E468-23DE-4A49-BB15-BD35816634D6}"/>
    <cellStyle name="20% - Accent2 4 3 2 3" xfId="11716" xr:uid="{F743DB30-7505-45F9-BAA1-FA27B3E7903B}"/>
    <cellStyle name="20% - Accent2 4 3 3" xfId="5347" xr:uid="{00000000-0005-0000-0000-000022010000}"/>
    <cellStyle name="20% - Accent2 4 3 3 2" xfId="13789" xr:uid="{10D042ED-D079-4308-BF78-BF474D3A1711}"/>
    <cellStyle name="20% - Accent2 4 3 4" xfId="9571" xr:uid="{7E6C711F-C5D6-41C9-8F5B-21DB92CF695E}"/>
    <cellStyle name="20% - Accent2 4 4" xfId="1452" xr:uid="{00000000-0005-0000-0000-000023010000}"/>
    <cellStyle name="20% - Accent2 4 4 2" xfId="3682" xr:uid="{00000000-0005-0000-0000-000024010000}"/>
    <cellStyle name="20% - Accent2 4 4 2 2" xfId="7905" xr:uid="{00000000-0005-0000-0000-000025010000}"/>
    <cellStyle name="20% - Accent2 4 4 2 2 2" xfId="16347" xr:uid="{61CAB549-B975-4A4F-A547-232163E54FF4}"/>
    <cellStyle name="20% - Accent2 4 4 2 3" xfId="12129" xr:uid="{22C8A743-65CA-461F-8C38-20AEA2C3A846}"/>
    <cellStyle name="20% - Accent2 4 4 3" xfId="5760" xr:uid="{00000000-0005-0000-0000-000026010000}"/>
    <cellStyle name="20% - Accent2 4 4 3 2" xfId="14202" xr:uid="{D1A1D354-488C-4432-BDDF-79D6020FF1C2}"/>
    <cellStyle name="20% - Accent2 4 4 4" xfId="9984" xr:uid="{4CEAF90E-A16B-4474-AFAE-7BC5A638B35B}"/>
    <cellStyle name="20% - Accent2 4 5" xfId="1866" xr:uid="{00000000-0005-0000-0000-000027010000}"/>
    <cellStyle name="20% - Accent2 4 5 2" xfId="4095" xr:uid="{00000000-0005-0000-0000-000028010000}"/>
    <cellStyle name="20% - Accent2 4 5 2 2" xfId="8318" xr:uid="{00000000-0005-0000-0000-000029010000}"/>
    <cellStyle name="20% - Accent2 4 5 2 2 2" xfId="16760" xr:uid="{540AA56D-6E3E-4239-BCB9-63FFE15EA861}"/>
    <cellStyle name="20% - Accent2 4 5 2 3" xfId="12542" xr:uid="{8C58AB57-926E-450C-805F-D2190FC49153}"/>
    <cellStyle name="20% - Accent2 4 5 3" xfId="6173" xr:uid="{00000000-0005-0000-0000-00002A010000}"/>
    <cellStyle name="20% - Accent2 4 5 3 2" xfId="14615" xr:uid="{1E356C9B-B55B-4E4A-9DA6-96EB402C5FE6}"/>
    <cellStyle name="20% - Accent2 4 5 4" xfId="10397" xr:uid="{755CB6EB-E7A7-4E96-AE88-F2EAAFA55401}"/>
    <cellStyle name="20% - Accent2 4 6" xfId="2279" xr:uid="{00000000-0005-0000-0000-00002B010000}"/>
    <cellStyle name="20% - Accent2 4 6 2" xfId="6586" xr:uid="{00000000-0005-0000-0000-00002C010000}"/>
    <cellStyle name="20% - Accent2 4 6 2 2" xfId="15028" xr:uid="{A78ADF0F-67DF-4E6A-8119-13D3C5FBC931}"/>
    <cellStyle name="20% - Accent2 4 6 3" xfId="10810" xr:uid="{3626A1E7-F6F7-45AA-95D6-8D2ABD3F857E}"/>
    <cellStyle name="20% - Accent2 4 7" xfId="4520" xr:uid="{00000000-0005-0000-0000-00002D010000}"/>
    <cellStyle name="20% - Accent2 4 7 2" xfId="12962" xr:uid="{55BA9476-0B35-4B2B-AA15-F2E29AE17E1B}"/>
    <cellStyle name="20% - Accent2 4 8" xfId="8744" xr:uid="{6CF8AA29-0A86-4960-B1AC-0D8CD1608508}"/>
    <cellStyle name="20% - Accent2 5" xfId="578" xr:uid="{00000000-0005-0000-0000-00002E010000}"/>
    <cellStyle name="20% - Accent2 5 2" xfId="2849" xr:uid="{00000000-0005-0000-0000-00002F010000}"/>
    <cellStyle name="20% - Accent2 5 2 2" xfId="7072" xr:uid="{00000000-0005-0000-0000-000030010000}"/>
    <cellStyle name="20% - Accent2 5 2 2 2" xfId="15514" xr:uid="{C40DFE98-0DED-4B63-BDA0-2DFE03F34765}"/>
    <cellStyle name="20% - Accent2 5 2 3" xfId="11296" xr:uid="{34D4514E-EB2A-4176-A223-3B3D4AB4F422}"/>
    <cellStyle name="20% - Accent2 5 3" xfId="4927" xr:uid="{00000000-0005-0000-0000-000031010000}"/>
    <cellStyle name="20% - Accent2 5 3 2" xfId="13369" xr:uid="{08095968-3213-40E6-9BDD-2429B15B8809}"/>
    <cellStyle name="20% - Accent2 5 4" xfId="9151" xr:uid="{344A50E4-6CC7-4E8F-B936-9651E980D4B4}"/>
    <cellStyle name="20% - Accent2 6" xfId="1031" xr:uid="{00000000-0005-0000-0000-000032010000}"/>
    <cellStyle name="20% - Accent2 6 2" xfId="3262" xr:uid="{00000000-0005-0000-0000-000033010000}"/>
    <cellStyle name="20% - Accent2 6 2 2" xfId="7485" xr:uid="{00000000-0005-0000-0000-000034010000}"/>
    <cellStyle name="20% - Accent2 6 2 2 2" xfId="15927" xr:uid="{89AF8E25-3C77-4D23-BDAE-9FACF64B4A07}"/>
    <cellStyle name="20% - Accent2 6 2 3" xfId="11709" xr:uid="{EB66718B-B9BA-42C4-B5C9-91169DBDAC59}"/>
    <cellStyle name="20% - Accent2 6 3" xfId="5340" xr:uid="{00000000-0005-0000-0000-000035010000}"/>
    <cellStyle name="20% - Accent2 6 3 2" xfId="13782" xr:uid="{4A440156-6E4F-4AA2-9AA1-6CFC94BF07D5}"/>
    <cellStyle name="20% - Accent2 6 4" xfId="9564" xr:uid="{46D5C744-3866-4631-B8C4-2D95614818A3}"/>
    <cellStyle name="20% - Accent2 7" xfId="1445" xr:uid="{00000000-0005-0000-0000-000036010000}"/>
    <cellStyle name="20% - Accent2 7 2" xfId="3675" xr:uid="{00000000-0005-0000-0000-000037010000}"/>
    <cellStyle name="20% - Accent2 7 2 2" xfId="7898" xr:uid="{00000000-0005-0000-0000-000038010000}"/>
    <cellStyle name="20% - Accent2 7 2 2 2" xfId="16340" xr:uid="{38AC8615-238C-4E46-B6CB-B4D113B7A18B}"/>
    <cellStyle name="20% - Accent2 7 2 3" xfId="12122" xr:uid="{275B80FF-8362-4964-A821-C4D1230588EF}"/>
    <cellStyle name="20% - Accent2 7 3" xfId="5753" xr:uid="{00000000-0005-0000-0000-000039010000}"/>
    <cellStyle name="20% - Accent2 7 3 2" xfId="14195" xr:uid="{59E47918-E483-4609-A392-EA91C3C39315}"/>
    <cellStyle name="20% - Accent2 7 4" xfId="9977" xr:uid="{08FDD650-9D90-4665-9599-870D737535E9}"/>
    <cellStyle name="20% - Accent2 8" xfId="1859" xr:uid="{00000000-0005-0000-0000-00003A010000}"/>
    <cellStyle name="20% - Accent2 8 2" xfId="4088" xr:uid="{00000000-0005-0000-0000-00003B010000}"/>
    <cellStyle name="20% - Accent2 8 2 2" xfId="8311" xr:uid="{00000000-0005-0000-0000-00003C010000}"/>
    <cellStyle name="20% - Accent2 8 2 2 2" xfId="16753" xr:uid="{FB927B60-909F-4179-87EA-0F872FA944B0}"/>
    <cellStyle name="20% - Accent2 8 2 3" xfId="12535" xr:uid="{639E2F8A-E556-4D6D-8C24-345DB2CB903D}"/>
    <cellStyle name="20% - Accent2 8 3" xfId="6166" xr:uid="{00000000-0005-0000-0000-00003D010000}"/>
    <cellStyle name="20% - Accent2 8 3 2" xfId="14608" xr:uid="{B72BB381-26E7-4F79-BFC1-5431C4BF1144}"/>
    <cellStyle name="20% - Accent2 8 4" xfId="10390" xr:uid="{DCD28050-12BE-4B8F-955D-1E90741DA89E}"/>
    <cellStyle name="20% - Accent2 9" xfId="2272" xr:uid="{00000000-0005-0000-0000-00003E010000}"/>
    <cellStyle name="20% - Accent2 9 2" xfId="6579" xr:uid="{00000000-0005-0000-0000-00003F010000}"/>
    <cellStyle name="20% - Accent2 9 2 2" xfId="15021" xr:uid="{CAD2DF63-9722-4ACF-A730-4BB866FE5E76}"/>
    <cellStyle name="20% - Accent2 9 3" xfId="10803" xr:uid="{2E4CF971-5316-47EB-92FA-A4B9BC2753D1}"/>
    <cellStyle name="20% - Accent3" xfId="17" builtinId="38" customBuiltin="1"/>
    <cellStyle name="20% - Accent3 10" xfId="4521" xr:uid="{00000000-0005-0000-0000-000041010000}"/>
    <cellStyle name="20% - Accent3 10 2" xfId="12963" xr:uid="{5A0D67FB-4591-41E6-855C-5A5E9AE502E5}"/>
    <cellStyle name="20% - Accent3 11" xfId="8745" xr:uid="{E92640BC-4078-474A-956D-3A2CBB1A4F93}"/>
    <cellStyle name="20% - Accent3 2" xfId="18" xr:uid="{00000000-0005-0000-0000-000042010000}"/>
    <cellStyle name="20% - Accent3 2 10" xfId="8746" xr:uid="{58391695-D68C-4066-A6D2-D6C50563DA01}"/>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15525" xr:uid="{3ABE807B-0FEA-435A-8F7B-E8BE7053176D}"/>
    <cellStyle name="20% - Accent3 2 2 2 2 2 3" xfId="11307" xr:uid="{2E45B8E2-7518-4369-B89D-9F7D16E67650}"/>
    <cellStyle name="20% - Accent3 2 2 2 2 3" xfId="4938" xr:uid="{00000000-0005-0000-0000-000048010000}"/>
    <cellStyle name="20% - Accent3 2 2 2 2 3 2" xfId="13380" xr:uid="{1505F6C5-EADB-4215-9A60-57FF0115FC8D}"/>
    <cellStyle name="20% - Accent3 2 2 2 2 4" xfId="9162" xr:uid="{9B275F1D-3E04-432F-9271-7E3ECB874EB7}"/>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15938" xr:uid="{F0D5474E-70E5-4926-9C75-17A10C0E3D82}"/>
    <cellStyle name="20% - Accent3 2 2 2 3 2 3" xfId="11720" xr:uid="{72333723-3E77-45C2-AA53-E60A9E62A6C7}"/>
    <cellStyle name="20% - Accent3 2 2 2 3 3" xfId="5351" xr:uid="{00000000-0005-0000-0000-00004C010000}"/>
    <cellStyle name="20% - Accent3 2 2 2 3 3 2" xfId="13793" xr:uid="{A93D968F-06EC-4B6B-8C0A-19E8D3BA184E}"/>
    <cellStyle name="20% - Accent3 2 2 2 3 4" xfId="9575" xr:uid="{F8C93FEC-8F0C-4104-BA6E-3BA0C78DFF2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16351" xr:uid="{5B9B1718-B3DF-44DF-97D4-1EB277A57833}"/>
    <cellStyle name="20% - Accent3 2 2 2 4 2 3" xfId="12133" xr:uid="{B8DDC967-7FC9-47F0-A335-393FEC8BC1EC}"/>
    <cellStyle name="20% - Accent3 2 2 2 4 3" xfId="5764" xr:uid="{00000000-0005-0000-0000-000050010000}"/>
    <cellStyle name="20% - Accent3 2 2 2 4 3 2" xfId="14206" xr:uid="{05FE72BD-B261-4820-A839-7EF1010B264F}"/>
    <cellStyle name="20% - Accent3 2 2 2 4 4" xfId="9988" xr:uid="{4E4497A6-BB41-4FCE-821B-52FB00D5F7D9}"/>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16764" xr:uid="{9B9308D1-3B4E-43F4-A4A3-6C53CBD2DC13}"/>
    <cellStyle name="20% - Accent3 2 2 2 5 2 3" xfId="12546" xr:uid="{25724CFA-B7AC-4F70-AA31-0C112AC5E080}"/>
    <cellStyle name="20% - Accent3 2 2 2 5 3" xfId="6177" xr:uid="{00000000-0005-0000-0000-000054010000}"/>
    <cellStyle name="20% - Accent3 2 2 2 5 3 2" xfId="14619" xr:uid="{D3BD06B4-48A0-473D-93CB-2A764B1A64C8}"/>
    <cellStyle name="20% - Accent3 2 2 2 5 4" xfId="10401" xr:uid="{A5B2CDEC-095F-4A7A-BF0F-BF9DD514E28D}"/>
    <cellStyle name="20% - Accent3 2 2 2 6" xfId="2283" xr:uid="{00000000-0005-0000-0000-000055010000}"/>
    <cellStyle name="20% - Accent3 2 2 2 6 2" xfId="6590" xr:uid="{00000000-0005-0000-0000-000056010000}"/>
    <cellStyle name="20% - Accent3 2 2 2 6 2 2" xfId="15032" xr:uid="{2FC466C7-6EDF-48EB-8017-E3EB7ED04255}"/>
    <cellStyle name="20% - Accent3 2 2 2 6 3" xfId="10814" xr:uid="{A6702B51-8D19-46B3-9F43-741ED28D435A}"/>
    <cellStyle name="20% - Accent3 2 2 2 7" xfId="4524" xr:uid="{00000000-0005-0000-0000-000057010000}"/>
    <cellStyle name="20% - Accent3 2 2 2 7 2" xfId="12966" xr:uid="{E9ED3C7A-4B01-4897-9FAC-87D7B53A0634}"/>
    <cellStyle name="20% - Accent3 2 2 2 8" xfId="8748" xr:uid="{D7A32AB7-23A0-4B16-83B9-7D2EAA8C5797}"/>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15524" xr:uid="{DD1F4F9D-85A0-49B8-AA5A-0CF864E5BD54}"/>
    <cellStyle name="20% - Accent3 2 2 3 2 3" xfId="11306" xr:uid="{EBFDB92B-0BFE-4068-BB5C-3FD443B3E1A6}"/>
    <cellStyle name="20% - Accent3 2 2 3 3" xfId="4937" xr:uid="{00000000-0005-0000-0000-00005B010000}"/>
    <cellStyle name="20% - Accent3 2 2 3 3 2" xfId="13379" xr:uid="{1841B2E8-EF53-4106-9AA7-7CEE85EE4B30}"/>
    <cellStyle name="20% - Accent3 2 2 3 4" xfId="9161" xr:uid="{4BF1C61F-E0B5-440E-8BDE-18114FA06A05}"/>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15937" xr:uid="{6C0698C9-CA98-420D-BD8D-2D8950CA5100}"/>
    <cellStyle name="20% - Accent3 2 2 4 2 3" xfId="11719" xr:uid="{92304EAC-8A19-488F-88EE-A85654E96AD4}"/>
    <cellStyle name="20% - Accent3 2 2 4 3" xfId="5350" xr:uid="{00000000-0005-0000-0000-00005F010000}"/>
    <cellStyle name="20% - Accent3 2 2 4 3 2" xfId="13792" xr:uid="{80EDAF06-BF06-461C-ABD2-200BF4815A2F}"/>
    <cellStyle name="20% - Accent3 2 2 4 4" xfId="9574" xr:uid="{BF181E44-BCDC-4F13-A834-7874BD36F24C}"/>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16350" xr:uid="{A396DE5D-4F51-4147-9A18-A928EB93D7EE}"/>
    <cellStyle name="20% - Accent3 2 2 5 2 3" xfId="12132" xr:uid="{034D4EFF-31F7-4BAD-8509-A96563167E14}"/>
    <cellStyle name="20% - Accent3 2 2 5 3" xfId="5763" xr:uid="{00000000-0005-0000-0000-000063010000}"/>
    <cellStyle name="20% - Accent3 2 2 5 3 2" xfId="14205" xr:uid="{4F0D07E5-829D-4C93-BBFA-E4E592706F7F}"/>
    <cellStyle name="20% - Accent3 2 2 5 4" xfId="9987" xr:uid="{65C4E146-E0C8-4D9E-B189-301DC6D32897}"/>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16763" xr:uid="{D2A9FACB-3953-4682-85DE-3CE043E45C97}"/>
    <cellStyle name="20% - Accent3 2 2 6 2 3" xfId="12545" xr:uid="{8B596476-3221-465C-AD8C-01B6285B5ADC}"/>
    <cellStyle name="20% - Accent3 2 2 6 3" xfId="6176" xr:uid="{00000000-0005-0000-0000-000067010000}"/>
    <cellStyle name="20% - Accent3 2 2 6 3 2" xfId="14618" xr:uid="{66404661-0AC4-4B65-AE1E-D19F669896C3}"/>
    <cellStyle name="20% - Accent3 2 2 6 4" xfId="10400" xr:uid="{5C1DB497-131F-4FF4-A8ED-FC1DBD139210}"/>
    <cellStyle name="20% - Accent3 2 2 7" xfId="2282" xr:uid="{00000000-0005-0000-0000-000068010000}"/>
    <cellStyle name="20% - Accent3 2 2 7 2" xfId="6589" xr:uid="{00000000-0005-0000-0000-000069010000}"/>
    <cellStyle name="20% - Accent3 2 2 7 2 2" xfId="15031" xr:uid="{F8165043-55F0-4544-96E3-65B813985AB7}"/>
    <cellStyle name="20% - Accent3 2 2 7 3" xfId="10813" xr:uid="{B27813AD-BEA9-458E-88DA-4D6BB2FF0360}"/>
    <cellStyle name="20% - Accent3 2 2 8" xfId="4523" xr:uid="{00000000-0005-0000-0000-00006A010000}"/>
    <cellStyle name="20% - Accent3 2 2 8 2" xfId="12965" xr:uid="{E795F701-5183-46DC-87AE-E669BCD2415C}"/>
    <cellStyle name="20% - Accent3 2 2 9" xfId="8747" xr:uid="{F20026C4-82D7-49AB-B673-814CE5FB43B5}"/>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15526" xr:uid="{7411B0B0-0039-430E-A97D-74DC35914B00}"/>
    <cellStyle name="20% - Accent3 2 3 2 2 3" xfId="11308" xr:uid="{79972D92-5AA5-48E3-8A8F-894ED118A7B4}"/>
    <cellStyle name="20% - Accent3 2 3 2 3" xfId="4939" xr:uid="{00000000-0005-0000-0000-00006F010000}"/>
    <cellStyle name="20% - Accent3 2 3 2 3 2" xfId="13381" xr:uid="{3D43FC91-2720-446F-893B-E4CDAC215781}"/>
    <cellStyle name="20% - Accent3 2 3 2 4" xfId="9163" xr:uid="{FEBF5206-B346-4ACF-804B-7551669E9AC9}"/>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15939" xr:uid="{ED4FBC04-B20D-49DF-9896-9CA59D36F9B6}"/>
    <cellStyle name="20% - Accent3 2 3 3 2 3" xfId="11721" xr:uid="{82167FB8-9C4C-4B38-8F6C-CCFF9799BE82}"/>
    <cellStyle name="20% - Accent3 2 3 3 3" xfId="5352" xr:uid="{00000000-0005-0000-0000-000073010000}"/>
    <cellStyle name="20% - Accent3 2 3 3 3 2" xfId="13794" xr:uid="{193BB5A5-50F4-4F42-A50C-3BD2A4499E07}"/>
    <cellStyle name="20% - Accent3 2 3 3 4" xfId="9576" xr:uid="{5A4347BB-78E4-43D4-A513-26EE2ECE5B89}"/>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16352" xr:uid="{8284BAB1-2D07-4045-903E-7A5D899FD07F}"/>
    <cellStyle name="20% - Accent3 2 3 4 2 3" xfId="12134" xr:uid="{7107FDD8-0014-4799-95C4-29CEEAAC9FE1}"/>
    <cellStyle name="20% - Accent3 2 3 4 3" xfId="5765" xr:uid="{00000000-0005-0000-0000-000077010000}"/>
    <cellStyle name="20% - Accent3 2 3 4 3 2" xfId="14207" xr:uid="{D720930B-BA62-4C28-8047-623164A15B92}"/>
    <cellStyle name="20% - Accent3 2 3 4 4" xfId="9989" xr:uid="{4AEA5CBF-B516-488D-AE88-E810A1AD0910}"/>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16765" xr:uid="{8B34EB09-C2F0-46C6-969E-A88001EC79F7}"/>
    <cellStyle name="20% - Accent3 2 3 5 2 3" xfId="12547" xr:uid="{AC336540-C6FD-45A1-B113-CA2C31BB18F3}"/>
    <cellStyle name="20% - Accent3 2 3 5 3" xfId="6178" xr:uid="{00000000-0005-0000-0000-00007B010000}"/>
    <cellStyle name="20% - Accent3 2 3 5 3 2" xfId="14620" xr:uid="{D6D0326B-802D-452E-B1ED-98BC32A47817}"/>
    <cellStyle name="20% - Accent3 2 3 5 4" xfId="10402" xr:uid="{FAB1AF6A-8E48-4714-9C0E-B24F88746EC4}"/>
    <cellStyle name="20% - Accent3 2 3 6" xfId="2284" xr:uid="{00000000-0005-0000-0000-00007C010000}"/>
    <cellStyle name="20% - Accent3 2 3 6 2" xfId="6591" xr:uid="{00000000-0005-0000-0000-00007D010000}"/>
    <cellStyle name="20% - Accent3 2 3 6 2 2" xfId="15033" xr:uid="{D7A27820-9BE5-40CD-B2B2-9F0EA69E694B}"/>
    <cellStyle name="20% - Accent3 2 3 6 3" xfId="10815" xr:uid="{8937D92A-822E-4540-B920-064C45498DAF}"/>
    <cellStyle name="20% - Accent3 2 3 7" xfId="4525" xr:uid="{00000000-0005-0000-0000-00007E010000}"/>
    <cellStyle name="20% - Accent3 2 3 7 2" xfId="12967" xr:uid="{660E3741-7171-4EB0-BC21-A492D864F0C1}"/>
    <cellStyle name="20% - Accent3 2 3 8" xfId="8749" xr:uid="{92423909-3BB9-4C44-976D-68BD1A432E6E}"/>
    <cellStyle name="20% - Accent3 2 4" xfId="587" xr:uid="{00000000-0005-0000-0000-00007F010000}"/>
    <cellStyle name="20% - Accent3 2 4 2" xfId="2858" xr:uid="{00000000-0005-0000-0000-000080010000}"/>
    <cellStyle name="20% - Accent3 2 4 2 2" xfId="7081" xr:uid="{00000000-0005-0000-0000-000081010000}"/>
    <cellStyle name="20% - Accent3 2 4 2 2 2" xfId="15523" xr:uid="{881A4F58-3861-40A2-817B-900D472A8AED}"/>
    <cellStyle name="20% - Accent3 2 4 2 3" xfId="11305" xr:uid="{00143105-685D-47A2-B262-E773C0494FB2}"/>
    <cellStyle name="20% - Accent3 2 4 3" xfId="4936" xr:uid="{00000000-0005-0000-0000-000082010000}"/>
    <cellStyle name="20% - Accent3 2 4 3 2" xfId="13378" xr:uid="{FBA5C6D4-6739-4E6A-864C-4334C26CEE29}"/>
    <cellStyle name="20% - Accent3 2 4 4" xfId="9160" xr:uid="{4AB1864F-D66D-419D-B26F-71533F9C7DEE}"/>
    <cellStyle name="20% - Accent3 2 5" xfId="1040" xr:uid="{00000000-0005-0000-0000-000083010000}"/>
    <cellStyle name="20% - Accent3 2 5 2" xfId="3271" xr:uid="{00000000-0005-0000-0000-000084010000}"/>
    <cellStyle name="20% - Accent3 2 5 2 2" xfId="7494" xr:uid="{00000000-0005-0000-0000-000085010000}"/>
    <cellStyle name="20% - Accent3 2 5 2 2 2" xfId="15936" xr:uid="{4780365A-31DB-4222-B51A-6685FAE9E38D}"/>
    <cellStyle name="20% - Accent3 2 5 2 3" xfId="11718" xr:uid="{662563E9-5F93-4B5F-A08D-70CA585056A1}"/>
    <cellStyle name="20% - Accent3 2 5 3" xfId="5349" xr:uid="{00000000-0005-0000-0000-000086010000}"/>
    <cellStyle name="20% - Accent3 2 5 3 2" xfId="13791" xr:uid="{96D82ABF-CF4A-4610-A40B-EEE1E999BCAD}"/>
    <cellStyle name="20% - Accent3 2 5 4" xfId="9573" xr:uid="{F6F3668B-2FD8-46E2-84BD-F16BE800FB2D}"/>
    <cellStyle name="20% - Accent3 2 6" xfId="1454" xr:uid="{00000000-0005-0000-0000-000087010000}"/>
    <cellStyle name="20% - Accent3 2 6 2" xfId="3684" xr:uid="{00000000-0005-0000-0000-000088010000}"/>
    <cellStyle name="20% - Accent3 2 6 2 2" xfId="7907" xr:uid="{00000000-0005-0000-0000-000089010000}"/>
    <cellStyle name="20% - Accent3 2 6 2 2 2" xfId="16349" xr:uid="{52D7BC82-9FB8-4FB9-BBDB-FCB19FF360F8}"/>
    <cellStyle name="20% - Accent3 2 6 2 3" xfId="12131" xr:uid="{361BB1A5-47CC-40AE-87B1-23EDBB6D7EAB}"/>
    <cellStyle name="20% - Accent3 2 6 3" xfId="5762" xr:uid="{00000000-0005-0000-0000-00008A010000}"/>
    <cellStyle name="20% - Accent3 2 6 3 2" xfId="14204" xr:uid="{3F4FC355-81AF-4D33-AC2D-E2CF1AC58426}"/>
    <cellStyle name="20% - Accent3 2 6 4" xfId="9986" xr:uid="{EB690841-2317-4A17-BB56-A84F7743BE21}"/>
    <cellStyle name="20% - Accent3 2 7" xfId="1868" xr:uid="{00000000-0005-0000-0000-00008B010000}"/>
    <cellStyle name="20% - Accent3 2 7 2" xfId="4097" xr:uid="{00000000-0005-0000-0000-00008C010000}"/>
    <cellStyle name="20% - Accent3 2 7 2 2" xfId="8320" xr:uid="{00000000-0005-0000-0000-00008D010000}"/>
    <cellStyle name="20% - Accent3 2 7 2 2 2" xfId="16762" xr:uid="{4E69EB0B-BB90-4393-BA65-5AA04777EE47}"/>
    <cellStyle name="20% - Accent3 2 7 2 3" xfId="12544" xr:uid="{61017761-5D76-4367-A07F-E36453709AED}"/>
    <cellStyle name="20% - Accent3 2 7 3" xfId="6175" xr:uid="{00000000-0005-0000-0000-00008E010000}"/>
    <cellStyle name="20% - Accent3 2 7 3 2" xfId="14617" xr:uid="{EA4D7287-1E07-41BF-A929-652C01DA297C}"/>
    <cellStyle name="20% - Accent3 2 7 4" xfId="10399" xr:uid="{77D38A93-8B67-4E70-953C-234B94800911}"/>
    <cellStyle name="20% - Accent3 2 8" xfId="2281" xr:uid="{00000000-0005-0000-0000-00008F010000}"/>
    <cellStyle name="20% - Accent3 2 8 2" xfId="6588" xr:uid="{00000000-0005-0000-0000-000090010000}"/>
    <cellStyle name="20% - Accent3 2 8 2 2" xfId="15030" xr:uid="{A2810312-66F1-4A6A-AFF2-18A9FCC26D8F}"/>
    <cellStyle name="20% - Accent3 2 8 3" xfId="10812" xr:uid="{2A9AA27F-AF9C-4699-8D8D-EBFB94AAA8CA}"/>
    <cellStyle name="20% - Accent3 2 9" xfId="4522" xr:uid="{00000000-0005-0000-0000-000091010000}"/>
    <cellStyle name="20% - Accent3 2 9 2" xfId="12964" xr:uid="{4580D0B0-39C3-4C63-A6EE-22213A0396BF}"/>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15528" xr:uid="{DFD11A1F-AF65-417C-BAF2-EBCBEF519ADE}"/>
    <cellStyle name="20% - Accent3 3 2 2 2 3" xfId="11310" xr:uid="{52C17FD3-886A-4973-99D9-025A59D94A6A}"/>
    <cellStyle name="20% - Accent3 3 2 2 3" xfId="4941" xr:uid="{00000000-0005-0000-0000-000097010000}"/>
    <cellStyle name="20% - Accent3 3 2 2 3 2" xfId="13383" xr:uid="{BDA6E253-710D-4AFF-8DEC-525273CCD297}"/>
    <cellStyle name="20% - Accent3 3 2 2 4" xfId="9165" xr:uid="{D84F1F2B-F473-4749-B4AF-31343D60E25C}"/>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15941" xr:uid="{CB97AF2D-3EEF-44A5-AAF7-B393A3AC98D4}"/>
    <cellStyle name="20% - Accent3 3 2 3 2 3" xfId="11723" xr:uid="{433289E2-608C-49FF-A269-B2F3F675DD36}"/>
    <cellStyle name="20% - Accent3 3 2 3 3" xfId="5354" xr:uid="{00000000-0005-0000-0000-00009B010000}"/>
    <cellStyle name="20% - Accent3 3 2 3 3 2" xfId="13796" xr:uid="{31D1EB46-8082-4B2A-990B-746A9FF8BAE5}"/>
    <cellStyle name="20% - Accent3 3 2 3 4" xfId="9578" xr:uid="{12B2FAE7-20AC-4CE8-8795-D99E035A693D}"/>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16354" xr:uid="{E5E15F35-D958-4547-B6FA-052957285FA6}"/>
    <cellStyle name="20% - Accent3 3 2 4 2 3" xfId="12136" xr:uid="{125101F9-A7AE-4A14-A941-F9698EC27E18}"/>
    <cellStyle name="20% - Accent3 3 2 4 3" xfId="5767" xr:uid="{00000000-0005-0000-0000-00009F010000}"/>
    <cellStyle name="20% - Accent3 3 2 4 3 2" xfId="14209" xr:uid="{DC9A3FC0-51B3-4806-BB23-2BB900FE0989}"/>
    <cellStyle name="20% - Accent3 3 2 4 4" xfId="9991" xr:uid="{545E0FFC-DB6E-4E62-B6E8-D136F0BEFB7D}"/>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16767" xr:uid="{FCAD5534-7825-4898-B192-F904EDE286AA}"/>
    <cellStyle name="20% - Accent3 3 2 5 2 3" xfId="12549" xr:uid="{E4C72128-2262-4818-A967-718404520540}"/>
    <cellStyle name="20% - Accent3 3 2 5 3" xfId="6180" xr:uid="{00000000-0005-0000-0000-0000A3010000}"/>
    <cellStyle name="20% - Accent3 3 2 5 3 2" xfId="14622" xr:uid="{1DE5F0A0-027F-4902-9301-BC7355BAEA95}"/>
    <cellStyle name="20% - Accent3 3 2 5 4" xfId="10404" xr:uid="{5A52BDB3-7CDF-42BC-AE88-E44C9224FE86}"/>
    <cellStyle name="20% - Accent3 3 2 6" xfId="2286" xr:uid="{00000000-0005-0000-0000-0000A4010000}"/>
    <cellStyle name="20% - Accent3 3 2 6 2" xfId="6593" xr:uid="{00000000-0005-0000-0000-0000A5010000}"/>
    <cellStyle name="20% - Accent3 3 2 6 2 2" xfId="15035" xr:uid="{74C557B3-3B4E-4AE3-B492-64CB73B39EDD}"/>
    <cellStyle name="20% - Accent3 3 2 6 3" xfId="10817" xr:uid="{6D91BACF-F5BB-49FF-B276-7CD7CDDF24B1}"/>
    <cellStyle name="20% - Accent3 3 2 7" xfId="4527" xr:uid="{00000000-0005-0000-0000-0000A6010000}"/>
    <cellStyle name="20% - Accent3 3 2 7 2" xfId="12969" xr:uid="{4BE85923-69CB-4248-A5A2-6BB40255EC49}"/>
    <cellStyle name="20% - Accent3 3 2 8" xfId="8751" xr:uid="{21249C87-522D-4DC2-9336-C76EEED568B3}"/>
    <cellStyle name="20% - Accent3 3 3" xfId="591" xr:uid="{00000000-0005-0000-0000-0000A7010000}"/>
    <cellStyle name="20% - Accent3 3 3 2" xfId="2862" xr:uid="{00000000-0005-0000-0000-0000A8010000}"/>
    <cellStyle name="20% - Accent3 3 3 2 2" xfId="7085" xr:uid="{00000000-0005-0000-0000-0000A9010000}"/>
    <cellStyle name="20% - Accent3 3 3 2 2 2" xfId="15527" xr:uid="{AC1B7EAD-5CC2-4860-912C-9CAB9742D705}"/>
    <cellStyle name="20% - Accent3 3 3 2 3" xfId="11309" xr:uid="{720EB016-FA2A-439A-A05E-22EEE49259C6}"/>
    <cellStyle name="20% - Accent3 3 3 3" xfId="4940" xr:uid="{00000000-0005-0000-0000-0000AA010000}"/>
    <cellStyle name="20% - Accent3 3 3 3 2" xfId="13382" xr:uid="{C39D9B12-2916-4BB2-B81C-9CD1EA9D3918}"/>
    <cellStyle name="20% - Accent3 3 3 4" xfId="9164" xr:uid="{91893098-8CE1-456E-BC47-369E5554CA5C}"/>
    <cellStyle name="20% - Accent3 3 4" xfId="1044" xr:uid="{00000000-0005-0000-0000-0000AB010000}"/>
    <cellStyle name="20% - Accent3 3 4 2" xfId="3275" xr:uid="{00000000-0005-0000-0000-0000AC010000}"/>
    <cellStyle name="20% - Accent3 3 4 2 2" xfId="7498" xr:uid="{00000000-0005-0000-0000-0000AD010000}"/>
    <cellStyle name="20% - Accent3 3 4 2 2 2" xfId="15940" xr:uid="{BC25EED1-F41F-4902-9DE5-505BC4B369F5}"/>
    <cellStyle name="20% - Accent3 3 4 2 3" xfId="11722" xr:uid="{34805B60-C2CA-4764-B94C-F0F6591CE125}"/>
    <cellStyle name="20% - Accent3 3 4 3" xfId="5353" xr:uid="{00000000-0005-0000-0000-0000AE010000}"/>
    <cellStyle name="20% - Accent3 3 4 3 2" xfId="13795" xr:uid="{EC5B6B8D-2BEC-469F-9F02-EFCC76EA6AB7}"/>
    <cellStyle name="20% - Accent3 3 4 4" xfId="9577" xr:uid="{24C354FB-68B1-43A3-87D3-085CC24813A7}"/>
    <cellStyle name="20% - Accent3 3 5" xfId="1458" xr:uid="{00000000-0005-0000-0000-0000AF010000}"/>
    <cellStyle name="20% - Accent3 3 5 2" xfId="3688" xr:uid="{00000000-0005-0000-0000-0000B0010000}"/>
    <cellStyle name="20% - Accent3 3 5 2 2" xfId="7911" xr:uid="{00000000-0005-0000-0000-0000B1010000}"/>
    <cellStyle name="20% - Accent3 3 5 2 2 2" xfId="16353" xr:uid="{D02DD08E-A0B2-4410-BFA5-86EDEF844B93}"/>
    <cellStyle name="20% - Accent3 3 5 2 3" xfId="12135" xr:uid="{D668F86F-E90E-4E30-9AB8-8C19E38EC329}"/>
    <cellStyle name="20% - Accent3 3 5 3" xfId="5766" xr:uid="{00000000-0005-0000-0000-0000B2010000}"/>
    <cellStyle name="20% - Accent3 3 5 3 2" xfId="14208" xr:uid="{81EF06E1-E452-4A51-98CC-4D3C2901D142}"/>
    <cellStyle name="20% - Accent3 3 5 4" xfId="9990" xr:uid="{AA3248DB-8294-4056-881A-ED9DEA006C58}"/>
    <cellStyle name="20% - Accent3 3 6" xfId="1872" xr:uid="{00000000-0005-0000-0000-0000B3010000}"/>
    <cellStyle name="20% - Accent3 3 6 2" xfId="4101" xr:uid="{00000000-0005-0000-0000-0000B4010000}"/>
    <cellStyle name="20% - Accent3 3 6 2 2" xfId="8324" xr:uid="{00000000-0005-0000-0000-0000B5010000}"/>
    <cellStyle name="20% - Accent3 3 6 2 2 2" xfId="16766" xr:uid="{D5BF8946-5F5E-421A-B215-EFB39117C416}"/>
    <cellStyle name="20% - Accent3 3 6 2 3" xfId="12548" xr:uid="{696DFEF3-AB18-487B-B597-3BFC70FBB839}"/>
    <cellStyle name="20% - Accent3 3 6 3" xfId="6179" xr:uid="{00000000-0005-0000-0000-0000B6010000}"/>
    <cellStyle name="20% - Accent3 3 6 3 2" xfId="14621" xr:uid="{51132A21-D837-46B6-8C98-5E5336E5B9E1}"/>
    <cellStyle name="20% - Accent3 3 6 4" xfId="10403" xr:uid="{A3B273D9-ECBA-4C0C-AEDD-427D1E0BC700}"/>
    <cellStyle name="20% - Accent3 3 7" xfId="2285" xr:uid="{00000000-0005-0000-0000-0000B7010000}"/>
    <cellStyle name="20% - Accent3 3 7 2" xfId="6592" xr:uid="{00000000-0005-0000-0000-0000B8010000}"/>
    <cellStyle name="20% - Accent3 3 7 2 2" xfId="15034" xr:uid="{107B064E-0060-40C0-B326-9FD8D960DBF7}"/>
    <cellStyle name="20% - Accent3 3 7 3" xfId="10816" xr:uid="{D8A895CC-9AD8-40BD-8114-E131422B472B}"/>
    <cellStyle name="20% - Accent3 3 8" xfId="4526" xr:uid="{00000000-0005-0000-0000-0000B9010000}"/>
    <cellStyle name="20% - Accent3 3 8 2" xfId="12968" xr:uid="{FCE2FFA4-4190-45D9-8A36-436A1AB72272}"/>
    <cellStyle name="20% - Accent3 3 9" xfId="8750" xr:uid="{04CD74E3-45D9-4A1D-A87F-3CB892FCA4DF}"/>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2 2 2" xfId="15529" xr:uid="{45723145-FABE-44CE-8FAE-7AA74B5A2BFB}"/>
    <cellStyle name="20% - Accent3 4 2 2 3" xfId="11311" xr:uid="{BC54A7CB-4FE7-4C91-B5D4-604235304B02}"/>
    <cellStyle name="20% - Accent3 4 2 3" xfId="4942" xr:uid="{00000000-0005-0000-0000-0000BE010000}"/>
    <cellStyle name="20% - Accent3 4 2 3 2" xfId="13384" xr:uid="{24C48AB5-757D-4AB1-9A2C-ED93A774B822}"/>
    <cellStyle name="20% - Accent3 4 2 4" xfId="9166" xr:uid="{D0479521-4BAC-4E03-85C3-7CBA20B800B9}"/>
    <cellStyle name="20% - Accent3 4 3" xfId="1046" xr:uid="{00000000-0005-0000-0000-0000BF010000}"/>
    <cellStyle name="20% - Accent3 4 3 2" xfId="3277" xr:uid="{00000000-0005-0000-0000-0000C0010000}"/>
    <cellStyle name="20% - Accent3 4 3 2 2" xfId="7500" xr:uid="{00000000-0005-0000-0000-0000C1010000}"/>
    <cellStyle name="20% - Accent3 4 3 2 2 2" xfId="15942" xr:uid="{A6814985-0CB3-4D62-A432-521E6C1EFB2E}"/>
    <cellStyle name="20% - Accent3 4 3 2 3" xfId="11724" xr:uid="{27B58D0E-3D30-4A08-9E56-BCB9FEB3A08E}"/>
    <cellStyle name="20% - Accent3 4 3 3" xfId="5355" xr:uid="{00000000-0005-0000-0000-0000C2010000}"/>
    <cellStyle name="20% - Accent3 4 3 3 2" xfId="13797" xr:uid="{1987421F-34FB-4859-8AD5-6BAC18E5FF3B}"/>
    <cellStyle name="20% - Accent3 4 3 4" xfId="9579" xr:uid="{84DEE0CF-38F2-4174-BB7D-EC373F6A4592}"/>
    <cellStyle name="20% - Accent3 4 4" xfId="1460" xr:uid="{00000000-0005-0000-0000-0000C3010000}"/>
    <cellStyle name="20% - Accent3 4 4 2" xfId="3690" xr:uid="{00000000-0005-0000-0000-0000C4010000}"/>
    <cellStyle name="20% - Accent3 4 4 2 2" xfId="7913" xr:uid="{00000000-0005-0000-0000-0000C5010000}"/>
    <cellStyle name="20% - Accent3 4 4 2 2 2" xfId="16355" xr:uid="{E25AA826-9C2F-474E-95DB-A31347487EFC}"/>
    <cellStyle name="20% - Accent3 4 4 2 3" xfId="12137" xr:uid="{3C429FBC-1FA3-4091-8A11-821E24927A36}"/>
    <cellStyle name="20% - Accent3 4 4 3" xfId="5768" xr:uid="{00000000-0005-0000-0000-0000C6010000}"/>
    <cellStyle name="20% - Accent3 4 4 3 2" xfId="14210" xr:uid="{BBBF4D0C-3AB4-4DF4-8B57-32F871E8DDBD}"/>
    <cellStyle name="20% - Accent3 4 4 4" xfId="9992" xr:uid="{FB0EAC20-0B48-485D-8E74-A548F92603C2}"/>
    <cellStyle name="20% - Accent3 4 5" xfId="1874" xr:uid="{00000000-0005-0000-0000-0000C7010000}"/>
    <cellStyle name="20% - Accent3 4 5 2" xfId="4103" xr:uid="{00000000-0005-0000-0000-0000C8010000}"/>
    <cellStyle name="20% - Accent3 4 5 2 2" xfId="8326" xr:uid="{00000000-0005-0000-0000-0000C9010000}"/>
    <cellStyle name="20% - Accent3 4 5 2 2 2" xfId="16768" xr:uid="{05278E16-E790-401D-A304-E1447E0A765F}"/>
    <cellStyle name="20% - Accent3 4 5 2 3" xfId="12550" xr:uid="{F0801B72-8D8A-4B29-9F88-627396028282}"/>
    <cellStyle name="20% - Accent3 4 5 3" xfId="6181" xr:uid="{00000000-0005-0000-0000-0000CA010000}"/>
    <cellStyle name="20% - Accent3 4 5 3 2" xfId="14623" xr:uid="{6B349F00-C3BF-460C-8B10-7F6A83B7BED4}"/>
    <cellStyle name="20% - Accent3 4 5 4" xfId="10405" xr:uid="{C33AA8B1-2E56-47AE-A44F-02C6E48CFFC6}"/>
    <cellStyle name="20% - Accent3 4 6" xfId="2287" xr:uid="{00000000-0005-0000-0000-0000CB010000}"/>
    <cellStyle name="20% - Accent3 4 6 2" xfId="6594" xr:uid="{00000000-0005-0000-0000-0000CC010000}"/>
    <cellStyle name="20% - Accent3 4 6 2 2" xfId="15036" xr:uid="{A79B0798-6F10-41B0-8577-D422BF808F08}"/>
    <cellStyle name="20% - Accent3 4 6 3" xfId="10818" xr:uid="{230DA0F6-86FB-488A-93BD-44DE355CF2F8}"/>
    <cellStyle name="20% - Accent3 4 7" xfId="4528" xr:uid="{00000000-0005-0000-0000-0000CD010000}"/>
    <cellStyle name="20% - Accent3 4 7 2" xfId="12970" xr:uid="{DD290E03-5BE2-4B63-88A2-C5D17F43B876}"/>
    <cellStyle name="20% - Accent3 4 8" xfId="8752" xr:uid="{9520E9B5-255F-4CFE-B182-980410CFC7EB}"/>
    <cellStyle name="20% - Accent3 5" xfId="586" xr:uid="{00000000-0005-0000-0000-0000CE010000}"/>
    <cellStyle name="20% - Accent3 5 2" xfId="2857" xr:uid="{00000000-0005-0000-0000-0000CF010000}"/>
    <cellStyle name="20% - Accent3 5 2 2" xfId="7080" xr:uid="{00000000-0005-0000-0000-0000D0010000}"/>
    <cellStyle name="20% - Accent3 5 2 2 2" xfId="15522" xr:uid="{65EDAEB2-0E3C-4F53-830E-61071B5FA1D3}"/>
    <cellStyle name="20% - Accent3 5 2 3" xfId="11304" xr:uid="{16AACF68-D759-481B-8429-5FB235778E69}"/>
    <cellStyle name="20% - Accent3 5 3" xfId="4935" xr:uid="{00000000-0005-0000-0000-0000D1010000}"/>
    <cellStyle name="20% - Accent3 5 3 2" xfId="13377" xr:uid="{5E070AD5-A409-4784-A1B9-CBB9580F75BC}"/>
    <cellStyle name="20% - Accent3 5 4" xfId="9159" xr:uid="{44115FE4-4E92-4A10-B1A6-D8F25DAA5B2C}"/>
    <cellStyle name="20% - Accent3 6" xfId="1039" xr:uid="{00000000-0005-0000-0000-0000D2010000}"/>
    <cellStyle name="20% - Accent3 6 2" xfId="3270" xr:uid="{00000000-0005-0000-0000-0000D3010000}"/>
    <cellStyle name="20% - Accent3 6 2 2" xfId="7493" xr:uid="{00000000-0005-0000-0000-0000D4010000}"/>
    <cellStyle name="20% - Accent3 6 2 2 2" xfId="15935" xr:uid="{2D211EFC-B67A-4D18-A988-51D420DBBE82}"/>
    <cellStyle name="20% - Accent3 6 2 3" xfId="11717" xr:uid="{2E36B166-EF73-49A9-9263-3D997F1F13FF}"/>
    <cellStyle name="20% - Accent3 6 3" xfId="5348" xr:uid="{00000000-0005-0000-0000-0000D5010000}"/>
    <cellStyle name="20% - Accent3 6 3 2" xfId="13790" xr:uid="{170FFF5F-8191-4EAA-9A91-B7248D2AC1BD}"/>
    <cellStyle name="20% - Accent3 6 4" xfId="9572" xr:uid="{9BF04196-BB59-45A2-856A-7954EB188FB2}"/>
    <cellStyle name="20% - Accent3 7" xfId="1453" xr:uid="{00000000-0005-0000-0000-0000D6010000}"/>
    <cellStyle name="20% - Accent3 7 2" xfId="3683" xr:uid="{00000000-0005-0000-0000-0000D7010000}"/>
    <cellStyle name="20% - Accent3 7 2 2" xfId="7906" xr:uid="{00000000-0005-0000-0000-0000D8010000}"/>
    <cellStyle name="20% - Accent3 7 2 2 2" xfId="16348" xr:uid="{3354B41B-D22F-4FCE-BBAB-81126FD30030}"/>
    <cellStyle name="20% - Accent3 7 2 3" xfId="12130" xr:uid="{51691D21-9796-425B-81D0-FA418A427DA9}"/>
    <cellStyle name="20% - Accent3 7 3" xfId="5761" xr:uid="{00000000-0005-0000-0000-0000D9010000}"/>
    <cellStyle name="20% - Accent3 7 3 2" xfId="14203" xr:uid="{6ED962D9-FAC0-47F2-9BCA-B4FA1CA227FD}"/>
    <cellStyle name="20% - Accent3 7 4" xfId="9985" xr:uid="{E9B8C9B7-2A39-4B1C-92AD-774A6E1CD31C}"/>
    <cellStyle name="20% - Accent3 8" xfId="1867" xr:uid="{00000000-0005-0000-0000-0000DA010000}"/>
    <cellStyle name="20% - Accent3 8 2" xfId="4096" xr:uid="{00000000-0005-0000-0000-0000DB010000}"/>
    <cellStyle name="20% - Accent3 8 2 2" xfId="8319" xr:uid="{00000000-0005-0000-0000-0000DC010000}"/>
    <cellStyle name="20% - Accent3 8 2 2 2" xfId="16761" xr:uid="{FFFF25CB-223B-48C4-8C29-ABF1D6C93F78}"/>
    <cellStyle name="20% - Accent3 8 2 3" xfId="12543" xr:uid="{B58F1A6E-C36F-4D2E-91AF-0E5CAB4AD16C}"/>
    <cellStyle name="20% - Accent3 8 3" xfId="6174" xr:uid="{00000000-0005-0000-0000-0000DD010000}"/>
    <cellStyle name="20% - Accent3 8 3 2" xfId="14616" xr:uid="{D778D5DE-6DA5-462A-8833-612DD3D1C02F}"/>
    <cellStyle name="20% - Accent3 8 4" xfId="10398" xr:uid="{3F4EE58E-24E0-4ABB-8C71-985AF17676FC}"/>
    <cellStyle name="20% - Accent3 9" xfId="2280" xr:uid="{00000000-0005-0000-0000-0000DE010000}"/>
    <cellStyle name="20% - Accent3 9 2" xfId="6587" xr:uid="{00000000-0005-0000-0000-0000DF010000}"/>
    <cellStyle name="20% - Accent3 9 2 2" xfId="15029" xr:uid="{554D7217-9A37-4750-86C1-99651007453F}"/>
    <cellStyle name="20% - Accent3 9 3" xfId="10811" xr:uid="{AA236826-DE81-43ED-B5AE-E7BC0401FEDE}"/>
    <cellStyle name="20% - Accent4" xfId="25" builtinId="42" customBuiltin="1"/>
    <cellStyle name="20% - Accent4 10" xfId="4529" xr:uid="{00000000-0005-0000-0000-0000E1010000}"/>
    <cellStyle name="20% - Accent4 10 2" xfId="12971" xr:uid="{B05B6DD7-0D65-443A-AA33-780868C640CC}"/>
    <cellStyle name="20% - Accent4 11" xfId="8753" xr:uid="{05B9727D-E17D-4E21-B82A-D163C3054510}"/>
    <cellStyle name="20% - Accent4 2" xfId="26" xr:uid="{00000000-0005-0000-0000-0000E2010000}"/>
    <cellStyle name="20% - Accent4 2 10" xfId="8754" xr:uid="{9E0D42D1-04BE-4AF5-9C40-FBE01602E3D1}"/>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15533" xr:uid="{20263B34-9FF7-4A50-AC21-D625297758B7}"/>
    <cellStyle name="20% - Accent4 2 2 2 2 2 3" xfId="11315" xr:uid="{D7421D88-1AE1-43AE-9D14-3C6F29492049}"/>
    <cellStyle name="20% - Accent4 2 2 2 2 3" xfId="4946" xr:uid="{00000000-0005-0000-0000-0000E8010000}"/>
    <cellStyle name="20% - Accent4 2 2 2 2 3 2" xfId="13388" xr:uid="{15AC4D82-8157-4579-97DD-E15D08128B34}"/>
    <cellStyle name="20% - Accent4 2 2 2 2 4" xfId="9170" xr:uid="{FC97E3BC-22D5-406B-AAAE-0D8F99590ECE}"/>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15946" xr:uid="{28995200-5555-43E1-A610-1C131AB453CD}"/>
    <cellStyle name="20% - Accent4 2 2 2 3 2 3" xfId="11728" xr:uid="{0F9B46C8-B9A4-45F8-ADF0-6F4CC47C287F}"/>
    <cellStyle name="20% - Accent4 2 2 2 3 3" xfId="5359" xr:uid="{00000000-0005-0000-0000-0000EC010000}"/>
    <cellStyle name="20% - Accent4 2 2 2 3 3 2" xfId="13801" xr:uid="{712DA176-FF44-4A1E-8BAE-79A7528F7D97}"/>
    <cellStyle name="20% - Accent4 2 2 2 3 4" xfId="9583" xr:uid="{06076667-B344-4C50-8203-5FD176D7F832}"/>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16359" xr:uid="{F9FFDA04-FBB5-42CD-B38D-0E299747D425}"/>
    <cellStyle name="20% - Accent4 2 2 2 4 2 3" xfId="12141" xr:uid="{3B883D8E-093E-400C-9344-DF9A2C54D4AB}"/>
    <cellStyle name="20% - Accent4 2 2 2 4 3" xfId="5772" xr:uid="{00000000-0005-0000-0000-0000F0010000}"/>
    <cellStyle name="20% - Accent4 2 2 2 4 3 2" xfId="14214" xr:uid="{8CC8AFBC-CAD7-4CCF-A35B-48D155D54456}"/>
    <cellStyle name="20% - Accent4 2 2 2 4 4" xfId="9996" xr:uid="{651690C5-A8B7-4653-B62B-7C4AA5272428}"/>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16772" xr:uid="{098C4718-29C8-43AF-904B-612CF4EA9D77}"/>
    <cellStyle name="20% - Accent4 2 2 2 5 2 3" xfId="12554" xr:uid="{E3882F9B-66A6-4493-9B51-61D5B79B2E71}"/>
    <cellStyle name="20% - Accent4 2 2 2 5 3" xfId="6185" xr:uid="{00000000-0005-0000-0000-0000F4010000}"/>
    <cellStyle name="20% - Accent4 2 2 2 5 3 2" xfId="14627" xr:uid="{94FC610E-4337-434C-BC5A-1189D16ACE33}"/>
    <cellStyle name="20% - Accent4 2 2 2 5 4" xfId="10409" xr:uid="{551BE393-F37E-48FB-8A13-3BBC4D4F9368}"/>
    <cellStyle name="20% - Accent4 2 2 2 6" xfId="2291" xr:uid="{00000000-0005-0000-0000-0000F5010000}"/>
    <cellStyle name="20% - Accent4 2 2 2 6 2" xfId="6598" xr:uid="{00000000-0005-0000-0000-0000F6010000}"/>
    <cellStyle name="20% - Accent4 2 2 2 6 2 2" xfId="15040" xr:uid="{B6BDB940-AE0E-4C6C-A6A0-305994CDD684}"/>
    <cellStyle name="20% - Accent4 2 2 2 6 3" xfId="10822" xr:uid="{33B324A9-2265-4BBA-BC18-98DE882C0DDF}"/>
    <cellStyle name="20% - Accent4 2 2 2 7" xfId="4532" xr:uid="{00000000-0005-0000-0000-0000F7010000}"/>
    <cellStyle name="20% - Accent4 2 2 2 7 2" xfId="12974" xr:uid="{01420674-DB37-406E-BD9D-95DF7A8CF699}"/>
    <cellStyle name="20% - Accent4 2 2 2 8" xfId="8756" xr:uid="{D202C221-1BF1-4A3C-B4B9-C005B79CE9E4}"/>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15532" xr:uid="{8DEA91FE-E892-4D5D-9B78-781B47916AEE}"/>
    <cellStyle name="20% - Accent4 2 2 3 2 3" xfId="11314" xr:uid="{EADF8C31-E87F-47F1-8A64-0503D798C7B6}"/>
    <cellStyle name="20% - Accent4 2 2 3 3" xfId="4945" xr:uid="{00000000-0005-0000-0000-0000FB010000}"/>
    <cellStyle name="20% - Accent4 2 2 3 3 2" xfId="13387" xr:uid="{70ADED9E-587A-4A5F-95F5-0DADC836FF18}"/>
    <cellStyle name="20% - Accent4 2 2 3 4" xfId="9169" xr:uid="{A1C1BF3C-753E-4056-8933-4E4EA6E54977}"/>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15945" xr:uid="{92D1E68D-FC68-4323-AF96-E9F90FF48ED5}"/>
    <cellStyle name="20% - Accent4 2 2 4 2 3" xfId="11727" xr:uid="{13405DD0-5AAE-4434-833A-ECDABDDC2642}"/>
    <cellStyle name="20% - Accent4 2 2 4 3" xfId="5358" xr:uid="{00000000-0005-0000-0000-0000FF010000}"/>
    <cellStyle name="20% - Accent4 2 2 4 3 2" xfId="13800" xr:uid="{2A091AB7-E8B7-48F8-9AF3-912A11BD24ED}"/>
    <cellStyle name="20% - Accent4 2 2 4 4" xfId="9582" xr:uid="{AC94B2A2-5790-41D7-A4D8-1484237ED7CA}"/>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16358" xr:uid="{FBF89B15-5457-4578-A689-A47E73F75F17}"/>
    <cellStyle name="20% - Accent4 2 2 5 2 3" xfId="12140" xr:uid="{5BE95B8B-257E-4A65-A0CE-EF9590A40C1B}"/>
    <cellStyle name="20% - Accent4 2 2 5 3" xfId="5771" xr:uid="{00000000-0005-0000-0000-000003020000}"/>
    <cellStyle name="20% - Accent4 2 2 5 3 2" xfId="14213" xr:uid="{DF930B7D-04C3-4346-9C70-933C8D3F0D4A}"/>
    <cellStyle name="20% - Accent4 2 2 5 4" xfId="9995" xr:uid="{08F1799B-B390-43AF-842D-21BF7B9CFFF1}"/>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16771" xr:uid="{8DEC262A-9967-4577-8B3A-542C15914FEF}"/>
    <cellStyle name="20% - Accent4 2 2 6 2 3" xfId="12553" xr:uid="{05CABF54-6AA8-46DC-A7A0-F7946E755266}"/>
    <cellStyle name="20% - Accent4 2 2 6 3" xfId="6184" xr:uid="{00000000-0005-0000-0000-000007020000}"/>
    <cellStyle name="20% - Accent4 2 2 6 3 2" xfId="14626" xr:uid="{B57A9443-DBEF-4673-8472-1DD902150E4D}"/>
    <cellStyle name="20% - Accent4 2 2 6 4" xfId="10408" xr:uid="{287ECE30-1705-4C79-B4E4-9FF98A5574D1}"/>
    <cellStyle name="20% - Accent4 2 2 7" xfId="2290" xr:uid="{00000000-0005-0000-0000-000008020000}"/>
    <cellStyle name="20% - Accent4 2 2 7 2" xfId="6597" xr:uid="{00000000-0005-0000-0000-000009020000}"/>
    <cellStyle name="20% - Accent4 2 2 7 2 2" xfId="15039" xr:uid="{4ABDA34A-341C-4C61-B4F6-673788EBF958}"/>
    <cellStyle name="20% - Accent4 2 2 7 3" xfId="10821" xr:uid="{F8FE495E-5162-4AC6-888B-052D1A74F7A9}"/>
    <cellStyle name="20% - Accent4 2 2 8" xfId="4531" xr:uid="{00000000-0005-0000-0000-00000A020000}"/>
    <cellStyle name="20% - Accent4 2 2 8 2" xfId="12973" xr:uid="{031D517C-592A-4074-B313-3AE72DA034BD}"/>
    <cellStyle name="20% - Accent4 2 2 9" xfId="8755" xr:uid="{32279D9F-06A5-4C7F-8274-FFEE3E1F067B}"/>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15534" xr:uid="{7509500E-D174-47CE-AE74-825673BD5118}"/>
    <cellStyle name="20% - Accent4 2 3 2 2 3" xfId="11316" xr:uid="{F3403609-B8DD-491D-941B-A2573C288B45}"/>
    <cellStyle name="20% - Accent4 2 3 2 3" xfId="4947" xr:uid="{00000000-0005-0000-0000-00000F020000}"/>
    <cellStyle name="20% - Accent4 2 3 2 3 2" xfId="13389" xr:uid="{18864CEC-F2C8-4F86-958A-7F5134DCF757}"/>
    <cellStyle name="20% - Accent4 2 3 2 4" xfId="9171" xr:uid="{360EBF66-DF47-4FB9-BF68-1D81386E0CAD}"/>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15947" xr:uid="{5765BF29-59D4-4E04-91A4-EAE37E75128B}"/>
    <cellStyle name="20% - Accent4 2 3 3 2 3" xfId="11729" xr:uid="{D6D8A3DD-343C-442D-AD80-794BCB1D8E60}"/>
    <cellStyle name="20% - Accent4 2 3 3 3" xfId="5360" xr:uid="{00000000-0005-0000-0000-000013020000}"/>
    <cellStyle name="20% - Accent4 2 3 3 3 2" xfId="13802" xr:uid="{9A7097CA-8262-40A3-AD01-36AAF7CE55A9}"/>
    <cellStyle name="20% - Accent4 2 3 3 4" xfId="9584" xr:uid="{596434CC-7ADC-4101-821C-547B6E43C6D4}"/>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16360" xr:uid="{B5F05912-0C35-484B-A96F-00F941FCE1CF}"/>
    <cellStyle name="20% - Accent4 2 3 4 2 3" xfId="12142" xr:uid="{4D863F3B-4600-4B90-87E6-F4B0B5909402}"/>
    <cellStyle name="20% - Accent4 2 3 4 3" xfId="5773" xr:uid="{00000000-0005-0000-0000-000017020000}"/>
    <cellStyle name="20% - Accent4 2 3 4 3 2" xfId="14215" xr:uid="{E1FA43BB-6369-4825-A516-4AB8A3C9F74C}"/>
    <cellStyle name="20% - Accent4 2 3 4 4" xfId="9997" xr:uid="{EDD6CFF1-436E-4070-9DAC-B5A716C2F1C4}"/>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16773" xr:uid="{DFDC5141-4E9E-445B-BD07-CC9365171F1E}"/>
    <cellStyle name="20% - Accent4 2 3 5 2 3" xfId="12555" xr:uid="{B368BA91-9B4A-46C0-85DB-F344FA739F67}"/>
    <cellStyle name="20% - Accent4 2 3 5 3" xfId="6186" xr:uid="{00000000-0005-0000-0000-00001B020000}"/>
    <cellStyle name="20% - Accent4 2 3 5 3 2" xfId="14628" xr:uid="{1AA8EF92-9688-4CB4-93C8-7F98282CB232}"/>
    <cellStyle name="20% - Accent4 2 3 5 4" xfId="10410" xr:uid="{87A8D0F1-CFB3-46D6-ADFE-CFF18F07FBC1}"/>
    <cellStyle name="20% - Accent4 2 3 6" xfId="2292" xr:uid="{00000000-0005-0000-0000-00001C020000}"/>
    <cellStyle name="20% - Accent4 2 3 6 2" xfId="6599" xr:uid="{00000000-0005-0000-0000-00001D020000}"/>
    <cellStyle name="20% - Accent4 2 3 6 2 2" xfId="15041" xr:uid="{5634B794-D543-45FE-B7B8-E004DCE074F8}"/>
    <cellStyle name="20% - Accent4 2 3 6 3" xfId="10823" xr:uid="{A3099470-8704-4267-8531-AFF13913689D}"/>
    <cellStyle name="20% - Accent4 2 3 7" xfId="4533" xr:uid="{00000000-0005-0000-0000-00001E020000}"/>
    <cellStyle name="20% - Accent4 2 3 7 2" xfId="12975" xr:uid="{9EA60A37-73C3-4C3F-B333-740A1372FF6C}"/>
    <cellStyle name="20% - Accent4 2 3 8" xfId="8757" xr:uid="{C350B680-8505-48CB-96D1-35A1315F6BC2}"/>
    <cellStyle name="20% - Accent4 2 4" xfId="595" xr:uid="{00000000-0005-0000-0000-00001F020000}"/>
    <cellStyle name="20% - Accent4 2 4 2" xfId="2866" xr:uid="{00000000-0005-0000-0000-000020020000}"/>
    <cellStyle name="20% - Accent4 2 4 2 2" xfId="7089" xr:uid="{00000000-0005-0000-0000-000021020000}"/>
    <cellStyle name="20% - Accent4 2 4 2 2 2" xfId="15531" xr:uid="{9A9ED7A5-1104-4E5E-BDB3-DDD29914016B}"/>
    <cellStyle name="20% - Accent4 2 4 2 3" xfId="11313" xr:uid="{3B17CBFE-525E-46F8-846C-BF2EC82BDE2E}"/>
    <cellStyle name="20% - Accent4 2 4 3" xfId="4944" xr:uid="{00000000-0005-0000-0000-000022020000}"/>
    <cellStyle name="20% - Accent4 2 4 3 2" xfId="13386" xr:uid="{E331B9DB-F45D-4354-B7DF-6FE92ED37E23}"/>
    <cellStyle name="20% - Accent4 2 4 4" xfId="9168" xr:uid="{6CA99AB2-5109-445B-B838-33ECB7296EFC}"/>
    <cellStyle name="20% - Accent4 2 5" xfId="1048" xr:uid="{00000000-0005-0000-0000-000023020000}"/>
    <cellStyle name="20% - Accent4 2 5 2" xfId="3279" xr:uid="{00000000-0005-0000-0000-000024020000}"/>
    <cellStyle name="20% - Accent4 2 5 2 2" xfId="7502" xr:uid="{00000000-0005-0000-0000-000025020000}"/>
    <cellStyle name="20% - Accent4 2 5 2 2 2" xfId="15944" xr:uid="{6B3EF1EE-046C-44AF-A0B3-0CF0B9A0C15E}"/>
    <cellStyle name="20% - Accent4 2 5 2 3" xfId="11726" xr:uid="{B853F153-C47C-4006-A9AA-2BFB8C6A975A}"/>
    <cellStyle name="20% - Accent4 2 5 3" xfId="5357" xr:uid="{00000000-0005-0000-0000-000026020000}"/>
    <cellStyle name="20% - Accent4 2 5 3 2" xfId="13799" xr:uid="{1C93540D-714A-456A-A1B7-3D6625EFB809}"/>
    <cellStyle name="20% - Accent4 2 5 4" xfId="9581" xr:uid="{629EC600-67C1-4421-A5FF-C718978B2126}"/>
    <cellStyle name="20% - Accent4 2 6" xfId="1462" xr:uid="{00000000-0005-0000-0000-000027020000}"/>
    <cellStyle name="20% - Accent4 2 6 2" xfId="3692" xr:uid="{00000000-0005-0000-0000-000028020000}"/>
    <cellStyle name="20% - Accent4 2 6 2 2" xfId="7915" xr:uid="{00000000-0005-0000-0000-000029020000}"/>
    <cellStyle name="20% - Accent4 2 6 2 2 2" xfId="16357" xr:uid="{28DCB7B3-901A-4C7C-8CB5-CECBFC723694}"/>
    <cellStyle name="20% - Accent4 2 6 2 3" xfId="12139" xr:uid="{566A456E-40BC-4145-96C5-03A4C116FABC}"/>
    <cellStyle name="20% - Accent4 2 6 3" xfId="5770" xr:uid="{00000000-0005-0000-0000-00002A020000}"/>
    <cellStyle name="20% - Accent4 2 6 3 2" xfId="14212" xr:uid="{54798B22-3D71-4EE5-9646-EBAA1FB9E64F}"/>
    <cellStyle name="20% - Accent4 2 6 4" xfId="9994" xr:uid="{41A389A3-3E9E-42EA-8E29-8B966ABEEEFA}"/>
    <cellStyle name="20% - Accent4 2 7" xfId="1876" xr:uid="{00000000-0005-0000-0000-00002B020000}"/>
    <cellStyle name="20% - Accent4 2 7 2" xfId="4105" xr:uid="{00000000-0005-0000-0000-00002C020000}"/>
    <cellStyle name="20% - Accent4 2 7 2 2" xfId="8328" xr:uid="{00000000-0005-0000-0000-00002D020000}"/>
    <cellStyle name="20% - Accent4 2 7 2 2 2" xfId="16770" xr:uid="{D4BF5177-59FF-4F4F-AEF9-0C615A007E09}"/>
    <cellStyle name="20% - Accent4 2 7 2 3" xfId="12552" xr:uid="{D3766A9B-1DAD-4DE5-B385-AEA245CA51AA}"/>
    <cellStyle name="20% - Accent4 2 7 3" xfId="6183" xr:uid="{00000000-0005-0000-0000-00002E020000}"/>
    <cellStyle name="20% - Accent4 2 7 3 2" xfId="14625" xr:uid="{09BB4FB0-EFAB-4B84-88E0-CCB9997008FB}"/>
    <cellStyle name="20% - Accent4 2 7 4" xfId="10407" xr:uid="{D3B2C97E-0F66-474E-AC76-91B52DC839BE}"/>
    <cellStyle name="20% - Accent4 2 8" xfId="2289" xr:uid="{00000000-0005-0000-0000-00002F020000}"/>
    <cellStyle name="20% - Accent4 2 8 2" xfId="6596" xr:uid="{00000000-0005-0000-0000-000030020000}"/>
    <cellStyle name="20% - Accent4 2 8 2 2" xfId="15038" xr:uid="{3378CCD7-AC4B-4CF7-B0C5-C7C76EB40F27}"/>
    <cellStyle name="20% - Accent4 2 8 3" xfId="10820" xr:uid="{D4BA0370-CAD1-406D-8F2A-7CFDCF489447}"/>
    <cellStyle name="20% - Accent4 2 9" xfId="4530" xr:uid="{00000000-0005-0000-0000-000031020000}"/>
    <cellStyle name="20% - Accent4 2 9 2" xfId="12972" xr:uid="{334E8D3A-CCD0-4E94-8DEA-8300B54E63D3}"/>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15536" xr:uid="{35BC102A-FA95-4F38-A2F6-223D67B73765}"/>
    <cellStyle name="20% - Accent4 3 2 2 2 3" xfId="11318" xr:uid="{7C24A84F-9077-4294-966A-F2C5F35E3418}"/>
    <cellStyle name="20% - Accent4 3 2 2 3" xfId="4949" xr:uid="{00000000-0005-0000-0000-000037020000}"/>
    <cellStyle name="20% - Accent4 3 2 2 3 2" xfId="13391" xr:uid="{0DDFDEA4-7FD8-4E3C-9915-82A0491A3295}"/>
    <cellStyle name="20% - Accent4 3 2 2 4" xfId="9173" xr:uid="{448DFA82-3027-46BB-B40F-1A36EA08765F}"/>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15949" xr:uid="{AAE4A4D2-DD3E-45F8-9157-00E380D93FC3}"/>
    <cellStyle name="20% - Accent4 3 2 3 2 3" xfId="11731" xr:uid="{57D519FD-FF3C-4651-9B41-653A5E66623D}"/>
    <cellStyle name="20% - Accent4 3 2 3 3" xfId="5362" xr:uid="{00000000-0005-0000-0000-00003B020000}"/>
    <cellStyle name="20% - Accent4 3 2 3 3 2" xfId="13804" xr:uid="{1251E9AC-F892-4E65-8418-C22BC8241551}"/>
    <cellStyle name="20% - Accent4 3 2 3 4" xfId="9586" xr:uid="{55BBFEA5-83C3-410B-B6B9-50D555D298E1}"/>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16362" xr:uid="{A0AFC5F3-43B7-43AC-9884-C8DD67DB9AB7}"/>
    <cellStyle name="20% - Accent4 3 2 4 2 3" xfId="12144" xr:uid="{7A50E7B5-D702-4614-8057-A07E1FBB0A6D}"/>
    <cellStyle name="20% - Accent4 3 2 4 3" xfId="5775" xr:uid="{00000000-0005-0000-0000-00003F020000}"/>
    <cellStyle name="20% - Accent4 3 2 4 3 2" xfId="14217" xr:uid="{5454D6A9-CDC1-4FE3-9A5D-41B14101049A}"/>
    <cellStyle name="20% - Accent4 3 2 4 4" xfId="9999" xr:uid="{D823A196-F1E9-4E74-A99E-821FAC1F11FF}"/>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16775" xr:uid="{32CFCB9A-E8EB-4212-8585-220AF728EBB9}"/>
    <cellStyle name="20% - Accent4 3 2 5 2 3" xfId="12557" xr:uid="{68989BB2-041D-40BA-B014-2091560AD2DC}"/>
    <cellStyle name="20% - Accent4 3 2 5 3" xfId="6188" xr:uid="{00000000-0005-0000-0000-000043020000}"/>
    <cellStyle name="20% - Accent4 3 2 5 3 2" xfId="14630" xr:uid="{DFD86310-19EA-4A17-B3CA-E40E07109E86}"/>
    <cellStyle name="20% - Accent4 3 2 5 4" xfId="10412" xr:uid="{E44BCFBD-C31D-4147-A00E-86168C4CE9E2}"/>
    <cellStyle name="20% - Accent4 3 2 6" xfId="2294" xr:uid="{00000000-0005-0000-0000-000044020000}"/>
    <cellStyle name="20% - Accent4 3 2 6 2" xfId="6601" xr:uid="{00000000-0005-0000-0000-000045020000}"/>
    <cellStyle name="20% - Accent4 3 2 6 2 2" xfId="15043" xr:uid="{8B43218F-FB91-4B80-AF47-325F28AF5D4F}"/>
    <cellStyle name="20% - Accent4 3 2 6 3" xfId="10825" xr:uid="{861B72D0-E97A-433C-BA91-DEDB5C924A8E}"/>
    <cellStyle name="20% - Accent4 3 2 7" xfId="4535" xr:uid="{00000000-0005-0000-0000-000046020000}"/>
    <cellStyle name="20% - Accent4 3 2 7 2" xfId="12977" xr:uid="{E58A2B15-99F4-48A9-8F04-025F8432E69E}"/>
    <cellStyle name="20% - Accent4 3 2 8" xfId="8759" xr:uid="{E3AAFE46-77ED-4AA7-9433-1198718D42B2}"/>
    <cellStyle name="20% - Accent4 3 3" xfId="599" xr:uid="{00000000-0005-0000-0000-000047020000}"/>
    <cellStyle name="20% - Accent4 3 3 2" xfId="2870" xr:uid="{00000000-0005-0000-0000-000048020000}"/>
    <cellStyle name="20% - Accent4 3 3 2 2" xfId="7093" xr:uid="{00000000-0005-0000-0000-000049020000}"/>
    <cellStyle name="20% - Accent4 3 3 2 2 2" xfId="15535" xr:uid="{A76712DD-D210-46B9-BA62-A17C8317E338}"/>
    <cellStyle name="20% - Accent4 3 3 2 3" xfId="11317" xr:uid="{F0AFEA51-884D-409C-9ADD-E9A80BD7C694}"/>
    <cellStyle name="20% - Accent4 3 3 3" xfId="4948" xr:uid="{00000000-0005-0000-0000-00004A020000}"/>
    <cellStyle name="20% - Accent4 3 3 3 2" xfId="13390" xr:uid="{2E997D65-CA34-4185-88A2-7C7AEE8FBD04}"/>
    <cellStyle name="20% - Accent4 3 3 4" xfId="9172" xr:uid="{1257E4B6-B800-46CA-87D8-72218542A186}"/>
    <cellStyle name="20% - Accent4 3 4" xfId="1052" xr:uid="{00000000-0005-0000-0000-00004B020000}"/>
    <cellStyle name="20% - Accent4 3 4 2" xfId="3283" xr:uid="{00000000-0005-0000-0000-00004C020000}"/>
    <cellStyle name="20% - Accent4 3 4 2 2" xfId="7506" xr:uid="{00000000-0005-0000-0000-00004D020000}"/>
    <cellStyle name="20% - Accent4 3 4 2 2 2" xfId="15948" xr:uid="{33A8A952-AC8F-4463-97CE-0A7C2AA1332F}"/>
    <cellStyle name="20% - Accent4 3 4 2 3" xfId="11730" xr:uid="{DF1B6DB0-28C5-43D9-B136-33804B307C18}"/>
    <cellStyle name="20% - Accent4 3 4 3" xfId="5361" xr:uid="{00000000-0005-0000-0000-00004E020000}"/>
    <cellStyle name="20% - Accent4 3 4 3 2" xfId="13803" xr:uid="{43BADC04-7E94-41EA-B6E9-C35E909BC617}"/>
    <cellStyle name="20% - Accent4 3 4 4" xfId="9585" xr:uid="{CD5C4BBE-3BDD-49B0-9DD7-B5611F885FE3}"/>
    <cellStyle name="20% - Accent4 3 5" xfId="1466" xr:uid="{00000000-0005-0000-0000-00004F020000}"/>
    <cellStyle name="20% - Accent4 3 5 2" xfId="3696" xr:uid="{00000000-0005-0000-0000-000050020000}"/>
    <cellStyle name="20% - Accent4 3 5 2 2" xfId="7919" xr:uid="{00000000-0005-0000-0000-000051020000}"/>
    <cellStyle name="20% - Accent4 3 5 2 2 2" xfId="16361" xr:uid="{17F6E156-4B9E-4911-9E74-FA3917CE7ACC}"/>
    <cellStyle name="20% - Accent4 3 5 2 3" xfId="12143" xr:uid="{CAB4D94D-4955-418C-9B93-5F1E0004DF6D}"/>
    <cellStyle name="20% - Accent4 3 5 3" xfId="5774" xr:uid="{00000000-0005-0000-0000-000052020000}"/>
    <cellStyle name="20% - Accent4 3 5 3 2" xfId="14216" xr:uid="{8B7392BE-C6C0-402D-86BC-4A8228EC9318}"/>
    <cellStyle name="20% - Accent4 3 5 4" xfId="9998" xr:uid="{780A3E00-79F1-4F16-9FF2-4DB87AFE98A1}"/>
    <cellStyle name="20% - Accent4 3 6" xfId="1880" xr:uid="{00000000-0005-0000-0000-000053020000}"/>
    <cellStyle name="20% - Accent4 3 6 2" xfId="4109" xr:uid="{00000000-0005-0000-0000-000054020000}"/>
    <cellStyle name="20% - Accent4 3 6 2 2" xfId="8332" xr:uid="{00000000-0005-0000-0000-000055020000}"/>
    <cellStyle name="20% - Accent4 3 6 2 2 2" xfId="16774" xr:uid="{7E03630E-D3B0-443F-94E2-67E2319198AE}"/>
    <cellStyle name="20% - Accent4 3 6 2 3" xfId="12556" xr:uid="{C7F6E810-7134-489B-896B-CF1DDFDEFD70}"/>
    <cellStyle name="20% - Accent4 3 6 3" xfId="6187" xr:uid="{00000000-0005-0000-0000-000056020000}"/>
    <cellStyle name="20% - Accent4 3 6 3 2" xfId="14629" xr:uid="{D2A2A980-4664-4882-B61D-837786A67A8D}"/>
    <cellStyle name="20% - Accent4 3 6 4" xfId="10411" xr:uid="{D7036957-CC4E-40B5-95A4-FF022A6CF943}"/>
    <cellStyle name="20% - Accent4 3 7" xfId="2293" xr:uid="{00000000-0005-0000-0000-000057020000}"/>
    <cellStyle name="20% - Accent4 3 7 2" xfId="6600" xr:uid="{00000000-0005-0000-0000-000058020000}"/>
    <cellStyle name="20% - Accent4 3 7 2 2" xfId="15042" xr:uid="{B6336872-E381-40AE-81F5-87948965ACC9}"/>
    <cellStyle name="20% - Accent4 3 7 3" xfId="10824" xr:uid="{3CC7661F-5730-4B6B-8F69-9E707112EC2B}"/>
    <cellStyle name="20% - Accent4 3 8" xfId="4534" xr:uid="{00000000-0005-0000-0000-000059020000}"/>
    <cellStyle name="20% - Accent4 3 8 2" xfId="12976" xr:uid="{79E19843-71D7-4138-9BA9-2CBFB026F2EA}"/>
    <cellStyle name="20% - Accent4 3 9" xfId="8758" xr:uid="{C9FD4107-745D-4F1D-9C43-FBE23B4A7681}"/>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2 2 2" xfId="15537" xr:uid="{1615BA38-1323-4E95-B4EF-F80940FB36BF}"/>
    <cellStyle name="20% - Accent4 4 2 2 3" xfId="11319" xr:uid="{2F4331DB-96B5-4AD0-A6F2-1E50E4AE7E72}"/>
    <cellStyle name="20% - Accent4 4 2 3" xfId="4950" xr:uid="{00000000-0005-0000-0000-00005E020000}"/>
    <cellStyle name="20% - Accent4 4 2 3 2" xfId="13392" xr:uid="{119AD25F-E18C-45DF-8CE9-14DFE92782E4}"/>
    <cellStyle name="20% - Accent4 4 2 4" xfId="9174" xr:uid="{F89BF16E-3A81-485A-9601-84ED2588708A}"/>
    <cellStyle name="20% - Accent4 4 3" xfId="1054" xr:uid="{00000000-0005-0000-0000-00005F020000}"/>
    <cellStyle name="20% - Accent4 4 3 2" xfId="3285" xr:uid="{00000000-0005-0000-0000-000060020000}"/>
    <cellStyle name="20% - Accent4 4 3 2 2" xfId="7508" xr:uid="{00000000-0005-0000-0000-000061020000}"/>
    <cellStyle name="20% - Accent4 4 3 2 2 2" xfId="15950" xr:uid="{8C5A3DE6-3EA1-4B44-A928-2465820D200F}"/>
    <cellStyle name="20% - Accent4 4 3 2 3" xfId="11732" xr:uid="{DA4E7329-CDBD-4496-89FA-9DED0F7BCDB4}"/>
    <cellStyle name="20% - Accent4 4 3 3" xfId="5363" xr:uid="{00000000-0005-0000-0000-000062020000}"/>
    <cellStyle name="20% - Accent4 4 3 3 2" xfId="13805" xr:uid="{E731EC14-753C-4FB4-9465-668804243246}"/>
    <cellStyle name="20% - Accent4 4 3 4" xfId="9587" xr:uid="{67DE5414-08C0-495D-87FB-E052DF415943}"/>
    <cellStyle name="20% - Accent4 4 4" xfId="1468" xr:uid="{00000000-0005-0000-0000-000063020000}"/>
    <cellStyle name="20% - Accent4 4 4 2" xfId="3698" xr:uid="{00000000-0005-0000-0000-000064020000}"/>
    <cellStyle name="20% - Accent4 4 4 2 2" xfId="7921" xr:uid="{00000000-0005-0000-0000-000065020000}"/>
    <cellStyle name="20% - Accent4 4 4 2 2 2" xfId="16363" xr:uid="{0DFE4F32-CE1E-4E78-B292-858E989C22EC}"/>
    <cellStyle name="20% - Accent4 4 4 2 3" xfId="12145" xr:uid="{E230B178-DFBA-43D0-809D-A8077409B5B5}"/>
    <cellStyle name="20% - Accent4 4 4 3" xfId="5776" xr:uid="{00000000-0005-0000-0000-000066020000}"/>
    <cellStyle name="20% - Accent4 4 4 3 2" xfId="14218" xr:uid="{DECB90A8-1BEB-43C1-9F6E-1E92B30CD700}"/>
    <cellStyle name="20% - Accent4 4 4 4" xfId="10000" xr:uid="{1717E4D0-A09D-4E14-9F7B-5862B1911979}"/>
    <cellStyle name="20% - Accent4 4 5" xfId="1882" xr:uid="{00000000-0005-0000-0000-000067020000}"/>
    <cellStyle name="20% - Accent4 4 5 2" xfId="4111" xr:uid="{00000000-0005-0000-0000-000068020000}"/>
    <cellStyle name="20% - Accent4 4 5 2 2" xfId="8334" xr:uid="{00000000-0005-0000-0000-000069020000}"/>
    <cellStyle name="20% - Accent4 4 5 2 2 2" xfId="16776" xr:uid="{317E4C3D-8D63-4CBD-9B4B-3AFEDED5C87D}"/>
    <cellStyle name="20% - Accent4 4 5 2 3" xfId="12558" xr:uid="{09CE49DC-0625-4A70-B6D7-BCFE1B44D51C}"/>
    <cellStyle name="20% - Accent4 4 5 3" xfId="6189" xr:uid="{00000000-0005-0000-0000-00006A020000}"/>
    <cellStyle name="20% - Accent4 4 5 3 2" xfId="14631" xr:uid="{1F0C8042-2C19-4CBA-85D8-988582EC0E5F}"/>
    <cellStyle name="20% - Accent4 4 5 4" xfId="10413" xr:uid="{F6565F91-0D29-470F-ACC7-4FF669B428FF}"/>
    <cellStyle name="20% - Accent4 4 6" xfId="2295" xr:uid="{00000000-0005-0000-0000-00006B020000}"/>
    <cellStyle name="20% - Accent4 4 6 2" xfId="6602" xr:uid="{00000000-0005-0000-0000-00006C020000}"/>
    <cellStyle name="20% - Accent4 4 6 2 2" xfId="15044" xr:uid="{A0DE65D3-6909-401C-8604-113A16105504}"/>
    <cellStyle name="20% - Accent4 4 6 3" xfId="10826" xr:uid="{76D1854F-7AC0-404F-AED7-C96DF1B3FD72}"/>
    <cellStyle name="20% - Accent4 4 7" xfId="4536" xr:uid="{00000000-0005-0000-0000-00006D020000}"/>
    <cellStyle name="20% - Accent4 4 7 2" xfId="12978" xr:uid="{3F09EE2E-85BE-4F22-9B1D-3C4AA8BBBE63}"/>
    <cellStyle name="20% - Accent4 4 8" xfId="8760" xr:uid="{A5AFD38E-0839-45D0-B903-8F92873ADF02}"/>
    <cellStyle name="20% - Accent4 5" xfId="594" xr:uid="{00000000-0005-0000-0000-00006E020000}"/>
    <cellStyle name="20% - Accent4 5 2" xfId="2865" xr:uid="{00000000-0005-0000-0000-00006F020000}"/>
    <cellStyle name="20% - Accent4 5 2 2" xfId="7088" xr:uid="{00000000-0005-0000-0000-000070020000}"/>
    <cellStyle name="20% - Accent4 5 2 2 2" xfId="15530" xr:uid="{A6D4F22D-AD40-45ED-9C2D-E30886E6FEA7}"/>
    <cellStyle name="20% - Accent4 5 2 3" xfId="11312" xr:uid="{BA830C74-5F52-40BD-86C5-91634A591A91}"/>
    <cellStyle name="20% - Accent4 5 3" xfId="4943" xr:uid="{00000000-0005-0000-0000-000071020000}"/>
    <cellStyle name="20% - Accent4 5 3 2" xfId="13385" xr:uid="{59726C0C-B930-4678-A0FB-988469B5C2FB}"/>
    <cellStyle name="20% - Accent4 5 4" xfId="9167" xr:uid="{34D22146-E5A7-41CA-9612-31CAD845D726}"/>
    <cellStyle name="20% - Accent4 6" xfId="1047" xr:uid="{00000000-0005-0000-0000-000072020000}"/>
    <cellStyle name="20% - Accent4 6 2" xfId="3278" xr:uid="{00000000-0005-0000-0000-000073020000}"/>
    <cellStyle name="20% - Accent4 6 2 2" xfId="7501" xr:uid="{00000000-0005-0000-0000-000074020000}"/>
    <cellStyle name="20% - Accent4 6 2 2 2" xfId="15943" xr:uid="{C72565D6-AA73-4A0B-9B3A-DC355F8B65F0}"/>
    <cellStyle name="20% - Accent4 6 2 3" xfId="11725" xr:uid="{601BD6A2-A956-4B99-9D7F-4F49DD26D148}"/>
    <cellStyle name="20% - Accent4 6 3" xfId="5356" xr:uid="{00000000-0005-0000-0000-000075020000}"/>
    <cellStyle name="20% - Accent4 6 3 2" xfId="13798" xr:uid="{3EE51BA4-3DB3-46B8-BD32-73021A3E311E}"/>
    <cellStyle name="20% - Accent4 6 4" xfId="9580" xr:uid="{C89F1D61-CE8D-4BB5-BA41-E7722B06FE1C}"/>
    <cellStyle name="20% - Accent4 7" xfId="1461" xr:uid="{00000000-0005-0000-0000-000076020000}"/>
    <cellStyle name="20% - Accent4 7 2" xfId="3691" xr:uid="{00000000-0005-0000-0000-000077020000}"/>
    <cellStyle name="20% - Accent4 7 2 2" xfId="7914" xr:uid="{00000000-0005-0000-0000-000078020000}"/>
    <cellStyle name="20% - Accent4 7 2 2 2" xfId="16356" xr:uid="{9094023F-65FB-4722-93F3-2FA4B8420ADA}"/>
    <cellStyle name="20% - Accent4 7 2 3" xfId="12138" xr:uid="{C7C7F080-2F51-42A7-BCB2-204B2F14494F}"/>
    <cellStyle name="20% - Accent4 7 3" xfId="5769" xr:uid="{00000000-0005-0000-0000-000079020000}"/>
    <cellStyle name="20% - Accent4 7 3 2" xfId="14211" xr:uid="{B49E31EE-650E-467A-836D-9D78E57359AD}"/>
    <cellStyle name="20% - Accent4 7 4" xfId="9993" xr:uid="{8C5690D8-B02D-4EC3-846D-27861583F0CB}"/>
    <cellStyle name="20% - Accent4 8" xfId="1875" xr:uid="{00000000-0005-0000-0000-00007A020000}"/>
    <cellStyle name="20% - Accent4 8 2" xfId="4104" xr:uid="{00000000-0005-0000-0000-00007B020000}"/>
    <cellStyle name="20% - Accent4 8 2 2" xfId="8327" xr:uid="{00000000-0005-0000-0000-00007C020000}"/>
    <cellStyle name="20% - Accent4 8 2 2 2" xfId="16769" xr:uid="{697ED46B-57DF-4C30-B7CE-D9A005CB9C84}"/>
    <cellStyle name="20% - Accent4 8 2 3" xfId="12551" xr:uid="{74B9940E-7A98-4F5A-BC99-0978D31F161E}"/>
    <cellStyle name="20% - Accent4 8 3" xfId="6182" xr:uid="{00000000-0005-0000-0000-00007D020000}"/>
    <cellStyle name="20% - Accent4 8 3 2" xfId="14624" xr:uid="{7C4CBA80-394F-4BA7-82E8-ADA58BA09260}"/>
    <cellStyle name="20% - Accent4 8 4" xfId="10406" xr:uid="{DE259380-84FA-406A-849B-83DE342CC933}"/>
    <cellStyle name="20% - Accent4 9" xfId="2288" xr:uid="{00000000-0005-0000-0000-00007E020000}"/>
    <cellStyle name="20% - Accent4 9 2" xfId="6595" xr:uid="{00000000-0005-0000-0000-00007F020000}"/>
    <cellStyle name="20% - Accent4 9 2 2" xfId="15037" xr:uid="{CB623C79-0E92-4E2D-BAC6-0F2E8E1237A9}"/>
    <cellStyle name="20% - Accent4 9 3" xfId="10819" xr:uid="{0AF95E57-F69C-4C06-AA72-6724EE403802}"/>
    <cellStyle name="20% - Accent5" xfId="33" builtinId="46" customBuiltin="1"/>
    <cellStyle name="20% - Accent5 10" xfId="4537" xr:uid="{00000000-0005-0000-0000-000081020000}"/>
    <cellStyle name="20% - Accent5 10 2" xfId="12979" xr:uid="{B0AC3767-82E8-4D99-A264-5B95658C0835}"/>
    <cellStyle name="20% - Accent5 11" xfId="8761" xr:uid="{8F365FA1-7E67-4587-ABEF-95E16F7266D9}"/>
    <cellStyle name="20% - Accent5 2" xfId="34" xr:uid="{00000000-0005-0000-0000-000082020000}"/>
    <cellStyle name="20% - Accent5 2 10" xfId="8762" xr:uid="{E72EFD39-8F14-4BB0-881D-6D6A57911AB3}"/>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15541" xr:uid="{24D9E516-4AAD-4CBC-93A0-25285C973E4D}"/>
    <cellStyle name="20% - Accent5 2 2 2 2 2 3" xfId="11323" xr:uid="{A263DD4D-94A0-49BD-814E-B5899086F0C3}"/>
    <cellStyle name="20% - Accent5 2 2 2 2 3" xfId="4954" xr:uid="{00000000-0005-0000-0000-000088020000}"/>
    <cellStyle name="20% - Accent5 2 2 2 2 3 2" xfId="13396" xr:uid="{B89E83DC-5D0D-4120-A08D-23ACB738EFB3}"/>
    <cellStyle name="20% - Accent5 2 2 2 2 4" xfId="9178" xr:uid="{D1C1D825-4275-4B5C-A729-A763798AA53F}"/>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15954" xr:uid="{B4872DCC-34EF-4427-864A-A11E728891BE}"/>
    <cellStyle name="20% - Accent5 2 2 2 3 2 3" xfId="11736" xr:uid="{7A97E98B-F1B4-423B-91FF-6832740C79E3}"/>
    <cellStyle name="20% - Accent5 2 2 2 3 3" xfId="5367" xr:uid="{00000000-0005-0000-0000-00008C020000}"/>
    <cellStyle name="20% - Accent5 2 2 2 3 3 2" xfId="13809" xr:uid="{0D347B3E-65F3-4DC8-845A-D21DBA119450}"/>
    <cellStyle name="20% - Accent5 2 2 2 3 4" xfId="9591" xr:uid="{7E420756-131F-49E3-A7E5-84A6083F5115}"/>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16367" xr:uid="{A8E0AD3F-DF1F-4618-B04E-09AF4A851823}"/>
    <cellStyle name="20% - Accent5 2 2 2 4 2 3" xfId="12149" xr:uid="{717C3375-946A-4D6E-B9DC-499249D5FF6C}"/>
    <cellStyle name="20% - Accent5 2 2 2 4 3" xfId="5780" xr:uid="{00000000-0005-0000-0000-000090020000}"/>
    <cellStyle name="20% - Accent5 2 2 2 4 3 2" xfId="14222" xr:uid="{288C2FAA-364E-4932-8AC1-D5D762638C11}"/>
    <cellStyle name="20% - Accent5 2 2 2 4 4" xfId="10004" xr:uid="{3F01F761-232D-4F72-82B4-DCB1CB2583C8}"/>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16780" xr:uid="{0451662B-E67F-49F4-838A-EE0B5B35B199}"/>
    <cellStyle name="20% - Accent5 2 2 2 5 2 3" xfId="12562" xr:uid="{A6EF4545-C900-4E31-838D-6FC279067F39}"/>
    <cellStyle name="20% - Accent5 2 2 2 5 3" xfId="6193" xr:uid="{00000000-0005-0000-0000-000094020000}"/>
    <cellStyle name="20% - Accent5 2 2 2 5 3 2" xfId="14635" xr:uid="{4E7D9981-133B-49EF-AEAA-CED164A1C749}"/>
    <cellStyle name="20% - Accent5 2 2 2 5 4" xfId="10417" xr:uid="{9A735154-A2C1-45FE-8E02-BA530C175619}"/>
    <cellStyle name="20% - Accent5 2 2 2 6" xfId="2299" xr:uid="{00000000-0005-0000-0000-000095020000}"/>
    <cellStyle name="20% - Accent5 2 2 2 6 2" xfId="6606" xr:uid="{00000000-0005-0000-0000-000096020000}"/>
    <cellStyle name="20% - Accent5 2 2 2 6 2 2" xfId="15048" xr:uid="{AE9B4DE8-FD04-48CB-98BF-AE3410F57472}"/>
    <cellStyle name="20% - Accent5 2 2 2 6 3" xfId="10830" xr:uid="{B65C1546-673F-44EA-8820-A53B70E51B02}"/>
    <cellStyle name="20% - Accent5 2 2 2 7" xfId="4540" xr:uid="{00000000-0005-0000-0000-000097020000}"/>
    <cellStyle name="20% - Accent5 2 2 2 7 2" xfId="12982" xr:uid="{9BC2108A-F8E5-4E89-B3F8-99D3FFB19250}"/>
    <cellStyle name="20% - Accent5 2 2 2 8" xfId="8764" xr:uid="{28B65657-11FB-4222-8302-24648A513956}"/>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15540" xr:uid="{857A2E9B-EC97-4F78-9E3A-DAF36F424930}"/>
    <cellStyle name="20% - Accent5 2 2 3 2 3" xfId="11322" xr:uid="{A744DD02-B533-4BE2-90C1-27E542771197}"/>
    <cellStyle name="20% - Accent5 2 2 3 3" xfId="4953" xr:uid="{00000000-0005-0000-0000-00009B020000}"/>
    <cellStyle name="20% - Accent5 2 2 3 3 2" xfId="13395" xr:uid="{85654FB1-CF9F-4F03-B1D1-BA9A9B2F8097}"/>
    <cellStyle name="20% - Accent5 2 2 3 4" xfId="9177" xr:uid="{68966C49-BBC3-425B-8D4C-FB3EF6ABEA4E}"/>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15953" xr:uid="{B0F2E539-B3AF-4C22-801E-CD22FEC2C0DA}"/>
    <cellStyle name="20% - Accent5 2 2 4 2 3" xfId="11735" xr:uid="{23A6F1A6-35F7-4124-9E20-BC304328B0AB}"/>
    <cellStyle name="20% - Accent5 2 2 4 3" xfId="5366" xr:uid="{00000000-0005-0000-0000-00009F020000}"/>
    <cellStyle name="20% - Accent5 2 2 4 3 2" xfId="13808" xr:uid="{1DF4BE12-0C1D-4B61-A12D-B3FFF0120B62}"/>
    <cellStyle name="20% - Accent5 2 2 4 4" xfId="9590" xr:uid="{A9D1F21E-F656-4B40-83F1-AEA9FEBB34D0}"/>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16366" xr:uid="{513675A6-0258-432A-B372-A7375C1A2B3F}"/>
    <cellStyle name="20% - Accent5 2 2 5 2 3" xfId="12148" xr:uid="{FF594163-D0C8-4CE6-9848-C4A5C5F197FD}"/>
    <cellStyle name="20% - Accent5 2 2 5 3" xfId="5779" xr:uid="{00000000-0005-0000-0000-0000A3020000}"/>
    <cellStyle name="20% - Accent5 2 2 5 3 2" xfId="14221" xr:uid="{14C9D8B4-2C90-4C91-9EB0-7E37763E7D12}"/>
    <cellStyle name="20% - Accent5 2 2 5 4" xfId="10003" xr:uid="{CBE8EDF6-D051-4272-8D74-D42E1FFC6365}"/>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16779" xr:uid="{B4AF5760-FC3F-45CF-8F81-ED71A6C3183B}"/>
    <cellStyle name="20% - Accent5 2 2 6 2 3" xfId="12561" xr:uid="{A11E1380-DBE7-4D4C-BACB-32860ABE488E}"/>
    <cellStyle name="20% - Accent5 2 2 6 3" xfId="6192" xr:uid="{00000000-0005-0000-0000-0000A7020000}"/>
    <cellStyle name="20% - Accent5 2 2 6 3 2" xfId="14634" xr:uid="{F12EED4E-9D10-4CEF-A974-57273ECBF5AE}"/>
    <cellStyle name="20% - Accent5 2 2 6 4" xfId="10416" xr:uid="{8AFB6A5B-F417-4BC1-9B3D-1DEEED011A80}"/>
    <cellStyle name="20% - Accent5 2 2 7" xfId="2298" xr:uid="{00000000-0005-0000-0000-0000A8020000}"/>
    <cellStyle name="20% - Accent5 2 2 7 2" xfId="6605" xr:uid="{00000000-0005-0000-0000-0000A9020000}"/>
    <cellStyle name="20% - Accent5 2 2 7 2 2" xfId="15047" xr:uid="{F97B911E-6CB9-4DA9-A0B5-45714E35673F}"/>
    <cellStyle name="20% - Accent5 2 2 7 3" xfId="10829" xr:uid="{B3D86FA2-1119-47DD-8EC5-83AF1FE99D73}"/>
    <cellStyle name="20% - Accent5 2 2 8" xfId="4539" xr:uid="{00000000-0005-0000-0000-0000AA020000}"/>
    <cellStyle name="20% - Accent5 2 2 8 2" xfId="12981" xr:uid="{BBC42B7F-0DB6-47AD-B7B7-7B3FE0D2AFF6}"/>
    <cellStyle name="20% - Accent5 2 2 9" xfId="8763" xr:uid="{58C819B0-FE00-4081-86F9-EB59906F619B}"/>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15542" xr:uid="{BF299B15-AF15-4B8D-B079-700267328EAC}"/>
    <cellStyle name="20% - Accent5 2 3 2 2 3" xfId="11324" xr:uid="{9856F822-EE10-4DDE-8F66-BDD1AAE9CDA8}"/>
    <cellStyle name="20% - Accent5 2 3 2 3" xfId="4955" xr:uid="{00000000-0005-0000-0000-0000AF020000}"/>
    <cellStyle name="20% - Accent5 2 3 2 3 2" xfId="13397" xr:uid="{E2008FEE-9E2B-49DE-A8A6-02E9ED958594}"/>
    <cellStyle name="20% - Accent5 2 3 2 4" xfId="9179" xr:uid="{D5FEEB1A-4992-490C-88D0-950176345618}"/>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15955" xr:uid="{7EB6DAC3-068D-4250-8962-95E20BACE062}"/>
    <cellStyle name="20% - Accent5 2 3 3 2 3" xfId="11737" xr:uid="{0DF73ACB-F64F-4B99-B090-306A73628EDB}"/>
    <cellStyle name="20% - Accent5 2 3 3 3" xfId="5368" xr:uid="{00000000-0005-0000-0000-0000B3020000}"/>
    <cellStyle name="20% - Accent5 2 3 3 3 2" xfId="13810" xr:uid="{5C41FB5A-B7E0-48CE-ADC9-22CB3601E146}"/>
    <cellStyle name="20% - Accent5 2 3 3 4" xfId="9592" xr:uid="{E9101E7D-067C-4185-A6AF-2AFE405F1C32}"/>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16368" xr:uid="{0B22E7BE-777B-4F9B-B703-0B9F35E9CCA4}"/>
    <cellStyle name="20% - Accent5 2 3 4 2 3" xfId="12150" xr:uid="{3FB0C1F4-92A1-4E5C-95A2-AEEC74D45F58}"/>
    <cellStyle name="20% - Accent5 2 3 4 3" xfId="5781" xr:uid="{00000000-0005-0000-0000-0000B7020000}"/>
    <cellStyle name="20% - Accent5 2 3 4 3 2" xfId="14223" xr:uid="{06877CF2-53FC-44AE-A187-FD69F458E671}"/>
    <cellStyle name="20% - Accent5 2 3 4 4" xfId="10005" xr:uid="{DD4C9AC7-BB42-4F30-8BE6-8B5729632307}"/>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16781" xr:uid="{D9DB6A11-BB9A-4D67-8259-D49DA94CBDB5}"/>
    <cellStyle name="20% - Accent5 2 3 5 2 3" xfId="12563" xr:uid="{BCBEF58C-B9EF-43DB-94D1-FE1279B87AE4}"/>
    <cellStyle name="20% - Accent5 2 3 5 3" xfId="6194" xr:uid="{00000000-0005-0000-0000-0000BB020000}"/>
    <cellStyle name="20% - Accent5 2 3 5 3 2" xfId="14636" xr:uid="{12799D56-A2E4-436D-BD21-831D0BE776D7}"/>
    <cellStyle name="20% - Accent5 2 3 5 4" xfId="10418" xr:uid="{A17F0DB7-DF13-455C-9283-12004EED9515}"/>
    <cellStyle name="20% - Accent5 2 3 6" xfId="2300" xr:uid="{00000000-0005-0000-0000-0000BC020000}"/>
    <cellStyle name="20% - Accent5 2 3 6 2" xfId="6607" xr:uid="{00000000-0005-0000-0000-0000BD020000}"/>
    <cellStyle name="20% - Accent5 2 3 6 2 2" xfId="15049" xr:uid="{4B580679-41E4-47E0-9E4E-6FCEC07633C2}"/>
    <cellStyle name="20% - Accent5 2 3 6 3" xfId="10831" xr:uid="{DF0EC03F-EB67-4503-920A-0A6D62ED0EC3}"/>
    <cellStyle name="20% - Accent5 2 3 7" xfId="4541" xr:uid="{00000000-0005-0000-0000-0000BE020000}"/>
    <cellStyle name="20% - Accent5 2 3 7 2" xfId="12983" xr:uid="{08879DC1-A780-49EF-80A8-A063919D1715}"/>
    <cellStyle name="20% - Accent5 2 3 8" xfId="8765" xr:uid="{D970375A-CDDE-4CAF-8B59-8CD4A1E8D60B}"/>
    <cellStyle name="20% - Accent5 2 4" xfId="603" xr:uid="{00000000-0005-0000-0000-0000BF020000}"/>
    <cellStyle name="20% - Accent5 2 4 2" xfId="2874" xr:uid="{00000000-0005-0000-0000-0000C0020000}"/>
    <cellStyle name="20% - Accent5 2 4 2 2" xfId="7097" xr:uid="{00000000-0005-0000-0000-0000C1020000}"/>
    <cellStyle name="20% - Accent5 2 4 2 2 2" xfId="15539" xr:uid="{D83868A7-B7B1-4795-A493-1803A39B11F3}"/>
    <cellStyle name="20% - Accent5 2 4 2 3" xfId="11321" xr:uid="{B0D6DEC3-DEB4-4288-A0C6-556CECF0FFCD}"/>
    <cellStyle name="20% - Accent5 2 4 3" xfId="4952" xr:uid="{00000000-0005-0000-0000-0000C2020000}"/>
    <cellStyle name="20% - Accent5 2 4 3 2" xfId="13394" xr:uid="{5009C494-0E2E-4335-81CD-5BC49E2B24FA}"/>
    <cellStyle name="20% - Accent5 2 4 4" xfId="9176" xr:uid="{EFCAD0EC-08C1-4099-B2CE-4585122AAD46}"/>
    <cellStyle name="20% - Accent5 2 5" xfId="1056" xr:uid="{00000000-0005-0000-0000-0000C3020000}"/>
    <cellStyle name="20% - Accent5 2 5 2" xfId="3287" xr:uid="{00000000-0005-0000-0000-0000C4020000}"/>
    <cellStyle name="20% - Accent5 2 5 2 2" xfId="7510" xr:uid="{00000000-0005-0000-0000-0000C5020000}"/>
    <cellStyle name="20% - Accent5 2 5 2 2 2" xfId="15952" xr:uid="{BE368B4A-63B3-45DA-8B6C-A01B245A1574}"/>
    <cellStyle name="20% - Accent5 2 5 2 3" xfId="11734" xr:uid="{E488683E-08F2-456D-B615-B5D12BD2D0AA}"/>
    <cellStyle name="20% - Accent5 2 5 3" xfId="5365" xr:uid="{00000000-0005-0000-0000-0000C6020000}"/>
    <cellStyle name="20% - Accent5 2 5 3 2" xfId="13807" xr:uid="{E29E55DB-19E1-44AD-90AF-4B4C97DC2359}"/>
    <cellStyle name="20% - Accent5 2 5 4" xfId="9589" xr:uid="{DE24DC8A-A06A-4D0F-B3AD-BB79D8C4AD34}"/>
    <cellStyle name="20% - Accent5 2 6" xfId="1470" xr:uid="{00000000-0005-0000-0000-0000C7020000}"/>
    <cellStyle name="20% - Accent5 2 6 2" xfId="3700" xr:uid="{00000000-0005-0000-0000-0000C8020000}"/>
    <cellStyle name="20% - Accent5 2 6 2 2" xfId="7923" xr:uid="{00000000-0005-0000-0000-0000C9020000}"/>
    <cellStyle name="20% - Accent5 2 6 2 2 2" xfId="16365" xr:uid="{142FFF0C-C404-44E0-BBF5-3438B9E282AF}"/>
    <cellStyle name="20% - Accent5 2 6 2 3" xfId="12147" xr:uid="{0D0C1B91-BC0D-410D-84CB-7EE058EA4025}"/>
    <cellStyle name="20% - Accent5 2 6 3" xfId="5778" xr:uid="{00000000-0005-0000-0000-0000CA020000}"/>
    <cellStyle name="20% - Accent5 2 6 3 2" xfId="14220" xr:uid="{20DC4773-E5AC-4CE3-B255-3AD2338FD524}"/>
    <cellStyle name="20% - Accent5 2 6 4" xfId="10002" xr:uid="{D49EFC20-AAC1-416C-80AC-1B2A6016AB12}"/>
    <cellStyle name="20% - Accent5 2 7" xfId="1884" xr:uid="{00000000-0005-0000-0000-0000CB020000}"/>
    <cellStyle name="20% - Accent5 2 7 2" xfId="4113" xr:uid="{00000000-0005-0000-0000-0000CC020000}"/>
    <cellStyle name="20% - Accent5 2 7 2 2" xfId="8336" xr:uid="{00000000-0005-0000-0000-0000CD020000}"/>
    <cellStyle name="20% - Accent5 2 7 2 2 2" xfId="16778" xr:uid="{3035E2BC-4E38-4277-803A-980EACCF9C61}"/>
    <cellStyle name="20% - Accent5 2 7 2 3" xfId="12560" xr:uid="{8DA5B264-7E66-43FE-BE77-07D8B11C4765}"/>
    <cellStyle name="20% - Accent5 2 7 3" xfId="6191" xr:uid="{00000000-0005-0000-0000-0000CE020000}"/>
    <cellStyle name="20% - Accent5 2 7 3 2" xfId="14633" xr:uid="{828CBD96-9A92-436C-8472-A166EEF90DDF}"/>
    <cellStyle name="20% - Accent5 2 7 4" xfId="10415" xr:uid="{DD552F7B-FFDC-4571-AA70-3D828204C71A}"/>
    <cellStyle name="20% - Accent5 2 8" xfId="2297" xr:uid="{00000000-0005-0000-0000-0000CF020000}"/>
    <cellStyle name="20% - Accent5 2 8 2" xfId="6604" xr:uid="{00000000-0005-0000-0000-0000D0020000}"/>
    <cellStyle name="20% - Accent5 2 8 2 2" xfId="15046" xr:uid="{1B9FADA9-C6CF-4952-84E9-A50B6A4AB285}"/>
    <cellStyle name="20% - Accent5 2 8 3" xfId="10828" xr:uid="{90024F8E-A8A7-4250-AEE8-6B95E478E183}"/>
    <cellStyle name="20% - Accent5 2 9" xfId="4538" xr:uid="{00000000-0005-0000-0000-0000D1020000}"/>
    <cellStyle name="20% - Accent5 2 9 2" xfId="12980" xr:uid="{763DA344-02B4-4140-81AF-B76C9ADD0388}"/>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15544" xr:uid="{62C4C24A-D5D0-4363-A0E0-2C7FF90DF8E6}"/>
    <cellStyle name="20% - Accent5 3 2 2 2 3" xfId="11326" xr:uid="{8930381B-91D1-413E-8D22-F928CF9AD331}"/>
    <cellStyle name="20% - Accent5 3 2 2 3" xfId="4957" xr:uid="{00000000-0005-0000-0000-0000D7020000}"/>
    <cellStyle name="20% - Accent5 3 2 2 3 2" xfId="13399" xr:uid="{AA42BFD7-C152-45FF-AC8B-AE6FE02CBBF1}"/>
    <cellStyle name="20% - Accent5 3 2 2 4" xfId="9181" xr:uid="{CAA1DE84-D4DC-4426-A595-AED8D677E6CE}"/>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15957" xr:uid="{17463E3D-5328-4F65-AC24-EEBBC469C883}"/>
    <cellStyle name="20% - Accent5 3 2 3 2 3" xfId="11739" xr:uid="{09952259-561D-46D8-AA1C-AF1AC374654E}"/>
    <cellStyle name="20% - Accent5 3 2 3 3" xfId="5370" xr:uid="{00000000-0005-0000-0000-0000DB020000}"/>
    <cellStyle name="20% - Accent5 3 2 3 3 2" xfId="13812" xr:uid="{4433DA8C-2B1A-4EDC-A866-F6E665072298}"/>
    <cellStyle name="20% - Accent5 3 2 3 4" xfId="9594" xr:uid="{005D72AE-4633-4CE5-ADC6-995D43BD03A5}"/>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16370" xr:uid="{7D9775B2-7F9F-4427-B08D-603A24E22D40}"/>
    <cellStyle name="20% - Accent5 3 2 4 2 3" xfId="12152" xr:uid="{EDF81086-2348-4B61-A83A-83BD4A22BDDC}"/>
    <cellStyle name="20% - Accent5 3 2 4 3" xfId="5783" xr:uid="{00000000-0005-0000-0000-0000DF020000}"/>
    <cellStyle name="20% - Accent5 3 2 4 3 2" xfId="14225" xr:uid="{21BE4A09-2CEA-4AFD-AC78-86B64D20FCF2}"/>
    <cellStyle name="20% - Accent5 3 2 4 4" xfId="10007" xr:uid="{5ACF6002-4C60-4197-AB5B-8A12091D0172}"/>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16783" xr:uid="{36F4756D-E926-4498-A866-7D2A106B9346}"/>
    <cellStyle name="20% - Accent5 3 2 5 2 3" xfId="12565" xr:uid="{99ADDA97-F5F1-45C9-BD36-B8FC4B1F6F49}"/>
    <cellStyle name="20% - Accent5 3 2 5 3" xfId="6196" xr:uid="{00000000-0005-0000-0000-0000E3020000}"/>
    <cellStyle name="20% - Accent5 3 2 5 3 2" xfId="14638" xr:uid="{1FA17032-B96A-4BF0-AE25-8FBB0986A2AE}"/>
    <cellStyle name="20% - Accent5 3 2 5 4" xfId="10420" xr:uid="{9ECAF40F-19E9-4F0B-8AD6-1A277D3DC2D7}"/>
    <cellStyle name="20% - Accent5 3 2 6" xfId="2302" xr:uid="{00000000-0005-0000-0000-0000E4020000}"/>
    <cellStyle name="20% - Accent5 3 2 6 2" xfId="6609" xr:uid="{00000000-0005-0000-0000-0000E5020000}"/>
    <cellStyle name="20% - Accent5 3 2 6 2 2" xfId="15051" xr:uid="{AA495828-18F9-4C8E-A484-0B7B4559685D}"/>
    <cellStyle name="20% - Accent5 3 2 6 3" xfId="10833" xr:uid="{BA6FF205-A371-4FB4-9D7D-773613D2F701}"/>
    <cellStyle name="20% - Accent5 3 2 7" xfId="4543" xr:uid="{00000000-0005-0000-0000-0000E6020000}"/>
    <cellStyle name="20% - Accent5 3 2 7 2" xfId="12985" xr:uid="{91118F6C-6947-4300-B067-13EC75B0504A}"/>
    <cellStyle name="20% - Accent5 3 2 8" xfId="8767" xr:uid="{BA7CE4B4-C6CC-4720-8C2B-3F90688DF695}"/>
    <cellStyle name="20% - Accent5 3 3" xfId="607" xr:uid="{00000000-0005-0000-0000-0000E7020000}"/>
    <cellStyle name="20% - Accent5 3 3 2" xfId="2878" xr:uid="{00000000-0005-0000-0000-0000E8020000}"/>
    <cellStyle name="20% - Accent5 3 3 2 2" xfId="7101" xr:uid="{00000000-0005-0000-0000-0000E9020000}"/>
    <cellStyle name="20% - Accent5 3 3 2 2 2" xfId="15543" xr:uid="{7EE70F5C-593E-4339-B619-4234C24A16BE}"/>
    <cellStyle name="20% - Accent5 3 3 2 3" xfId="11325" xr:uid="{D0B9C759-1898-4885-B843-5E7976FC5BF7}"/>
    <cellStyle name="20% - Accent5 3 3 3" xfId="4956" xr:uid="{00000000-0005-0000-0000-0000EA020000}"/>
    <cellStyle name="20% - Accent5 3 3 3 2" xfId="13398" xr:uid="{E59FF33F-E760-429B-B22D-44F6E92DDEC6}"/>
    <cellStyle name="20% - Accent5 3 3 4" xfId="9180" xr:uid="{7FD937B0-2349-4A8E-A455-85503CB36B04}"/>
    <cellStyle name="20% - Accent5 3 4" xfId="1060" xr:uid="{00000000-0005-0000-0000-0000EB020000}"/>
    <cellStyle name="20% - Accent5 3 4 2" xfId="3291" xr:uid="{00000000-0005-0000-0000-0000EC020000}"/>
    <cellStyle name="20% - Accent5 3 4 2 2" xfId="7514" xr:uid="{00000000-0005-0000-0000-0000ED020000}"/>
    <cellStyle name="20% - Accent5 3 4 2 2 2" xfId="15956" xr:uid="{18874A30-8395-4AE3-897A-D02B8A728EAD}"/>
    <cellStyle name="20% - Accent5 3 4 2 3" xfId="11738" xr:uid="{36FA4831-A0A1-413C-BB2E-1DDBF627729C}"/>
    <cellStyle name="20% - Accent5 3 4 3" xfId="5369" xr:uid="{00000000-0005-0000-0000-0000EE020000}"/>
    <cellStyle name="20% - Accent5 3 4 3 2" xfId="13811" xr:uid="{5F933EEB-AA01-4F06-AEC4-4C095AA58DCC}"/>
    <cellStyle name="20% - Accent5 3 4 4" xfId="9593" xr:uid="{91F2F6FB-9805-47AC-A137-9470E1509644}"/>
    <cellStyle name="20% - Accent5 3 5" xfId="1474" xr:uid="{00000000-0005-0000-0000-0000EF020000}"/>
    <cellStyle name="20% - Accent5 3 5 2" xfId="3704" xr:uid="{00000000-0005-0000-0000-0000F0020000}"/>
    <cellStyle name="20% - Accent5 3 5 2 2" xfId="7927" xr:uid="{00000000-0005-0000-0000-0000F1020000}"/>
    <cellStyle name="20% - Accent5 3 5 2 2 2" xfId="16369" xr:uid="{0B262527-13F7-4D65-9F31-01A6E9CBB9BF}"/>
    <cellStyle name="20% - Accent5 3 5 2 3" xfId="12151" xr:uid="{53E2A6A1-2D51-45B6-B240-41E703339512}"/>
    <cellStyle name="20% - Accent5 3 5 3" xfId="5782" xr:uid="{00000000-0005-0000-0000-0000F2020000}"/>
    <cellStyle name="20% - Accent5 3 5 3 2" xfId="14224" xr:uid="{6F622424-A172-483F-94E7-BCA22163DEDE}"/>
    <cellStyle name="20% - Accent5 3 5 4" xfId="10006" xr:uid="{7344FE3B-0786-42A3-85D7-1161CF3837B2}"/>
    <cellStyle name="20% - Accent5 3 6" xfId="1888" xr:uid="{00000000-0005-0000-0000-0000F3020000}"/>
    <cellStyle name="20% - Accent5 3 6 2" xfId="4117" xr:uid="{00000000-0005-0000-0000-0000F4020000}"/>
    <cellStyle name="20% - Accent5 3 6 2 2" xfId="8340" xr:uid="{00000000-0005-0000-0000-0000F5020000}"/>
    <cellStyle name="20% - Accent5 3 6 2 2 2" xfId="16782" xr:uid="{9704BA13-6498-4C33-814A-04F51DBBCE26}"/>
    <cellStyle name="20% - Accent5 3 6 2 3" xfId="12564" xr:uid="{2D9754D6-7241-4F6B-8B65-8CC2CEA76668}"/>
    <cellStyle name="20% - Accent5 3 6 3" xfId="6195" xr:uid="{00000000-0005-0000-0000-0000F6020000}"/>
    <cellStyle name="20% - Accent5 3 6 3 2" xfId="14637" xr:uid="{E14DF974-DBD8-49C0-880C-D860377E7D7A}"/>
    <cellStyle name="20% - Accent5 3 6 4" xfId="10419" xr:uid="{BA92444C-FCF0-4377-9453-F32DDAEBF34B}"/>
    <cellStyle name="20% - Accent5 3 7" xfId="2301" xr:uid="{00000000-0005-0000-0000-0000F7020000}"/>
    <cellStyle name="20% - Accent5 3 7 2" xfId="6608" xr:uid="{00000000-0005-0000-0000-0000F8020000}"/>
    <cellStyle name="20% - Accent5 3 7 2 2" xfId="15050" xr:uid="{3197E682-1AA9-4B68-B0FB-3BE7C7137269}"/>
    <cellStyle name="20% - Accent5 3 7 3" xfId="10832" xr:uid="{F7EB673F-635B-487D-B4CB-88A115448ACF}"/>
    <cellStyle name="20% - Accent5 3 8" xfId="4542" xr:uid="{00000000-0005-0000-0000-0000F9020000}"/>
    <cellStyle name="20% - Accent5 3 8 2" xfId="12984" xr:uid="{60AE9EF3-5332-44AA-8503-5E19CE84D893}"/>
    <cellStyle name="20% - Accent5 3 9" xfId="8766" xr:uid="{06EF4390-D090-48DB-B836-5DB4A5AAAD1E}"/>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2 2 2" xfId="15545" xr:uid="{8618B772-4BD6-496C-9948-3E1C792071A9}"/>
    <cellStyle name="20% - Accent5 4 2 2 3" xfId="11327" xr:uid="{0F976AAC-A7E7-4437-8FD9-BE9C843F8E22}"/>
    <cellStyle name="20% - Accent5 4 2 3" xfId="4958" xr:uid="{00000000-0005-0000-0000-0000FE020000}"/>
    <cellStyle name="20% - Accent5 4 2 3 2" xfId="13400" xr:uid="{E7107EC0-1E70-4723-9CC8-FAD554B6ACED}"/>
    <cellStyle name="20% - Accent5 4 2 4" xfId="9182" xr:uid="{351980C8-699E-4850-9B23-57C7C6D8B15B}"/>
    <cellStyle name="20% - Accent5 4 3" xfId="1062" xr:uid="{00000000-0005-0000-0000-0000FF020000}"/>
    <cellStyle name="20% - Accent5 4 3 2" xfId="3293" xr:uid="{00000000-0005-0000-0000-000000030000}"/>
    <cellStyle name="20% - Accent5 4 3 2 2" xfId="7516" xr:uid="{00000000-0005-0000-0000-000001030000}"/>
    <cellStyle name="20% - Accent5 4 3 2 2 2" xfId="15958" xr:uid="{A9892412-80D4-428B-9B51-51693119F908}"/>
    <cellStyle name="20% - Accent5 4 3 2 3" xfId="11740" xr:uid="{36BF26E4-6CB7-4312-9966-23DBFBAA1A9B}"/>
    <cellStyle name="20% - Accent5 4 3 3" xfId="5371" xr:uid="{00000000-0005-0000-0000-000002030000}"/>
    <cellStyle name="20% - Accent5 4 3 3 2" xfId="13813" xr:uid="{B1968BE9-FA3E-413B-BD49-D3713488DFFA}"/>
    <cellStyle name="20% - Accent5 4 3 4" xfId="9595" xr:uid="{38750606-492B-4C53-932A-0C9F800000D7}"/>
    <cellStyle name="20% - Accent5 4 4" xfId="1476" xr:uid="{00000000-0005-0000-0000-000003030000}"/>
    <cellStyle name="20% - Accent5 4 4 2" xfId="3706" xr:uid="{00000000-0005-0000-0000-000004030000}"/>
    <cellStyle name="20% - Accent5 4 4 2 2" xfId="7929" xr:uid="{00000000-0005-0000-0000-000005030000}"/>
    <cellStyle name="20% - Accent5 4 4 2 2 2" xfId="16371" xr:uid="{7D103969-8ED6-49B8-8F3D-C9461FC24979}"/>
    <cellStyle name="20% - Accent5 4 4 2 3" xfId="12153" xr:uid="{057B12A5-3232-457A-AFD4-49BC078F36EA}"/>
    <cellStyle name="20% - Accent5 4 4 3" xfId="5784" xr:uid="{00000000-0005-0000-0000-000006030000}"/>
    <cellStyle name="20% - Accent5 4 4 3 2" xfId="14226" xr:uid="{E1249B2D-EFDE-4896-9244-4686723DA828}"/>
    <cellStyle name="20% - Accent5 4 4 4" xfId="10008" xr:uid="{E62CC892-6E54-4D88-ADF7-328D1FB2B846}"/>
    <cellStyle name="20% - Accent5 4 5" xfId="1890" xr:uid="{00000000-0005-0000-0000-000007030000}"/>
    <cellStyle name="20% - Accent5 4 5 2" xfId="4119" xr:uid="{00000000-0005-0000-0000-000008030000}"/>
    <cellStyle name="20% - Accent5 4 5 2 2" xfId="8342" xr:uid="{00000000-0005-0000-0000-000009030000}"/>
    <cellStyle name="20% - Accent5 4 5 2 2 2" xfId="16784" xr:uid="{C9703108-ED2A-4B72-9B3E-CB0076AED47D}"/>
    <cellStyle name="20% - Accent5 4 5 2 3" xfId="12566" xr:uid="{23332647-5766-40A4-8379-4A9099B73E30}"/>
    <cellStyle name="20% - Accent5 4 5 3" xfId="6197" xr:uid="{00000000-0005-0000-0000-00000A030000}"/>
    <cellStyle name="20% - Accent5 4 5 3 2" xfId="14639" xr:uid="{28709048-D36B-4D88-9C5E-578809EAAA0B}"/>
    <cellStyle name="20% - Accent5 4 5 4" xfId="10421" xr:uid="{E07912A5-6D25-479C-9F19-6AEAB8C00DB4}"/>
    <cellStyle name="20% - Accent5 4 6" xfId="2303" xr:uid="{00000000-0005-0000-0000-00000B030000}"/>
    <cellStyle name="20% - Accent5 4 6 2" xfId="6610" xr:uid="{00000000-0005-0000-0000-00000C030000}"/>
    <cellStyle name="20% - Accent5 4 6 2 2" xfId="15052" xr:uid="{522E8DFA-A3C7-47F2-8CBA-77F3E066A332}"/>
    <cellStyle name="20% - Accent5 4 6 3" xfId="10834" xr:uid="{B071990A-CD2C-4C4F-AE07-CF2E55E17581}"/>
    <cellStyle name="20% - Accent5 4 7" xfId="4544" xr:uid="{00000000-0005-0000-0000-00000D030000}"/>
    <cellStyle name="20% - Accent5 4 7 2" xfId="12986" xr:uid="{343D228E-4244-4E78-A5A3-4D730A0A5C2A}"/>
    <cellStyle name="20% - Accent5 4 8" xfId="8768" xr:uid="{8BF21966-546F-4874-9848-5D874F317860}"/>
    <cellStyle name="20% - Accent5 5" xfId="602" xr:uid="{00000000-0005-0000-0000-00000E030000}"/>
    <cellStyle name="20% - Accent5 5 2" xfId="2873" xr:uid="{00000000-0005-0000-0000-00000F030000}"/>
    <cellStyle name="20% - Accent5 5 2 2" xfId="7096" xr:uid="{00000000-0005-0000-0000-000010030000}"/>
    <cellStyle name="20% - Accent5 5 2 2 2" xfId="15538" xr:uid="{C0DCC1ED-AB79-4334-B7CF-88DE1CE1EFA6}"/>
    <cellStyle name="20% - Accent5 5 2 3" xfId="11320" xr:uid="{42C7CED9-A076-4992-BCDE-F13E692ED48F}"/>
    <cellStyle name="20% - Accent5 5 3" xfId="4951" xr:uid="{00000000-0005-0000-0000-000011030000}"/>
    <cellStyle name="20% - Accent5 5 3 2" xfId="13393" xr:uid="{B370CF24-023B-4BC0-A184-C23B2DFE24C3}"/>
    <cellStyle name="20% - Accent5 5 4" xfId="9175" xr:uid="{5EC7D85C-A47D-4142-BAFA-134D6C677320}"/>
    <cellStyle name="20% - Accent5 6" xfId="1055" xr:uid="{00000000-0005-0000-0000-000012030000}"/>
    <cellStyle name="20% - Accent5 6 2" xfId="3286" xr:uid="{00000000-0005-0000-0000-000013030000}"/>
    <cellStyle name="20% - Accent5 6 2 2" xfId="7509" xr:uid="{00000000-0005-0000-0000-000014030000}"/>
    <cellStyle name="20% - Accent5 6 2 2 2" xfId="15951" xr:uid="{269A33A4-840A-4E85-93E2-660DB8E762D1}"/>
    <cellStyle name="20% - Accent5 6 2 3" xfId="11733" xr:uid="{687A6601-EBDE-4A5C-8AA9-C5A3D24A8A8E}"/>
    <cellStyle name="20% - Accent5 6 3" xfId="5364" xr:uid="{00000000-0005-0000-0000-000015030000}"/>
    <cellStyle name="20% - Accent5 6 3 2" xfId="13806" xr:uid="{E7B0C117-9E35-4B8A-8B00-9BD6A74F3752}"/>
    <cellStyle name="20% - Accent5 6 4" xfId="9588" xr:uid="{FA739926-CAC0-4A0D-B90F-28FB89EF7B12}"/>
    <cellStyle name="20% - Accent5 7" xfId="1469" xr:uid="{00000000-0005-0000-0000-000016030000}"/>
    <cellStyle name="20% - Accent5 7 2" xfId="3699" xr:uid="{00000000-0005-0000-0000-000017030000}"/>
    <cellStyle name="20% - Accent5 7 2 2" xfId="7922" xr:uid="{00000000-0005-0000-0000-000018030000}"/>
    <cellStyle name="20% - Accent5 7 2 2 2" xfId="16364" xr:uid="{3CFBF67A-9EDA-4010-9B35-66B049C5A51F}"/>
    <cellStyle name="20% - Accent5 7 2 3" xfId="12146" xr:uid="{C0F461BC-7DD1-4DBA-9B85-C0F0B5989E6D}"/>
    <cellStyle name="20% - Accent5 7 3" xfId="5777" xr:uid="{00000000-0005-0000-0000-000019030000}"/>
    <cellStyle name="20% - Accent5 7 3 2" xfId="14219" xr:uid="{F1AB2A41-4B87-4DA8-BE84-83BA4A6101AC}"/>
    <cellStyle name="20% - Accent5 7 4" xfId="10001" xr:uid="{85B3343D-DC4C-4152-A415-BAB21800E7C3}"/>
    <cellStyle name="20% - Accent5 8" xfId="1883" xr:uid="{00000000-0005-0000-0000-00001A030000}"/>
    <cellStyle name="20% - Accent5 8 2" xfId="4112" xr:uid="{00000000-0005-0000-0000-00001B030000}"/>
    <cellStyle name="20% - Accent5 8 2 2" xfId="8335" xr:uid="{00000000-0005-0000-0000-00001C030000}"/>
    <cellStyle name="20% - Accent5 8 2 2 2" xfId="16777" xr:uid="{9657765E-2BB7-496B-9862-83FDCC53AA1C}"/>
    <cellStyle name="20% - Accent5 8 2 3" xfId="12559" xr:uid="{D62F39D9-CA18-4C08-AD0B-F976E826E6E2}"/>
    <cellStyle name="20% - Accent5 8 3" xfId="6190" xr:uid="{00000000-0005-0000-0000-00001D030000}"/>
    <cellStyle name="20% - Accent5 8 3 2" xfId="14632" xr:uid="{E27BF97D-1DDD-4658-B8A1-DDA0C662B53C}"/>
    <cellStyle name="20% - Accent5 8 4" xfId="10414" xr:uid="{DB77F078-3B13-4102-AE73-FE2D0D7006AB}"/>
    <cellStyle name="20% - Accent5 9" xfId="2296" xr:uid="{00000000-0005-0000-0000-00001E030000}"/>
    <cellStyle name="20% - Accent5 9 2" xfId="6603" xr:uid="{00000000-0005-0000-0000-00001F030000}"/>
    <cellStyle name="20% - Accent5 9 2 2" xfId="15045" xr:uid="{D735C931-65BF-4E87-8623-68A73A02998E}"/>
    <cellStyle name="20% - Accent5 9 3" xfId="10827" xr:uid="{6923B5DB-6001-4534-8350-E27139C1887D}"/>
    <cellStyle name="20% - Accent6" xfId="41" builtinId="50" customBuiltin="1"/>
    <cellStyle name="20% - Accent6 10" xfId="4545" xr:uid="{00000000-0005-0000-0000-000021030000}"/>
    <cellStyle name="20% - Accent6 10 2" xfId="12987" xr:uid="{94792E7D-0987-4119-9B44-F0A9B9545FDF}"/>
    <cellStyle name="20% - Accent6 11" xfId="8769" xr:uid="{450FE3D6-CE7D-47D0-8CB5-AE74CB377881}"/>
    <cellStyle name="20% - Accent6 2" xfId="42" xr:uid="{00000000-0005-0000-0000-000022030000}"/>
    <cellStyle name="20% - Accent6 2 10" xfId="8770" xr:uid="{2234FBBF-ED54-4BA6-80D9-D986F75666E8}"/>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15549" xr:uid="{7527E2DA-87CB-4006-97CB-9D5FFA83E1BF}"/>
    <cellStyle name="20% - Accent6 2 2 2 2 2 3" xfId="11331" xr:uid="{E7694086-1C54-4A25-97DB-63CFA45F92AF}"/>
    <cellStyle name="20% - Accent6 2 2 2 2 3" xfId="4962" xr:uid="{00000000-0005-0000-0000-000028030000}"/>
    <cellStyle name="20% - Accent6 2 2 2 2 3 2" xfId="13404" xr:uid="{B2BEA4D6-C3F8-4140-9E7B-96FC0F2B1FEF}"/>
    <cellStyle name="20% - Accent6 2 2 2 2 4" xfId="9186" xr:uid="{9A8CED86-CAFA-4ADE-BA12-43E849B33E08}"/>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15962" xr:uid="{BDD5B91D-CF99-48D1-BBF1-6DD552EA24CF}"/>
    <cellStyle name="20% - Accent6 2 2 2 3 2 3" xfId="11744" xr:uid="{3969BA41-56EF-4A99-98E3-A094D62B936A}"/>
    <cellStyle name="20% - Accent6 2 2 2 3 3" xfId="5375" xr:uid="{00000000-0005-0000-0000-00002C030000}"/>
    <cellStyle name="20% - Accent6 2 2 2 3 3 2" xfId="13817" xr:uid="{1B7C7179-22A5-4DB6-BC0E-40F3675C7AAD}"/>
    <cellStyle name="20% - Accent6 2 2 2 3 4" xfId="9599" xr:uid="{7B1A697F-92B1-4708-937D-9BF20028A8A7}"/>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16375" xr:uid="{4CE44BD2-43BC-4819-A9FE-1B86B6175379}"/>
    <cellStyle name="20% - Accent6 2 2 2 4 2 3" xfId="12157" xr:uid="{45B1AC1D-7381-4BD7-8B9E-EE65D41EAA1D}"/>
    <cellStyle name="20% - Accent6 2 2 2 4 3" xfId="5788" xr:uid="{00000000-0005-0000-0000-000030030000}"/>
    <cellStyle name="20% - Accent6 2 2 2 4 3 2" xfId="14230" xr:uid="{C5EBF6B3-2FC8-4D58-A588-341BFD6570C0}"/>
    <cellStyle name="20% - Accent6 2 2 2 4 4" xfId="10012" xr:uid="{9060EDDB-8D9B-4D56-AA7F-C5641E9E341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16788" xr:uid="{C0937737-2CB4-4D30-8665-322CB1BEE3DD}"/>
    <cellStyle name="20% - Accent6 2 2 2 5 2 3" xfId="12570" xr:uid="{7EA4CC96-8292-43B2-B8C0-9DD1D1A7E36C}"/>
    <cellStyle name="20% - Accent6 2 2 2 5 3" xfId="6201" xr:uid="{00000000-0005-0000-0000-000034030000}"/>
    <cellStyle name="20% - Accent6 2 2 2 5 3 2" xfId="14643" xr:uid="{0F861B97-0B2F-4BCD-B912-7D4A46319B9C}"/>
    <cellStyle name="20% - Accent6 2 2 2 5 4" xfId="10425" xr:uid="{78D7B97C-38C3-4E4A-91CE-E6FAF3E1DFE3}"/>
    <cellStyle name="20% - Accent6 2 2 2 6" xfId="2307" xr:uid="{00000000-0005-0000-0000-000035030000}"/>
    <cellStyle name="20% - Accent6 2 2 2 6 2" xfId="6614" xr:uid="{00000000-0005-0000-0000-000036030000}"/>
    <cellStyle name="20% - Accent6 2 2 2 6 2 2" xfId="15056" xr:uid="{52BE9E98-6AA1-483C-8E3E-0C4D935557C2}"/>
    <cellStyle name="20% - Accent6 2 2 2 6 3" xfId="10838" xr:uid="{29763505-8A19-485D-8A65-1AB821C22306}"/>
    <cellStyle name="20% - Accent6 2 2 2 7" xfId="4548" xr:uid="{00000000-0005-0000-0000-000037030000}"/>
    <cellStyle name="20% - Accent6 2 2 2 7 2" xfId="12990" xr:uid="{0B294E8D-521F-4380-A62F-8111637CF582}"/>
    <cellStyle name="20% - Accent6 2 2 2 8" xfId="8772" xr:uid="{420B08AD-2462-435D-9083-5BA460CB64DF}"/>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15548" xr:uid="{B4AEB90A-835C-4EAD-B524-2D647BB45A95}"/>
    <cellStyle name="20% - Accent6 2 2 3 2 3" xfId="11330" xr:uid="{5BFDD86E-23B5-4885-A930-5A382E9C9C2E}"/>
    <cellStyle name="20% - Accent6 2 2 3 3" xfId="4961" xr:uid="{00000000-0005-0000-0000-00003B030000}"/>
    <cellStyle name="20% - Accent6 2 2 3 3 2" xfId="13403" xr:uid="{438EDC08-89E4-4177-9144-809DBC28DF78}"/>
    <cellStyle name="20% - Accent6 2 2 3 4" xfId="9185" xr:uid="{2B879031-247A-4F12-BCE8-C466D3B35428}"/>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15961" xr:uid="{B11B52A1-4714-4032-81AE-4D5C7F2294B5}"/>
    <cellStyle name="20% - Accent6 2 2 4 2 3" xfId="11743" xr:uid="{006A9E94-432F-4686-8EC4-36CAA9E9DA6A}"/>
    <cellStyle name="20% - Accent6 2 2 4 3" xfId="5374" xr:uid="{00000000-0005-0000-0000-00003F030000}"/>
    <cellStyle name="20% - Accent6 2 2 4 3 2" xfId="13816" xr:uid="{E975826B-A54B-4299-89C1-39E0D3CB12C1}"/>
    <cellStyle name="20% - Accent6 2 2 4 4" xfId="9598" xr:uid="{96A501C0-94E8-4296-9C6B-60D129A3B26B}"/>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16374" xr:uid="{B5B49B2B-8810-4278-A292-60066AE559D1}"/>
    <cellStyle name="20% - Accent6 2 2 5 2 3" xfId="12156" xr:uid="{D63E84D0-9E3D-4786-86E8-8E854C64B516}"/>
    <cellStyle name="20% - Accent6 2 2 5 3" xfId="5787" xr:uid="{00000000-0005-0000-0000-000043030000}"/>
    <cellStyle name="20% - Accent6 2 2 5 3 2" xfId="14229" xr:uid="{1D5D4FFA-C00C-4793-ABE6-06503C6EC32B}"/>
    <cellStyle name="20% - Accent6 2 2 5 4" xfId="10011" xr:uid="{BAC2C910-BC8B-4C78-B354-538CC4145383}"/>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16787" xr:uid="{1D68232F-6EB3-4F1D-B5B1-12787F0BBC34}"/>
    <cellStyle name="20% - Accent6 2 2 6 2 3" xfId="12569" xr:uid="{069DFF12-1AA6-42D9-84E5-1A5654B7B178}"/>
    <cellStyle name="20% - Accent6 2 2 6 3" xfId="6200" xr:uid="{00000000-0005-0000-0000-000047030000}"/>
    <cellStyle name="20% - Accent6 2 2 6 3 2" xfId="14642" xr:uid="{3ADDCF9F-737D-45E4-8D8D-769D9D656707}"/>
    <cellStyle name="20% - Accent6 2 2 6 4" xfId="10424" xr:uid="{614AAC7F-BB24-4A90-B071-95660D439843}"/>
    <cellStyle name="20% - Accent6 2 2 7" xfId="2306" xr:uid="{00000000-0005-0000-0000-000048030000}"/>
    <cellStyle name="20% - Accent6 2 2 7 2" xfId="6613" xr:uid="{00000000-0005-0000-0000-000049030000}"/>
    <cellStyle name="20% - Accent6 2 2 7 2 2" xfId="15055" xr:uid="{3A3AEC37-B531-4F5E-9251-1EA2A0C15BEA}"/>
    <cellStyle name="20% - Accent6 2 2 7 3" xfId="10837" xr:uid="{152E18EB-62B1-4E60-915A-FA462D43DDEE}"/>
    <cellStyle name="20% - Accent6 2 2 8" xfId="4547" xr:uid="{00000000-0005-0000-0000-00004A030000}"/>
    <cellStyle name="20% - Accent6 2 2 8 2" xfId="12989" xr:uid="{56A16BC9-8C98-4D1D-A5A6-AA2379FFD827}"/>
    <cellStyle name="20% - Accent6 2 2 9" xfId="8771" xr:uid="{EA01886B-5558-4CFA-8391-EBDFD7BFE97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15550" xr:uid="{8F5A94CB-C545-465B-B06C-1046E34F8C3B}"/>
    <cellStyle name="20% - Accent6 2 3 2 2 3" xfId="11332" xr:uid="{89EBA2E6-EA83-4B00-8E0F-2F1E055CB131}"/>
    <cellStyle name="20% - Accent6 2 3 2 3" xfId="4963" xr:uid="{00000000-0005-0000-0000-00004F030000}"/>
    <cellStyle name="20% - Accent6 2 3 2 3 2" xfId="13405" xr:uid="{C95B2FC9-697B-49F7-BACC-5F7C87695441}"/>
    <cellStyle name="20% - Accent6 2 3 2 4" xfId="9187" xr:uid="{2BD5A678-2DDC-4F63-A1E2-521792BA280F}"/>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15963" xr:uid="{D786F46A-1D68-4FAC-A3AA-A29F545D7CA5}"/>
    <cellStyle name="20% - Accent6 2 3 3 2 3" xfId="11745" xr:uid="{E5750336-7734-4B8D-ADE4-DA62E6F31399}"/>
    <cellStyle name="20% - Accent6 2 3 3 3" xfId="5376" xr:uid="{00000000-0005-0000-0000-000053030000}"/>
    <cellStyle name="20% - Accent6 2 3 3 3 2" xfId="13818" xr:uid="{3DD3E96E-AB9E-48B4-B259-E8AE758F6E9C}"/>
    <cellStyle name="20% - Accent6 2 3 3 4" xfId="9600" xr:uid="{1D2118FF-60D9-4C22-A45A-99E6FB26E7DC}"/>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16376" xr:uid="{4994BDF8-EEDD-4974-B9D6-54BC9425C508}"/>
    <cellStyle name="20% - Accent6 2 3 4 2 3" xfId="12158" xr:uid="{819B5275-0531-425F-A5DF-0C86429DFB72}"/>
    <cellStyle name="20% - Accent6 2 3 4 3" xfId="5789" xr:uid="{00000000-0005-0000-0000-000057030000}"/>
    <cellStyle name="20% - Accent6 2 3 4 3 2" xfId="14231" xr:uid="{511D4569-22E1-40C9-8FB6-1265429EA2EE}"/>
    <cellStyle name="20% - Accent6 2 3 4 4" xfId="10013" xr:uid="{A3EB103C-F2A8-4A3B-84A1-BBF03DA54E2C}"/>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16789" xr:uid="{FFC7554E-102E-4A58-831B-6FA9F40F75E4}"/>
    <cellStyle name="20% - Accent6 2 3 5 2 3" xfId="12571" xr:uid="{04FCF008-1F8A-40AC-A3DD-C2BED4AE5C53}"/>
    <cellStyle name="20% - Accent6 2 3 5 3" xfId="6202" xr:uid="{00000000-0005-0000-0000-00005B030000}"/>
    <cellStyle name="20% - Accent6 2 3 5 3 2" xfId="14644" xr:uid="{FE382794-086F-427B-B16F-205956E3D6DE}"/>
    <cellStyle name="20% - Accent6 2 3 5 4" xfId="10426" xr:uid="{9B8F13E4-23B4-4212-93C1-979DBC1DA292}"/>
    <cellStyle name="20% - Accent6 2 3 6" xfId="2308" xr:uid="{00000000-0005-0000-0000-00005C030000}"/>
    <cellStyle name="20% - Accent6 2 3 6 2" xfId="6615" xr:uid="{00000000-0005-0000-0000-00005D030000}"/>
    <cellStyle name="20% - Accent6 2 3 6 2 2" xfId="15057" xr:uid="{BF3FCE4F-F919-4ACA-AF64-C17DEDB4F7A8}"/>
    <cellStyle name="20% - Accent6 2 3 6 3" xfId="10839" xr:uid="{6A4C9BDF-0457-4BAA-92C1-3ED223F84D7C}"/>
    <cellStyle name="20% - Accent6 2 3 7" xfId="4549" xr:uid="{00000000-0005-0000-0000-00005E030000}"/>
    <cellStyle name="20% - Accent6 2 3 7 2" xfId="12991" xr:uid="{E38C2FE6-2669-4DCD-98E6-816544B768CE}"/>
    <cellStyle name="20% - Accent6 2 3 8" xfId="8773" xr:uid="{A9713673-42EB-4518-9458-8694169ED970}"/>
    <cellStyle name="20% - Accent6 2 4" xfId="611" xr:uid="{00000000-0005-0000-0000-00005F030000}"/>
    <cellStyle name="20% - Accent6 2 4 2" xfId="2882" xr:uid="{00000000-0005-0000-0000-000060030000}"/>
    <cellStyle name="20% - Accent6 2 4 2 2" xfId="7105" xr:uid="{00000000-0005-0000-0000-000061030000}"/>
    <cellStyle name="20% - Accent6 2 4 2 2 2" xfId="15547" xr:uid="{F4E22277-5899-44B6-BF89-9C8425FEF60B}"/>
    <cellStyle name="20% - Accent6 2 4 2 3" xfId="11329" xr:uid="{B7396AD0-BA7C-47C4-B63C-6BCC99D82C42}"/>
    <cellStyle name="20% - Accent6 2 4 3" xfId="4960" xr:uid="{00000000-0005-0000-0000-000062030000}"/>
    <cellStyle name="20% - Accent6 2 4 3 2" xfId="13402" xr:uid="{C6E6E642-6C21-4808-ABAA-AE67007FF9E7}"/>
    <cellStyle name="20% - Accent6 2 4 4" xfId="9184" xr:uid="{87A9E74E-AC8D-4773-BB93-1841B5914C7E}"/>
    <cellStyle name="20% - Accent6 2 5" xfId="1064" xr:uid="{00000000-0005-0000-0000-000063030000}"/>
    <cellStyle name="20% - Accent6 2 5 2" xfId="3295" xr:uid="{00000000-0005-0000-0000-000064030000}"/>
    <cellStyle name="20% - Accent6 2 5 2 2" xfId="7518" xr:uid="{00000000-0005-0000-0000-000065030000}"/>
    <cellStyle name="20% - Accent6 2 5 2 2 2" xfId="15960" xr:uid="{5EDAC58C-140D-40A2-88B9-28E8306B78F4}"/>
    <cellStyle name="20% - Accent6 2 5 2 3" xfId="11742" xr:uid="{3FBF3109-4856-47EC-BC48-715DE2F7C9B3}"/>
    <cellStyle name="20% - Accent6 2 5 3" xfId="5373" xr:uid="{00000000-0005-0000-0000-000066030000}"/>
    <cellStyle name="20% - Accent6 2 5 3 2" xfId="13815" xr:uid="{2A9A718F-9B9D-41C6-8D3C-DA3057304D4A}"/>
    <cellStyle name="20% - Accent6 2 5 4" xfId="9597" xr:uid="{19E8DA69-8FC2-4690-A60D-F025579E6017}"/>
    <cellStyle name="20% - Accent6 2 6" xfId="1478" xr:uid="{00000000-0005-0000-0000-000067030000}"/>
    <cellStyle name="20% - Accent6 2 6 2" xfId="3708" xr:uid="{00000000-0005-0000-0000-000068030000}"/>
    <cellStyle name="20% - Accent6 2 6 2 2" xfId="7931" xr:uid="{00000000-0005-0000-0000-000069030000}"/>
    <cellStyle name="20% - Accent6 2 6 2 2 2" xfId="16373" xr:uid="{03A174D1-CFB6-4484-A337-3C8D071E75AD}"/>
    <cellStyle name="20% - Accent6 2 6 2 3" xfId="12155" xr:uid="{339BCB4F-DF7A-4755-BE2E-086C6DE28ACB}"/>
    <cellStyle name="20% - Accent6 2 6 3" xfId="5786" xr:uid="{00000000-0005-0000-0000-00006A030000}"/>
    <cellStyle name="20% - Accent6 2 6 3 2" xfId="14228" xr:uid="{8524035D-797C-4764-A9C7-0D26CCF18DDB}"/>
    <cellStyle name="20% - Accent6 2 6 4" xfId="10010" xr:uid="{66396F0A-D30F-4B95-91F5-414904E4869E}"/>
    <cellStyle name="20% - Accent6 2 7" xfId="1892" xr:uid="{00000000-0005-0000-0000-00006B030000}"/>
    <cellStyle name="20% - Accent6 2 7 2" xfId="4121" xr:uid="{00000000-0005-0000-0000-00006C030000}"/>
    <cellStyle name="20% - Accent6 2 7 2 2" xfId="8344" xr:uid="{00000000-0005-0000-0000-00006D030000}"/>
    <cellStyle name="20% - Accent6 2 7 2 2 2" xfId="16786" xr:uid="{F83777C4-2444-44B2-A083-EC92958DD186}"/>
    <cellStyle name="20% - Accent6 2 7 2 3" xfId="12568" xr:uid="{AD21C320-D455-4722-A192-14F80AFA3339}"/>
    <cellStyle name="20% - Accent6 2 7 3" xfId="6199" xr:uid="{00000000-0005-0000-0000-00006E030000}"/>
    <cellStyle name="20% - Accent6 2 7 3 2" xfId="14641" xr:uid="{81B1734D-37B4-4047-88B9-883C64BAD18A}"/>
    <cellStyle name="20% - Accent6 2 7 4" xfId="10423" xr:uid="{C24D2677-88A3-4E83-A06B-4559FDED9909}"/>
    <cellStyle name="20% - Accent6 2 8" xfId="2305" xr:uid="{00000000-0005-0000-0000-00006F030000}"/>
    <cellStyle name="20% - Accent6 2 8 2" xfId="6612" xr:uid="{00000000-0005-0000-0000-000070030000}"/>
    <cellStyle name="20% - Accent6 2 8 2 2" xfId="15054" xr:uid="{B71DFE1E-99AC-45A4-9548-6775DDE9AA9D}"/>
    <cellStyle name="20% - Accent6 2 8 3" xfId="10836" xr:uid="{63E76039-99F8-454A-BF51-320A7F003DB4}"/>
    <cellStyle name="20% - Accent6 2 9" xfId="4546" xr:uid="{00000000-0005-0000-0000-000071030000}"/>
    <cellStyle name="20% - Accent6 2 9 2" xfId="12988" xr:uid="{F04AB471-6ACF-4718-B573-2D5D06907C0B}"/>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15552" xr:uid="{4293F67F-13F4-4034-8ECC-81B4B9AC2B06}"/>
    <cellStyle name="20% - Accent6 3 2 2 2 3" xfId="11334" xr:uid="{F53E3C37-A666-4F87-A420-4C9CCE400728}"/>
    <cellStyle name="20% - Accent6 3 2 2 3" xfId="4965" xr:uid="{00000000-0005-0000-0000-000077030000}"/>
    <cellStyle name="20% - Accent6 3 2 2 3 2" xfId="13407" xr:uid="{3CC6D985-D41D-494D-8DC7-3717629AB68E}"/>
    <cellStyle name="20% - Accent6 3 2 2 4" xfId="9189" xr:uid="{318A6285-F66A-455B-A9B2-9782237700D4}"/>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15965" xr:uid="{4ECECDB6-50A6-482F-802E-B70D1E3172D6}"/>
    <cellStyle name="20% - Accent6 3 2 3 2 3" xfId="11747" xr:uid="{9167C98D-0190-471C-A2AE-3370FD482075}"/>
    <cellStyle name="20% - Accent6 3 2 3 3" xfId="5378" xr:uid="{00000000-0005-0000-0000-00007B030000}"/>
    <cellStyle name="20% - Accent6 3 2 3 3 2" xfId="13820" xr:uid="{283E8BCB-13B7-4D32-86D4-A170FC012983}"/>
    <cellStyle name="20% - Accent6 3 2 3 4" xfId="9602" xr:uid="{A58BCD05-71EF-4E70-9564-E2BD41E4A6D6}"/>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16378" xr:uid="{6F638D1E-9F78-462D-B7AF-4CDCA268150C}"/>
    <cellStyle name="20% - Accent6 3 2 4 2 3" xfId="12160" xr:uid="{3B252E8F-7EA4-46D6-AFFD-12EFA093BD24}"/>
    <cellStyle name="20% - Accent6 3 2 4 3" xfId="5791" xr:uid="{00000000-0005-0000-0000-00007F030000}"/>
    <cellStyle name="20% - Accent6 3 2 4 3 2" xfId="14233" xr:uid="{F6842554-D093-4551-8137-78B16F70DBAD}"/>
    <cellStyle name="20% - Accent6 3 2 4 4" xfId="10015" xr:uid="{5749CFAF-E095-4265-A8B2-C90522C07D19}"/>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16791" xr:uid="{D0161DFD-F182-4BAB-982B-88221BCCFF02}"/>
    <cellStyle name="20% - Accent6 3 2 5 2 3" xfId="12573" xr:uid="{41142897-7C7B-4163-8FA7-F9C392E9C826}"/>
    <cellStyle name="20% - Accent6 3 2 5 3" xfId="6204" xr:uid="{00000000-0005-0000-0000-000083030000}"/>
    <cellStyle name="20% - Accent6 3 2 5 3 2" xfId="14646" xr:uid="{9EA4ACE1-C931-4CAB-ABA9-C9257E480C25}"/>
    <cellStyle name="20% - Accent6 3 2 5 4" xfId="10428" xr:uid="{E306A5E7-B98A-4C3D-8A66-954255E3CBE9}"/>
    <cellStyle name="20% - Accent6 3 2 6" xfId="2310" xr:uid="{00000000-0005-0000-0000-000084030000}"/>
    <cellStyle name="20% - Accent6 3 2 6 2" xfId="6617" xr:uid="{00000000-0005-0000-0000-000085030000}"/>
    <cellStyle name="20% - Accent6 3 2 6 2 2" xfId="15059" xr:uid="{11CBDF97-A006-4F49-A0A0-B24E5E6A5B58}"/>
    <cellStyle name="20% - Accent6 3 2 6 3" xfId="10841" xr:uid="{17FE122C-40A1-42DF-BAE0-3F6E62491FB7}"/>
    <cellStyle name="20% - Accent6 3 2 7" xfId="4551" xr:uid="{00000000-0005-0000-0000-000086030000}"/>
    <cellStyle name="20% - Accent6 3 2 7 2" xfId="12993" xr:uid="{939584E0-6159-4638-BF16-78014C932B8A}"/>
    <cellStyle name="20% - Accent6 3 2 8" xfId="8775" xr:uid="{4A8B5432-275E-4E3F-8E72-743D8BDD23E5}"/>
    <cellStyle name="20% - Accent6 3 3" xfId="615" xr:uid="{00000000-0005-0000-0000-000087030000}"/>
    <cellStyle name="20% - Accent6 3 3 2" xfId="2886" xr:uid="{00000000-0005-0000-0000-000088030000}"/>
    <cellStyle name="20% - Accent6 3 3 2 2" xfId="7109" xr:uid="{00000000-0005-0000-0000-000089030000}"/>
    <cellStyle name="20% - Accent6 3 3 2 2 2" xfId="15551" xr:uid="{845E48B5-23E5-4ADF-ACDA-2F1881E391FC}"/>
    <cellStyle name="20% - Accent6 3 3 2 3" xfId="11333" xr:uid="{6C7D4401-4EE4-42DC-A20A-05BA3EEAA377}"/>
    <cellStyle name="20% - Accent6 3 3 3" xfId="4964" xr:uid="{00000000-0005-0000-0000-00008A030000}"/>
    <cellStyle name="20% - Accent6 3 3 3 2" xfId="13406" xr:uid="{FAB0162A-8DC5-462B-B447-AC31CFF7F00D}"/>
    <cellStyle name="20% - Accent6 3 3 4" xfId="9188" xr:uid="{7AA9416A-5775-4FA5-B494-8792F9EDF80E}"/>
    <cellStyle name="20% - Accent6 3 4" xfId="1068" xr:uid="{00000000-0005-0000-0000-00008B030000}"/>
    <cellStyle name="20% - Accent6 3 4 2" xfId="3299" xr:uid="{00000000-0005-0000-0000-00008C030000}"/>
    <cellStyle name="20% - Accent6 3 4 2 2" xfId="7522" xr:uid="{00000000-0005-0000-0000-00008D030000}"/>
    <cellStyle name="20% - Accent6 3 4 2 2 2" xfId="15964" xr:uid="{16B071C1-EC3A-4207-8FED-225866E09192}"/>
    <cellStyle name="20% - Accent6 3 4 2 3" xfId="11746" xr:uid="{35C50F30-A35E-43BA-821E-4C749B4E4DB3}"/>
    <cellStyle name="20% - Accent6 3 4 3" xfId="5377" xr:uid="{00000000-0005-0000-0000-00008E030000}"/>
    <cellStyle name="20% - Accent6 3 4 3 2" xfId="13819" xr:uid="{AB65F09F-751E-49EE-B7F5-1E0219B0C732}"/>
    <cellStyle name="20% - Accent6 3 4 4" xfId="9601" xr:uid="{CC7D7998-20CA-462A-AE7A-16FD93B167C0}"/>
    <cellStyle name="20% - Accent6 3 5" xfId="1482" xr:uid="{00000000-0005-0000-0000-00008F030000}"/>
    <cellStyle name="20% - Accent6 3 5 2" xfId="3712" xr:uid="{00000000-0005-0000-0000-000090030000}"/>
    <cellStyle name="20% - Accent6 3 5 2 2" xfId="7935" xr:uid="{00000000-0005-0000-0000-000091030000}"/>
    <cellStyle name="20% - Accent6 3 5 2 2 2" xfId="16377" xr:uid="{1A26CA0A-D531-446C-B07F-81D7657312B6}"/>
    <cellStyle name="20% - Accent6 3 5 2 3" xfId="12159" xr:uid="{E78A9F90-49AE-40CC-98A9-4ED62C3BFDE4}"/>
    <cellStyle name="20% - Accent6 3 5 3" xfId="5790" xr:uid="{00000000-0005-0000-0000-000092030000}"/>
    <cellStyle name="20% - Accent6 3 5 3 2" xfId="14232" xr:uid="{553A0BA4-D79F-447F-9E84-8406811DCF4A}"/>
    <cellStyle name="20% - Accent6 3 5 4" xfId="10014" xr:uid="{D613E938-7933-40C0-9F21-16ADBA1118BC}"/>
    <cellStyle name="20% - Accent6 3 6" xfId="1896" xr:uid="{00000000-0005-0000-0000-000093030000}"/>
    <cellStyle name="20% - Accent6 3 6 2" xfId="4125" xr:uid="{00000000-0005-0000-0000-000094030000}"/>
    <cellStyle name="20% - Accent6 3 6 2 2" xfId="8348" xr:uid="{00000000-0005-0000-0000-000095030000}"/>
    <cellStyle name="20% - Accent6 3 6 2 2 2" xfId="16790" xr:uid="{CBA71F35-EF4C-4F8B-8624-160D17F58C5F}"/>
    <cellStyle name="20% - Accent6 3 6 2 3" xfId="12572" xr:uid="{26D81237-25A0-41AE-931B-9EDCD22E8CCF}"/>
    <cellStyle name="20% - Accent6 3 6 3" xfId="6203" xr:uid="{00000000-0005-0000-0000-000096030000}"/>
    <cellStyle name="20% - Accent6 3 6 3 2" xfId="14645" xr:uid="{A76C5BC4-487F-499E-96BE-01C1FE060357}"/>
    <cellStyle name="20% - Accent6 3 6 4" xfId="10427" xr:uid="{9403ADFA-D08B-4688-9D07-CC68FED35034}"/>
    <cellStyle name="20% - Accent6 3 7" xfId="2309" xr:uid="{00000000-0005-0000-0000-000097030000}"/>
    <cellStyle name="20% - Accent6 3 7 2" xfId="6616" xr:uid="{00000000-0005-0000-0000-000098030000}"/>
    <cellStyle name="20% - Accent6 3 7 2 2" xfId="15058" xr:uid="{28054E56-4CB4-4AB9-B8CA-2E436C54C72F}"/>
    <cellStyle name="20% - Accent6 3 7 3" xfId="10840" xr:uid="{D8A2C58E-BBF9-4D61-AA94-64E2D49A6AC5}"/>
    <cellStyle name="20% - Accent6 3 8" xfId="4550" xr:uid="{00000000-0005-0000-0000-000099030000}"/>
    <cellStyle name="20% - Accent6 3 8 2" xfId="12992" xr:uid="{9C8C0C33-B2A4-4DD5-AB8C-5355DA22344D}"/>
    <cellStyle name="20% - Accent6 3 9" xfId="8774" xr:uid="{588976CE-34B0-4875-AA60-5F6C52F38933}"/>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2 2 2" xfId="15553" xr:uid="{835FCEE3-8E4F-42D3-B71D-3F8E4980B8C7}"/>
    <cellStyle name="20% - Accent6 4 2 2 3" xfId="11335" xr:uid="{46571FCC-BF37-4D02-AD4B-581EF25E89E0}"/>
    <cellStyle name="20% - Accent6 4 2 3" xfId="4966" xr:uid="{00000000-0005-0000-0000-00009E030000}"/>
    <cellStyle name="20% - Accent6 4 2 3 2" xfId="13408" xr:uid="{75A130FA-2F5B-44CB-8803-5F4CBC200CA3}"/>
    <cellStyle name="20% - Accent6 4 2 4" xfId="9190" xr:uid="{B06A975F-DD8B-45B9-9094-5116502C4780}"/>
    <cellStyle name="20% - Accent6 4 3" xfId="1070" xr:uid="{00000000-0005-0000-0000-00009F030000}"/>
    <cellStyle name="20% - Accent6 4 3 2" xfId="3301" xr:uid="{00000000-0005-0000-0000-0000A0030000}"/>
    <cellStyle name="20% - Accent6 4 3 2 2" xfId="7524" xr:uid="{00000000-0005-0000-0000-0000A1030000}"/>
    <cellStyle name="20% - Accent6 4 3 2 2 2" xfId="15966" xr:uid="{02FAAA84-4190-4D61-AA98-8B528C1EF993}"/>
    <cellStyle name="20% - Accent6 4 3 2 3" xfId="11748" xr:uid="{0B8820FB-F3E1-42D7-A5FA-E34C5025E8CA}"/>
    <cellStyle name="20% - Accent6 4 3 3" xfId="5379" xr:uid="{00000000-0005-0000-0000-0000A2030000}"/>
    <cellStyle name="20% - Accent6 4 3 3 2" xfId="13821" xr:uid="{E60A5E39-0BC5-4618-BBC9-82CB2FF580C1}"/>
    <cellStyle name="20% - Accent6 4 3 4" xfId="9603" xr:uid="{3D6A0679-A00D-4B83-A978-43774992D737}"/>
    <cellStyle name="20% - Accent6 4 4" xfId="1484" xr:uid="{00000000-0005-0000-0000-0000A3030000}"/>
    <cellStyle name="20% - Accent6 4 4 2" xfId="3714" xr:uid="{00000000-0005-0000-0000-0000A4030000}"/>
    <cellStyle name="20% - Accent6 4 4 2 2" xfId="7937" xr:uid="{00000000-0005-0000-0000-0000A5030000}"/>
    <cellStyle name="20% - Accent6 4 4 2 2 2" xfId="16379" xr:uid="{0E0AC0B6-4F68-40BB-A419-49B87DA34B1E}"/>
    <cellStyle name="20% - Accent6 4 4 2 3" xfId="12161" xr:uid="{23347DEB-A623-4506-B530-21EEB90927B2}"/>
    <cellStyle name="20% - Accent6 4 4 3" xfId="5792" xr:uid="{00000000-0005-0000-0000-0000A6030000}"/>
    <cellStyle name="20% - Accent6 4 4 3 2" xfId="14234" xr:uid="{D89DFC59-4C92-4EE8-A3DA-0E725E578CD4}"/>
    <cellStyle name="20% - Accent6 4 4 4" xfId="10016" xr:uid="{88F8E368-3F53-4891-A46C-D4069DA481D9}"/>
    <cellStyle name="20% - Accent6 4 5" xfId="1898" xr:uid="{00000000-0005-0000-0000-0000A7030000}"/>
    <cellStyle name="20% - Accent6 4 5 2" xfId="4127" xr:uid="{00000000-0005-0000-0000-0000A8030000}"/>
    <cellStyle name="20% - Accent6 4 5 2 2" xfId="8350" xr:uid="{00000000-0005-0000-0000-0000A9030000}"/>
    <cellStyle name="20% - Accent6 4 5 2 2 2" xfId="16792" xr:uid="{03C76767-FC67-4AC0-A0E2-23C1DE014EF6}"/>
    <cellStyle name="20% - Accent6 4 5 2 3" xfId="12574" xr:uid="{534ED992-4356-4BA9-800B-3C5FE63F6EC7}"/>
    <cellStyle name="20% - Accent6 4 5 3" xfId="6205" xr:uid="{00000000-0005-0000-0000-0000AA030000}"/>
    <cellStyle name="20% - Accent6 4 5 3 2" xfId="14647" xr:uid="{0BA858E2-B4DB-4FF3-B73E-45EB699AD7E4}"/>
    <cellStyle name="20% - Accent6 4 5 4" xfId="10429" xr:uid="{04F0BF42-24DD-44C0-9FAE-1362346E604E}"/>
    <cellStyle name="20% - Accent6 4 6" xfId="2311" xr:uid="{00000000-0005-0000-0000-0000AB030000}"/>
    <cellStyle name="20% - Accent6 4 6 2" xfId="6618" xr:uid="{00000000-0005-0000-0000-0000AC030000}"/>
    <cellStyle name="20% - Accent6 4 6 2 2" xfId="15060" xr:uid="{17709272-DC8A-421F-96EA-12377B833351}"/>
    <cellStyle name="20% - Accent6 4 6 3" xfId="10842" xr:uid="{79004495-58D5-4CA0-843D-D07C6616A636}"/>
    <cellStyle name="20% - Accent6 4 7" xfId="4552" xr:uid="{00000000-0005-0000-0000-0000AD030000}"/>
    <cellStyle name="20% - Accent6 4 7 2" xfId="12994" xr:uid="{36A203FB-CA6A-43E3-AFF5-196BDBAE716F}"/>
    <cellStyle name="20% - Accent6 4 8" xfId="8776" xr:uid="{C53CAC19-9C7E-488F-BB7A-C528A4972740}"/>
    <cellStyle name="20% - Accent6 5" xfId="610" xr:uid="{00000000-0005-0000-0000-0000AE030000}"/>
    <cellStyle name="20% - Accent6 5 2" xfId="2881" xr:uid="{00000000-0005-0000-0000-0000AF030000}"/>
    <cellStyle name="20% - Accent6 5 2 2" xfId="7104" xr:uid="{00000000-0005-0000-0000-0000B0030000}"/>
    <cellStyle name="20% - Accent6 5 2 2 2" xfId="15546" xr:uid="{DC471183-53F9-4637-A5C1-6F4EDB4EBA0C}"/>
    <cellStyle name="20% - Accent6 5 2 3" xfId="11328" xr:uid="{1E387CDC-C247-4087-903B-2717393B6846}"/>
    <cellStyle name="20% - Accent6 5 3" xfId="4959" xr:uid="{00000000-0005-0000-0000-0000B1030000}"/>
    <cellStyle name="20% - Accent6 5 3 2" xfId="13401" xr:uid="{5CD36288-88AE-4A6D-B014-7AB0629D5CCF}"/>
    <cellStyle name="20% - Accent6 5 4" xfId="9183" xr:uid="{A57D88BA-8330-4460-8E72-BCCA4432B3EF}"/>
    <cellStyle name="20% - Accent6 6" xfId="1063" xr:uid="{00000000-0005-0000-0000-0000B2030000}"/>
    <cellStyle name="20% - Accent6 6 2" xfId="3294" xr:uid="{00000000-0005-0000-0000-0000B3030000}"/>
    <cellStyle name="20% - Accent6 6 2 2" xfId="7517" xr:uid="{00000000-0005-0000-0000-0000B4030000}"/>
    <cellStyle name="20% - Accent6 6 2 2 2" xfId="15959" xr:uid="{A4A2A212-86DC-4467-8D71-356C75C566C6}"/>
    <cellStyle name="20% - Accent6 6 2 3" xfId="11741" xr:uid="{E59AA8EF-3733-4605-99AC-651E9DA52241}"/>
    <cellStyle name="20% - Accent6 6 3" xfId="5372" xr:uid="{00000000-0005-0000-0000-0000B5030000}"/>
    <cellStyle name="20% - Accent6 6 3 2" xfId="13814" xr:uid="{2B7262B9-C568-4ECA-AB9E-5B064DE82C58}"/>
    <cellStyle name="20% - Accent6 6 4" xfId="9596" xr:uid="{6F73C5FA-CBD0-4F63-A072-F6F929D9A1A6}"/>
    <cellStyle name="20% - Accent6 7" xfId="1477" xr:uid="{00000000-0005-0000-0000-0000B6030000}"/>
    <cellStyle name="20% - Accent6 7 2" xfId="3707" xr:uid="{00000000-0005-0000-0000-0000B7030000}"/>
    <cellStyle name="20% - Accent6 7 2 2" xfId="7930" xr:uid="{00000000-0005-0000-0000-0000B8030000}"/>
    <cellStyle name="20% - Accent6 7 2 2 2" xfId="16372" xr:uid="{21716905-E2FC-4195-B126-D6238175A9EF}"/>
    <cellStyle name="20% - Accent6 7 2 3" xfId="12154" xr:uid="{41724514-7B15-4745-875B-59D43533F6CB}"/>
    <cellStyle name="20% - Accent6 7 3" xfId="5785" xr:uid="{00000000-0005-0000-0000-0000B9030000}"/>
    <cellStyle name="20% - Accent6 7 3 2" xfId="14227" xr:uid="{29C8A202-9642-4539-B81F-62FC5DA1FD58}"/>
    <cellStyle name="20% - Accent6 7 4" xfId="10009" xr:uid="{FFBC5127-C01B-482A-BADD-F83BCE90CC6D}"/>
    <cellStyle name="20% - Accent6 8" xfId="1891" xr:uid="{00000000-0005-0000-0000-0000BA030000}"/>
    <cellStyle name="20% - Accent6 8 2" xfId="4120" xr:uid="{00000000-0005-0000-0000-0000BB030000}"/>
    <cellStyle name="20% - Accent6 8 2 2" xfId="8343" xr:uid="{00000000-0005-0000-0000-0000BC030000}"/>
    <cellStyle name="20% - Accent6 8 2 2 2" xfId="16785" xr:uid="{1C9509C6-CD11-41CA-BAE9-E38EC2B28170}"/>
    <cellStyle name="20% - Accent6 8 2 3" xfId="12567" xr:uid="{83E1DBA4-DCD6-4BE8-BE27-BAA9A716C66A}"/>
    <cellStyle name="20% - Accent6 8 3" xfId="6198" xr:uid="{00000000-0005-0000-0000-0000BD030000}"/>
    <cellStyle name="20% - Accent6 8 3 2" xfId="14640" xr:uid="{CEB8842A-2316-4949-9083-A85E71F0B3C2}"/>
    <cellStyle name="20% - Accent6 8 4" xfId="10422" xr:uid="{6637A2F9-859B-4914-9FD0-CCEA5626F332}"/>
    <cellStyle name="20% - Accent6 9" xfId="2304" xr:uid="{00000000-0005-0000-0000-0000BE030000}"/>
    <cellStyle name="20% - Accent6 9 2" xfId="6611" xr:uid="{00000000-0005-0000-0000-0000BF030000}"/>
    <cellStyle name="20% - Accent6 9 2 2" xfId="15053" xr:uid="{4D589A07-F9A0-4D86-AD46-B4D6F0B11C1C}"/>
    <cellStyle name="20% - Accent6 9 3" xfId="10835" xr:uid="{D72E0E5E-1E2A-489A-ACE6-FA498EB215FC}"/>
    <cellStyle name="40% - Accent1" xfId="49" builtinId="31" customBuiltin="1"/>
    <cellStyle name="40% - Accent1 10" xfId="4553" xr:uid="{00000000-0005-0000-0000-0000C1030000}"/>
    <cellStyle name="40% - Accent1 10 2" xfId="12995" xr:uid="{59EB8136-2734-40F2-904E-114405F8FE04}"/>
    <cellStyle name="40% - Accent1 11" xfId="8777" xr:uid="{89DBA441-0421-4B9B-9B52-F970248BAE8A}"/>
    <cellStyle name="40% - Accent1 2" xfId="50" xr:uid="{00000000-0005-0000-0000-0000C2030000}"/>
    <cellStyle name="40% - Accent1 2 10" xfId="8778" xr:uid="{B514B777-6251-4411-96A7-073308519CA3}"/>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15557" xr:uid="{6B3813A0-4F33-4DAF-A33F-7B9361F4892E}"/>
    <cellStyle name="40% - Accent1 2 2 2 2 2 3" xfId="11339" xr:uid="{6CA96A55-1E65-429F-8F80-50FEB5D7AC57}"/>
    <cellStyle name="40% - Accent1 2 2 2 2 3" xfId="4970" xr:uid="{00000000-0005-0000-0000-0000C8030000}"/>
    <cellStyle name="40% - Accent1 2 2 2 2 3 2" xfId="13412" xr:uid="{9F11B1DF-F0AE-4304-92EC-E6624FA7F29B}"/>
    <cellStyle name="40% - Accent1 2 2 2 2 4" xfId="9194" xr:uid="{E85C8A9B-60BE-45FE-843A-0FF147668657}"/>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15970" xr:uid="{B73788C1-BEBD-4FEA-8A7E-2303A73535C0}"/>
    <cellStyle name="40% - Accent1 2 2 2 3 2 3" xfId="11752" xr:uid="{162B8369-0801-4987-8A3C-165492A0D806}"/>
    <cellStyle name="40% - Accent1 2 2 2 3 3" xfId="5383" xr:uid="{00000000-0005-0000-0000-0000CC030000}"/>
    <cellStyle name="40% - Accent1 2 2 2 3 3 2" xfId="13825" xr:uid="{1BA963AF-F9D1-4C85-8F92-D232A006A584}"/>
    <cellStyle name="40% - Accent1 2 2 2 3 4" xfId="9607" xr:uid="{CC3C9F25-62B1-40AF-91C3-96033D16AFE8}"/>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16383" xr:uid="{D2B205ED-D983-43FE-89A7-B7FAFF018153}"/>
    <cellStyle name="40% - Accent1 2 2 2 4 2 3" xfId="12165" xr:uid="{A79D86D5-CFA4-4FCB-B0C4-DEA608B109CE}"/>
    <cellStyle name="40% - Accent1 2 2 2 4 3" xfId="5796" xr:uid="{00000000-0005-0000-0000-0000D0030000}"/>
    <cellStyle name="40% - Accent1 2 2 2 4 3 2" xfId="14238" xr:uid="{FACE5C89-DE14-404D-8578-74AC6F6E0A4F}"/>
    <cellStyle name="40% - Accent1 2 2 2 4 4" xfId="10020" xr:uid="{067C1A55-A73A-41FE-AC8E-E05ECA491274}"/>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16796" xr:uid="{E0B440C0-978B-448D-A41B-75B2E5ED43A0}"/>
    <cellStyle name="40% - Accent1 2 2 2 5 2 3" xfId="12578" xr:uid="{C362A31B-FB3E-4563-B829-AA50DA29F5B9}"/>
    <cellStyle name="40% - Accent1 2 2 2 5 3" xfId="6209" xr:uid="{00000000-0005-0000-0000-0000D4030000}"/>
    <cellStyle name="40% - Accent1 2 2 2 5 3 2" xfId="14651" xr:uid="{FE510157-8A65-4D87-BD0D-A32C7A1F7885}"/>
    <cellStyle name="40% - Accent1 2 2 2 5 4" xfId="10433" xr:uid="{F7987B98-8E4A-44CE-AC50-86562B1967AA}"/>
    <cellStyle name="40% - Accent1 2 2 2 6" xfId="2315" xr:uid="{00000000-0005-0000-0000-0000D5030000}"/>
    <cellStyle name="40% - Accent1 2 2 2 6 2" xfId="6622" xr:uid="{00000000-0005-0000-0000-0000D6030000}"/>
    <cellStyle name="40% - Accent1 2 2 2 6 2 2" xfId="15064" xr:uid="{67AFEA0A-E414-42FA-B3EC-A17D7FE6C631}"/>
    <cellStyle name="40% - Accent1 2 2 2 6 3" xfId="10846" xr:uid="{45F2DF1D-BA2E-4C2C-B996-2D26BBC47572}"/>
    <cellStyle name="40% - Accent1 2 2 2 7" xfId="4556" xr:uid="{00000000-0005-0000-0000-0000D7030000}"/>
    <cellStyle name="40% - Accent1 2 2 2 7 2" xfId="12998" xr:uid="{9C5AC3CE-BE10-43B5-BABA-2D3B69B84BFC}"/>
    <cellStyle name="40% - Accent1 2 2 2 8" xfId="8780" xr:uid="{90D08B92-88A5-4510-9006-AAE4C2C166E2}"/>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15556" xr:uid="{33C1A693-98DD-4C0A-9803-078AD135EAE7}"/>
    <cellStyle name="40% - Accent1 2 2 3 2 3" xfId="11338" xr:uid="{FA5ED488-F405-426E-A1D3-ACE07D6958FB}"/>
    <cellStyle name="40% - Accent1 2 2 3 3" xfId="4969" xr:uid="{00000000-0005-0000-0000-0000DB030000}"/>
    <cellStyle name="40% - Accent1 2 2 3 3 2" xfId="13411" xr:uid="{2F2C02A1-218E-462C-9D96-42E32CA11F68}"/>
    <cellStyle name="40% - Accent1 2 2 3 4" xfId="9193" xr:uid="{68D5FB8F-03B2-48B6-95D7-DBEACC13E0A3}"/>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15969" xr:uid="{D31B7D28-3BAB-4DB8-BCAC-C42594A4E232}"/>
    <cellStyle name="40% - Accent1 2 2 4 2 3" xfId="11751" xr:uid="{601BE5F9-7C63-4687-9740-83B4A5C8BDCA}"/>
    <cellStyle name="40% - Accent1 2 2 4 3" xfId="5382" xr:uid="{00000000-0005-0000-0000-0000DF030000}"/>
    <cellStyle name="40% - Accent1 2 2 4 3 2" xfId="13824" xr:uid="{F72B7A3C-4CEC-49B8-AFCB-839C6DF5C143}"/>
    <cellStyle name="40% - Accent1 2 2 4 4" xfId="9606" xr:uid="{CE35436D-005C-4B0D-A2D8-07D390D5A7C3}"/>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16382" xr:uid="{49FF8B4E-69D3-4B37-B791-33283D183758}"/>
    <cellStyle name="40% - Accent1 2 2 5 2 3" xfId="12164" xr:uid="{F609931D-6629-4D86-B4C8-9049B9D27697}"/>
    <cellStyle name="40% - Accent1 2 2 5 3" xfId="5795" xr:uid="{00000000-0005-0000-0000-0000E3030000}"/>
    <cellStyle name="40% - Accent1 2 2 5 3 2" xfId="14237" xr:uid="{93AA8A2C-9143-4566-AB55-B68D7BF0E88A}"/>
    <cellStyle name="40% - Accent1 2 2 5 4" xfId="10019" xr:uid="{D6B8D78B-37D8-4D68-95B8-6EEEDA9CA0A6}"/>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16795" xr:uid="{16CC7A09-C5CA-43ED-921F-B33B45A278AC}"/>
    <cellStyle name="40% - Accent1 2 2 6 2 3" xfId="12577" xr:uid="{39C18B37-2A2B-4D35-91DB-FBF70000B4E5}"/>
    <cellStyle name="40% - Accent1 2 2 6 3" xfId="6208" xr:uid="{00000000-0005-0000-0000-0000E7030000}"/>
    <cellStyle name="40% - Accent1 2 2 6 3 2" xfId="14650" xr:uid="{1D84E205-3697-4172-A33F-536E10E2B511}"/>
    <cellStyle name="40% - Accent1 2 2 6 4" xfId="10432" xr:uid="{94E585E2-0E1D-48EB-A5E5-CBEA63A58393}"/>
    <cellStyle name="40% - Accent1 2 2 7" xfId="2314" xr:uid="{00000000-0005-0000-0000-0000E8030000}"/>
    <cellStyle name="40% - Accent1 2 2 7 2" xfId="6621" xr:uid="{00000000-0005-0000-0000-0000E9030000}"/>
    <cellStyle name="40% - Accent1 2 2 7 2 2" xfId="15063" xr:uid="{0B43F421-2EAF-48C9-B10B-BB7B616E6B12}"/>
    <cellStyle name="40% - Accent1 2 2 7 3" xfId="10845" xr:uid="{A076C295-DE95-4EF9-8B73-B023B0D8EF7D}"/>
    <cellStyle name="40% - Accent1 2 2 8" xfId="4555" xr:uid="{00000000-0005-0000-0000-0000EA030000}"/>
    <cellStyle name="40% - Accent1 2 2 8 2" xfId="12997" xr:uid="{125701C9-9929-4DA0-B70B-F62A23A54EEC}"/>
    <cellStyle name="40% - Accent1 2 2 9" xfId="8779" xr:uid="{9AAD7338-CA5D-4B3F-8559-6A2784175607}"/>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15558" xr:uid="{9660745F-0959-41D2-9C3F-71E1F82D0A74}"/>
    <cellStyle name="40% - Accent1 2 3 2 2 3" xfId="11340" xr:uid="{1384A985-EA3E-4D9B-B346-DDA79C0A5BE8}"/>
    <cellStyle name="40% - Accent1 2 3 2 3" xfId="4971" xr:uid="{00000000-0005-0000-0000-0000EF030000}"/>
    <cellStyle name="40% - Accent1 2 3 2 3 2" xfId="13413" xr:uid="{6E426EF0-5A88-41F9-AB24-DA7C9BB888F7}"/>
    <cellStyle name="40% - Accent1 2 3 2 4" xfId="9195" xr:uid="{5832B33A-22E8-49A7-94DE-0670A8ADD035}"/>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15971" xr:uid="{E0BDF865-FB27-4BC1-AFD5-D7EA18E64A33}"/>
    <cellStyle name="40% - Accent1 2 3 3 2 3" xfId="11753" xr:uid="{B85F1ECC-EAEB-44DB-BEB9-72834EA4F81E}"/>
    <cellStyle name="40% - Accent1 2 3 3 3" xfId="5384" xr:uid="{00000000-0005-0000-0000-0000F3030000}"/>
    <cellStyle name="40% - Accent1 2 3 3 3 2" xfId="13826" xr:uid="{88CBDC73-CEC9-4DE1-9ADF-EA3531B2ABE5}"/>
    <cellStyle name="40% - Accent1 2 3 3 4" xfId="9608" xr:uid="{3CF6EEC6-E30B-4A7B-A85C-72E058645399}"/>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16384" xr:uid="{23ABFEEF-6B84-42DC-82EA-3A2CF7A09E5A}"/>
    <cellStyle name="40% - Accent1 2 3 4 2 3" xfId="12166" xr:uid="{270B9C73-C047-4D08-B8AB-D4DE0AE7774D}"/>
    <cellStyle name="40% - Accent1 2 3 4 3" xfId="5797" xr:uid="{00000000-0005-0000-0000-0000F7030000}"/>
    <cellStyle name="40% - Accent1 2 3 4 3 2" xfId="14239" xr:uid="{2561A8AC-BC25-4457-9112-94564ED33C69}"/>
    <cellStyle name="40% - Accent1 2 3 4 4" xfId="10021" xr:uid="{5A9D1C4A-0F02-4B68-B458-BC0B8CE4F45F}"/>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16797" xr:uid="{E9B27DB2-8E0C-43DF-BE27-EFD4C13D9995}"/>
    <cellStyle name="40% - Accent1 2 3 5 2 3" xfId="12579" xr:uid="{BAF07452-225F-4700-8DC7-5A4423D216C0}"/>
    <cellStyle name="40% - Accent1 2 3 5 3" xfId="6210" xr:uid="{00000000-0005-0000-0000-0000FB030000}"/>
    <cellStyle name="40% - Accent1 2 3 5 3 2" xfId="14652" xr:uid="{36B52A18-5CAF-4CE7-B21F-32466167689F}"/>
    <cellStyle name="40% - Accent1 2 3 5 4" xfId="10434" xr:uid="{6C67A3ED-4F2D-40C0-94B5-FD32368ECBE4}"/>
    <cellStyle name="40% - Accent1 2 3 6" xfId="2316" xr:uid="{00000000-0005-0000-0000-0000FC030000}"/>
    <cellStyle name="40% - Accent1 2 3 6 2" xfId="6623" xr:uid="{00000000-0005-0000-0000-0000FD030000}"/>
    <cellStyle name="40% - Accent1 2 3 6 2 2" xfId="15065" xr:uid="{708452B3-63E1-491A-AF06-B856CBD2097D}"/>
    <cellStyle name="40% - Accent1 2 3 6 3" xfId="10847" xr:uid="{BA567188-D557-493C-AC4C-C77D4867AE7A}"/>
    <cellStyle name="40% - Accent1 2 3 7" xfId="4557" xr:uid="{00000000-0005-0000-0000-0000FE030000}"/>
    <cellStyle name="40% - Accent1 2 3 7 2" xfId="12999" xr:uid="{EA580E65-B084-443C-B482-92B168E3F0CA}"/>
    <cellStyle name="40% - Accent1 2 3 8" xfId="8781" xr:uid="{F4A0F5BC-AB3A-458A-A6AA-53DF0324DD8C}"/>
    <cellStyle name="40% - Accent1 2 4" xfId="619" xr:uid="{00000000-0005-0000-0000-0000FF030000}"/>
    <cellStyle name="40% - Accent1 2 4 2" xfId="2890" xr:uid="{00000000-0005-0000-0000-000000040000}"/>
    <cellStyle name="40% - Accent1 2 4 2 2" xfId="7113" xr:uid="{00000000-0005-0000-0000-000001040000}"/>
    <cellStyle name="40% - Accent1 2 4 2 2 2" xfId="15555" xr:uid="{C4ECA060-96E3-4267-94C9-ADC47E311551}"/>
    <cellStyle name="40% - Accent1 2 4 2 3" xfId="11337" xr:uid="{A7F5655B-9229-443A-994E-0059F5D75CA0}"/>
    <cellStyle name="40% - Accent1 2 4 3" xfId="4968" xr:uid="{00000000-0005-0000-0000-000002040000}"/>
    <cellStyle name="40% - Accent1 2 4 3 2" xfId="13410" xr:uid="{979BB457-0948-411E-9F9D-66D083045B50}"/>
    <cellStyle name="40% - Accent1 2 4 4" xfId="9192" xr:uid="{8C8A4091-BD32-46B2-B5D1-7FF4879ED1A9}"/>
    <cellStyle name="40% - Accent1 2 5" xfId="1072" xr:uid="{00000000-0005-0000-0000-000003040000}"/>
    <cellStyle name="40% - Accent1 2 5 2" xfId="3303" xr:uid="{00000000-0005-0000-0000-000004040000}"/>
    <cellStyle name="40% - Accent1 2 5 2 2" xfId="7526" xr:uid="{00000000-0005-0000-0000-000005040000}"/>
    <cellStyle name="40% - Accent1 2 5 2 2 2" xfId="15968" xr:uid="{0B9108D1-BC13-401D-BD8B-AE88D87DC6D3}"/>
    <cellStyle name="40% - Accent1 2 5 2 3" xfId="11750" xr:uid="{C1BE3ED6-2DFD-47F3-930F-5B5CDFDDD288}"/>
    <cellStyle name="40% - Accent1 2 5 3" xfId="5381" xr:uid="{00000000-0005-0000-0000-000006040000}"/>
    <cellStyle name="40% - Accent1 2 5 3 2" xfId="13823" xr:uid="{24F84CA7-EB16-467A-9709-21C973A622D8}"/>
    <cellStyle name="40% - Accent1 2 5 4" xfId="9605" xr:uid="{FA5BA2A5-4D02-4710-8785-5782DEFBD00C}"/>
    <cellStyle name="40% - Accent1 2 6" xfId="1486" xr:uid="{00000000-0005-0000-0000-000007040000}"/>
    <cellStyle name="40% - Accent1 2 6 2" xfId="3716" xr:uid="{00000000-0005-0000-0000-000008040000}"/>
    <cellStyle name="40% - Accent1 2 6 2 2" xfId="7939" xr:uid="{00000000-0005-0000-0000-000009040000}"/>
    <cellStyle name="40% - Accent1 2 6 2 2 2" xfId="16381" xr:uid="{9201E2B6-841B-496F-AA76-7196ABFC8606}"/>
    <cellStyle name="40% - Accent1 2 6 2 3" xfId="12163" xr:uid="{A45FEE1A-94DB-49F3-8F46-2DADD6032737}"/>
    <cellStyle name="40% - Accent1 2 6 3" xfId="5794" xr:uid="{00000000-0005-0000-0000-00000A040000}"/>
    <cellStyle name="40% - Accent1 2 6 3 2" xfId="14236" xr:uid="{0195AF36-D837-4671-91C8-BE116F1C7505}"/>
    <cellStyle name="40% - Accent1 2 6 4" xfId="10018" xr:uid="{434C1A4F-6672-4BC6-AA0F-016FE15A4F23}"/>
    <cellStyle name="40% - Accent1 2 7" xfId="1900" xr:uid="{00000000-0005-0000-0000-00000B040000}"/>
    <cellStyle name="40% - Accent1 2 7 2" xfId="4129" xr:uid="{00000000-0005-0000-0000-00000C040000}"/>
    <cellStyle name="40% - Accent1 2 7 2 2" xfId="8352" xr:uid="{00000000-0005-0000-0000-00000D040000}"/>
    <cellStyle name="40% - Accent1 2 7 2 2 2" xfId="16794" xr:uid="{CE48CD4D-2F09-424E-8782-3C921C684D26}"/>
    <cellStyle name="40% - Accent1 2 7 2 3" xfId="12576" xr:uid="{6BBC44A5-0245-4AFF-BB63-085FB2B0FA5B}"/>
    <cellStyle name="40% - Accent1 2 7 3" xfId="6207" xr:uid="{00000000-0005-0000-0000-00000E040000}"/>
    <cellStyle name="40% - Accent1 2 7 3 2" xfId="14649" xr:uid="{9914E4BB-A8C9-4E4A-8A63-5805FF76AA35}"/>
    <cellStyle name="40% - Accent1 2 7 4" xfId="10431" xr:uid="{ADF9B464-33CB-4034-ACA9-57847143CAD3}"/>
    <cellStyle name="40% - Accent1 2 8" xfId="2313" xr:uid="{00000000-0005-0000-0000-00000F040000}"/>
    <cellStyle name="40% - Accent1 2 8 2" xfId="6620" xr:uid="{00000000-0005-0000-0000-000010040000}"/>
    <cellStyle name="40% - Accent1 2 8 2 2" xfId="15062" xr:uid="{32FD95ED-E38B-420A-ABFA-A5CB81186B6F}"/>
    <cellStyle name="40% - Accent1 2 8 3" xfId="10844" xr:uid="{2A636749-D534-431B-94C2-AF80D09C897C}"/>
    <cellStyle name="40% - Accent1 2 9" xfId="4554" xr:uid="{00000000-0005-0000-0000-000011040000}"/>
    <cellStyle name="40% - Accent1 2 9 2" xfId="12996" xr:uid="{6F523DD7-4420-4628-A8E3-2B88A06422EF}"/>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15560" xr:uid="{32084029-B257-4C17-8350-D4007FEAC16D}"/>
    <cellStyle name="40% - Accent1 3 2 2 2 3" xfId="11342" xr:uid="{0097EA87-BB02-4866-BF05-5A176E1D358C}"/>
    <cellStyle name="40% - Accent1 3 2 2 3" xfId="4973" xr:uid="{00000000-0005-0000-0000-000017040000}"/>
    <cellStyle name="40% - Accent1 3 2 2 3 2" xfId="13415" xr:uid="{F8E032E7-C6BC-4B62-95A3-F8C0B0EE799C}"/>
    <cellStyle name="40% - Accent1 3 2 2 4" xfId="9197" xr:uid="{24A72875-EA53-4361-894A-7F884F15C9D7}"/>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15973" xr:uid="{4996D008-07F8-4D7C-A266-C2ABE7AD67DD}"/>
    <cellStyle name="40% - Accent1 3 2 3 2 3" xfId="11755" xr:uid="{26DE68EE-508D-4FD3-948C-95857333CC8C}"/>
    <cellStyle name="40% - Accent1 3 2 3 3" xfId="5386" xr:uid="{00000000-0005-0000-0000-00001B040000}"/>
    <cellStyle name="40% - Accent1 3 2 3 3 2" xfId="13828" xr:uid="{8B411B1D-8FB8-47D4-A9B8-59B99E84A5DE}"/>
    <cellStyle name="40% - Accent1 3 2 3 4" xfId="9610" xr:uid="{3A72B6F6-BB15-4876-A7B2-3EBEE79C8097}"/>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16386" xr:uid="{7E1DB847-7878-4D0A-9799-E21F2A9806D5}"/>
    <cellStyle name="40% - Accent1 3 2 4 2 3" xfId="12168" xr:uid="{C5964958-C66A-4289-AB5C-88FEA7D44FF0}"/>
    <cellStyle name="40% - Accent1 3 2 4 3" xfId="5799" xr:uid="{00000000-0005-0000-0000-00001F040000}"/>
    <cellStyle name="40% - Accent1 3 2 4 3 2" xfId="14241" xr:uid="{5098A7FE-4DD7-4150-B37E-0CD67F26EC8D}"/>
    <cellStyle name="40% - Accent1 3 2 4 4" xfId="10023" xr:uid="{3CBB8FB7-EC19-4D40-A506-5CF20D5590D6}"/>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16799" xr:uid="{C4AAEFDE-6595-4C98-AD47-62833D7408A4}"/>
    <cellStyle name="40% - Accent1 3 2 5 2 3" xfId="12581" xr:uid="{177805D9-DF06-44C8-8D1E-BF6017597B39}"/>
    <cellStyle name="40% - Accent1 3 2 5 3" xfId="6212" xr:uid="{00000000-0005-0000-0000-000023040000}"/>
    <cellStyle name="40% - Accent1 3 2 5 3 2" xfId="14654" xr:uid="{41E83932-059D-44A1-8672-3AB5B380FBA6}"/>
    <cellStyle name="40% - Accent1 3 2 5 4" xfId="10436" xr:uid="{93FF9F4A-FD94-4F6D-826A-10AC3822F46E}"/>
    <cellStyle name="40% - Accent1 3 2 6" xfId="2318" xr:uid="{00000000-0005-0000-0000-000024040000}"/>
    <cellStyle name="40% - Accent1 3 2 6 2" xfId="6625" xr:uid="{00000000-0005-0000-0000-000025040000}"/>
    <cellStyle name="40% - Accent1 3 2 6 2 2" xfId="15067" xr:uid="{0CC9A28C-6BA8-424F-8190-4A78BD26E99A}"/>
    <cellStyle name="40% - Accent1 3 2 6 3" xfId="10849" xr:uid="{70C452CF-4F23-450D-ABD2-80DCFD01AAAD}"/>
    <cellStyle name="40% - Accent1 3 2 7" xfId="4559" xr:uid="{00000000-0005-0000-0000-000026040000}"/>
    <cellStyle name="40% - Accent1 3 2 7 2" xfId="13001" xr:uid="{C46F0C34-0216-421F-8696-3F887B0DD4D9}"/>
    <cellStyle name="40% - Accent1 3 2 8" xfId="8783" xr:uid="{438C4732-60BA-4322-A845-2C042C48239D}"/>
    <cellStyle name="40% - Accent1 3 3" xfId="623" xr:uid="{00000000-0005-0000-0000-000027040000}"/>
    <cellStyle name="40% - Accent1 3 3 2" xfId="2894" xr:uid="{00000000-0005-0000-0000-000028040000}"/>
    <cellStyle name="40% - Accent1 3 3 2 2" xfId="7117" xr:uid="{00000000-0005-0000-0000-000029040000}"/>
    <cellStyle name="40% - Accent1 3 3 2 2 2" xfId="15559" xr:uid="{535AA2FE-EF63-45B1-B750-D1EE990418C3}"/>
    <cellStyle name="40% - Accent1 3 3 2 3" xfId="11341" xr:uid="{F5C459BF-A04F-4BC4-8778-5B6A65A48986}"/>
    <cellStyle name="40% - Accent1 3 3 3" xfId="4972" xr:uid="{00000000-0005-0000-0000-00002A040000}"/>
    <cellStyle name="40% - Accent1 3 3 3 2" xfId="13414" xr:uid="{3EE89ABC-D341-49DF-81D9-05633645E928}"/>
    <cellStyle name="40% - Accent1 3 3 4" xfId="9196" xr:uid="{CF918200-F293-416F-9015-F3B7869F6E76}"/>
    <cellStyle name="40% - Accent1 3 4" xfId="1076" xr:uid="{00000000-0005-0000-0000-00002B040000}"/>
    <cellStyle name="40% - Accent1 3 4 2" xfId="3307" xr:uid="{00000000-0005-0000-0000-00002C040000}"/>
    <cellStyle name="40% - Accent1 3 4 2 2" xfId="7530" xr:uid="{00000000-0005-0000-0000-00002D040000}"/>
    <cellStyle name="40% - Accent1 3 4 2 2 2" xfId="15972" xr:uid="{BA2B99F8-88AC-4FF5-9E7F-D81C9C629E61}"/>
    <cellStyle name="40% - Accent1 3 4 2 3" xfId="11754" xr:uid="{C85436E1-C108-46F1-ACD7-CE45FC3D576E}"/>
    <cellStyle name="40% - Accent1 3 4 3" xfId="5385" xr:uid="{00000000-0005-0000-0000-00002E040000}"/>
    <cellStyle name="40% - Accent1 3 4 3 2" xfId="13827" xr:uid="{08FC30B7-E98B-46EC-BCB4-A5C5814AE3D0}"/>
    <cellStyle name="40% - Accent1 3 4 4" xfId="9609" xr:uid="{F9ECFA69-29E1-4B7B-AF0D-DBC31F5F30D0}"/>
    <cellStyle name="40% - Accent1 3 5" xfId="1490" xr:uid="{00000000-0005-0000-0000-00002F040000}"/>
    <cellStyle name="40% - Accent1 3 5 2" xfId="3720" xr:uid="{00000000-0005-0000-0000-000030040000}"/>
    <cellStyle name="40% - Accent1 3 5 2 2" xfId="7943" xr:uid="{00000000-0005-0000-0000-000031040000}"/>
    <cellStyle name="40% - Accent1 3 5 2 2 2" xfId="16385" xr:uid="{1890CE96-C754-48B0-87A4-5ACAB9435BF3}"/>
    <cellStyle name="40% - Accent1 3 5 2 3" xfId="12167" xr:uid="{0184103B-ED91-49DC-AD21-C609AD62D681}"/>
    <cellStyle name="40% - Accent1 3 5 3" xfId="5798" xr:uid="{00000000-0005-0000-0000-000032040000}"/>
    <cellStyle name="40% - Accent1 3 5 3 2" xfId="14240" xr:uid="{0F1EE004-33BE-419E-BDDF-DDEE601B1F9A}"/>
    <cellStyle name="40% - Accent1 3 5 4" xfId="10022" xr:uid="{AC8B6BCD-B6B0-43ED-A46F-50D790BE957F}"/>
    <cellStyle name="40% - Accent1 3 6" xfId="1904" xr:uid="{00000000-0005-0000-0000-000033040000}"/>
    <cellStyle name="40% - Accent1 3 6 2" xfId="4133" xr:uid="{00000000-0005-0000-0000-000034040000}"/>
    <cellStyle name="40% - Accent1 3 6 2 2" xfId="8356" xr:uid="{00000000-0005-0000-0000-000035040000}"/>
    <cellStyle name="40% - Accent1 3 6 2 2 2" xfId="16798" xr:uid="{07AE5033-B642-4C35-A0EB-2BC53C085B58}"/>
    <cellStyle name="40% - Accent1 3 6 2 3" xfId="12580" xr:uid="{DEC36DD2-BE07-4FEE-A4CC-9A3CD0BB6642}"/>
    <cellStyle name="40% - Accent1 3 6 3" xfId="6211" xr:uid="{00000000-0005-0000-0000-000036040000}"/>
    <cellStyle name="40% - Accent1 3 6 3 2" xfId="14653" xr:uid="{05FF16AB-CD5F-4D11-95A0-4D004F39FBE7}"/>
    <cellStyle name="40% - Accent1 3 6 4" xfId="10435" xr:uid="{1D49BE0F-2EFE-4F76-B78E-6BE30ABAA683}"/>
    <cellStyle name="40% - Accent1 3 7" xfId="2317" xr:uid="{00000000-0005-0000-0000-000037040000}"/>
    <cellStyle name="40% - Accent1 3 7 2" xfId="6624" xr:uid="{00000000-0005-0000-0000-000038040000}"/>
    <cellStyle name="40% - Accent1 3 7 2 2" xfId="15066" xr:uid="{FB11FF58-6EB3-4933-A5B0-968B973DFCEE}"/>
    <cellStyle name="40% - Accent1 3 7 3" xfId="10848" xr:uid="{EFA2C426-A441-4574-804C-F06B97FB2F6D}"/>
    <cellStyle name="40% - Accent1 3 8" xfId="4558" xr:uid="{00000000-0005-0000-0000-000039040000}"/>
    <cellStyle name="40% - Accent1 3 8 2" xfId="13000" xr:uid="{B7077D7B-A75C-4C91-839E-022665BFBEB0}"/>
    <cellStyle name="40% - Accent1 3 9" xfId="8782" xr:uid="{A1B17FCF-0470-4F0A-92FF-424DFEE6072A}"/>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2 2 2" xfId="15561" xr:uid="{76699CEB-39CC-4931-BA76-9A0AF66599DB}"/>
    <cellStyle name="40% - Accent1 4 2 2 3" xfId="11343" xr:uid="{2C5D399F-1B14-4A7F-95FB-DFFF48A172AB}"/>
    <cellStyle name="40% - Accent1 4 2 3" xfId="4974" xr:uid="{00000000-0005-0000-0000-00003E040000}"/>
    <cellStyle name="40% - Accent1 4 2 3 2" xfId="13416" xr:uid="{B158F54C-5AAB-4B89-959D-0C9FE11A9F23}"/>
    <cellStyle name="40% - Accent1 4 2 4" xfId="9198" xr:uid="{699667A6-EE80-4149-A960-0F0E49F8D76F}"/>
    <cellStyle name="40% - Accent1 4 3" xfId="1078" xr:uid="{00000000-0005-0000-0000-00003F040000}"/>
    <cellStyle name="40% - Accent1 4 3 2" xfId="3309" xr:uid="{00000000-0005-0000-0000-000040040000}"/>
    <cellStyle name="40% - Accent1 4 3 2 2" xfId="7532" xr:uid="{00000000-0005-0000-0000-000041040000}"/>
    <cellStyle name="40% - Accent1 4 3 2 2 2" xfId="15974" xr:uid="{F61BF32B-8186-4D38-B7AF-BA7A7E8EF75A}"/>
    <cellStyle name="40% - Accent1 4 3 2 3" xfId="11756" xr:uid="{2DA6E735-480F-4890-B03F-F353102D8D20}"/>
    <cellStyle name="40% - Accent1 4 3 3" xfId="5387" xr:uid="{00000000-0005-0000-0000-000042040000}"/>
    <cellStyle name="40% - Accent1 4 3 3 2" xfId="13829" xr:uid="{8357A7C4-6201-4E0C-B442-7C9149262696}"/>
    <cellStyle name="40% - Accent1 4 3 4" xfId="9611" xr:uid="{1407331C-BE6D-4C10-BD2C-998BA0D82709}"/>
    <cellStyle name="40% - Accent1 4 4" xfId="1492" xr:uid="{00000000-0005-0000-0000-000043040000}"/>
    <cellStyle name="40% - Accent1 4 4 2" xfId="3722" xr:uid="{00000000-0005-0000-0000-000044040000}"/>
    <cellStyle name="40% - Accent1 4 4 2 2" xfId="7945" xr:uid="{00000000-0005-0000-0000-000045040000}"/>
    <cellStyle name="40% - Accent1 4 4 2 2 2" xfId="16387" xr:uid="{8B593685-842E-459B-A1C5-85DB0B94308E}"/>
    <cellStyle name="40% - Accent1 4 4 2 3" xfId="12169" xr:uid="{F963D3C3-E59E-4747-835A-8DB9394225B1}"/>
    <cellStyle name="40% - Accent1 4 4 3" xfId="5800" xr:uid="{00000000-0005-0000-0000-000046040000}"/>
    <cellStyle name="40% - Accent1 4 4 3 2" xfId="14242" xr:uid="{BA330064-D640-4AA0-BF27-06D183FA1B0B}"/>
    <cellStyle name="40% - Accent1 4 4 4" xfId="10024" xr:uid="{946BAE72-B8E4-4309-AC27-67E58BDFBA8B}"/>
    <cellStyle name="40% - Accent1 4 5" xfId="1906" xr:uid="{00000000-0005-0000-0000-000047040000}"/>
    <cellStyle name="40% - Accent1 4 5 2" xfId="4135" xr:uid="{00000000-0005-0000-0000-000048040000}"/>
    <cellStyle name="40% - Accent1 4 5 2 2" xfId="8358" xr:uid="{00000000-0005-0000-0000-000049040000}"/>
    <cellStyle name="40% - Accent1 4 5 2 2 2" xfId="16800" xr:uid="{1726F8B1-CB1B-4332-B73F-020F145599C2}"/>
    <cellStyle name="40% - Accent1 4 5 2 3" xfId="12582" xr:uid="{FBCEE5A6-8340-44E6-8F84-D697A09E638C}"/>
    <cellStyle name="40% - Accent1 4 5 3" xfId="6213" xr:uid="{00000000-0005-0000-0000-00004A040000}"/>
    <cellStyle name="40% - Accent1 4 5 3 2" xfId="14655" xr:uid="{7AA253BA-2A5A-4231-8ED3-D3A465247EF7}"/>
    <cellStyle name="40% - Accent1 4 5 4" xfId="10437" xr:uid="{53A4C798-1396-4EDB-AAB0-B904919FCA18}"/>
    <cellStyle name="40% - Accent1 4 6" xfId="2319" xr:uid="{00000000-0005-0000-0000-00004B040000}"/>
    <cellStyle name="40% - Accent1 4 6 2" xfId="6626" xr:uid="{00000000-0005-0000-0000-00004C040000}"/>
    <cellStyle name="40% - Accent1 4 6 2 2" xfId="15068" xr:uid="{8D960C67-F264-4F58-BD1C-744EB8FB6302}"/>
    <cellStyle name="40% - Accent1 4 6 3" xfId="10850" xr:uid="{F1F31245-A93F-4114-9E7B-A206CA3E106B}"/>
    <cellStyle name="40% - Accent1 4 7" xfId="4560" xr:uid="{00000000-0005-0000-0000-00004D040000}"/>
    <cellStyle name="40% - Accent1 4 7 2" xfId="13002" xr:uid="{8B283563-801A-4459-8EEB-50DF57B06860}"/>
    <cellStyle name="40% - Accent1 4 8" xfId="8784" xr:uid="{886F5282-C68C-435F-9A7A-F065B3C6DC4A}"/>
    <cellStyle name="40% - Accent1 5" xfId="618" xr:uid="{00000000-0005-0000-0000-00004E040000}"/>
    <cellStyle name="40% - Accent1 5 2" xfId="2889" xr:uid="{00000000-0005-0000-0000-00004F040000}"/>
    <cellStyle name="40% - Accent1 5 2 2" xfId="7112" xr:uid="{00000000-0005-0000-0000-000050040000}"/>
    <cellStyle name="40% - Accent1 5 2 2 2" xfId="15554" xr:uid="{94F4D558-BCD9-4B7B-A2DB-5F112A4E98FE}"/>
    <cellStyle name="40% - Accent1 5 2 3" xfId="11336" xr:uid="{3930F74D-FE3A-49EB-BE1D-D948B9578293}"/>
    <cellStyle name="40% - Accent1 5 3" xfId="4967" xr:uid="{00000000-0005-0000-0000-000051040000}"/>
    <cellStyle name="40% - Accent1 5 3 2" xfId="13409" xr:uid="{91BA84F2-81EA-46AB-A381-AE6BEE3116DD}"/>
    <cellStyle name="40% - Accent1 5 4" xfId="9191" xr:uid="{F6FB7ECD-FF83-4460-AC1E-AA0285BBDF4A}"/>
    <cellStyle name="40% - Accent1 6" xfId="1071" xr:uid="{00000000-0005-0000-0000-000052040000}"/>
    <cellStyle name="40% - Accent1 6 2" xfId="3302" xr:uid="{00000000-0005-0000-0000-000053040000}"/>
    <cellStyle name="40% - Accent1 6 2 2" xfId="7525" xr:uid="{00000000-0005-0000-0000-000054040000}"/>
    <cellStyle name="40% - Accent1 6 2 2 2" xfId="15967" xr:uid="{47187BD7-2BE4-49FE-BE50-9E51F8C3ED3A}"/>
    <cellStyle name="40% - Accent1 6 2 3" xfId="11749" xr:uid="{9BD8F428-0AA6-4F77-BFA8-077C57198986}"/>
    <cellStyle name="40% - Accent1 6 3" xfId="5380" xr:uid="{00000000-0005-0000-0000-000055040000}"/>
    <cellStyle name="40% - Accent1 6 3 2" xfId="13822" xr:uid="{7CCA1C98-78DA-48F6-B1B4-EB0BEAEE013D}"/>
    <cellStyle name="40% - Accent1 6 4" xfId="9604" xr:uid="{47458B60-4B56-4691-8844-AC0C207B020D}"/>
    <cellStyle name="40% - Accent1 7" xfId="1485" xr:uid="{00000000-0005-0000-0000-000056040000}"/>
    <cellStyle name="40% - Accent1 7 2" xfId="3715" xr:uid="{00000000-0005-0000-0000-000057040000}"/>
    <cellStyle name="40% - Accent1 7 2 2" xfId="7938" xr:uid="{00000000-0005-0000-0000-000058040000}"/>
    <cellStyle name="40% - Accent1 7 2 2 2" xfId="16380" xr:uid="{40F7F089-282A-410E-AAB7-9FE6D245326E}"/>
    <cellStyle name="40% - Accent1 7 2 3" xfId="12162" xr:uid="{7432330A-AA5E-4BF1-8D92-2EC54A2F3423}"/>
    <cellStyle name="40% - Accent1 7 3" xfId="5793" xr:uid="{00000000-0005-0000-0000-000059040000}"/>
    <cellStyle name="40% - Accent1 7 3 2" xfId="14235" xr:uid="{94E27555-19B9-446B-8AA0-F50A1E17D425}"/>
    <cellStyle name="40% - Accent1 7 4" xfId="10017" xr:uid="{BE5D2F65-57DB-4AB1-855D-4F5B79C6F710}"/>
    <cellStyle name="40% - Accent1 8" xfId="1899" xr:uid="{00000000-0005-0000-0000-00005A040000}"/>
    <cellStyle name="40% - Accent1 8 2" xfId="4128" xr:uid="{00000000-0005-0000-0000-00005B040000}"/>
    <cellStyle name="40% - Accent1 8 2 2" xfId="8351" xr:uid="{00000000-0005-0000-0000-00005C040000}"/>
    <cellStyle name="40% - Accent1 8 2 2 2" xfId="16793" xr:uid="{07D99E91-BCDC-41BC-B93A-2EC7FE0D33F7}"/>
    <cellStyle name="40% - Accent1 8 2 3" xfId="12575" xr:uid="{85BD028B-E14A-4A40-930B-C3ABA7819AFE}"/>
    <cellStyle name="40% - Accent1 8 3" xfId="6206" xr:uid="{00000000-0005-0000-0000-00005D040000}"/>
    <cellStyle name="40% - Accent1 8 3 2" xfId="14648" xr:uid="{98AC3825-129A-4CC1-A136-18A72937451D}"/>
    <cellStyle name="40% - Accent1 8 4" xfId="10430" xr:uid="{F833384A-C17B-4D9C-836D-A31862197EE3}"/>
    <cellStyle name="40% - Accent1 9" xfId="2312" xr:uid="{00000000-0005-0000-0000-00005E040000}"/>
    <cellStyle name="40% - Accent1 9 2" xfId="6619" xr:uid="{00000000-0005-0000-0000-00005F040000}"/>
    <cellStyle name="40% - Accent1 9 2 2" xfId="15061" xr:uid="{B11BEED7-8F68-45B9-8032-045FC5D8AEC1}"/>
    <cellStyle name="40% - Accent1 9 3" xfId="10843" xr:uid="{2B051F99-7411-4AEE-A4D1-CC0BD585D4A1}"/>
    <cellStyle name="40% - Accent2" xfId="57" builtinId="35" customBuiltin="1"/>
    <cellStyle name="40% - Accent2 10" xfId="4561" xr:uid="{00000000-0005-0000-0000-000061040000}"/>
    <cellStyle name="40% - Accent2 10 2" xfId="13003" xr:uid="{3086E2FB-CEB6-483C-8230-07E0EE14A95F}"/>
    <cellStyle name="40% - Accent2 11" xfId="8785" xr:uid="{55E81917-F7A1-42F2-8300-B83FA84410C8}"/>
    <cellStyle name="40% - Accent2 2" xfId="58" xr:uid="{00000000-0005-0000-0000-000062040000}"/>
    <cellStyle name="40% - Accent2 2 10" xfId="8786" xr:uid="{D93B9AD8-D0AF-470C-B0CF-D5698F21D16A}"/>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15565" xr:uid="{B84BA033-21C9-4E57-98D0-5F2100DAC4C0}"/>
    <cellStyle name="40% - Accent2 2 2 2 2 2 3" xfId="11347" xr:uid="{6BC7CDCC-6EE0-49E1-A3CE-84A4F32129EC}"/>
    <cellStyle name="40% - Accent2 2 2 2 2 3" xfId="4978" xr:uid="{00000000-0005-0000-0000-000068040000}"/>
    <cellStyle name="40% - Accent2 2 2 2 2 3 2" xfId="13420" xr:uid="{4167AD10-1FAF-46A6-A558-4FDC7CE532E8}"/>
    <cellStyle name="40% - Accent2 2 2 2 2 4" xfId="9202" xr:uid="{009E1CB4-4B66-40DD-8909-57488F279503}"/>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15978" xr:uid="{BC33FF51-D172-4E9B-B35B-93B2BA83219B}"/>
    <cellStyle name="40% - Accent2 2 2 2 3 2 3" xfId="11760" xr:uid="{B7B1580F-8621-442C-8EE4-4EB05AFC7D45}"/>
    <cellStyle name="40% - Accent2 2 2 2 3 3" xfId="5391" xr:uid="{00000000-0005-0000-0000-00006C040000}"/>
    <cellStyle name="40% - Accent2 2 2 2 3 3 2" xfId="13833" xr:uid="{DB0BEE96-9804-4851-8E05-26D5ED3666D8}"/>
    <cellStyle name="40% - Accent2 2 2 2 3 4" xfId="9615" xr:uid="{84EE3AB5-3AEB-45F9-B1EB-42FEA7DCD89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16391" xr:uid="{50EFFEFB-41EE-4CE4-BCDE-58FA0356BA3B}"/>
    <cellStyle name="40% - Accent2 2 2 2 4 2 3" xfId="12173" xr:uid="{87AB39CC-FD51-40A6-BF2D-FD7ED0BBBE4C}"/>
    <cellStyle name="40% - Accent2 2 2 2 4 3" xfId="5804" xr:uid="{00000000-0005-0000-0000-000070040000}"/>
    <cellStyle name="40% - Accent2 2 2 2 4 3 2" xfId="14246" xr:uid="{659957E7-3E20-4798-98CF-8BE352B1884D}"/>
    <cellStyle name="40% - Accent2 2 2 2 4 4" xfId="10028" xr:uid="{20E50D59-30CB-4F34-B7B0-3442FEC1198E}"/>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16804" xr:uid="{429BF7D6-0428-4B02-AAE4-F5253413B94A}"/>
    <cellStyle name="40% - Accent2 2 2 2 5 2 3" xfId="12586" xr:uid="{88AE923B-9F3E-49E9-BB4D-5630E5869C72}"/>
    <cellStyle name="40% - Accent2 2 2 2 5 3" xfId="6217" xr:uid="{00000000-0005-0000-0000-000074040000}"/>
    <cellStyle name="40% - Accent2 2 2 2 5 3 2" xfId="14659" xr:uid="{FF78D371-BC9E-4173-9021-DC84D8AB40CD}"/>
    <cellStyle name="40% - Accent2 2 2 2 5 4" xfId="10441" xr:uid="{5F7F3B28-F1D3-40E0-A5E4-9BADB66972D3}"/>
    <cellStyle name="40% - Accent2 2 2 2 6" xfId="2323" xr:uid="{00000000-0005-0000-0000-000075040000}"/>
    <cellStyle name="40% - Accent2 2 2 2 6 2" xfId="6630" xr:uid="{00000000-0005-0000-0000-000076040000}"/>
    <cellStyle name="40% - Accent2 2 2 2 6 2 2" xfId="15072" xr:uid="{48B3FF6C-0223-4243-AE9F-BEB388D3E593}"/>
    <cellStyle name="40% - Accent2 2 2 2 6 3" xfId="10854" xr:uid="{1586A5C7-6C5F-4547-A792-15D3504DA932}"/>
    <cellStyle name="40% - Accent2 2 2 2 7" xfId="4564" xr:uid="{00000000-0005-0000-0000-000077040000}"/>
    <cellStyle name="40% - Accent2 2 2 2 7 2" xfId="13006" xr:uid="{7D26E6F5-58E7-49E4-9FD7-84678C7BD1C6}"/>
    <cellStyle name="40% - Accent2 2 2 2 8" xfId="8788" xr:uid="{49F2122C-66C3-4002-81CD-5E3926739D6A}"/>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15564" xr:uid="{DD84B2EC-E2FE-41A0-985B-56216BFC0625}"/>
    <cellStyle name="40% - Accent2 2 2 3 2 3" xfId="11346" xr:uid="{D1E31B20-E4F8-45FB-BBBA-41512A6D88D0}"/>
    <cellStyle name="40% - Accent2 2 2 3 3" xfId="4977" xr:uid="{00000000-0005-0000-0000-00007B040000}"/>
    <cellStyle name="40% - Accent2 2 2 3 3 2" xfId="13419" xr:uid="{B32989A3-F600-498F-BF4E-61FEEBDDE6AE}"/>
    <cellStyle name="40% - Accent2 2 2 3 4" xfId="9201" xr:uid="{BCA5FADF-99B2-4B29-95A0-D2A79D0EFFA1}"/>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15977" xr:uid="{B09F66A5-0334-475E-B178-F985F5875162}"/>
    <cellStyle name="40% - Accent2 2 2 4 2 3" xfId="11759" xr:uid="{09574973-003E-4E7B-8C0E-83AEA9E124DE}"/>
    <cellStyle name="40% - Accent2 2 2 4 3" xfId="5390" xr:uid="{00000000-0005-0000-0000-00007F040000}"/>
    <cellStyle name="40% - Accent2 2 2 4 3 2" xfId="13832" xr:uid="{FA7D5B31-8A7F-4413-A895-6C17622B703D}"/>
    <cellStyle name="40% - Accent2 2 2 4 4" xfId="9614" xr:uid="{176EFD76-DA14-401C-8E74-DAA3C86C8BF3}"/>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16390" xr:uid="{DB206E66-9E7D-467D-97BF-36459C586DD5}"/>
    <cellStyle name="40% - Accent2 2 2 5 2 3" xfId="12172" xr:uid="{025E3CBD-D721-4D6B-B02C-8E8B856A9898}"/>
    <cellStyle name="40% - Accent2 2 2 5 3" xfId="5803" xr:uid="{00000000-0005-0000-0000-000083040000}"/>
    <cellStyle name="40% - Accent2 2 2 5 3 2" xfId="14245" xr:uid="{1B3F5A16-6751-42FA-A97E-A0161C6FB7FB}"/>
    <cellStyle name="40% - Accent2 2 2 5 4" xfId="10027" xr:uid="{867437D1-70EA-46D9-A94B-AD965544E0B1}"/>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16803" xr:uid="{2F8B9B64-F523-4990-B0C8-EE8C6FE078DA}"/>
    <cellStyle name="40% - Accent2 2 2 6 2 3" xfId="12585" xr:uid="{92C5E8F9-2A8B-403D-9499-8A9AE1B80350}"/>
    <cellStyle name="40% - Accent2 2 2 6 3" xfId="6216" xr:uid="{00000000-0005-0000-0000-000087040000}"/>
    <cellStyle name="40% - Accent2 2 2 6 3 2" xfId="14658" xr:uid="{6BFBF553-336F-4431-8185-1BFF8A92D0E1}"/>
    <cellStyle name="40% - Accent2 2 2 6 4" xfId="10440" xr:uid="{046A7077-AF08-40D5-9D1B-AF4CD20F9273}"/>
    <cellStyle name="40% - Accent2 2 2 7" xfId="2322" xr:uid="{00000000-0005-0000-0000-000088040000}"/>
    <cellStyle name="40% - Accent2 2 2 7 2" xfId="6629" xr:uid="{00000000-0005-0000-0000-000089040000}"/>
    <cellStyle name="40% - Accent2 2 2 7 2 2" xfId="15071" xr:uid="{D8E77A11-C8A8-4444-8D2C-AEF31AA68852}"/>
    <cellStyle name="40% - Accent2 2 2 7 3" xfId="10853" xr:uid="{E04B7001-3FEF-4E87-BC2D-0083945121C4}"/>
    <cellStyle name="40% - Accent2 2 2 8" xfId="4563" xr:uid="{00000000-0005-0000-0000-00008A040000}"/>
    <cellStyle name="40% - Accent2 2 2 8 2" xfId="13005" xr:uid="{8F681505-A639-4E93-A540-8A2117DDC1D0}"/>
    <cellStyle name="40% - Accent2 2 2 9" xfId="8787" xr:uid="{F2217810-3001-4517-A399-43EDF6526B87}"/>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15566" xr:uid="{06B12D47-A9A3-46C0-BECF-7A26A2D3FB5F}"/>
    <cellStyle name="40% - Accent2 2 3 2 2 3" xfId="11348" xr:uid="{3FB0D43A-55D3-4047-871E-6FE6AAC60C79}"/>
    <cellStyle name="40% - Accent2 2 3 2 3" xfId="4979" xr:uid="{00000000-0005-0000-0000-00008F040000}"/>
    <cellStyle name="40% - Accent2 2 3 2 3 2" xfId="13421" xr:uid="{5BA80752-9665-407B-8E43-97381F94E731}"/>
    <cellStyle name="40% - Accent2 2 3 2 4" xfId="9203" xr:uid="{E6120620-9751-473C-972F-6C1FA411D4F8}"/>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15979" xr:uid="{228BE81F-D607-458C-BC5C-66E1916B41C4}"/>
    <cellStyle name="40% - Accent2 2 3 3 2 3" xfId="11761" xr:uid="{85C27163-B549-47D2-A458-9801DFAA5234}"/>
    <cellStyle name="40% - Accent2 2 3 3 3" xfId="5392" xr:uid="{00000000-0005-0000-0000-000093040000}"/>
    <cellStyle name="40% - Accent2 2 3 3 3 2" xfId="13834" xr:uid="{571C8A82-1440-4D62-A1C8-08E2D6787B40}"/>
    <cellStyle name="40% - Accent2 2 3 3 4" xfId="9616" xr:uid="{5C8D978F-26D0-42DB-90C8-3CA4C7202146}"/>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16392" xr:uid="{03FA206A-D64E-4E9A-BC93-A1E9417E12BD}"/>
    <cellStyle name="40% - Accent2 2 3 4 2 3" xfId="12174" xr:uid="{B3D61111-EE08-48EE-8451-615A14D89DE6}"/>
    <cellStyle name="40% - Accent2 2 3 4 3" xfId="5805" xr:uid="{00000000-0005-0000-0000-000097040000}"/>
    <cellStyle name="40% - Accent2 2 3 4 3 2" xfId="14247" xr:uid="{AE7227A3-1CFD-4DA3-9169-16E76A551E64}"/>
    <cellStyle name="40% - Accent2 2 3 4 4" xfId="10029" xr:uid="{8F4AA51F-4D07-4210-8E3C-B2C5F3CD2EF8}"/>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16805" xr:uid="{475D6D74-449E-417B-B709-7466C6DD67C5}"/>
    <cellStyle name="40% - Accent2 2 3 5 2 3" xfId="12587" xr:uid="{72B3CAC6-47E7-4602-BFB0-D7599BBA2A7F}"/>
    <cellStyle name="40% - Accent2 2 3 5 3" xfId="6218" xr:uid="{00000000-0005-0000-0000-00009B040000}"/>
    <cellStyle name="40% - Accent2 2 3 5 3 2" xfId="14660" xr:uid="{1FB46117-1224-4DEE-A833-93AF1A1EC677}"/>
    <cellStyle name="40% - Accent2 2 3 5 4" xfId="10442" xr:uid="{CE98B06F-6998-4165-B58D-F8AF97C7A77F}"/>
    <cellStyle name="40% - Accent2 2 3 6" xfId="2324" xr:uid="{00000000-0005-0000-0000-00009C040000}"/>
    <cellStyle name="40% - Accent2 2 3 6 2" xfId="6631" xr:uid="{00000000-0005-0000-0000-00009D040000}"/>
    <cellStyle name="40% - Accent2 2 3 6 2 2" xfId="15073" xr:uid="{1655E6C1-FC6E-465F-8765-C7A7870DDD6E}"/>
    <cellStyle name="40% - Accent2 2 3 6 3" xfId="10855" xr:uid="{6B76F295-5270-4E45-86CA-84378246D32F}"/>
    <cellStyle name="40% - Accent2 2 3 7" xfId="4565" xr:uid="{00000000-0005-0000-0000-00009E040000}"/>
    <cellStyle name="40% - Accent2 2 3 7 2" xfId="13007" xr:uid="{4FDAF191-529B-439E-9063-D069A4D2298F}"/>
    <cellStyle name="40% - Accent2 2 3 8" xfId="8789" xr:uid="{8D7572C2-6CC3-4F0B-868B-B49F48875FF2}"/>
    <cellStyle name="40% - Accent2 2 4" xfId="627" xr:uid="{00000000-0005-0000-0000-00009F040000}"/>
    <cellStyle name="40% - Accent2 2 4 2" xfId="2898" xr:uid="{00000000-0005-0000-0000-0000A0040000}"/>
    <cellStyle name="40% - Accent2 2 4 2 2" xfId="7121" xr:uid="{00000000-0005-0000-0000-0000A1040000}"/>
    <cellStyle name="40% - Accent2 2 4 2 2 2" xfId="15563" xr:uid="{9ECBCDD2-8B8A-46EC-B7FA-2E74FFB490BA}"/>
    <cellStyle name="40% - Accent2 2 4 2 3" xfId="11345" xr:uid="{8D075F86-D4CD-4D84-A4DC-5905B18B349C}"/>
    <cellStyle name="40% - Accent2 2 4 3" xfId="4976" xr:uid="{00000000-0005-0000-0000-0000A2040000}"/>
    <cellStyle name="40% - Accent2 2 4 3 2" xfId="13418" xr:uid="{07007AF1-74E1-46BA-9180-A478916922F6}"/>
    <cellStyle name="40% - Accent2 2 4 4" xfId="9200" xr:uid="{387798A9-7219-4FE7-8637-5EF2F0444988}"/>
    <cellStyle name="40% - Accent2 2 5" xfId="1080" xr:uid="{00000000-0005-0000-0000-0000A3040000}"/>
    <cellStyle name="40% - Accent2 2 5 2" xfId="3311" xr:uid="{00000000-0005-0000-0000-0000A4040000}"/>
    <cellStyle name="40% - Accent2 2 5 2 2" xfId="7534" xr:uid="{00000000-0005-0000-0000-0000A5040000}"/>
    <cellStyle name="40% - Accent2 2 5 2 2 2" xfId="15976" xr:uid="{8D9E24FD-122B-4A07-A488-29538DE860A7}"/>
    <cellStyle name="40% - Accent2 2 5 2 3" xfId="11758" xr:uid="{913D37DD-A8B8-4443-AA46-00B28B950171}"/>
    <cellStyle name="40% - Accent2 2 5 3" xfId="5389" xr:uid="{00000000-0005-0000-0000-0000A6040000}"/>
    <cellStyle name="40% - Accent2 2 5 3 2" xfId="13831" xr:uid="{FEF0CC5F-5226-4FF9-8FF6-F842A771085A}"/>
    <cellStyle name="40% - Accent2 2 5 4" xfId="9613" xr:uid="{94003040-848F-4D62-AB23-5B77F96DE252}"/>
    <cellStyle name="40% - Accent2 2 6" xfId="1494" xr:uid="{00000000-0005-0000-0000-0000A7040000}"/>
    <cellStyle name="40% - Accent2 2 6 2" xfId="3724" xr:uid="{00000000-0005-0000-0000-0000A8040000}"/>
    <cellStyle name="40% - Accent2 2 6 2 2" xfId="7947" xr:uid="{00000000-0005-0000-0000-0000A9040000}"/>
    <cellStyle name="40% - Accent2 2 6 2 2 2" xfId="16389" xr:uid="{9130FEF7-F181-4B53-AA01-C128C1469C00}"/>
    <cellStyle name="40% - Accent2 2 6 2 3" xfId="12171" xr:uid="{AF95E0B8-F5FE-4C52-AD73-7DF83B12CA27}"/>
    <cellStyle name="40% - Accent2 2 6 3" xfId="5802" xr:uid="{00000000-0005-0000-0000-0000AA040000}"/>
    <cellStyle name="40% - Accent2 2 6 3 2" xfId="14244" xr:uid="{3A706ADC-8CD6-4E7A-8ADF-2040B97234E6}"/>
    <cellStyle name="40% - Accent2 2 6 4" xfId="10026" xr:uid="{A0E0D3DB-523E-4907-991C-B3DD9790D289}"/>
    <cellStyle name="40% - Accent2 2 7" xfId="1908" xr:uid="{00000000-0005-0000-0000-0000AB040000}"/>
    <cellStyle name="40% - Accent2 2 7 2" xfId="4137" xr:uid="{00000000-0005-0000-0000-0000AC040000}"/>
    <cellStyle name="40% - Accent2 2 7 2 2" xfId="8360" xr:uid="{00000000-0005-0000-0000-0000AD040000}"/>
    <cellStyle name="40% - Accent2 2 7 2 2 2" xfId="16802" xr:uid="{05142DDB-8338-4172-80F1-BCA5BD2C3D71}"/>
    <cellStyle name="40% - Accent2 2 7 2 3" xfId="12584" xr:uid="{FD974221-7B2A-4EA9-83FB-1092C6AAE4F3}"/>
    <cellStyle name="40% - Accent2 2 7 3" xfId="6215" xr:uid="{00000000-0005-0000-0000-0000AE040000}"/>
    <cellStyle name="40% - Accent2 2 7 3 2" xfId="14657" xr:uid="{84763849-D540-40E4-B1A0-455EA489FBB3}"/>
    <cellStyle name="40% - Accent2 2 7 4" xfId="10439" xr:uid="{06AD34D3-B4BA-45AF-A51E-0EFB18E0A407}"/>
    <cellStyle name="40% - Accent2 2 8" xfId="2321" xr:uid="{00000000-0005-0000-0000-0000AF040000}"/>
    <cellStyle name="40% - Accent2 2 8 2" xfId="6628" xr:uid="{00000000-0005-0000-0000-0000B0040000}"/>
    <cellStyle name="40% - Accent2 2 8 2 2" xfId="15070" xr:uid="{03B21890-AB3E-4B20-ADF1-2E15A3944C54}"/>
    <cellStyle name="40% - Accent2 2 8 3" xfId="10852" xr:uid="{93EA59CF-980A-4A7B-90F8-38E5C8B2F0FD}"/>
    <cellStyle name="40% - Accent2 2 9" xfId="4562" xr:uid="{00000000-0005-0000-0000-0000B1040000}"/>
    <cellStyle name="40% - Accent2 2 9 2" xfId="13004" xr:uid="{FEFA7BB6-6B17-4C25-941D-97F418359EF9}"/>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15568" xr:uid="{A97DEE42-1463-4273-AAAB-8A6AA133318B}"/>
    <cellStyle name="40% - Accent2 3 2 2 2 3" xfId="11350" xr:uid="{32811BAB-E117-4E08-A85A-6D8B5D7B9F6D}"/>
    <cellStyle name="40% - Accent2 3 2 2 3" xfId="4981" xr:uid="{00000000-0005-0000-0000-0000B7040000}"/>
    <cellStyle name="40% - Accent2 3 2 2 3 2" xfId="13423" xr:uid="{C2C22F5D-4CE0-4890-A3F2-3DD2B0210D59}"/>
    <cellStyle name="40% - Accent2 3 2 2 4" xfId="9205" xr:uid="{4D526057-5C34-4A63-B5F4-315E3EF94131}"/>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15981" xr:uid="{E29A0463-E342-4F68-B78E-DC75A8BF047E}"/>
    <cellStyle name="40% - Accent2 3 2 3 2 3" xfId="11763" xr:uid="{38521883-C75B-42CD-AE87-6BE7985067B0}"/>
    <cellStyle name="40% - Accent2 3 2 3 3" xfId="5394" xr:uid="{00000000-0005-0000-0000-0000BB040000}"/>
    <cellStyle name="40% - Accent2 3 2 3 3 2" xfId="13836" xr:uid="{8641CB67-603E-4CEC-AAD8-022FB48DC525}"/>
    <cellStyle name="40% - Accent2 3 2 3 4" xfId="9618" xr:uid="{7146C8FF-E15E-49F6-92CF-423E411CD420}"/>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16394" xr:uid="{894531A1-0947-4B52-93CC-D626D9DBAE7D}"/>
    <cellStyle name="40% - Accent2 3 2 4 2 3" xfId="12176" xr:uid="{35CDF096-6C0E-4CC5-ABC4-F82AD2A1F0C3}"/>
    <cellStyle name="40% - Accent2 3 2 4 3" xfId="5807" xr:uid="{00000000-0005-0000-0000-0000BF040000}"/>
    <cellStyle name="40% - Accent2 3 2 4 3 2" xfId="14249" xr:uid="{6E2529B9-4C17-424C-80DB-EC0AD9971855}"/>
    <cellStyle name="40% - Accent2 3 2 4 4" xfId="10031" xr:uid="{F6002FF3-8A9E-4F64-A035-323E5650DE85}"/>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16807" xr:uid="{7F610442-80DE-493E-AAB2-BCD2588D1716}"/>
    <cellStyle name="40% - Accent2 3 2 5 2 3" xfId="12589" xr:uid="{42AE167B-50BA-4458-8321-14A5A1CF6FA4}"/>
    <cellStyle name="40% - Accent2 3 2 5 3" xfId="6220" xr:uid="{00000000-0005-0000-0000-0000C3040000}"/>
    <cellStyle name="40% - Accent2 3 2 5 3 2" xfId="14662" xr:uid="{7214BCF0-6355-400B-AD2A-315376B0B9E1}"/>
    <cellStyle name="40% - Accent2 3 2 5 4" xfId="10444" xr:uid="{487C50E3-D5F7-49B1-BA17-F749C61E6AF1}"/>
    <cellStyle name="40% - Accent2 3 2 6" xfId="2326" xr:uid="{00000000-0005-0000-0000-0000C4040000}"/>
    <cellStyle name="40% - Accent2 3 2 6 2" xfId="6633" xr:uid="{00000000-0005-0000-0000-0000C5040000}"/>
    <cellStyle name="40% - Accent2 3 2 6 2 2" xfId="15075" xr:uid="{631FF518-3A91-4C9E-A25E-404B0ABB8DA2}"/>
    <cellStyle name="40% - Accent2 3 2 6 3" xfId="10857" xr:uid="{162555DD-DBE6-4E45-9A0E-D8CA7704995B}"/>
    <cellStyle name="40% - Accent2 3 2 7" xfId="4567" xr:uid="{00000000-0005-0000-0000-0000C6040000}"/>
    <cellStyle name="40% - Accent2 3 2 7 2" xfId="13009" xr:uid="{E00D532D-F4EC-4CEF-9398-D7215E463FF2}"/>
    <cellStyle name="40% - Accent2 3 2 8" xfId="8791" xr:uid="{9F951DD9-FB7D-4796-BE61-527EF3A7FB3A}"/>
    <cellStyle name="40% - Accent2 3 3" xfId="631" xr:uid="{00000000-0005-0000-0000-0000C7040000}"/>
    <cellStyle name="40% - Accent2 3 3 2" xfId="2902" xr:uid="{00000000-0005-0000-0000-0000C8040000}"/>
    <cellStyle name="40% - Accent2 3 3 2 2" xfId="7125" xr:uid="{00000000-0005-0000-0000-0000C9040000}"/>
    <cellStyle name="40% - Accent2 3 3 2 2 2" xfId="15567" xr:uid="{40F22ED1-32F8-4C31-A763-4659588D0F9B}"/>
    <cellStyle name="40% - Accent2 3 3 2 3" xfId="11349" xr:uid="{B6BF6A37-FC88-49E5-A729-478AB1044DF1}"/>
    <cellStyle name="40% - Accent2 3 3 3" xfId="4980" xr:uid="{00000000-0005-0000-0000-0000CA040000}"/>
    <cellStyle name="40% - Accent2 3 3 3 2" xfId="13422" xr:uid="{B56D92BE-C0F1-48F8-B98B-8BAE29998208}"/>
    <cellStyle name="40% - Accent2 3 3 4" xfId="9204" xr:uid="{8AD2A031-8FF7-45E1-8368-0073FD2132F3}"/>
    <cellStyle name="40% - Accent2 3 4" xfId="1084" xr:uid="{00000000-0005-0000-0000-0000CB040000}"/>
    <cellStyle name="40% - Accent2 3 4 2" xfId="3315" xr:uid="{00000000-0005-0000-0000-0000CC040000}"/>
    <cellStyle name="40% - Accent2 3 4 2 2" xfId="7538" xr:uid="{00000000-0005-0000-0000-0000CD040000}"/>
    <cellStyle name="40% - Accent2 3 4 2 2 2" xfId="15980" xr:uid="{F3B20789-1006-423A-8F38-C08A436A28FF}"/>
    <cellStyle name="40% - Accent2 3 4 2 3" xfId="11762" xr:uid="{32304A59-982A-4141-AF97-F11A53D8DF9C}"/>
    <cellStyle name="40% - Accent2 3 4 3" xfId="5393" xr:uid="{00000000-0005-0000-0000-0000CE040000}"/>
    <cellStyle name="40% - Accent2 3 4 3 2" xfId="13835" xr:uid="{4CC9AD7E-FA64-4786-8591-5760350875BA}"/>
    <cellStyle name="40% - Accent2 3 4 4" xfId="9617" xr:uid="{842F5815-566B-43EC-BC20-DA523A152BCA}"/>
    <cellStyle name="40% - Accent2 3 5" xfId="1498" xr:uid="{00000000-0005-0000-0000-0000CF040000}"/>
    <cellStyle name="40% - Accent2 3 5 2" xfId="3728" xr:uid="{00000000-0005-0000-0000-0000D0040000}"/>
    <cellStyle name="40% - Accent2 3 5 2 2" xfId="7951" xr:uid="{00000000-0005-0000-0000-0000D1040000}"/>
    <cellStyle name="40% - Accent2 3 5 2 2 2" xfId="16393" xr:uid="{5A4296F6-B91C-4D0B-A334-FFB3A4E40808}"/>
    <cellStyle name="40% - Accent2 3 5 2 3" xfId="12175" xr:uid="{71D93A1C-29D2-44BA-927D-56389403883C}"/>
    <cellStyle name="40% - Accent2 3 5 3" xfId="5806" xr:uid="{00000000-0005-0000-0000-0000D2040000}"/>
    <cellStyle name="40% - Accent2 3 5 3 2" xfId="14248" xr:uid="{FFC0255E-7778-487C-A078-D49CC04F9132}"/>
    <cellStyle name="40% - Accent2 3 5 4" xfId="10030" xr:uid="{D93D88B1-DFCE-438A-933C-93D055CE7BBC}"/>
    <cellStyle name="40% - Accent2 3 6" xfId="1912" xr:uid="{00000000-0005-0000-0000-0000D3040000}"/>
    <cellStyle name="40% - Accent2 3 6 2" xfId="4141" xr:uid="{00000000-0005-0000-0000-0000D4040000}"/>
    <cellStyle name="40% - Accent2 3 6 2 2" xfId="8364" xr:uid="{00000000-0005-0000-0000-0000D5040000}"/>
    <cellStyle name="40% - Accent2 3 6 2 2 2" xfId="16806" xr:uid="{06A73F3F-A33C-4346-BC82-7274F05D5527}"/>
    <cellStyle name="40% - Accent2 3 6 2 3" xfId="12588" xr:uid="{44E8E70B-F2D8-43AA-8146-C26086B305E5}"/>
    <cellStyle name="40% - Accent2 3 6 3" xfId="6219" xr:uid="{00000000-0005-0000-0000-0000D6040000}"/>
    <cellStyle name="40% - Accent2 3 6 3 2" xfId="14661" xr:uid="{A750F99D-FA49-42BF-BA08-BF97EDE25C91}"/>
    <cellStyle name="40% - Accent2 3 6 4" xfId="10443" xr:uid="{B881B7CF-3A04-4839-9EF2-E9B676394821}"/>
    <cellStyle name="40% - Accent2 3 7" xfId="2325" xr:uid="{00000000-0005-0000-0000-0000D7040000}"/>
    <cellStyle name="40% - Accent2 3 7 2" xfId="6632" xr:uid="{00000000-0005-0000-0000-0000D8040000}"/>
    <cellStyle name="40% - Accent2 3 7 2 2" xfId="15074" xr:uid="{0DF4A67A-900E-4759-9E15-F5AF8D404F4C}"/>
    <cellStyle name="40% - Accent2 3 7 3" xfId="10856" xr:uid="{3AFFA3D4-C2BD-4829-B754-B51FA2EE17BD}"/>
    <cellStyle name="40% - Accent2 3 8" xfId="4566" xr:uid="{00000000-0005-0000-0000-0000D9040000}"/>
    <cellStyle name="40% - Accent2 3 8 2" xfId="13008" xr:uid="{DA965A12-7431-4E70-BE70-D0E098F56F4E}"/>
    <cellStyle name="40% - Accent2 3 9" xfId="8790" xr:uid="{813A5DD6-1BA3-4B3F-BF14-E8582A101806}"/>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2 2 2" xfId="15569" xr:uid="{F7432087-7F47-4B31-8A09-3CDB89F4400E}"/>
    <cellStyle name="40% - Accent2 4 2 2 3" xfId="11351" xr:uid="{9D90B9A2-B9B7-410A-AA54-0BEC43613614}"/>
    <cellStyle name="40% - Accent2 4 2 3" xfId="4982" xr:uid="{00000000-0005-0000-0000-0000DE040000}"/>
    <cellStyle name="40% - Accent2 4 2 3 2" xfId="13424" xr:uid="{92B29D98-C1FE-4DBF-9E87-D0D40884F8AA}"/>
    <cellStyle name="40% - Accent2 4 2 4" xfId="9206" xr:uid="{7348C9D5-BAC3-469F-B529-BBDBE381DC03}"/>
    <cellStyle name="40% - Accent2 4 3" xfId="1086" xr:uid="{00000000-0005-0000-0000-0000DF040000}"/>
    <cellStyle name="40% - Accent2 4 3 2" xfId="3317" xr:uid="{00000000-0005-0000-0000-0000E0040000}"/>
    <cellStyle name="40% - Accent2 4 3 2 2" xfId="7540" xr:uid="{00000000-0005-0000-0000-0000E1040000}"/>
    <cellStyle name="40% - Accent2 4 3 2 2 2" xfId="15982" xr:uid="{E3133F23-0C85-47BD-9990-3B20D7983C5D}"/>
    <cellStyle name="40% - Accent2 4 3 2 3" xfId="11764" xr:uid="{5B7D725F-4DF0-4C92-9D99-54348F0F1C4F}"/>
    <cellStyle name="40% - Accent2 4 3 3" xfId="5395" xr:uid="{00000000-0005-0000-0000-0000E2040000}"/>
    <cellStyle name="40% - Accent2 4 3 3 2" xfId="13837" xr:uid="{AD9B5BAB-49B9-433F-A4FE-EC43D9F1B8DF}"/>
    <cellStyle name="40% - Accent2 4 3 4" xfId="9619" xr:uid="{54FEEB92-0027-4E06-961D-9A127A993792}"/>
    <cellStyle name="40% - Accent2 4 4" xfId="1500" xr:uid="{00000000-0005-0000-0000-0000E3040000}"/>
    <cellStyle name="40% - Accent2 4 4 2" xfId="3730" xr:uid="{00000000-0005-0000-0000-0000E4040000}"/>
    <cellStyle name="40% - Accent2 4 4 2 2" xfId="7953" xr:uid="{00000000-0005-0000-0000-0000E5040000}"/>
    <cellStyle name="40% - Accent2 4 4 2 2 2" xfId="16395" xr:uid="{E27269C8-FEAC-42BB-8733-669343EBD1F8}"/>
    <cellStyle name="40% - Accent2 4 4 2 3" xfId="12177" xr:uid="{515E4379-3285-44C3-B7CC-CB8BFB57BA82}"/>
    <cellStyle name="40% - Accent2 4 4 3" xfId="5808" xr:uid="{00000000-0005-0000-0000-0000E6040000}"/>
    <cellStyle name="40% - Accent2 4 4 3 2" xfId="14250" xr:uid="{01FB9D5C-5686-4ACB-B10C-505E7165688A}"/>
    <cellStyle name="40% - Accent2 4 4 4" xfId="10032" xr:uid="{05362F7A-86A0-4E13-AFBB-4D0ADFC827E7}"/>
    <cellStyle name="40% - Accent2 4 5" xfId="1914" xr:uid="{00000000-0005-0000-0000-0000E7040000}"/>
    <cellStyle name="40% - Accent2 4 5 2" xfId="4143" xr:uid="{00000000-0005-0000-0000-0000E8040000}"/>
    <cellStyle name="40% - Accent2 4 5 2 2" xfId="8366" xr:uid="{00000000-0005-0000-0000-0000E9040000}"/>
    <cellStyle name="40% - Accent2 4 5 2 2 2" xfId="16808" xr:uid="{363DA14A-A60C-495E-B3A1-03497B7CAA23}"/>
    <cellStyle name="40% - Accent2 4 5 2 3" xfId="12590" xr:uid="{7A6AEAEE-7A77-4140-96D6-E52F5B165C2B}"/>
    <cellStyle name="40% - Accent2 4 5 3" xfId="6221" xr:uid="{00000000-0005-0000-0000-0000EA040000}"/>
    <cellStyle name="40% - Accent2 4 5 3 2" xfId="14663" xr:uid="{E509EB5D-B18E-4D88-9267-D84063A8962E}"/>
    <cellStyle name="40% - Accent2 4 5 4" xfId="10445" xr:uid="{71A6A64C-C7BA-4343-8B6D-C3429290E93A}"/>
    <cellStyle name="40% - Accent2 4 6" xfId="2327" xr:uid="{00000000-0005-0000-0000-0000EB040000}"/>
    <cellStyle name="40% - Accent2 4 6 2" xfId="6634" xr:uid="{00000000-0005-0000-0000-0000EC040000}"/>
    <cellStyle name="40% - Accent2 4 6 2 2" xfId="15076" xr:uid="{ED28F4FF-E352-447A-AF0F-F94BBE089A50}"/>
    <cellStyle name="40% - Accent2 4 6 3" xfId="10858" xr:uid="{5BD5DAC3-8278-4BE1-95F9-BFB6A73183B3}"/>
    <cellStyle name="40% - Accent2 4 7" xfId="4568" xr:uid="{00000000-0005-0000-0000-0000ED040000}"/>
    <cellStyle name="40% - Accent2 4 7 2" xfId="13010" xr:uid="{712942B0-39EA-461A-A4E0-A13D190457A5}"/>
    <cellStyle name="40% - Accent2 4 8" xfId="8792" xr:uid="{B259054B-28AC-43B3-A1C6-30EC23E50BC7}"/>
    <cellStyle name="40% - Accent2 5" xfId="626" xr:uid="{00000000-0005-0000-0000-0000EE040000}"/>
    <cellStyle name="40% - Accent2 5 2" xfId="2897" xr:uid="{00000000-0005-0000-0000-0000EF040000}"/>
    <cellStyle name="40% - Accent2 5 2 2" xfId="7120" xr:uid="{00000000-0005-0000-0000-0000F0040000}"/>
    <cellStyle name="40% - Accent2 5 2 2 2" xfId="15562" xr:uid="{F0681249-357A-4DB6-8071-D02A7420690A}"/>
    <cellStyle name="40% - Accent2 5 2 3" xfId="11344" xr:uid="{94F7E901-264A-49B0-844A-2D77516BDE68}"/>
    <cellStyle name="40% - Accent2 5 3" xfId="4975" xr:uid="{00000000-0005-0000-0000-0000F1040000}"/>
    <cellStyle name="40% - Accent2 5 3 2" xfId="13417" xr:uid="{DE7D029C-6B8A-4212-8610-B8FCC2CDB372}"/>
    <cellStyle name="40% - Accent2 5 4" xfId="9199" xr:uid="{6B113965-F031-4E54-A20A-3F74A5BB86E0}"/>
    <cellStyle name="40% - Accent2 6" xfId="1079" xr:uid="{00000000-0005-0000-0000-0000F2040000}"/>
    <cellStyle name="40% - Accent2 6 2" xfId="3310" xr:uid="{00000000-0005-0000-0000-0000F3040000}"/>
    <cellStyle name="40% - Accent2 6 2 2" xfId="7533" xr:uid="{00000000-0005-0000-0000-0000F4040000}"/>
    <cellStyle name="40% - Accent2 6 2 2 2" xfId="15975" xr:uid="{9B4DB7AE-F4F6-468C-A7DF-1A07FED07FC3}"/>
    <cellStyle name="40% - Accent2 6 2 3" xfId="11757" xr:uid="{D216A0C9-DC87-49E6-A153-613921B69AAB}"/>
    <cellStyle name="40% - Accent2 6 3" xfId="5388" xr:uid="{00000000-0005-0000-0000-0000F5040000}"/>
    <cellStyle name="40% - Accent2 6 3 2" xfId="13830" xr:uid="{FA5B0AC6-BF07-4587-8756-2CD02D271C62}"/>
    <cellStyle name="40% - Accent2 6 4" xfId="9612" xr:uid="{10BC7818-8D26-4165-BC5C-D7ABACEAB35D}"/>
    <cellStyle name="40% - Accent2 7" xfId="1493" xr:uid="{00000000-0005-0000-0000-0000F6040000}"/>
    <cellStyle name="40% - Accent2 7 2" xfId="3723" xr:uid="{00000000-0005-0000-0000-0000F7040000}"/>
    <cellStyle name="40% - Accent2 7 2 2" xfId="7946" xr:uid="{00000000-0005-0000-0000-0000F8040000}"/>
    <cellStyle name="40% - Accent2 7 2 2 2" xfId="16388" xr:uid="{4CE00676-A8C3-4F8E-9917-E013F15D4B6D}"/>
    <cellStyle name="40% - Accent2 7 2 3" xfId="12170" xr:uid="{588A2C3E-63A4-4303-9814-9A0A68291B5C}"/>
    <cellStyle name="40% - Accent2 7 3" xfId="5801" xr:uid="{00000000-0005-0000-0000-0000F9040000}"/>
    <cellStyle name="40% - Accent2 7 3 2" xfId="14243" xr:uid="{C664D112-E480-4453-951B-BD27DD67F42D}"/>
    <cellStyle name="40% - Accent2 7 4" xfId="10025" xr:uid="{307FCBFB-70B2-47EC-A8CB-E099E3B46D94}"/>
    <cellStyle name="40% - Accent2 8" xfId="1907" xr:uid="{00000000-0005-0000-0000-0000FA040000}"/>
    <cellStyle name="40% - Accent2 8 2" xfId="4136" xr:uid="{00000000-0005-0000-0000-0000FB040000}"/>
    <cellStyle name="40% - Accent2 8 2 2" xfId="8359" xr:uid="{00000000-0005-0000-0000-0000FC040000}"/>
    <cellStyle name="40% - Accent2 8 2 2 2" xfId="16801" xr:uid="{0123747E-4448-478A-941D-B15D0B550B14}"/>
    <cellStyle name="40% - Accent2 8 2 3" xfId="12583" xr:uid="{1B93746D-10E1-42FF-BC00-268D0DEDC6E6}"/>
    <cellStyle name="40% - Accent2 8 3" xfId="6214" xr:uid="{00000000-0005-0000-0000-0000FD040000}"/>
    <cellStyle name="40% - Accent2 8 3 2" xfId="14656" xr:uid="{1C061D9E-C222-4453-9B4F-BF97C9B6FBD5}"/>
    <cellStyle name="40% - Accent2 8 4" xfId="10438" xr:uid="{A6393E23-4AB3-45E7-AE80-D8EB0E2D3874}"/>
    <cellStyle name="40% - Accent2 9" xfId="2320" xr:uid="{00000000-0005-0000-0000-0000FE040000}"/>
    <cellStyle name="40% - Accent2 9 2" xfId="6627" xr:uid="{00000000-0005-0000-0000-0000FF040000}"/>
    <cellStyle name="40% - Accent2 9 2 2" xfId="15069" xr:uid="{722D8292-A4DC-4BAC-B1B3-CFDEA27BBF21}"/>
    <cellStyle name="40% - Accent2 9 3" xfId="10851" xr:uid="{8881DF1D-F069-4F4A-84AF-20E2205AA8D4}"/>
    <cellStyle name="40% - Accent3" xfId="65" builtinId="39" customBuiltin="1"/>
    <cellStyle name="40% - Accent3 10" xfId="4569" xr:uid="{00000000-0005-0000-0000-000001050000}"/>
    <cellStyle name="40% - Accent3 10 2" xfId="13011" xr:uid="{F2F68ED0-3F1F-4334-88B2-5B647F8EE7FD}"/>
    <cellStyle name="40% - Accent3 11" xfId="8793" xr:uid="{2A82CF76-AAE3-49DE-A703-E767C2A7EB31}"/>
    <cellStyle name="40% - Accent3 2" xfId="66" xr:uid="{00000000-0005-0000-0000-000002050000}"/>
    <cellStyle name="40% - Accent3 2 10" xfId="8794" xr:uid="{9D8A3EBE-CDB1-4945-90C0-59FAFA616E4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15573" xr:uid="{B36459D7-856B-4CCD-AA3D-8556397801F7}"/>
    <cellStyle name="40% - Accent3 2 2 2 2 2 3" xfId="11355" xr:uid="{F8A3E793-F314-4A02-970C-2835B8012567}"/>
    <cellStyle name="40% - Accent3 2 2 2 2 3" xfId="4986" xr:uid="{00000000-0005-0000-0000-000008050000}"/>
    <cellStyle name="40% - Accent3 2 2 2 2 3 2" xfId="13428" xr:uid="{C35634B1-FB90-4919-98FE-8DA4FFB89D89}"/>
    <cellStyle name="40% - Accent3 2 2 2 2 4" xfId="9210" xr:uid="{DA2898BD-0BB4-47FA-A042-99D7E64A4B32}"/>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15986" xr:uid="{A027829A-B5D2-4E62-AC68-627995768CAC}"/>
    <cellStyle name="40% - Accent3 2 2 2 3 2 3" xfId="11768" xr:uid="{09D6B1F8-A4E4-4118-A172-14C138477B5F}"/>
    <cellStyle name="40% - Accent3 2 2 2 3 3" xfId="5399" xr:uid="{00000000-0005-0000-0000-00000C050000}"/>
    <cellStyle name="40% - Accent3 2 2 2 3 3 2" xfId="13841" xr:uid="{56834F59-D372-4B87-A35C-5D203734C59A}"/>
    <cellStyle name="40% - Accent3 2 2 2 3 4" xfId="9623" xr:uid="{D1B6063E-1D2E-47A2-A149-9693185E777B}"/>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16399" xr:uid="{568E6C95-D002-445D-AD0F-87614E5763B5}"/>
    <cellStyle name="40% - Accent3 2 2 2 4 2 3" xfId="12181" xr:uid="{281CDC5C-142C-41CF-BE5C-B3763456BAAE}"/>
    <cellStyle name="40% - Accent3 2 2 2 4 3" xfId="5812" xr:uid="{00000000-0005-0000-0000-000010050000}"/>
    <cellStyle name="40% - Accent3 2 2 2 4 3 2" xfId="14254" xr:uid="{471DAD08-8AFB-4F1E-8531-27808AD8AA4D}"/>
    <cellStyle name="40% - Accent3 2 2 2 4 4" xfId="10036" xr:uid="{545A0B8C-71BF-414B-B432-A1796E98E9CC}"/>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16812" xr:uid="{97BCE3BA-E605-4866-8112-83570E7346E7}"/>
    <cellStyle name="40% - Accent3 2 2 2 5 2 3" xfId="12594" xr:uid="{E87AEAC5-9068-4691-97D6-C3981BB2C4C2}"/>
    <cellStyle name="40% - Accent3 2 2 2 5 3" xfId="6225" xr:uid="{00000000-0005-0000-0000-000014050000}"/>
    <cellStyle name="40% - Accent3 2 2 2 5 3 2" xfId="14667" xr:uid="{BBC0824E-9F50-4FB3-9AFB-62CA8B566451}"/>
    <cellStyle name="40% - Accent3 2 2 2 5 4" xfId="10449" xr:uid="{A288E7E6-A6D2-43E2-B824-8C96857EF42A}"/>
    <cellStyle name="40% - Accent3 2 2 2 6" xfId="2331" xr:uid="{00000000-0005-0000-0000-000015050000}"/>
    <cellStyle name="40% - Accent3 2 2 2 6 2" xfId="6638" xr:uid="{00000000-0005-0000-0000-000016050000}"/>
    <cellStyle name="40% - Accent3 2 2 2 6 2 2" xfId="15080" xr:uid="{A9185914-136D-4E1E-9DB3-DDCDB320F8BD}"/>
    <cellStyle name="40% - Accent3 2 2 2 6 3" xfId="10862" xr:uid="{5DABE078-6EF1-4D70-BEA8-E60D2CEF9448}"/>
    <cellStyle name="40% - Accent3 2 2 2 7" xfId="4572" xr:uid="{00000000-0005-0000-0000-000017050000}"/>
    <cellStyle name="40% - Accent3 2 2 2 7 2" xfId="13014" xr:uid="{803C5C0E-6E66-4D2C-8959-90C3D17BF463}"/>
    <cellStyle name="40% - Accent3 2 2 2 8" xfId="8796" xr:uid="{2C574133-2189-4781-BF89-D16A3DDA347D}"/>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15572" xr:uid="{71763448-60CF-4461-BB76-45F6BE69E5CD}"/>
    <cellStyle name="40% - Accent3 2 2 3 2 3" xfId="11354" xr:uid="{C36911D1-F81D-4A41-8C2B-984CD16E06E2}"/>
    <cellStyle name="40% - Accent3 2 2 3 3" xfId="4985" xr:uid="{00000000-0005-0000-0000-00001B050000}"/>
    <cellStyle name="40% - Accent3 2 2 3 3 2" xfId="13427" xr:uid="{CCEA1861-AA46-4D94-A9C7-957631570F4E}"/>
    <cellStyle name="40% - Accent3 2 2 3 4" xfId="9209" xr:uid="{FDFABCDF-FD22-4265-BA64-C576B48BBE3F}"/>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15985" xr:uid="{9A20F7DF-16F2-4D1B-921C-543F75F0CC10}"/>
    <cellStyle name="40% - Accent3 2 2 4 2 3" xfId="11767" xr:uid="{BB3C97CD-A2A2-42E7-BC0E-20776C52F5BE}"/>
    <cellStyle name="40% - Accent3 2 2 4 3" xfId="5398" xr:uid="{00000000-0005-0000-0000-00001F050000}"/>
    <cellStyle name="40% - Accent3 2 2 4 3 2" xfId="13840" xr:uid="{F6282302-461D-4ECB-8A7A-F3DBB9680453}"/>
    <cellStyle name="40% - Accent3 2 2 4 4" xfId="9622" xr:uid="{F60F2F8D-88E0-4CF2-B514-E377349232A1}"/>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16398" xr:uid="{F1E45E9C-9BAF-42A6-8254-7507F3B88BD0}"/>
    <cellStyle name="40% - Accent3 2 2 5 2 3" xfId="12180" xr:uid="{FA9C32D5-1D79-46D9-9532-2BE8D45FEC88}"/>
    <cellStyle name="40% - Accent3 2 2 5 3" xfId="5811" xr:uid="{00000000-0005-0000-0000-000023050000}"/>
    <cellStyle name="40% - Accent3 2 2 5 3 2" xfId="14253" xr:uid="{8E12E9FE-D532-4A68-9BB9-8533DBBB49C2}"/>
    <cellStyle name="40% - Accent3 2 2 5 4" xfId="10035" xr:uid="{4770210D-DBEA-40FC-8017-B2EF205EDE6E}"/>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16811" xr:uid="{D82D7806-9FB6-4B3A-9212-5BC83A93975B}"/>
    <cellStyle name="40% - Accent3 2 2 6 2 3" xfId="12593" xr:uid="{69F3AE18-11B0-4FD1-B024-5329372D96D3}"/>
    <cellStyle name="40% - Accent3 2 2 6 3" xfId="6224" xr:uid="{00000000-0005-0000-0000-000027050000}"/>
    <cellStyle name="40% - Accent3 2 2 6 3 2" xfId="14666" xr:uid="{365FD6A1-C1B2-4F70-A853-831EC500A2D8}"/>
    <cellStyle name="40% - Accent3 2 2 6 4" xfId="10448" xr:uid="{AA884862-A55A-4EE2-B094-9898C0000F40}"/>
    <cellStyle name="40% - Accent3 2 2 7" xfId="2330" xr:uid="{00000000-0005-0000-0000-000028050000}"/>
    <cellStyle name="40% - Accent3 2 2 7 2" xfId="6637" xr:uid="{00000000-0005-0000-0000-000029050000}"/>
    <cellStyle name="40% - Accent3 2 2 7 2 2" xfId="15079" xr:uid="{EBC6914F-C23D-4ADB-B267-EC7F2FF0668C}"/>
    <cellStyle name="40% - Accent3 2 2 7 3" xfId="10861" xr:uid="{B0708DB3-F455-44F2-A41B-D9612086A1C5}"/>
    <cellStyle name="40% - Accent3 2 2 8" xfId="4571" xr:uid="{00000000-0005-0000-0000-00002A050000}"/>
    <cellStyle name="40% - Accent3 2 2 8 2" xfId="13013" xr:uid="{290888D8-BDFA-4A76-A144-151481CC93D9}"/>
    <cellStyle name="40% - Accent3 2 2 9" xfId="8795" xr:uid="{C9F55A29-070D-4090-8CB3-5A541458F9BD}"/>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15574" xr:uid="{D1CED491-6270-490E-874E-A3CAD3AEDD19}"/>
    <cellStyle name="40% - Accent3 2 3 2 2 3" xfId="11356" xr:uid="{32998795-D942-4EEA-BC6F-D9E122488FE2}"/>
    <cellStyle name="40% - Accent3 2 3 2 3" xfId="4987" xr:uid="{00000000-0005-0000-0000-00002F050000}"/>
    <cellStyle name="40% - Accent3 2 3 2 3 2" xfId="13429" xr:uid="{487D5BEE-BF11-4E65-A580-9F4F95D21B52}"/>
    <cellStyle name="40% - Accent3 2 3 2 4" xfId="9211" xr:uid="{81B4B67F-4E6C-415C-9D59-F4AC02E25770}"/>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15987" xr:uid="{D88BEBBF-E225-46AC-B169-171739A5429A}"/>
    <cellStyle name="40% - Accent3 2 3 3 2 3" xfId="11769" xr:uid="{3C97AA82-55E0-499F-89F3-353288FBA425}"/>
    <cellStyle name="40% - Accent3 2 3 3 3" xfId="5400" xr:uid="{00000000-0005-0000-0000-000033050000}"/>
    <cellStyle name="40% - Accent3 2 3 3 3 2" xfId="13842" xr:uid="{DA371A3B-5046-418A-B7C0-32E4CF36869D}"/>
    <cellStyle name="40% - Accent3 2 3 3 4" xfId="9624" xr:uid="{4DCCB101-55FE-4EDC-8DE3-329FDDCA9CA8}"/>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16400" xr:uid="{8DC83D79-3762-4F8A-8F9F-8385630F86EA}"/>
    <cellStyle name="40% - Accent3 2 3 4 2 3" xfId="12182" xr:uid="{CECA0F9B-EF3F-4A9E-9A57-5BFF30CCBD23}"/>
    <cellStyle name="40% - Accent3 2 3 4 3" xfId="5813" xr:uid="{00000000-0005-0000-0000-000037050000}"/>
    <cellStyle name="40% - Accent3 2 3 4 3 2" xfId="14255" xr:uid="{375FFCE0-2B61-49E8-8CA2-8AA0396818B8}"/>
    <cellStyle name="40% - Accent3 2 3 4 4" xfId="10037" xr:uid="{58EFE3B4-A010-4E6C-94EE-44AC012CEB0E}"/>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16813" xr:uid="{9643ACD9-BEE1-4DBF-9B7D-924920DCE4F4}"/>
    <cellStyle name="40% - Accent3 2 3 5 2 3" xfId="12595" xr:uid="{C4E82C4C-9187-4373-940A-736B520ED84B}"/>
    <cellStyle name="40% - Accent3 2 3 5 3" xfId="6226" xr:uid="{00000000-0005-0000-0000-00003B050000}"/>
    <cellStyle name="40% - Accent3 2 3 5 3 2" xfId="14668" xr:uid="{D6DB559F-EFF3-42B2-82A8-B65F9FC63A8D}"/>
    <cellStyle name="40% - Accent3 2 3 5 4" xfId="10450" xr:uid="{C624629E-CDDE-4D2A-8FE9-8BEC61A286A2}"/>
    <cellStyle name="40% - Accent3 2 3 6" xfId="2332" xr:uid="{00000000-0005-0000-0000-00003C050000}"/>
    <cellStyle name="40% - Accent3 2 3 6 2" xfId="6639" xr:uid="{00000000-0005-0000-0000-00003D050000}"/>
    <cellStyle name="40% - Accent3 2 3 6 2 2" xfId="15081" xr:uid="{0D55AC2B-1D9B-47C4-9618-B40D89A4DC07}"/>
    <cellStyle name="40% - Accent3 2 3 6 3" xfId="10863" xr:uid="{64547408-22FF-49B5-9C9A-071F788E0E12}"/>
    <cellStyle name="40% - Accent3 2 3 7" xfId="4573" xr:uid="{00000000-0005-0000-0000-00003E050000}"/>
    <cellStyle name="40% - Accent3 2 3 7 2" xfId="13015" xr:uid="{1A71491D-303F-4FA1-AEB8-F66F11D5E00E}"/>
    <cellStyle name="40% - Accent3 2 3 8" xfId="8797" xr:uid="{3C2CA2EA-4055-4BF1-87A4-46825E0AD911}"/>
    <cellStyle name="40% - Accent3 2 4" xfId="635" xr:uid="{00000000-0005-0000-0000-00003F050000}"/>
    <cellStyle name="40% - Accent3 2 4 2" xfId="2906" xr:uid="{00000000-0005-0000-0000-000040050000}"/>
    <cellStyle name="40% - Accent3 2 4 2 2" xfId="7129" xr:uid="{00000000-0005-0000-0000-000041050000}"/>
    <cellStyle name="40% - Accent3 2 4 2 2 2" xfId="15571" xr:uid="{19450E4D-DA29-44FB-BFEC-C0D9A4961075}"/>
    <cellStyle name="40% - Accent3 2 4 2 3" xfId="11353" xr:uid="{917C1094-857E-4D9D-B40E-E5E46EA108E2}"/>
    <cellStyle name="40% - Accent3 2 4 3" xfId="4984" xr:uid="{00000000-0005-0000-0000-000042050000}"/>
    <cellStyle name="40% - Accent3 2 4 3 2" xfId="13426" xr:uid="{B22874EA-4842-43F4-9E8D-5E1218D677CE}"/>
    <cellStyle name="40% - Accent3 2 4 4" xfId="9208" xr:uid="{F093C9B8-C5FE-4AAA-8157-B380C60D1D8C}"/>
    <cellStyle name="40% - Accent3 2 5" xfId="1088" xr:uid="{00000000-0005-0000-0000-000043050000}"/>
    <cellStyle name="40% - Accent3 2 5 2" xfId="3319" xr:uid="{00000000-0005-0000-0000-000044050000}"/>
    <cellStyle name="40% - Accent3 2 5 2 2" xfId="7542" xr:uid="{00000000-0005-0000-0000-000045050000}"/>
    <cellStyle name="40% - Accent3 2 5 2 2 2" xfId="15984" xr:uid="{1246217F-5AC4-44DE-94AB-F1E6E578D1C4}"/>
    <cellStyle name="40% - Accent3 2 5 2 3" xfId="11766" xr:uid="{BF2EB774-FD8A-41B0-961A-0B367ABC7F61}"/>
    <cellStyle name="40% - Accent3 2 5 3" xfId="5397" xr:uid="{00000000-0005-0000-0000-000046050000}"/>
    <cellStyle name="40% - Accent3 2 5 3 2" xfId="13839" xr:uid="{918B88CB-F030-45CC-B826-395E1B0F517E}"/>
    <cellStyle name="40% - Accent3 2 5 4" xfId="9621" xr:uid="{428F5874-064C-423F-B516-20C245EA76A6}"/>
    <cellStyle name="40% - Accent3 2 6" xfId="1502" xr:uid="{00000000-0005-0000-0000-000047050000}"/>
    <cellStyle name="40% - Accent3 2 6 2" xfId="3732" xr:uid="{00000000-0005-0000-0000-000048050000}"/>
    <cellStyle name="40% - Accent3 2 6 2 2" xfId="7955" xr:uid="{00000000-0005-0000-0000-000049050000}"/>
    <cellStyle name="40% - Accent3 2 6 2 2 2" xfId="16397" xr:uid="{917982C9-B07B-4088-94E3-9BD29F22B13E}"/>
    <cellStyle name="40% - Accent3 2 6 2 3" xfId="12179" xr:uid="{D1826CA6-DF87-44E0-8CEE-9642073A511F}"/>
    <cellStyle name="40% - Accent3 2 6 3" xfId="5810" xr:uid="{00000000-0005-0000-0000-00004A050000}"/>
    <cellStyle name="40% - Accent3 2 6 3 2" xfId="14252" xr:uid="{1D499428-82F6-4237-8B05-4A3AB3F99E23}"/>
    <cellStyle name="40% - Accent3 2 6 4" xfId="10034" xr:uid="{3627FCB4-C2AF-44BC-8683-16AE55BDCF7E}"/>
    <cellStyle name="40% - Accent3 2 7" xfId="1916" xr:uid="{00000000-0005-0000-0000-00004B050000}"/>
    <cellStyle name="40% - Accent3 2 7 2" xfId="4145" xr:uid="{00000000-0005-0000-0000-00004C050000}"/>
    <cellStyle name="40% - Accent3 2 7 2 2" xfId="8368" xr:uid="{00000000-0005-0000-0000-00004D050000}"/>
    <cellStyle name="40% - Accent3 2 7 2 2 2" xfId="16810" xr:uid="{9B3C1F64-4BC5-4069-B215-F938E86F0FA1}"/>
    <cellStyle name="40% - Accent3 2 7 2 3" xfId="12592" xr:uid="{1E40DB4C-D33F-4BF8-8E69-7A017D8AD6D7}"/>
    <cellStyle name="40% - Accent3 2 7 3" xfId="6223" xr:uid="{00000000-0005-0000-0000-00004E050000}"/>
    <cellStyle name="40% - Accent3 2 7 3 2" xfId="14665" xr:uid="{BA2A7A6C-83E2-42E4-9B7C-177E9F18D677}"/>
    <cellStyle name="40% - Accent3 2 7 4" xfId="10447" xr:uid="{7A88969C-097F-4E4E-8910-34326CB39701}"/>
    <cellStyle name="40% - Accent3 2 8" xfId="2329" xr:uid="{00000000-0005-0000-0000-00004F050000}"/>
    <cellStyle name="40% - Accent3 2 8 2" xfId="6636" xr:uid="{00000000-0005-0000-0000-000050050000}"/>
    <cellStyle name="40% - Accent3 2 8 2 2" xfId="15078" xr:uid="{986A3C0A-6C2C-4D64-8D88-AD221E39BDBD}"/>
    <cellStyle name="40% - Accent3 2 8 3" xfId="10860" xr:uid="{F1CD1EC4-38CD-4E80-BD4C-8C53AD29D389}"/>
    <cellStyle name="40% - Accent3 2 9" xfId="4570" xr:uid="{00000000-0005-0000-0000-000051050000}"/>
    <cellStyle name="40% - Accent3 2 9 2" xfId="13012" xr:uid="{73BB4034-3FBB-4026-9C68-1C880C16F901}"/>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15576" xr:uid="{3F4CCC5F-F69E-4D94-A7B4-F27074AC1128}"/>
    <cellStyle name="40% - Accent3 3 2 2 2 3" xfId="11358" xr:uid="{EAF844C8-86BC-4342-9F8E-3A9B436836E1}"/>
    <cellStyle name="40% - Accent3 3 2 2 3" xfId="4989" xr:uid="{00000000-0005-0000-0000-000057050000}"/>
    <cellStyle name="40% - Accent3 3 2 2 3 2" xfId="13431" xr:uid="{97CA8A76-289A-434C-BE0F-BD0A64ECDF7D}"/>
    <cellStyle name="40% - Accent3 3 2 2 4" xfId="9213" xr:uid="{27D0EBBC-0F01-416F-BAF1-7D93CEEDAD2D}"/>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15989" xr:uid="{AA6CCE3C-4D8B-4D41-92F3-C216EA17EEB5}"/>
    <cellStyle name="40% - Accent3 3 2 3 2 3" xfId="11771" xr:uid="{B11C4D10-B2BD-42B3-919B-3C215ADED3CD}"/>
    <cellStyle name="40% - Accent3 3 2 3 3" xfId="5402" xr:uid="{00000000-0005-0000-0000-00005B050000}"/>
    <cellStyle name="40% - Accent3 3 2 3 3 2" xfId="13844" xr:uid="{C05A7599-1D59-46A2-9812-E8433D6EDB86}"/>
    <cellStyle name="40% - Accent3 3 2 3 4" xfId="9626" xr:uid="{4E6A4D52-910A-45EC-954F-65EF5BE88521}"/>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16402" xr:uid="{9891B1D4-0596-467F-9519-CF8A3636D70E}"/>
    <cellStyle name="40% - Accent3 3 2 4 2 3" xfId="12184" xr:uid="{FFE48722-2B94-43FA-BB29-E61A44DEB823}"/>
    <cellStyle name="40% - Accent3 3 2 4 3" xfId="5815" xr:uid="{00000000-0005-0000-0000-00005F050000}"/>
    <cellStyle name="40% - Accent3 3 2 4 3 2" xfId="14257" xr:uid="{0A7C945D-400B-41C8-B0CF-B6153939E463}"/>
    <cellStyle name="40% - Accent3 3 2 4 4" xfId="10039" xr:uid="{EF4B2FD1-E0F6-4C10-8E28-3281B1E842B3}"/>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16815" xr:uid="{731614C1-4382-47C5-B9C4-F2CC25328806}"/>
    <cellStyle name="40% - Accent3 3 2 5 2 3" xfId="12597" xr:uid="{461DA82F-B17D-4551-A254-3F75EC792B97}"/>
    <cellStyle name="40% - Accent3 3 2 5 3" xfId="6228" xr:uid="{00000000-0005-0000-0000-000063050000}"/>
    <cellStyle name="40% - Accent3 3 2 5 3 2" xfId="14670" xr:uid="{4C6A3D48-615C-47E2-876C-0E10BF3A50ED}"/>
    <cellStyle name="40% - Accent3 3 2 5 4" xfId="10452" xr:uid="{3DC51423-64DA-4E4F-86FF-187E004E7A3C}"/>
    <cellStyle name="40% - Accent3 3 2 6" xfId="2334" xr:uid="{00000000-0005-0000-0000-000064050000}"/>
    <cellStyle name="40% - Accent3 3 2 6 2" xfId="6641" xr:uid="{00000000-0005-0000-0000-000065050000}"/>
    <cellStyle name="40% - Accent3 3 2 6 2 2" xfId="15083" xr:uid="{05C50F9E-3564-4E9D-8339-0477DEF95289}"/>
    <cellStyle name="40% - Accent3 3 2 6 3" xfId="10865" xr:uid="{83576F70-57E1-42A9-A116-C6692222F2DE}"/>
    <cellStyle name="40% - Accent3 3 2 7" xfId="4575" xr:uid="{00000000-0005-0000-0000-000066050000}"/>
    <cellStyle name="40% - Accent3 3 2 7 2" xfId="13017" xr:uid="{58339F0A-25B9-4542-833B-0F3BC144FDEC}"/>
    <cellStyle name="40% - Accent3 3 2 8" xfId="8799" xr:uid="{2A8BED3E-8694-4EFE-B475-F32723832E20}"/>
    <cellStyle name="40% - Accent3 3 3" xfId="639" xr:uid="{00000000-0005-0000-0000-000067050000}"/>
    <cellStyle name="40% - Accent3 3 3 2" xfId="2910" xr:uid="{00000000-0005-0000-0000-000068050000}"/>
    <cellStyle name="40% - Accent3 3 3 2 2" xfId="7133" xr:uid="{00000000-0005-0000-0000-000069050000}"/>
    <cellStyle name="40% - Accent3 3 3 2 2 2" xfId="15575" xr:uid="{F643C7E7-C49A-4518-8C48-F72EB2193608}"/>
    <cellStyle name="40% - Accent3 3 3 2 3" xfId="11357" xr:uid="{60978237-8271-49BA-A8F0-1E148FB2F197}"/>
    <cellStyle name="40% - Accent3 3 3 3" xfId="4988" xr:uid="{00000000-0005-0000-0000-00006A050000}"/>
    <cellStyle name="40% - Accent3 3 3 3 2" xfId="13430" xr:uid="{861E5E33-AC48-43DE-AA20-D1F2DA5D190F}"/>
    <cellStyle name="40% - Accent3 3 3 4" xfId="9212" xr:uid="{35DCC4DC-0779-452F-981A-45AFFA3FEC69}"/>
    <cellStyle name="40% - Accent3 3 4" xfId="1092" xr:uid="{00000000-0005-0000-0000-00006B050000}"/>
    <cellStyle name="40% - Accent3 3 4 2" xfId="3323" xr:uid="{00000000-0005-0000-0000-00006C050000}"/>
    <cellStyle name="40% - Accent3 3 4 2 2" xfId="7546" xr:uid="{00000000-0005-0000-0000-00006D050000}"/>
    <cellStyle name="40% - Accent3 3 4 2 2 2" xfId="15988" xr:uid="{964D69CA-29B2-4787-B28A-3D2B2F68935C}"/>
    <cellStyle name="40% - Accent3 3 4 2 3" xfId="11770" xr:uid="{1C19E671-7098-4058-B921-CBFB4A024092}"/>
    <cellStyle name="40% - Accent3 3 4 3" xfId="5401" xr:uid="{00000000-0005-0000-0000-00006E050000}"/>
    <cellStyle name="40% - Accent3 3 4 3 2" xfId="13843" xr:uid="{DAC4FB99-A81E-4A8E-81F3-BEF5E34C2C41}"/>
    <cellStyle name="40% - Accent3 3 4 4" xfId="9625" xr:uid="{DEDEF03B-6DEA-4FE8-AC33-F4FFE07F2CC8}"/>
    <cellStyle name="40% - Accent3 3 5" xfId="1506" xr:uid="{00000000-0005-0000-0000-00006F050000}"/>
    <cellStyle name="40% - Accent3 3 5 2" xfId="3736" xr:uid="{00000000-0005-0000-0000-000070050000}"/>
    <cellStyle name="40% - Accent3 3 5 2 2" xfId="7959" xr:uid="{00000000-0005-0000-0000-000071050000}"/>
    <cellStyle name="40% - Accent3 3 5 2 2 2" xfId="16401" xr:uid="{54936D6E-05AA-4371-B7DE-BDEFDC5A7089}"/>
    <cellStyle name="40% - Accent3 3 5 2 3" xfId="12183" xr:uid="{4458D1BC-B068-457D-A633-5965CDAB3B17}"/>
    <cellStyle name="40% - Accent3 3 5 3" xfId="5814" xr:uid="{00000000-0005-0000-0000-000072050000}"/>
    <cellStyle name="40% - Accent3 3 5 3 2" xfId="14256" xr:uid="{D667B42C-19C9-495C-852B-DFD39427930E}"/>
    <cellStyle name="40% - Accent3 3 5 4" xfId="10038" xr:uid="{977F6244-AC70-4A3E-B724-1B5CF0EA0C0D}"/>
    <cellStyle name="40% - Accent3 3 6" xfId="1920" xr:uid="{00000000-0005-0000-0000-000073050000}"/>
    <cellStyle name="40% - Accent3 3 6 2" xfId="4149" xr:uid="{00000000-0005-0000-0000-000074050000}"/>
    <cellStyle name="40% - Accent3 3 6 2 2" xfId="8372" xr:uid="{00000000-0005-0000-0000-000075050000}"/>
    <cellStyle name="40% - Accent3 3 6 2 2 2" xfId="16814" xr:uid="{F4918B76-BA67-4898-813E-34A5721A8758}"/>
    <cellStyle name="40% - Accent3 3 6 2 3" xfId="12596" xr:uid="{34AAAC6B-8894-4024-A495-4880B01CD880}"/>
    <cellStyle name="40% - Accent3 3 6 3" xfId="6227" xr:uid="{00000000-0005-0000-0000-000076050000}"/>
    <cellStyle name="40% - Accent3 3 6 3 2" xfId="14669" xr:uid="{680E9DDB-611A-41B5-BAC3-98B4E7465B11}"/>
    <cellStyle name="40% - Accent3 3 6 4" xfId="10451" xr:uid="{4F849449-5B13-4CE8-BD53-50C2582824E6}"/>
    <cellStyle name="40% - Accent3 3 7" xfId="2333" xr:uid="{00000000-0005-0000-0000-000077050000}"/>
    <cellStyle name="40% - Accent3 3 7 2" xfId="6640" xr:uid="{00000000-0005-0000-0000-000078050000}"/>
    <cellStyle name="40% - Accent3 3 7 2 2" xfId="15082" xr:uid="{1868F851-2DF3-42F1-A7E4-15A9D88ABC91}"/>
    <cellStyle name="40% - Accent3 3 7 3" xfId="10864" xr:uid="{85720D80-2DDD-4498-B167-00C72069E3A8}"/>
    <cellStyle name="40% - Accent3 3 8" xfId="4574" xr:uid="{00000000-0005-0000-0000-000079050000}"/>
    <cellStyle name="40% - Accent3 3 8 2" xfId="13016" xr:uid="{C83E92FD-1233-4B47-B002-8F48775164EB}"/>
    <cellStyle name="40% - Accent3 3 9" xfId="8798" xr:uid="{81AC4792-BFC5-4DC3-BF7F-D51D954AAD1F}"/>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2 2 2" xfId="15577" xr:uid="{F5BC246A-0FA3-45AB-94F3-FFA5FD9964AE}"/>
    <cellStyle name="40% - Accent3 4 2 2 3" xfId="11359" xr:uid="{DAFB2082-F301-4AD9-BA5A-0E3C6329FF83}"/>
    <cellStyle name="40% - Accent3 4 2 3" xfId="4990" xr:uid="{00000000-0005-0000-0000-00007E050000}"/>
    <cellStyle name="40% - Accent3 4 2 3 2" xfId="13432" xr:uid="{741F12C6-BFFB-46E7-BF91-77247C1D89A5}"/>
    <cellStyle name="40% - Accent3 4 2 4" xfId="9214" xr:uid="{35224D92-E896-41DF-93FB-0D6ACDF65FAB}"/>
    <cellStyle name="40% - Accent3 4 3" xfId="1094" xr:uid="{00000000-0005-0000-0000-00007F050000}"/>
    <cellStyle name="40% - Accent3 4 3 2" xfId="3325" xr:uid="{00000000-0005-0000-0000-000080050000}"/>
    <cellStyle name="40% - Accent3 4 3 2 2" xfId="7548" xr:uid="{00000000-0005-0000-0000-000081050000}"/>
    <cellStyle name="40% - Accent3 4 3 2 2 2" xfId="15990" xr:uid="{816B81E9-220A-48A7-9A88-EB87A6BABDCE}"/>
    <cellStyle name="40% - Accent3 4 3 2 3" xfId="11772" xr:uid="{BCE74BC2-6903-4B52-94CE-D943E5ABDBC8}"/>
    <cellStyle name="40% - Accent3 4 3 3" xfId="5403" xr:uid="{00000000-0005-0000-0000-000082050000}"/>
    <cellStyle name="40% - Accent3 4 3 3 2" xfId="13845" xr:uid="{C3AA6DDF-19AE-48EC-BB49-97D2A934108F}"/>
    <cellStyle name="40% - Accent3 4 3 4" xfId="9627" xr:uid="{8699D189-7AAE-45CB-AEBB-F6ACABB6E306}"/>
    <cellStyle name="40% - Accent3 4 4" xfId="1508" xr:uid="{00000000-0005-0000-0000-000083050000}"/>
    <cellStyle name="40% - Accent3 4 4 2" xfId="3738" xr:uid="{00000000-0005-0000-0000-000084050000}"/>
    <cellStyle name="40% - Accent3 4 4 2 2" xfId="7961" xr:uid="{00000000-0005-0000-0000-000085050000}"/>
    <cellStyle name="40% - Accent3 4 4 2 2 2" xfId="16403" xr:uid="{D6497BF3-2FA5-4302-AA34-8B0A69F508CD}"/>
    <cellStyle name="40% - Accent3 4 4 2 3" xfId="12185" xr:uid="{657C96F7-20B7-43EC-ACBC-C4D7AB81FF4C}"/>
    <cellStyle name="40% - Accent3 4 4 3" xfId="5816" xr:uid="{00000000-0005-0000-0000-000086050000}"/>
    <cellStyle name="40% - Accent3 4 4 3 2" xfId="14258" xr:uid="{2F7595E5-551F-4668-8F6E-CC3B9CA8208D}"/>
    <cellStyle name="40% - Accent3 4 4 4" xfId="10040" xr:uid="{80463C16-B5B8-4E25-8DB3-4DCA3C2F7280}"/>
    <cellStyle name="40% - Accent3 4 5" xfId="1922" xr:uid="{00000000-0005-0000-0000-000087050000}"/>
    <cellStyle name="40% - Accent3 4 5 2" xfId="4151" xr:uid="{00000000-0005-0000-0000-000088050000}"/>
    <cellStyle name="40% - Accent3 4 5 2 2" xfId="8374" xr:uid="{00000000-0005-0000-0000-000089050000}"/>
    <cellStyle name="40% - Accent3 4 5 2 2 2" xfId="16816" xr:uid="{0CF1986E-ADF3-48D8-8C11-739CDAF58A1C}"/>
    <cellStyle name="40% - Accent3 4 5 2 3" xfId="12598" xr:uid="{3F02DB18-E992-427E-A058-378B1690D258}"/>
    <cellStyle name="40% - Accent3 4 5 3" xfId="6229" xr:uid="{00000000-0005-0000-0000-00008A050000}"/>
    <cellStyle name="40% - Accent3 4 5 3 2" xfId="14671" xr:uid="{58B6F424-69F3-4470-9B66-2B3E0D340723}"/>
    <cellStyle name="40% - Accent3 4 5 4" xfId="10453" xr:uid="{0A76C317-B15C-4C54-8BC2-831F59CBCA3B}"/>
    <cellStyle name="40% - Accent3 4 6" xfId="2335" xr:uid="{00000000-0005-0000-0000-00008B050000}"/>
    <cellStyle name="40% - Accent3 4 6 2" xfId="6642" xr:uid="{00000000-0005-0000-0000-00008C050000}"/>
    <cellStyle name="40% - Accent3 4 6 2 2" xfId="15084" xr:uid="{57593805-41D0-4504-837F-458B929D76C2}"/>
    <cellStyle name="40% - Accent3 4 6 3" xfId="10866" xr:uid="{2EDB84C8-0F3B-4D62-81EA-0455ABF92D55}"/>
    <cellStyle name="40% - Accent3 4 7" xfId="4576" xr:uid="{00000000-0005-0000-0000-00008D050000}"/>
    <cellStyle name="40% - Accent3 4 7 2" xfId="13018" xr:uid="{84858FEF-9A50-4BE5-8EE3-0F34913CB65D}"/>
    <cellStyle name="40% - Accent3 4 8" xfId="8800" xr:uid="{EFA33103-2651-4643-8CC8-46447AC145C1}"/>
    <cellStyle name="40% - Accent3 5" xfId="634" xr:uid="{00000000-0005-0000-0000-00008E050000}"/>
    <cellStyle name="40% - Accent3 5 2" xfId="2905" xr:uid="{00000000-0005-0000-0000-00008F050000}"/>
    <cellStyle name="40% - Accent3 5 2 2" xfId="7128" xr:uid="{00000000-0005-0000-0000-000090050000}"/>
    <cellStyle name="40% - Accent3 5 2 2 2" xfId="15570" xr:uid="{DEF7B676-CD32-452C-9A87-AE4ADCAAC0E5}"/>
    <cellStyle name="40% - Accent3 5 2 3" xfId="11352" xr:uid="{1291BA43-6E86-4D2D-854F-822BBD91142B}"/>
    <cellStyle name="40% - Accent3 5 3" xfId="4983" xr:uid="{00000000-0005-0000-0000-000091050000}"/>
    <cellStyle name="40% - Accent3 5 3 2" xfId="13425" xr:uid="{D22400E6-E3F6-4A63-868E-897E2F82C375}"/>
    <cellStyle name="40% - Accent3 5 4" xfId="9207" xr:uid="{A38A09B9-AA8B-4414-9027-056AA16592ED}"/>
    <cellStyle name="40% - Accent3 6" xfId="1087" xr:uid="{00000000-0005-0000-0000-000092050000}"/>
    <cellStyle name="40% - Accent3 6 2" xfId="3318" xr:uid="{00000000-0005-0000-0000-000093050000}"/>
    <cellStyle name="40% - Accent3 6 2 2" xfId="7541" xr:uid="{00000000-0005-0000-0000-000094050000}"/>
    <cellStyle name="40% - Accent3 6 2 2 2" xfId="15983" xr:uid="{0C55341C-FF48-4939-A512-79785CBA0A13}"/>
    <cellStyle name="40% - Accent3 6 2 3" xfId="11765" xr:uid="{7B334A06-D2E7-4084-AFF1-582184570C50}"/>
    <cellStyle name="40% - Accent3 6 3" xfId="5396" xr:uid="{00000000-0005-0000-0000-000095050000}"/>
    <cellStyle name="40% - Accent3 6 3 2" xfId="13838" xr:uid="{5C062A57-9595-4B5C-B5EC-C579E61395DE}"/>
    <cellStyle name="40% - Accent3 6 4" xfId="9620" xr:uid="{A3212DB5-2899-464F-AE03-60042B9522B1}"/>
    <cellStyle name="40% - Accent3 7" xfId="1501" xr:uid="{00000000-0005-0000-0000-000096050000}"/>
    <cellStyle name="40% - Accent3 7 2" xfId="3731" xr:uid="{00000000-0005-0000-0000-000097050000}"/>
    <cellStyle name="40% - Accent3 7 2 2" xfId="7954" xr:uid="{00000000-0005-0000-0000-000098050000}"/>
    <cellStyle name="40% - Accent3 7 2 2 2" xfId="16396" xr:uid="{3F6F4BFD-58C4-4F2F-B057-B3562BCC7047}"/>
    <cellStyle name="40% - Accent3 7 2 3" xfId="12178" xr:uid="{DC40352E-2625-4D3E-9204-2894AFEB4761}"/>
    <cellStyle name="40% - Accent3 7 3" xfId="5809" xr:uid="{00000000-0005-0000-0000-000099050000}"/>
    <cellStyle name="40% - Accent3 7 3 2" xfId="14251" xr:uid="{B6134EDC-A2EC-493F-BD6C-06C80C19A4C7}"/>
    <cellStyle name="40% - Accent3 7 4" xfId="10033" xr:uid="{4715A62D-ABC2-4661-89A2-9D0AC090A0ED}"/>
    <cellStyle name="40% - Accent3 8" xfId="1915" xr:uid="{00000000-0005-0000-0000-00009A050000}"/>
    <cellStyle name="40% - Accent3 8 2" xfId="4144" xr:uid="{00000000-0005-0000-0000-00009B050000}"/>
    <cellStyle name="40% - Accent3 8 2 2" xfId="8367" xr:uid="{00000000-0005-0000-0000-00009C050000}"/>
    <cellStyle name="40% - Accent3 8 2 2 2" xfId="16809" xr:uid="{82BEB9B5-75E0-43B0-8A31-9AA9AB5AD8BB}"/>
    <cellStyle name="40% - Accent3 8 2 3" xfId="12591" xr:uid="{1555DA65-DA1F-45B1-95DF-076B28965A63}"/>
    <cellStyle name="40% - Accent3 8 3" xfId="6222" xr:uid="{00000000-0005-0000-0000-00009D050000}"/>
    <cellStyle name="40% - Accent3 8 3 2" xfId="14664" xr:uid="{0213A21E-1180-4760-A71A-84D81BC7623F}"/>
    <cellStyle name="40% - Accent3 8 4" xfId="10446" xr:uid="{05D31C14-3F47-4B8B-A067-001EB07A5F36}"/>
    <cellStyle name="40% - Accent3 9" xfId="2328" xr:uid="{00000000-0005-0000-0000-00009E050000}"/>
    <cellStyle name="40% - Accent3 9 2" xfId="6635" xr:uid="{00000000-0005-0000-0000-00009F050000}"/>
    <cellStyle name="40% - Accent3 9 2 2" xfId="15077" xr:uid="{63602C86-96C6-4168-9CEE-79B024FDF3F3}"/>
    <cellStyle name="40% - Accent3 9 3" xfId="10859" xr:uid="{6669A3F7-9DF5-4303-9F60-3F6977D57CE4}"/>
    <cellStyle name="40% - Accent4" xfId="73" builtinId="43" customBuiltin="1"/>
    <cellStyle name="40% - Accent4 10" xfId="4577" xr:uid="{00000000-0005-0000-0000-0000A1050000}"/>
    <cellStyle name="40% - Accent4 10 2" xfId="13019" xr:uid="{8B459B7C-4238-4A62-892F-2BDF16D0A563}"/>
    <cellStyle name="40% - Accent4 11" xfId="8801" xr:uid="{D70F5D7F-4CCD-4300-949A-D5BBB2162F5F}"/>
    <cellStyle name="40% - Accent4 2" xfId="74" xr:uid="{00000000-0005-0000-0000-0000A2050000}"/>
    <cellStyle name="40% - Accent4 2 10" xfId="8802" xr:uid="{FD26C15D-2745-4537-AADB-E390C011AFBC}"/>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15581" xr:uid="{E27F5A7A-EAEA-403C-9EA5-DF7FFD9E9FD2}"/>
    <cellStyle name="40% - Accent4 2 2 2 2 2 3" xfId="11363" xr:uid="{82490E8E-6BA1-4940-ABCE-32362D9A68F7}"/>
    <cellStyle name="40% - Accent4 2 2 2 2 3" xfId="4994" xr:uid="{00000000-0005-0000-0000-0000A8050000}"/>
    <cellStyle name="40% - Accent4 2 2 2 2 3 2" xfId="13436" xr:uid="{9BCAD421-2497-4611-A086-2762842AC7DF}"/>
    <cellStyle name="40% - Accent4 2 2 2 2 4" xfId="9218" xr:uid="{955C2832-6D0F-4659-B09B-A087637D2ED7}"/>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15994" xr:uid="{BF1D7F30-BACF-4FB6-9A02-FE6ABF9E3A45}"/>
    <cellStyle name="40% - Accent4 2 2 2 3 2 3" xfId="11776" xr:uid="{AC3ADAB9-B0FD-4751-A7EE-19806FE42DC7}"/>
    <cellStyle name="40% - Accent4 2 2 2 3 3" xfId="5407" xr:uid="{00000000-0005-0000-0000-0000AC050000}"/>
    <cellStyle name="40% - Accent4 2 2 2 3 3 2" xfId="13849" xr:uid="{29943ED8-5A93-4556-A4B2-E1F434662ACF}"/>
    <cellStyle name="40% - Accent4 2 2 2 3 4" xfId="9631" xr:uid="{FFA1FFA3-43CA-44C1-93DE-8441B7951158}"/>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16407" xr:uid="{8A8D2895-AFE5-4F39-845A-F6E02A4D4B3B}"/>
    <cellStyle name="40% - Accent4 2 2 2 4 2 3" xfId="12189" xr:uid="{F27919E7-92A5-4B88-A185-3B5591054D03}"/>
    <cellStyle name="40% - Accent4 2 2 2 4 3" xfId="5820" xr:uid="{00000000-0005-0000-0000-0000B0050000}"/>
    <cellStyle name="40% - Accent4 2 2 2 4 3 2" xfId="14262" xr:uid="{07825266-D805-42B8-AF5B-37908ADDB767}"/>
    <cellStyle name="40% - Accent4 2 2 2 4 4" xfId="10044" xr:uid="{480A5FAD-05CC-4F43-A997-23AFAE330457}"/>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16820" xr:uid="{BB5E028C-0F79-483E-A99D-D95337C26605}"/>
    <cellStyle name="40% - Accent4 2 2 2 5 2 3" xfId="12602" xr:uid="{63C5A84C-C3E7-4A58-A3C8-EB9B3EA159CE}"/>
    <cellStyle name="40% - Accent4 2 2 2 5 3" xfId="6233" xr:uid="{00000000-0005-0000-0000-0000B4050000}"/>
    <cellStyle name="40% - Accent4 2 2 2 5 3 2" xfId="14675" xr:uid="{1B1305F4-E575-4043-95B8-F11F5C904624}"/>
    <cellStyle name="40% - Accent4 2 2 2 5 4" xfId="10457" xr:uid="{3292A71F-73C6-429E-836B-A8F6E0035E3C}"/>
    <cellStyle name="40% - Accent4 2 2 2 6" xfId="2339" xr:uid="{00000000-0005-0000-0000-0000B5050000}"/>
    <cellStyle name="40% - Accent4 2 2 2 6 2" xfId="6646" xr:uid="{00000000-0005-0000-0000-0000B6050000}"/>
    <cellStyle name="40% - Accent4 2 2 2 6 2 2" xfId="15088" xr:uid="{9BBE2A36-8E18-4FDB-8F94-E2456B00369D}"/>
    <cellStyle name="40% - Accent4 2 2 2 6 3" xfId="10870" xr:uid="{6662FF6E-34D5-43E0-AC18-A7233E54D0ED}"/>
    <cellStyle name="40% - Accent4 2 2 2 7" xfId="4580" xr:uid="{00000000-0005-0000-0000-0000B7050000}"/>
    <cellStyle name="40% - Accent4 2 2 2 7 2" xfId="13022" xr:uid="{0B3A596E-1CD8-456D-8C35-1C445BB2CF07}"/>
    <cellStyle name="40% - Accent4 2 2 2 8" xfId="8804" xr:uid="{34248C12-F4F4-4F7F-926E-C7A9732392BD}"/>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15580" xr:uid="{72AE4BE2-CF60-4BFE-B7A1-06DB77FF5259}"/>
    <cellStyle name="40% - Accent4 2 2 3 2 3" xfId="11362" xr:uid="{70011942-E912-451A-8765-768E3C88D2B1}"/>
    <cellStyle name="40% - Accent4 2 2 3 3" xfId="4993" xr:uid="{00000000-0005-0000-0000-0000BB050000}"/>
    <cellStyle name="40% - Accent4 2 2 3 3 2" xfId="13435" xr:uid="{9FA4E514-3825-480F-BE42-0865ADB55601}"/>
    <cellStyle name="40% - Accent4 2 2 3 4" xfId="9217" xr:uid="{9F723808-1FE8-4B90-A9F1-3DA296A4A580}"/>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15993" xr:uid="{8FC2E2C7-1D80-4222-9860-E2BE7CDC1D85}"/>
    <cellStyle name="40% - Accent4 2 2 4 2 3" xfId="11775" xr:uid="{5E1AB7A1-69AF-4FB2-B047-F7E2540C3EA6}"/>
    <cellStyle name="40% - Accent4 2 2 4 3" xfId="5406" xr:uid="{00000000-0005-0000-0000-0000BF050000}"/>
    <cellStyle name="40% - Accent4 2 2 4 3 2" xfId="13848" xr:uid="{6D9377BD-4EF3-45EE-9484-98761C052165}"/>
    <cellStyle name="40% - Accent4 2 2 4 4" xfId="9630" xr:uid="{F78F22CE-C552-4028-A17C-AAA7405E4BAD}"/>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16406" xr:uid="{E355CD4E-4A74-4477-AAFB-CF2AE0F39528}"/>
    <cellStyle name="40% - Accent4 2 2 5 2 3" xfId="12188" xr:uid="{A43A7EE7-C929-43EB-BD9B-17E985320A13}"/>
    <cellStyle name="40% - Accent4 2 2 5 3" xfId="5819" xr:uid="{00000000-0005-0000-0000-0000C3050000}"/>
    <cellStyle name="40% - Accent4 2 2 5 3 2" xfId="14261" xr:uid="{B9889457-F19A-457A-BDB8-83557FE45B49}"/>
    <cellStyle name="40% - Accent4 2 2 5 4" xfId="10043" xr:uid="{0A5467A5-5FE1-4CA2-B462-D61AD2289181}"/>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16819" xr:uid="{F317E7DC-15E8-48E9-AED1-DA7F3BACAFCC}"/>
    <cellStyle name="40% - Accent4 2 2 6 2 3" xfId="12601" xr:uid="{8B9FDE70-04F2-4E20-A360-BD767EC254C1}"/>
    <cellStyle name="40% - Accent4 2 2 6 3" xfId="6232" xr:uid="{00000000-0005-0000-0000-0000C7050000}"/>
    <cellStyle name="40% - Accent4 2 2 6 3 2" xfId="14674" xr:uid="{4424C95D-7D27-40C3-88D2-36C468975BF5}"/>
    <cellStyle name="40% - Accent4 2 2 6 4" xfId="10456" xr:uid="{96E0929E-AD6E-4254-B308-8208ECB371B4}"/>
    <cellStyle name="40% - Accent4 2 2 7" xfId="2338" xr:uid="{00000000-0005-0000-0000-0000C8050000}"/>
    <cellStyle name="40% - Accent4 2 2 7 2" xfId="6645" xr:uid="{00000000-0005-0000-0000-0000C9050000}"/>
    <cellStyle name="40% - Accent4 2 2 7 2 2" xfId="15087" xr:uid="{1A2A5225-3941-4219-80CF-EF318C35FDD6}"/>
    <cellStyle name="40% - Accent4 2 2 7 3" xfId="10869" xr:uid="{A3FE36BE-5687-4EF6-816A-3F9CBD46F4AF}"/>
    <cellStyle name="40% - Accent4 2 2 8" xfId="4579" xr:uid="{00000000-0005-0000-0000-0000CA050000}"/>
    <cellStyle name="40% - Accent4 2 2 8 2" xfId="13021" xr:uid="{33E18466-9AB5-4FA8-8B4F-C3ADC0EBF8D0}"/>
    <cellStyle name="40% - Accent4 2 2 9" xfId="8803" xr:uid="{E4C81A98-F7F2-4103-B25D-2F16ABEF7602}"/>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15582" xr:uid="{EA27FCF4-842F-45F0-8934-1CF618914045}"/>
    <cellStyle name="40% - Accent4 2 3 2 2 3" xfId="11364" xr:uid="{3831AF45-E005-48F2-B340-667445D8CEC7}"/>
    <cellStyle name="40% - Accent4 2 3 2 3" xfId="4995" xr:uid="{00000000-0005-0000-0000-0000CF050000}"/>
    <cellStyle name="40% - Accent4 2 3 2 3 2" xfId="13437" xr:uid="{EF33E99F-F260-4288-9FDF-A6098CAD589C}"/>
    <cellStyle name="40% - Accent4 2 3 2 4" xfId="9219" xr:uid="{A1EF1A7C-CE52-44E0-B386-9C9EC1643265}"/>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15995" xr:uid="{4632F9A8-B196-4F0C-9C4E-C60EF414A499}"/>
    <cellStyle name="40% - Accent4 2 3 3 2 3" xfId="11777" xr:uid="{8C51648C-8940-4737-A347-CCA2FABF4053}"/>
    <cellStyle name="40% - Accent4 2 3 3 3" xfId="5408" xr:uid="{00000000-0005-0000-0000-0000D3050000}"/>
    <cellStyle name="40% - Accent4 2 3 3 3 2" xfId="13850" xr:uid="{BC8C5C3F-7C3D-4F44-A0AE-FD904CDD8FA4}"/>
    <cellStyle name="40% - Accent4 2 3 3 4" xfId="9632" xr:uid="{B58E21A8-30E5-44C4-B51F-DE495B1F030A}"/>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16408" xr:uid="{829F2550-9E7F-46F9-8F06-4CE116A972AE}"/>
    <cellStyle name="40% - Accent4 2 3 4 2 3" xfId="12190" xr:uid="{5D7ACBB9-F950-46F7-B19C-568AD6F150BF}"/>
    <cellStyle name="40% - Accent4 2 3 4 3" xfId="5821" xr:uid="{00000000-0005-0000-0000-0000D7050000}"/>
    <cellStyle name="40% - Accent4 2 3 4 3 2" xfId="14263" xr:uid="{090336D4-5684-4347-B881-468F526218F0}"/>
    <cellStyle name="40% - Accent4 2 3 4 4" xfId="10045" xr:uid="{8220EAF7-8096-45B7-B086-78F41425F1A7}"/>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16821" xr:uid="{33BF298C-9E45-4534-ABF7-FC68E94DBB33}"/>
    <cellStyle name="40% - Accent4 2 3 5 2 3" xfId="12603" xr:uid="{61AAA8F1-6EDC-46DF-ACAA-1478A00293BB}"/>
    <cellStyle name="40% - Accent4 2 3 5 3" xfId="6234" xr:uid="{00000000-0005-0000-0000-0000DB050000}"/>
    <cellStyle name="40% - Accent4 2 3 5 3 2" xfId="14676" xr:uid="{43FC747D-1CAA-4527-9566-F5C885BDB305}"/>
    <cellStyle name="40% - Accent4 2 3 5 4" xfId="10458" xr:uid="{0D53292B-ED98-417B-B168-27200D26BF4D}"/>
    <cellStyle name="40% - Accent4 2 3 6" xfId="2340" xr:uid="{00000000-0005-0000-0000-0000DC050000}"/>
    <cellStyle name="40% - Accent4 2 3 6 2" xfId="6647" xr:uid="{00000000-0005-0000-0000-0000DD050000}"/>
    <cellStyle name="40% - Accent4 2 3 6 2 2" xfId="15089" xr:uid="{10B7F7B9-E53C-4D49-8EA9-462AF726801F}"/>
    <cellStyle name="40% - Accent4 2 3 6 3" xfId="10871" xr:uid="{235B958B-7C9C-409E-AD34-C1BD0908B002}"/>
    <cellStyle name="40% - Accent4 2 3 7" xfId="4581" xr:uid="{00000000-0005-0000-0000-0000DE050000}"/>
    <cellStyle name="40% - Accent4 2 3 7 2" xfId="13023" xr:uid="{F9B45B73-86CF-43DF-8667-B8D25BCF80BD}"/>
    <cellStyle name="40% - Accent4 2 3 8" xfId="8805" xr:uid="{8C56AD88-A6FF-4E39-A942-E9B0EE0EF73F}"/>
    <cellStyle name="40% - Accent4 2 4" xfId="643" xr:uid="{00000000-0005-0000-0000-0000DF050000}"/>
    <cellStyle name="40% - Accent4 2 4 2" xfId="2914" xr:uid="{00000000-0005-0000-0000-0000E0050000}"/>
    <cellStyle name="40% - Accent4 2 4 2 2" xfId="7137" xr:uid="{00000000-0005-0000-0000-0000E1050000}"/>
    <cellStyle name="40% - Accent4 2 4 2 2 2" xfId="15579" xr:uid="{C7D918E4-CF5F-447C-A9BC-5D8C6DF97D4D}"/>
    <cellStyle name="40% - Accent4 2 4 2 3" xfId="11361" xr:uid="{B88BA915-67E7-45A0-844F-6874CCEC1636}"/>
    <cellStyle name="40% - Accent4 2 4 3" xfId="4992" xr:uid="{00000000-0005-0000-0000-0000E2050000}"/>
    <cellStyle name="40% - Accent4 2 4 3 2" xfId="13434" xr:uid="{6927607C-F231-4CAF-B80E-847878FEBA9A}"/>
    <cellStyle name="40% - Accent4 2 4 4" xfId="9216" xr:uid="{6CCD8E1C-5292-4EDB-85CB-A58D406FC15C}"/>
    <cellStyle name="40% - Accent4 2 5" xfId="1096" xr:uid="{00000000-0005-0000-0000-0000E3050000}"/>
    <cellStyle name="40% - Accent4 2 5 2" xfId="3327" xr:uid="{00000000-0005-0000-0000-0000E4050000}"/>
    <cellStyle name="40% - Accent4 2 5 2 2" xfId="7550" xr:uid="{00000000-0005-0000-0000-0000E5050000}"/>
    <cellStyle name="40% - Accent4 2 5 2 2 2" xfId="15992" xr:uid="{A837CD80-68D8-4543-A436-E180999B47F5}"/>
    <cellStyle name="40% - Accent4 2 5 2 3" xfId="11774" xr:uid="{630ED19A-C7CC-4873-880A-4572F5FEF805}"/>
    <cellStyle name="40% - Accent4 2 5 3" xfId="5405" xr:uid="{00000000-0005-0000-0000-0000E6050000}"/>
    <cellStyle name="40% - Accent4 2 5 3 2" xfId="13847" xr:uid="{842E951B-6049-46C0-AB86-3086D4B8A021}"/>
    <cellStyle name="40% - Accent4 2 5 4" xfId="9629" xr:uid="{68527D9D-5825-4867-98B9-3E87BCA5A3F8}"/>
    <cellStyle name="40% - Accent4 2 6" xfId="1510" xr:uid="{00000000-0005-0000-0000-0000E7050000}"/>
    <cellStyle name="40% - Accent4 2 6 2" xfId="3740" xr:uid="{00000000-0005-0000-0000-0000E8050000}"/>
    <cellStyle name="40% - Accent4 2 6 2 2" xfId="7963" xr:uid="{00000000-0005-0000-0000-0000E9050000}"/>
    <cellStyle name="40% - Accent4 2 6 2 2 2" xfId="16405" xr:uid="{90AA37AF-319C-4FE2-B6CE-5B141A64C52F}"/>
    <cellStyle name="40% - Accent4 2 6 2 3" xfId="12187" xr:uid="{6CACB84D-0B8B-4342-90E5-11178E9A7C34}"/>
    <cellStyle name="40% - Accent4 2 6 3" xfId="5818" xr:uid="{00000000-0005-0000-0000-0000EA050000}"/>
    <cellStyle name="40% - Accent4 2 6 3 2" xfId="14260" xr:uid="{92E79B40-2CF9-43AD-9AFD-D77E38ABA401}"/>
    <cellStyle name="40% - Accent4 2 6 4" xfId="10042" xr:uid="{D5054343-6873-41CC-B98B-ACF97E83BF82}"/>
    <cellStyle name="40% - Accent4 2 7" xfId="1924" xr:uid="{00000000-0005-0000-0000-0000EB050000}"/>
    <cellStyle name="40% - Accent4 2 7 2" xfId="4153" xr:uid="{00000000-0005-0000-0000-0000EC050000}"/>
    <cellStyle name="40% - Accent4 2 7 2 2" xfId="8376" xr:uid="{00000000-0005-0000-0000-0000ED050000}"/>
    <cellStyle name="40% - Accent4 2 7 2 2 2" xfId="16818" xr:uid="{CEABA70B-B583-4021-B45B-406C331AEE9A}"/>
    <cellStyle name="40% - Accent4 2 7 2 3" xfId="12600" xr:uid="{FA4B2925-781F-4051-B145-152572016AB5}"/>
    <cellStyle name="40% - Accent4 2 7 3" xfId="6231" xr:uid="{00000000-0005-0000-0000-0000EE050000}"/>
    <cellStyle name="40% - Accent4 2 7 3 2" xfId="14673" xr:uid="{29FD8F25-3FFF-4596-948B-5FD974D8CF38}"/>
    <cellStyle name="40% - Accent4 2 7 4" xfId="10455" xr:uid="{A6BB69BD-63BB-477E-9BA1-4398893AB2FC}"/>
    <cellStyle name="40% - Accent4 2 8" xfId="2337" xr:uid="{00000000-0005-0000-0000-0000EF050000}"/>
    <cellStyle name="40% - Accent4 2 8 2" xfId="6644" xr:uid="{00000000-0005-0000-0000-0000F0050000}"/>
    <cellStyle name="40% - Accent4 2 8 2 2" xfId="15086" xr:uid="{741332F9-80A5-481C-BB40-F1D9EBF2F91B}"/>
    <cellStyle name="40% - Accent4 2 8 3" xfId="10868" xr:uid="{1AAF0D56-5996-40E1-8952-E417DB49F4B3}"/>
    <cellStyle name="40% - Accent4 2 9" xfId="4578" xr:uid="{00000000-0005-0000-0000-0000F1050000}"/>
    <cellStyle name="40% - Accent4 2 9 2" xfId="13020" xr:uid="{DB300B98-4FE2-4D28-90B2-97B4CD25C9C9}"/>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15584" xr:uid="{EC368C95-B641-4B13-8306-B855DC97787F}"/>
    <cellStyle name="40% - Accent4 3 2 2 2 3" xfId="11366" xr:uid="{73DF1931-9E40-490B-BD71-A4ADA78FFF37}"/>
    <cellStyle name="40% - Accent4 3 2 2 3" xfId="4997" xr:uid="{00000000-0005-0000-0000-0000F7050000}"/>
    <cellStyle name="40% - Accent4 3 2 2 3 2" xfId="13439" xr:uid="{FF8B3BB8-825F-4D15-BD5A-BE878683CC9A}"/>
    <cellStyle name="40% - Accent4 3 2 2 4" xfId="9221" xr:uid="{115461C3-B559-40C3-A547-3CD9707ADDCF}"/>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15997" xr:uid="{784FD5FE-C792-4801-BCA0-66E4331B7283}"/>
    <cellStyle name="40% - Accent4 3 2 3 2 3" xfId="11779" xr:uid="{DFFCBE2D-2D0A-472E-BC31-BFC354F7F6A0}"/>
    <cellStyle name="40% - Accent4 3 2 3 3" xfId="5410" xr:uid="{00000000-0005-0000-0000-0000FB050000}"/>
    <cellStyle name="40% - Accent4 3 2 3 3 2" xfId="13852" xr:uid="{4AB8EFFA-987F-4579-B32E-9E0F337998A2}"/>
    <cellStyle name="40% - Accent4 3 2 3 4" xfId="9634" xr:uid="{89D3A56C-8286-4BD9-863E-68853BDEE1FC}"/>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16410" xr:uid="{3CAD9E5C-668E-4D5E-970A-50414730BAAA}"/>
    <cellStyle name="40% - Accent4 3 2 4 2 3" xfId="12192" xr:uid="{C88A57AF-1CAC-49E9-BC6C-89730C900660}"/>
    <cellStyle name="40% - Accent4 3 2 4 3" xfId="5823" xr:uid="{00000000-0005-0000-0000-0000FF050000}"/>
    <cellStyle name="40% - Accent4 3 2 4 3 2" xfId="14265" xr:uid="{04F43F7D-A1C1-4C64-B79C-593F0722241F}"/>
    <cellStyle name="40% - Accent4 3 2 4 4" xfId="10047" xr:uid="{90FE539E-DA3F-41A9-8DB8-070ABD3232AE}"/>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16823" xr:uid="{DC29732E-CF64-435E-B859-CC5BF2631618}"/>
    <cellStyle name="40% - Accent4 3 2 5 2 3" xfId="12605" xr:uid="{CCD9BF10-6C8D-4C5D-BC9E-E064ECAB3DAB}"/>
    <cellStyle name="40% - Accent4 3 2 5 3" xfId="6236" xr:uid="{00000000-0005-0000-0000-000003060000}"/>
    <cellStyle name="40% - Accent4 3 2 5 3 2" xfId="14678" xr:uid="{1EAA0344-779C-4515-AA71-6A61B9A1DF98}"/>
    <cellStyle name="40% - Accent4 3 2 5 4" xfId="10460" xr:uid="{E4894EDD-BDE0-4DC3-94B3-383D53933838}"/>
    <cellStyle name="40% - Accent4 3 2 6" xfId="2342" xr:uid="{00000000-0005-0000-0000-000004060000}"/>
    <cellStyle name="40% - Accent4 3 2 6 2" xfId="6649" xr:uid="{00000000-0005-0000-0000-000005060000}"/>
    <cellStyle name="40% - Accent4 3 2 6 2 2" xfId="15091" xr:uid="{844CBDF0-C4A6-4281-8AF6-A4624AF5EC65}"/>
    <cellStyle name="40% - Accent4 3 2 6 3" xfId="10873" xr:uid="{417A3CD2-0C5B-46A3-86E8-F1620B3B5823}"/>
    <cellStyle name="40% - Accent4 3 2 7" xfId="4583" xr:uid="{00000000-0005-0000-0000-000006060000}"/>
    <cellStyle name="40% - Accent4 3 2 7 2" xfId="13025" xr:uid="{9C6026DF-8026-4B2F-A694-79EB32BDF1FF}"/>
    <cellStyle name="40% - Accent4 3 2 8" xfId="8807" xr:uid="{0376E7FA-31A4-4CF9-B766-12508765E55A}"/>
    <cellStyle name="40% - Accent4 3 3" xfId="647" xr:uid="{00000000-0005-0000-0000-000007060000}"/>
    <cellStyle name="40% - Accent4 3 3 2" xfId="2918" xr:uid="{00000000-0005-0000-0000-000008060000}"/>
    <cellStyle name="40% - Accent4 3 3 2 2" xfId="7141" xr:uid="{00000000-0005-0000-0000-000009060000}"/>
    <cellStyle name="40% - Accent4 3 3 2 2 2" xfId="15583" xr:uid="{A289EAED-391B-44DE-8ECB-AC644D2C3A06}"/>
    <cellStyle name="40% - Accent4 3 3 2 3" xfId="11365" xr:uid="{D8B68384-9B81-4157-A78E-748CB54F30C9}"/>
    <cellStyle name="40% - Accent4 3 3 3" xfId="4996" xr:uid="{00000000-0005-0000-0000-00000A060000}"/>
    <cellStyle name="40% - Accent4 3 3 3 2" xfId="13438" xr:uid="{3E5B0BAC-A8A0-4C9D-9BE8-B5BF8619D6DD}"/>
    <cellStyle name="40% - Accent4 3 3 4" xfId="9220" xr:uid="{72786390-5CE5-4B0E-9811-74F9013762E4}"/>
    <cellStyle name="40% - Accent4 3 4" xfId="1100" xr:uid="{00000000-0005-0000-0000-00000B060000}"/>
    <cellStyle name="40% - Accent4 3 4 2" xfId="3331" xr:uid="{00000000-0005-0000-0000-00000C060000}"/>
    <cellStyle name="40% - Accent4 3 4 2 2" xfId="7554" xr:uid="{00000000-0005-0000-0000-00000D060000}"/>
    <cellStyle name="40% - Accent4 3 4 2 2 2" xfId="15996" xr:uid="{45824E57-9AEC-419A-949C-0E488AAA1601}"/>
    <cellStyle name="40% - Accent4 3 4 2 3" xfId="11778" xr:uid="{51767F73-D22F-447E-9322-40725CFBA24A}"/>
    <cellStyle name="40% - Accent4 3 4 3" xfId="5409" xr:uid="{00000000-0005-0000-0000-00000E060000}"/>
    <cellStyle name="40% - Accent4 3 4 3 2" xfId="13851" xr:uid="{4D1CF7D2-9BA3-4650-8FCF-8E90427E7DD7}"/>
    <cellStyle name="40% - Accent4 3 4 4" xfId="9633" xr:uid="{8318CFB2-54CD-481E-8C98-753EE561D829}"/>
    <cellStyle name="40% - Accent4 3 5" xfId="1514" xr:uid="{00000000-0005-0000-0000-00000F060000}"/>
    <cellStyle name="40% - Accent4 3 5 2" xfId="3744" xr:uid="{00000000-0005-0000-0000-000010060000}"/>
    <cellStyle name="40% - Accent4 3 5 2 2" xfId="7967" xr:uid="{00000000-0005-0000-0000-000011060000}"/>
    <cellStyle name="40% - Accent4 3 5 2 2 2" xfId="16409" xr:uid="{57243536-5117-4B1E-BA9A-EF80B943D5C3}"/>
    <cellStyle name="40% - Accent4 3 5 2 3" xfId="12191" xr:uid="{268C967B-35E1-4304-9BAD-FD5FDAD702D7}"/>
    <cellStyle name="40% - Accent4 3 5 3" xfId="5822" xr:uid="{00000000-0005-0000-0000-000012060000}"/>
    <cellStyle name="40% - Accent4 3 5 3 2" xfId="14264" xr:uid="{52D2FB06-254C-4F00-B20F-FC4EAB6892F6}"/>
    <cellStyle name="40% - Accent4 3 5 4" xfId="10046" xr:uid="{2311368E-FF61-4659-93BF-92176BD486E8}"/>
    <cellStyle name="40% - Accent4 3 6" xfId="1928" xr:uid="{00000000-0005-0000-0000-000013060000}"/>
    <cellStyle name="40% - Accent4 3 6 2" xfId="4157" xr:uid="{00000000-0005-0000-0000-000014060000}"/>
    <cellStyle name="40% - Accent4 3 6 2 2" xfId="8380" xr:uid="{00000000-0005-0000-0000-000015060000}"/>
    <cellStyle name="40% - Accent4 3 6 2 2 2" xfId="16822" xr:uid="{5A061383-55A4-4C36-BFD4-EF39623800B5}"/>
    <cellStyle name="40% - Accent4 3 6 2 3" xfId="12604" xr:uid="{88B8E1EB-06E8-4671-94AC-7FA02A2FAD8E}"/>
    <cellStyle name="40% - Accent4 3 6 3" xfId="6235" xr:uid="{00000000-0005-0000-0000-000016060000}"/>
    <cellStyle name="40% - Accent4 3 6 3 2" xfId="14677" xr:uid="{5008BFDF-211B-404F-8DA5-5F8B8F75B4D7}"/>
    <cellStyle name="40% - Accent4 3 6 4" xfId="10459" xr:uid="{9778F3E9-6019-4609-BA64-F2245949705D}"/>
    <cellStyle name="40% - Accent4 3 7" xfId="2341" xr:uid="{00000000-0005-0000-0000-000017060000}"/>
    <cellStyle name="40% - Accent4 3 7 2" xfId="6648" xr:uid="{00000000-0005-0000-0000-000018060000}"/>
    <cellStyle name="40% - Accent4 3 7 2 2" xfId="15090" xr:uid="{ABC30486-122C-411B-B09D-765BF90BD698}"/>
    <cellStyle name="40% - Accent4 3 7 3" xfId="10872" xr:uid="{FB5D4F46-C8EC-4462-A6A9-047D012365C3}"/>
    <cellStyle name="40% - Accent4 3 8" xfId="4582" xr:uid="{00000000-0005-0000-0000-000019060000}"/>
    <cellStyle name="40% - Accent4 3 8 2" xfId="13024" xr:uid="{470A923D-83B1-4C2A-8F79-E320FC96D6D9}"/>
    <cellStyle name="40% - Accent4 3 9" xfId="8806" xr:uid="{8153E62C-23D2-4CAE-BB41-6810D9D7A0D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2 2 2" xfId="15585" xr:uid="{577FD015-23BB-4634-8B69-2260583F80D0}"/>
    <cellStyle name="40% - Accent4 4 2 2 3" xfId="11367" xr:uid="{49AFFFCE-95F3-4748-B5EB-9D52F36AD095}"/>
    <cellStyle name="40% - Accent4 4 2 3" xfId="4998" xr:uid="{00000000-0005-0000-0000-00001E060000}"/>
    <cellStyle name="40% - Accent4 4 2 3 2" xfId="13440" xr:uid="{A76810FA-C5D9-4317-B79B-13E7C09B75AD}"/>
    <cellStyle name="40% - Accent4 4 2 4" xfId="9222" xr:uid="{2F412B18-523C-432C-8D84-30009933DE5D}"/>
    <cellStyle name="40% - Accent4 4 3" xfId="1102" xr:uid="{00000000-0005-0000-0000-00001F060000}"/>
    <cellStyle name="40% - Accent4 4 3 2" xfId="3333" xr:uid="{00000000-0005-0000-0000-000020060000}"/>
    <cellStyle name="40% - Accent4 4 3 2 2" xfId="7556" xr:uid="{00000000-0005-0000-0000-000021060000}"/>
    <cellStyle name="40% - Accent4 4 3 2 2 2" xfId="15998" xr:uid="{D5E8DF18-B9EF-4E7F-BEE4-15FCA9C971BE}"/>
    <cellStyle name="40% - Accent4 4 3 2 3" xfId="11780" xr:uid="{3C193228-7B54-4E16-898B-2D03E250D488}"/>
    <cellStyle name="40% - Accent4 4 3 3" xfId="5411" xr:uid="{00000000-0005-0000-0000-000022060000}"/>
    <cellStyle name="40% - Accent4 4 3 3 2" xfId="13853" xr:uid="{9AC4B08A-CDB5-4D03-8721-9E5FE4FE1E7B}"/>
    <cellStyle name="40% - Accent4 4 3 4" xfId="9635" xr:uid="{CCB0F7D0-FC0D-45CF-BE5B-915F4FA7A5BA}"/>
    <cellStyle name="40% - Accent4 4 4" xfId="1516" xr:uid="{00000000-0005-0000-0000-000023060000}"/>
    <cellStyle name="40% - Accent4 4 4 2" xfId="3746" xr:uid="{00000000-0005-0000-0000-000024060000}"/>
    <cellStyle name="40% - Accent4 4 4 2 2" xfId="7969" xr:uid="{00000000-0005-0000-0000-000025060000}"/>
    <cellStyle name="40% - Accent4 4 4 2 2 2" xfId="16411" xr:uid="{57ECBB4A-B974-41EA-ACC2-D359DFB6A717}"/>
    <cellStyle name="40% - Accent4 4 4 2 3" xfId="12193" xr:uid="{C3C3C194-C715-4A4A-89B0-BB3E2D9686C7}"/>
    <cellStyle name="40% - Accent4 4 4 3" xfId="5824" xr:uid="{00000000-0005-0000-0000-000026060000}"/>
    <cellStyle name="40% - Accent4 4 4 3 2" xfId="14266" xr:uid="{F37B361E-4433-4728-ABEE-C49D54F1E03D}"/>
    <cellStyle name="40% - Accent4 4 4 4" xfId="10048" xr:uid="{4A01681F-7D5C-42D2-94DC-20D4D41C9293}"/>
    <cellStyle name="40% - Accent4 4 5" xfId="1930" xr:uid="{00000000-0005-0000-0000-000027060000}"/>
    <cellStyle name="40% - Accent4 4 5 2" xfId="4159" xr:uid="{00000000-0005-0000-0000-000028060000}"/>
    <cellStyle name="40% - Accent4 4 5 2 2" xfId="8382" xr:uid="{00000000-0005-0000-0000-000029060000}"/>
    <cellStyle name="40% - Accent4 4 5 2 2 2" xfId="16824" xr:uid="{0B6EDDE7-1052-4B2B-9DA7-FAEB49B115EA}"/>
    <cellStyle name="40% - Accent4 4 5 2 3" xfId="12606" xr:uid="{54B2D2A1-927F-4A57-8F89-E747974EED39}"/>
    <cellStyle name="40% - Accent4 4 5 3" xfId="6237" xr:uid="{00000000-0005-0000-0000-00002A060000}"/>
    <cellStyle name="40% - Accent4 4 5 3 2" xfId="14679" xr:uid="{084F4E2E-E94F-42AC-AE0D-56B6128052D9}"/>
    <cellStyle name="40% - Accent4 4 5 4" xfId="10461" xr:uid="{282AD562-E514-44FC-84D8-8393C035D63B}"/>
    <cellStyle name="40% - Accent4 4 6" xfId="2343" xr:uid="{00000000-0005-0000-0000-00002B060000}"/>
    <cellStyle name="40% - Accent4 4 6 2" xfId="6650" xr:uid="{00000000-0005-0000-0000-00002C060000}"/>
    <cellStyle name="40% - Accent4 4 6 2 2" xfId="15092" xr:uid="{D2FF566F-F80E-46BE-8AD3-0D4761577621}"/>
    <cellStyle name="40% - Accent4 4 6 3" xfId="10874" xr:uid="{58AE7420-4FF9-4ED6-9149-13ED618798EE}"/>
    <cellStyle name="40% - Accent4 4 7" xfId="4584" xr:uid="{00000000-0005-0000-0000-00002D060000}"/>
    <cellStyle name="40% - Accent4 4 7 2" xfId="13026" xr:uid="{9110218B-54F6-4263-BDF0-26D713263C0C}"/>
    <cellStyle name="40% - Accent4 4 8" xfId="8808" xr:uid="{42EC6428-C96C-4328-B7DC-666BF94F73BD}"/>
    <cellStyle name="40% - Accent4 5" xfId="642" xr:uid="{00000000-0005-0000-0000-00002E060000}"/>
    <cellStyle name="40% - Accent4 5 2" xfId="2913" xr:uid="{00000000-0005-0000-0000-00002F060000}"/>
    <cellStyle name="40% - Accent4 5 2 2" xfId="7136" xr:uid="{00000000-0005-0000-0000-000030060000}"/>
    <cellStyle name="40% - Accent4 5 2 2 2" xfId="15578" xr:uid="{8357BA33-DE87-45CF-972A-9B2A7A72BA5D}"/>
    <cellStyle name="40% - Accent4 5 2 3" xfId="11360" xr:uid="{65FEA3B9-15AF-4411-B0C0-42C7D5864DB4}"/>
    <cellStyle name="40% - Accent4 5 3" xfId="4991" xr:uid="{00000000-0005-0000-0000-000031060000}"/>
    <cellStyle name="40% - Accent4 5 3 2" xfId="13433" xr:uid="{3EB30DC4-6A15-4798-AACD-FF782A1162D7}"/>
    <cellStyle name="40% - Accent4 5 4" xfId="9215" xr:uid="{EA7C7641-D47B-4CAA-8639-731E82CCFEA2}"/>
    <cellStyle name="40% - Accent4 6" xfId="1095" xr:uid="{00000000-0005-0000-0000-000032060000}"/>
    <cellStyle name="40% - Accent4 6 2" xfId="3326" xr:uid="{00000000-0005-0000-0000-000033060000}"/>
    <cellStyle name="40% - Accent4 6 2 2" xfId="7549" xr:uid="{00000000-0005-0000-0000-000034060000}"/>
    <cellStyle name="40% - Accent4 6 2 2 2" xfId="15991" xr:uid="{ADD42D30-2ECF-40EB-A179-C32478BCF4E3}"/>
    <cellStyle name="40% - Accent4 6 2 3" xfId="11773" xr:uid="{77B421EC-D7DA-4907-B4C2-69349C7981B4}"/>
    <cellStyle name="40% - Accent4 6 3" xfId="5404" xr:uid="{00000000-0005-0000-0000-000035060000}"/>
    <cellStyle name="40% - Accent4 6 3 2" xfId="13846" xr:uid="{F21390ED-9E26-4718-801F-FBC579234814}"/>
    <cellStyle name="40% - Accent4 6 4" xfId="9628" xr:uid="{51E90A23-4D27-41A5-AD6F-70CF6B493ADA}"/>
    <cellStyle name="40% - Accent4 7" xfId="1509" xr:uid="{00000000-0005-0000-0000-000036060000}"/>
    <cellStyle name="40% - Accent4 7 2" xfId="3739" xr:uid="{00000000-0005-0000-0000-000037060000}"/>
    <cellStyle name="40% - Accent4 7 2 2" xfId="7962" xr:uid="{00000000-0005-0000-0000-000038060000}"/>
    <cellStyle name="40% - Accent4 7 2 2 2" xfId="16404" xr:uid="{257C259E-222A-4B7A-BD9F-44933033B05E}"/>
    <cellStyle name="40% - Accent4 7 2 3" xfId="12186" xr:uid="{6628DE10-79AE-45FA-AFE3-10D3BA5C80AB}"/>
    <cellStyle name="40% - Accent4 7 3" xfId="5817" xr:uid="{00000000-0005-0000-0000-000039060000}"/>
    <cellStyle name="40% - Accent4 7 3 2" xfId="14259" xr:uid="{9C3C5735-63FB-4653-8FB9-3E61DB55D24C}"/>
    <cellStyle name="40% - Accent4 7 4" xfId="10041" xr:uid="{AC1DC43C-AA2E-4A9D-96A7-D8D02214E269}"/>
    <cellStyle name="40% - Accent4 8" xfId="1923" xr:uid="{00000000-0005-0000-0000-00003A060000}"/>
    <cellStyle name="40% - Accent4 8 2" xfId="4152" xr:uid="{00000000-0005-0000-0000-00003B060000}"/>
    <cellStyle name="40% - Accent4 8 2 2" xfId="8375" xr:uid="{00000000-0005-0000-0000-00003C060000}"/>
    <cellStyle name="40% - Accent4 8 2 2 2" xfId="16817" xr:uid="{C65930A5-A501-49B6-9E17-BA3E8CB6300D}"/>
    <cellStyle name="40% - Accent4 8 2 3" xfId="12599" xr:uid="{D57F4F39-669B-4A66-A88B-A3673D7B3298}"/>
    <cellStyle name="40% - Accent4 8 3" xfId="6230" xr:uid="{00000000-0005-0000-0000-00003D060000}"/>
    <cellStyle name="40% - Accent4 8 3 2" xfId="14672" xr:uid="{FA557C52-1F42-42E2-8144-52272F4B5900}"/>
    <cellStyle name="40% - Accent4 8 4" xfId="10454" xr:uid="{0272B5E5-FB49-4CD6-AE29-174CD8DE5775}"/>
    <cellStyle name="40% - Accent4 9" xfId="2336" xr:uid="{00000000-0005-0000-0000-00003E060000}"/>
    <cellStyle name="40% - Accent4 9 2" xfId="6643" xr:uid="{00000000-0005-0000-0000-00003F060000}"/>
    <cellStyle name="40% - Accent4 9 2 2" xfId="15085" xr:uid="{61583A93-1B1B-4976-BED6-A9C2ABFAD481}"/>
    <cellStyle name="40% - Accent4 9 3" xfId="10867" xr:uid="{8B24BA04-314E-4FB0-B9ED-20E539436351}"/>
    <cellStyle name="40% - Accent5" xfId="81" builtinId="47" customBuiltin="1"/>
    <cellStyle name="40% - Accent5 10" xfId="4585" xr:uid="{00000000-0005-0000-0000-000041060000}"/>
    <cellStyle name="40% - Accent5 10 2" xfId="13027" xr:uid="{4B6844B0-8255-4546-82EE-45438F841D8B}"/>
    <cellStyle name="40% - Accent5 11" xfId="8809" xr:uid="{C5DD48BC-19A5-48E2-B6D1-4D260015E170}"/>
    <cellStyle name="40% - Accent5 2" xfId="82" xr:uid="{00000000-0005-0000-0000-000042060000}"/>
    <cellStyle name="40% - Accent5 2 10" xfId="8810" xr:uid="{CD6BEB97-D808-4812-873B-187641E10672}"/>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15589" xr:uid="{5C9B6F07-B10F-4366-8E17-CF5545D767BE}"/>
    <cellStyle name="40% - Accent5 2 2 2 2 2 3" xfId="11371" xr:uid="{5AFF220E-02B2-4748-9267-7C44EAD44B8C}"/>
    <cellStyle name="40% - Accent5 2 2 2 2 3" xfId="5002" xr:uid="{00000000-0005-0000-0000-000048060000}"/>
    <cellStyle name="40% - Accent5 2 2 2 2 3 2" xfId="13444" xr:uid="{1D195049-E340-45B4-8045-2B46EA8D4DB7}"/>
    <cellStyle name="40% - Accent5 2 2 2 2 4" xfId="9226" xr:uid="{09EC904F-EFD1-4A49-8ECA-F604549495B7}"/>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16002" xr:uid="{B64BD287-714D-4693-85AE-7C70985F7D7E}"/>
    <cellStyle name="40% - Accent5 2 2 2 3 2 3" xfId="11784" xr:uid="{E3EEA39D-20AB-4027-9FEE-03723B798452}"/>
    <cellStyle name="40% - Accent5 2 2 2 3 3" xfId="5415" xr:uid="{00000000-0005-0000-0000-00004C060000}"/>
    <cellStyle name="40% - Accent5 2 2 2 3 3 2" xfId="13857" xr:uid="{3DDB19BE-D047-4F41-97CF-455DD6D2DD21}"/>
    <cellStyle name="40% - Accent5 2 2 2 3 4" xfId="9639" xr:uid="{33764787-9EC5-4458-8467-0D5C8EC82D71}"/>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16415" xr:uid="{B7C7E3BC-A272-482E-B053-54826735AA77}"/>
    <cellStyle name="40% - Accent5 2 2 2 4 2 3" xfId="12197" xr:uid="{07DA1394-7DA4-445B-98E6-CAA18F97677E}"/>
    <cellStyle name="40% - Accent5 2 2 2 4 3" xfId="5828" xr:uid="{00000000-0005-0000-0000-000050060000}"/>
    <cellStyle name="40% - Accent5 2 2 2 4 3 2" xfId="14270" xr:uid="{5354E8BD-B7E1-40AE-8E16-53799D89C09F}"/>
    <cellStyle name="40% - Accent5 2 2 2 4 4" xfId="10052" xr:uid="{A118EB80-353F-4DD2-9C5F-F6B20A5E7ACC}"/>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16828" xr:uid="{CD2AD893-7E55-45D2-A9A9-A120AD9232B7}"/>
    <cellStyle name="40% - Accent5 2 2 2 5 2 3" xfId="12610" xr:uid="{11A52B60-B1B0-415E-AFF9-CBB13059A527}"/>
    <cellStyle name="40% - Accent5 2 2 2 5 3" xfId="6241" xr:uid="{00000000-0005-0000-0000-000054060000}"/>
    <cellStyle name="40% - Accent5 2 2 2 5 3 2" xfId="14683" xr:uid="{D3277E4B-44C9-4923-B3B1-1135173EB922}"/>
    <cellStyle name="40% - Accent5 2 2 2 5 4" xfId="10465" xr:uid="{11DC047F-E002-433E-AED7-4AB6BB8BB23F}"/>
    <cellStyle name="40% - Accent5 2 2 2 6" xfId="2347" xr:uid="{00000000-0005-0000-0000-000055060000}"/>
    <cellStyle name="40% - Accent5 2 2 2 6 2" xfId="6654" xr:uid="{00000000-0005-0000-0000-000056060000}"/>
    <cellStyle name="40% - Accent5 2 2 2 6 2 2" xfId="15096" xr:uid="{49822959-33EE-4C19-A7B7-D89EB209A7BB}"/>
    <cellStyle name="40% - Accent5 2 2 2 6 3" xfId="10878" xr:uid="{6CE8B1A7-3C65-4C65-B965-F8BBD9FBF9A1}"/>
    <cellStyle name="40% - Accent5 2 2 2 7" xfId="4588" xr:uid="{00000000-0005-0000-0000-000057060000}"/>
    <cellStyle name="40% - Accent5 2 2 2 7 2" xfId="13030" xr:uid="{0FF9EFB5-D68E-4D14-B070-DDB6AD77A077}"/>
    <cellStyle name="40% - Accent5 2 2 2 8" xfId="8812" xr:uid="{E795A9F5-5B17-441D-8D03-4939C8D8B87F}"/>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15588" xr:uid="{58ED9A2B-87DF-471E-9E38-EF30E93C4842}"/>
    <cellStyle name="40% - Accent5 2 2 3 2 3" xfId="11370" xr:uid="{DEE3F4C9-7038-4CDE-959C-DAC9BCC6BB94}"/>
    <cellStyle name="40% - Accent5 2 2 3 3" xfId="5001" xr:uid="{00000000-0005-0000-0000-00005B060000}"/>
    <cellStyle name="40% - Accent5 2 2 3 3 2" xfId="13443" xr:uid="{61B7A326-F1BC-4C25-B78A-B673EDE5F8C8}"/>
    <cellStyle name="40% - Accent5 2 2 3 4" xfId="9225" xr:uid="{BC7CD26A-CD75-4453-916E-638C1FD5AE0C}"/>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16001" xr:uid="{5E7FDC4C-55A2-491F-BD3C-933D42D3309D}"/>
    <cellStyle name="40% - Accent5 2 2 4 2 3" xfId="11783" xr:uid="{B624F3EA-BD6D-45EC-AF5C-1F462D0968C0}"/>
    <cellStyle name="40% - Accent5 2 2 4 3" xfId="5414" xr:uid="{00000000-0005-0000-0000-00005F060000}"/>
    <cellStyle name="40% - Accent5 2 2 4 3 2" xfId="13856" xr:uid="{360AC9EE-75F2-43CC-A362-1BC5B3A58494}"/>
    <cellStyle name="40% - Accent5 2 2 4 4" xfId="9638" xr:uid="{A14FF76F-340A-4902-8103-0F00CF638990}"/>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16414" xr:uid="{80B5D6EF-66D9-47AC-81D4-AC4526BFB18A}"/>
    <cellStyle name="40% - Accent5 2 2 5 2 3" xfId="12196" xr:uid="{B7E0147C-CD6D-4198-9540-4A0B7A5AC710}"/>
    <cellStyle name="40% - Accent5 2 2 5 3" xfId="5827" xr:uid="{00000000-0005-0000-0000-000063060000}"/>
    <cellStyle name="40% - Accent5 2 2 5 3 2" xfId="14269" xr:uid="{A280C57E-4463-4F3E-85ED-B4F9625CE8A0}"/>
    <cellStyle name="40% - Accent5 2 2 5 4" xfId="10051" xr:uid="{9BE4D70E-BEB3-4E23-97DC-B5A55B551333}"/>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16827" xr:uid="{DE0543E5-D8E4-43DA-9423-BE8E6AF1ECEF}"/>
    <cellStyle name="40% - Accent5 2 2 6 2 3" xfId="12609" xr:uid="{6A66A8A0-E91C-4184-B13B-837CF3B148C1}"/>
    <cellStyle name="40% - Accent5 2 2 6 3" xfId="6240" xr:uid="{00000000-0005-0000-0000-000067060000}"/>
    <cellStyle name="40% - Accent5 2 2 6 3 2" xfId="14682" xr:uid="{EB38A61A-43E4-42D7-8050-3E28F34FFDCB}"/>
    <cellStyle name="40% - Accent5 2 2 6 4" xfId="10464" xr:uid="{3CA04C15-B4CA-42DE-BFCA-0C8CF04E376D}"/>
    <cellStyle name="40% - Accent5 2 2 7" xfId="2346" xr:uid="{00000000-0005-0000-0000-000068060000}"/>
    <cellStyle name="40% - Accent5 2 2 7 2" xfId="6653" xr:uid="{00000000-0005-0000-0000-000069060000}"/>
    <cellStyle name="40% - Accent5 2 2 7 2 2" xfId="15095" xr:uid="{D8C0F61B-82C5-4D79-A7E1-7CB52A85E364}"/>
    <cellStyle name="40% - Accent5 2 2 7 3" xfId="10877" xr:uid="{4EBA8A05-6BD0-4B59-874F-C169D9AA94B5}"/>
    <cellStyle name="40% - Accent5 2 2 8" xfId="4587" xr:uid="{00000000-0005-0000-0000-00006A060000}"/>
    <cellStyle name="40% - Accent5 2 2 8 2" xfId="13029" xr:uid="{AF4F32C9-0D85-4FF8-A7B9-4DB0EA7CE6AC}"/>
    <cellStyle name="40% - Accent5 2 2 9" xfId="8811" xr:uid="{C3242B4D-B9BF-4591-A003-DC2BD72D8987}"/>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15590" xr:uid="{372270BA-02E4-42D3-AB3A-0F587EFAFB37}"/>
    <cellStyle name="40% - Accent5 2 3 2 2 3" xfId="11372" xr:uid="{712DCF6A-7433-4637-A04B-C57CE16BCFF5}"/>
    <cellStyle name="40% - Accent5 2 3 2 3" xfId="5003" xr:uid="{00000000-0005-0000-0000-00006F060000}"/>
    <cellStyle name="40% - Accent5 2 3 2 3 2" xfId="13445" xr:uid="{F39E0210-2094-4759-86B7-860851F76EC5}"/>
    <cellStyle name="40% - Accent5 2 3 2 4" xfId="9227" xr:uid="{A67B4AFE-36E4-4571-AFA9-8E037CBA1BA6}"/>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16003" xr:uid="{06B9A2BA-C6B5-4898-AE98-510B52C893E3}"/>
    <cellStyle name="40% - Accent5 2 3 3 2 3" xfId="11785" xr:uid="{3122D1B0-6D36-48FF-A24B-64E85D146AAB}"/>
    <cellStyle name="40% - Accent5 2 3 3 3" xfId="5416" xr:uid="{00000000-0005-0000-0000-000073060000}"/>
    <cellStyle name="40% - Accent5 2 3 3 3 2" xfId="13858" xr:uid="{81D0F9B6-6F9D-4A0D-A200-27416EC245A1}"/>
    <cellStyle name="40% - Accent5 2 3 3 4" xfId="9640" xr:uid="{95284317-2143-4427-A321-5E45658C910B}"/>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16416" xr:uid="{7E16DFE2-F3D0-49D6-93A6-22CC610C90DE}"/>
    <cellStyle name="40% - Accent5 2 3 4 2 3" xfId="12198" xr:uid="{8BECA199-3775-4658-9D15-2A25937B15CB}"/>
    <cellStyle name="40% - Accent5 2 3 4 3" xfId="5829" xr:uid="{00000000-0005-0000-0000-000077060000}"/>
    <cellStyle name="40% - Accent5 2 3 4 3 2" xfId="14271" xr:uid="{A6DA65DE-61AF-4DCA-B393-AFB22B6C5974}"/>
    <cellStyle name="40% - Accent5 2 3 4 4" xfId="10053" xr:uid="{5056ED3F-4A08-4D97-96FE-3E14306B9EBA}"/>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16829" xr:uid="{4F5B9D8D-5D12-4568-A6B0-0523F9A65C16}"/>
    <cellStyle name="40% - Accent5 2 3 5 2 3" xfId="12611" xr:uid="{E3483EBA-81E4-4113-A45F-E38D7AEEA758}"/>
    <cellStyle name="40% - Accent5 2 3 5 3" xfId="6242" xr:uid="{00000000-0005-0000-0000-00007B060000}"/>
    <cellStyle name="40% - Accent5 2 3 5 3 2" xfId="14684" xr:uid="{9C095C92-B364-463A-BE45-672105CF1568}"/>
    <cellStyle name="40% - Accent5 2 3 5 4" xfId="10466" xr:uid="{BF1301FD-5589-458B-AC30-B3EFC034C315}"/>
    <cellStyle name="40% - Accent5 2 3 6" xfId="2348" xr:uid="{00000000-0005-0000-0000-00007C060000}"/>
    <cellStyle name="40% - Accent5 2 3 6 2" xfId="6655" xr:uid="{00000000-0005-0000-0000-00007D060000}"/>
    <cellStyle name="40% - Accent5 2 3 6 2 2" xfId="15097" xr:uid="{307CF624-1F88-4F2E-BBF2-559E57BD0353}"/>
    <cellStyle name="40% - Accent5 2 3 6 3" xfId="10879" xr:uid="{F5EE6D00-B83A-4D0D-9AA1-1272DAF86D89}"/>
    <cellStyle name="40% - Accent5 2 3 7" xfId="4589" xr:uid="{00000000-0005-0000-0000-00007E060000}"/>
    <cellStyle name="40% - Accent5 2 3 7 2" xfId="13031" xr:uid="{52A98AE8-4441-40A2-836D-E5E7C3248DCF}"/>
    <cellStyle name="40% - Accent5 2 3 8" xfId="8813" xr:uid="{090BCAB0-DF12-4083-86F3-9D7BC3775F9F}"/>
    <cellStyle name="40% - Accent5 2 4" xfId="651" xr:uid="{00000000-0005-0000-0000-00007F060000}"/>
    <cellStyle name="40% - Accent5 2 4 2" xfId="2922" xr:uid="{00000000-0005-0000-0000-000080060000}"/>
    <cellStyle name="40% - Accent5 2 4 2 2" xfId="7145" xr:uid="{00000000-0005-0000-0000-000081060000}"/>
    <cellStyle name="40% - Accent5 2 4 2 2 2" xfId="15587" xr:uid="{06051C4D-1B02-4BC8-8333-6A423B7F3B9C}"/>
    <cellStyle name="40% - Accent5 2 4 2 3" xfId="11369" xr:uid="{F06CDA30-43D5-4FB5-AAFF-68DD7F6E7FE1}"/>
    <cellStyle name="40% - Accent5 2 4 3" xfId="5000" xr:uid="{00000000-0005-0000-0000-000082060000}"/>
    <cellStyle name="40% - Accent5 2 4 3 2" xfId="13442" xr:uid="{DAC0F461-2DCE-42C6-BF51-28A50765A195}"/>
    <cellStyle name="40% - Accent5 2 4 4" xfId="9224" xr:uid="{A770B989-A5E3-43BB-8C19-5A32FFBB0A35}"/>
    <cellStyle name="40% - Accent5 2 5" xfId="1104" xr:uid="{00000000-0005-0000-0000-000083060000}"/>
    <cellStyle name="40% - Accent5 2 5 2" xfId="3335" xr:uid="{00000000-0005-0000-0000-000084060000}"/>
    <cellStyle name="40% - Accent5 2 5 2 2" xfId="7558" xr:uid="{00000000-0005-0000-0000-000085060000}"/>
    <cellStyle name="40% - Accent5 2 5 2 2 2" xfId="16000" xr:uid="{5A24A2D8-9A6A-480C-9CA3-8ADB8977BA19}"/>
    <cellStyle name="40% - Accent5 2 5 2 3" xfId="11782" xr:uid="{ECE6E5CD-D596-4E8A-AA40-5DD00F49DC75}"/>
    <cellStyle name="40% - Accent5 2 5 3" xfId="5413" xr:uid="{00000000-0005-0000-0000-000086060000}"/>
    <cellStyle name="40% - Accent5 2 5 3 2" xfId="13855" xr:uid="{4985D758-D96B-4E29-B410-0EDB76BAEC00}"/>
    <cellStyle name="40% - Accent5 2 5 4" xfId="9637" xr:uid="{5275D1E2-D44C-4AEC-8F9E-54B527A8D53B}"/>
    <cellStyle name="40% - Accent5 2 6" xfId="1518" xr:uid="{00000000-0005-0000-0000-000087060000}"/>
    <cellStyle name="40% - Accent5 2 6 2" xfId="3748" xr:uid="{00000000-0005-0000-0000-000088060000}"/>
    <cellStyle name="40% - Accent5 2 6 2 2" xfId="7971" xr:uid="{00000000-0005-0000-0000-000089060000}"/>
    <cellStyle name="40% - Accent5 2 6 2 2 2" xfId="16413" xr:uid="{5ED00BF1-557A-4716-8A20-9A0F1177B5A8}"/>
    <cellStyle name="40% - Accent5 2 6 2 3" xfId="12195" xr:uid="{06147E16-C0AA-4CAA-AA66-2057847FE842}"/>
    <cellStyle name="40% - Accent5 2 6 3" xfId="5826" xr:uid="{00000000-0005-0000-0000-00008A060000}"/>
    <cellStyle name="40% - Accent5 2 6 3 2" xfId="14268" xr:uid="{8BCEEB89-029E-41BF-B34E-B82E78869254}"/>
    <cellStyle name="40% - Accent5 2 6 4" xfId="10050" xr:uid="{BA4096D3-D870-4E43-98D6-3114C86CE9C0}"/>
    <cellStyle name="40% - Accent5 2 7" xfId="1932" xr:uid="{00000000-0005-0000-0000-00008B060000}"/>
    <cellStyle name="40% - Accent5 2 7 2" xfId="4161" xr:uid="{00000000-0005-0000-0000-00008C060000}"/>
    <cellStyle name="40% - Accent5 2 7 2 2" xfId="8384" xr:uid="{00000000-0005-0000-0000-00008D060000}"/>
    <cellStyle name="40% - Accent5 2 7 2 2 2" xfId="16826" xr:uid="{78D4CF7A-8A91-4253-AC57-8D482D7F6112}"/>
    <cellStyle name="40% - Accent5 2 7 2 3" xfId="12608" xr:uid="{64743C2C-AD51-4093-A51D-6E6F3FE2E5C8}"/>
    <cellStyle name="40% - Accent5 2 7 3" xfId="6239" xr:uid="{00000000-0005-0000-0000-00008E060000}"/>
    <cellStyle name="40% - Accent5 2 7 3 2" xfId="14681" xr:uid="{0380E62E-3AD7-4742-8EB4-B3932FCC50E2}"/>
    <cellStyle name="40% - Accent5 2 7 4" xfId="10463" xr:uid="{609803F2-D4CF-4C92-9492-9394551739EE}"/>
    <cellStyle name="40% - Accent5 2 8" xfId="2345" xr:uid="{00000000-0005-0000-0000-00008F060000}"/>
    <cellStyle name="40% - Accent5 2 8 2" xfId="6652" xr:uid="{00000000-0005-0000-0000-000090060000}"/>
    <cellStyle name="40% - Accent5 2 8 2 2" xfId="15094" xr:uid="{1D4885F6-6CEE-434E-A8B9-53F835140456}"/>
    <cellStyle name="40% - Accent5 2 8 3" xfId="10876" xr:uid="{839F71F8-06F9-4F0A-9CD6-810EA6C8CF4D}"/>
    <cellStyle name="40% - Accent5 2 9" xfId="4586" xr:uid="{00000000-0005-0000-0000-000091060000}"/>
    <cellStyle name="40% - Accent5 2 9 2" xfId="13028" xr:uid="{042402E0-1711-4A47-93A3-61433D2CC2E9}"/>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15592" xr:uid="{9B78DA0B-0D75-49ED-94DA-983471FBB118}"/>
    <cellStyle name="40% - Accent5 3 2 2 2 3" xfId="11374" xr:uid="{2CEFF4AE-A7DC-49B3-B50D-3F4643F57E40}"/>
    <cellStyle name="40% - Accent5 3 2 2 3" xfId="5005" xr:uid="{00000000-0005-0000-0000-000097060000}"/>
    <cellStyle name="40% - Accent5 3 2 2 3 2" xfId="13447" xr:uid="{689F83B7-06DA-4783-B510-E3E98638677B}"/>
    <cellStyle name="40% - Accent5 3 2 2 4" xfId="9229" xr:uid="{8CE60801-A638-4978-A781-E2B13683923F}"/>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16005" xr:uid="{8EF615FF-6B0A-4623-AA06-459BDCCBF227}"/>
    <cellStyle name="40% - Accent5 3 2 3 2 3" xfId="11787" xr:uid="{52693A0C-A53B-4C2C-B2B7-37FF2DE00ED1}"/>
    <cellStyle name="40% - Accent5 3 2 3 3" xfId="5418" xr:uid="{00000000-0005-0000-0000-00009B060000}"/>
    <cellStyle name="40% - Accent5 3 2 3 3 2" xfId="13860" xr:uid="{4774A7DB-716A-48A5-A108-4047AB943B37}"/>
    <cellStyle name="40% - Accent5 3 2 3 4" xfId="9642" xr:uid="{87572BD9-B0E2-4FCE-BDE8-034060C4FF4B}"/>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16418" xr:uid="{195C92C9-6602-4489-B674-705E8312CD94}"/>
    <cellStyle name="40% - Accent5 3 2 4 2 3" xfId="12200" xr:uid="{36A6553B-D800-402C-BE02-607BA56672EE}"/>
    <cellStyle name="40% - Accent5 3 2 4 3" xfId="5831" xr:uid="{00000000-0005-0000-0000-00009F060000}"/>
    <cellStyle name="40% - Accent5 3 2 4 3 2" xfId="14273" xr:uid="{59F43CCD-2A1E-4009-91B5-CD438472BF09}"/>
    <cellStyle name="40% - Accent5 3 2 4 4" xfId="10055" xr:uid="{B7C526C7-A79B-46C4-BEAF-C17D5EA92A49}"/>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16831" xr:uid="{BD64540D-6E78-464C-9BF3-C40F6CD5EACE}"/>
    <cellStyle name="40% - Accent5 3 2 5 2 3" xfId="12613" xr:uid="{AE523E97-BE80-46DC-8566-11926A15D721}"/>
    <cellStyle name="40% - Accent5 3 2 5 3" xfId="6244" xr:uid="{00000000-0005-0000-0000-0000A3060000}"/>
    <cellStyle name="40% - Accent5 3 2 5 3 2" xfId="14686" xr:uid="{77864710-4146-4C17-8F79-EC81CF5A63C0}"/>
    <cellStyle name="40% - Accent5 3 2 5 4" xfId="10468" xr:uid="{C4301370-DFBC-4A9B-A517-022A03F60DF6}"/>
    <cellStyle name="40% - Accent5 3 2 6" xfId="2350" xr:uid="{00000000-0005-0000-0000-0000A4060000}"/>
    <cellStyle name="40% - Accent5 3 2 6 2" xfId="6657" xr:uid="{00000000-0005-0000-0000-0000A5060000}"/>
    <cellStyle name="40% - Accent5 3 2 6 2 2" xfId="15099" xr:uid="{DB724398-A60B-476A-BB7D-26211BC79842}"/>
    <cellStyle name="40% - Accent5 3 2 6 3" xfId="10881" xr:uid="{5E72B3B3-E901-483A-AD7E-6B07418FCA80}"/>
    <cellStyle name="40% - Accent5 3 2 7" xfId="4591" xr:uid="{00000000-0005-0000-0000-0000A6060000}"/>
    <cellStyle name="40% - Accent5 3 2 7 2" xfId="13033" xr:uid="{46E47FCF-F983-479C-927A-19BCE368034A}"/>
    <cellStyle name="40% - Accent5 3 2 8" xfId="8815" xr:uid="{4D6D2343-626D-4A64-93DB-6710BF805996}"/>
    <cellStyle name="40% - Accent5 3 3" xfId="655" xr:uid="{00000000-0005-0000-0000-0000A7060000}"/>
    <cellStyle name="40% - Accent5 3 3 2" xfId="2926" xr:uid="{00000000-0005-0000-0000-0000A8060000}"/>
    <cellStyle name="40% - Accent5 3 3 2 2" xfId="7149" xr:uid="{00000000-0005-0000-0000-0000A9060000}"/>
    <cellStyle name="40% - Accent5 3 3 2 2 2" xfId="15591" xr:uid="{9B5872F8-448F-4540-9F34-1A1E02E41B00}"/>
    <cellStyle name="40% - Accent5 3 3 2 3" xfId="11373" xr:uid="{AF73EC7D-A04A-4E86-9EB4-ED6C19845843}"/>
    <cellStyle name="40% - Accent5 3 3 3" xfId="5004" xr:uid="{00000000-0005-0000-0000-0000AA060000}"/>
    <cellStyle name="40% - Accent5 3 3 3 2" xfId="13446" xr:uid="{0988D45D-8514-48CE-B01F-CFFA330DE3FF}"/>
    <cellStyle name="40% - Accent5 3 3 4" xfId="9228" xr:uid="{7A0D7EB8-DB8A-4F21-BED6-C55F88D74D2B}"/>
    <cellStyle name="40% - Accent5 3 4" xfId="1108" xr:uid="{00000000-0005-0000-0000-0000AB060000}"/>
    <cellStyle name="40% - Accent5 3 4 2" xfId="3339" xr:uid="{00000000-0005-0000-0000-0000AC060000}"/>
    <cellStyle name="40% - Accent5 3 4 2 2" xfId="7562" xr:uid="{00000000-0005-0000-0000-0000AD060000}"/>
    <cellStyle name="40% - Accent5 3 4 2 2 2" xfId="16004" xr:uid="{85EBBFB8-DFF7-4692-82D9-9DDF4EC8D169}"/>
    <cellStyle name="40% - Accent5 3 4 2 3" xfId="11786" xr:uid="{72F02E81-61EE-4D8C-A6CC-F7D5DFCCF3A4}"/>
    <cellStyle name="40% - Accent5 3 4 3" xfId="5417" xr:uid="{00000000-0005-0000-0000-0000AE060000}"/>
    <cellStyle name="40% - Accent5 3 4 3 2" xfId="13859" xr:uid="{53DE2A18-B3FF-4AC6-B7FD-4DFB70C5BB49}"/>
    <cellStyle name="40% - Accent5 3 4 4" xfId="9641" xr:uid="{AC4C62DD-6C4F-4B46-802B-F1D650340928}"/>
    <cellStyle name="40% - Accent5 3 5" xfId="1522" xr:uid="{00000000-0005-0000-0000-0000AF060000}"/>
    <cellStyle name="40% - Accent5 3 5 2" xfId="3752" xr:uid="{00000000-0005-0000-0000-0000B0060000}"/>
    <cellStyle name="40% - Accent5 3 5 2 2" xfId="7975" xr:uid="{00000000-0005-0000-0000-0000B1060000}"/>
    <cellStyle name="40% - Accent5 3 5 2 2 2" xfId="16417" xr:uid="{F6A57A9F-E9FB-42F8-A1F5-664C9A4403DD}"/>
    <cellStyle name="40% - Accent5 3 5 2 3" xfId="12199" xr:uid="{26EE9268-E122-4792-AF26-C602578BFCA0}"/>
    <cellStyle name="40% - Accent5 3 5 3" xfId="5830" xr:uid="{00000000-0005-0000-0000-0000B2060000}"/>
    <cellStyle name="40% - Accent5 3 5 3 2" xfId="14272" xr:uid="{16A6D26D-1EAA-40B0-BD8E-60C78A47E58D}"/>
    <cellStyle name="40% - Accent5 3 5 4" xfId="10054" xr:uid="{6D7106BA-DA60-4531-985F-A66B2D3A9916}"/>
    <cellStyle name="40% - Accent5 3 6" xfId="1936" xr:uid="{00000000-0005-0000-0000-0000B3060000}"/>
    <cellStyle name="40% - Accent5 3 6 2" xfId="4165" xr:uid="{00000000-0005-0000-0000-0000B4060000}"/>
    <cellStyle name="40% - Accent5 3 6 2 2" xfId="8388" xr:uid="{00000000-0005-0000-0000-0000B5060000}"/>
    <cellStyle name="40% - Accent5 3 6 2 2 2" xfId="16830" xr:uid="{E14A832A-44D7-4E42-BE04-A042CB357E39}"/>
    <cellStyle name="40% - Accent5 3 6 2 3" xfId="12612" xr:uid="{B73B43D1-93F9-4EE1-9001-977E524EC636}"/>
    <cellStyle name="40% - Accent5 3 6 3" xfId="6243" xr:uid="{00000000-0005-0000-0000-0000B6060000}"/>
    <cellStyle name="40% - Accent5 3 6 3 2" xfId="14685" xr:uid="{29554798-441F-46E9-81DC-7D984CC2671E}"/>
    <cellStyle name="40% - Accent5 3 6 4" xfId="10467" xr:uid="{5304B0C1-3905-491F-8774-D99ECBEF2C51}"/>
    <cellStyle name="40% - Accent5 3 7" xfId="2349" xr:uid="{00000000-0005-0000-0000-0000B7060000}"/>
    <cellStyle name="40% - Accent5 3 7 2" xfId="6656" xr:uid="{00000000-0005-0000-0000-0000B8060000}"/>
    <cellStyle name="40% - Accent5 3 7 2 2" xfId="15098" xr:uid="{BDDE30DC-10B6-4B6A-BC98-24096CE7D952}"/>
    <cellStyle name="40% - Accent5 3 7 3" xfId="10880" xr:uid="{5294A34C-07D3-4B4E-A779-9ED83039FFED}"/>
    <cellStyle name="40% - Accent5 3 8" xfId="4590" xr:uid="{00000000-0005-0000-0000-0000B9060000}"/>
    <cellStyle name="40% - Accent5 3 8 2" xfId="13032" xr:uid="{4B80FBBE-458E-4BAF-A285-2C778329B54D}"/>
    <cellStyle name="40% - Accent5 3 9" xfId="8814" xr:uid="{67DAF6B0-EAE3-4A2A-8A4E-3E14957E681A}"/>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2 2 2" xfId="15593" xr:uid="{F7C68536-8FC4-4BB4-94EE-5A38EBC64297}"/>
    <cellStyle name="40% - Accent5 4 2 2 3" xfId="11375" xr:uid="{36D8A380-252E-4112-8DBA-D0366C4D93FA}"/>
    <cellStyle name="40% - Accent5 4 2 3" xfId="5006" xr:uid="{00000000-0005-0000-0000-0000BE060000}"/>
    <cellStyle name="40% - Accent5 4 2 3 2" xfId="13448" xr:uid="{04665DA7-8BF7-42CB-8B58-8C8916A98E1A}"/>
    <cellStyle name="40% - Accent5 4 2 4" xfId="9230" xr:uid="{5DB570F4-B8EB-4C69-B39B-783BB44063E0}"/>
    <cellStyle name="40% - Accent5 4 3" xfId="1110" xr:uid="{00000000-0005-0000-0000-0000BF060000}"/>
    <cellStyle name="40% - Accent5 4 3 2" xfId="3341" xr:uid="{00000000-0005-0000-0000-0000C0060000}"/>
    <cellStyle name="40% - Accent5 4 3 2 2" xfId="7564" xr:uid="{00000000-0005-0000-0000-0000C1060000}"/>
    <cellStyle name="40% - Accent5 4 3 2 2 2" xfId="16006" xr:uid="{38B6603F-D67E-490B-9EE9-F8A7ADAB1CFF}"/>
    <cellStyle name="40% - Accent5 4 3 2 3" xfId="11788" xr:uid="{432F0FE8-CA01-43F0-8294-CA75B8AD55C8}"/>
    <cellStyle name="40% - Accent5 4 3 3" xfId="5419" xr:uid="{00000000-0005-0000-0000-0000C2060000}"/>
    <cellStyle name="40% - Accent5 4 3 3 2" xfId="13861" xr:uid="{E6C26279-74ED-40F6-9596-7E41FF4F0122}"/>
    <cellStyle name="40% - Accent5 4 3 4" xfId="9643" xr:uid="{BC2D8784-D14F-44A1-B6E3-E51EF8DDC2AE}"/>
    <cellStyle name="40% - Accent5 4 4" xfId="1524" xr:uid="{00000000-0005-0000-0000-0000C3060000}"/>
    <cellStyle name="40% - Accent5 4 4 2" xfId="3754" xr:uid="{00000000-0005-0000-0000-0000C4060000}"/>
    <cellStyle name="40% - Accent5 4 4 2 2" xfId="7977" xr:uid="{00000000-0005-0000-0000-0000C5060000}"/>
    <cellStyle name="40% - Accent5 4 4 2 2 2" xfId="16419" xr:uid="{8B35B64E-E7A1-4940-916F-9636338DD868}"/>
    <cellStyle name="40% - Accent5 4 4 2 3" xfId="12201" xr:uid="{864546F6-3EDD-4056-A9AF-73203C5F1B6F}"/>
    <cellStyle name="40% - Accent5 4 4 3" xfId="5832" xr:uid="{00000000-0005-0000-0000-0000C6060000}"/>
    <cellStyle name="40% - Accent5 4 4 3 2" xfId="14274" xr:uid="{3ABF2586-DF0D-4D22-9417-9E79B51F8AAB}"/>
    <cellStyle name="40% - Accent5 4 4 4" xfId="10056" xr:uid="{E229D478-9B4B-4D6A-9281-5473DF82F5FC}"/>
    <cellStyle name="40% - Accent5 4 5" xfId="1938" xr:uid="{00000000-0005-0000-0000-0000C7060000}"/>
    <cellStyle name="40% - Accent5 4 5 2" xfId="4167" xr:uid="{00000000-0005-0000-0000-0000C8060000}"/>
    <cellStyle name="40% - Accent5 4 5 2 2" xfId="8390" xr:uid="{00000000-0005-0000-0000-0000C9060000}"/>
    <cellStyle name="40% - Accent5 4 5 2 2 2" xfId="16832" xr:uid="{79555EAE-C0C1-4493-B91B-D5FA67F6AFD7}"/>
    <cellStyle name="40% - Accent5 4 5 2 3" xfId="12614" xr:uid="{CED2AF15-D9FB-43C0-8779-1B3529D5C1E1}"/>
    <cellStyle name="40% - Accent5 4 5 3" xfId="6245" xr:uid="{00000000-0005-0000-0000-0000CA060000}"/>
    <cellStyle name="40% - Accent5 4 5 3 2" xfId="14687" xr:uid="{0212FAEF-2415-48CA-9944-8D5CC4425AC9}"/>
    <cellStyle name="40% - Accent5 4 5 4" xfId="10469" xr:uid="{A0A33D53-7450-4A7E-B022-4ED0EA4E15FE}"/>
    <cellStyle name="40% - Accent5 4 6" xfId="2351" xr:uid="{00000000-0005-0000-0000-0000CB060000}"/>
    <cellStyle name="40% - Accent5 4 6 2" xfId="6658" xr:uid="{00000000-0005-0000-0000-0000CC060000}"/>
    <cellStyle name="40% - Accent5 4 6 2 2" xfId="15100" xr:uid="{294D2EC7-D006-424E-B8F3-8EB4C2F30E61}"/>
    <cellStyle name="40% - Accent5 4 6 3" xfId="10882" xr:uid="{C768166B-2EDC-4363-93F8-CDC4EDE68BDB}"/>
    <cellStyle name="40% - Accent5 4 7" xfId="4592" xr:uid="{00000000-0005-0000-0000-0000CD060000}"/>
    <cellStyle name="40% - Accent5 4 7 2" xfId="13034" xr:uid="{7A49EBA2-5121-451C-853F-6EF904A4FBB9}"/>
    <cellStyle name="40% - Accent5 4 8" xfId="8816" xr:uid="{888E3897-133E-43DA-B699-8BF9A359AAFE}"/>
    <cellStyle name="40% - Accent5 5" xfId="650" xr:uid="{00000000-0005-0000-0000-0000CE060000}"/>
    <cellStyle name="40% - Accent5 5 2" xfId="2921" xr:uid="{00000000-0005-0000-0000-0000CF060000}"/>
    <cellStyle name="40% - Accent5 5 2 2" xfId="7144" xr:uid="{00000000-0005-0000-0000-0000D0060000}"/>
    <cellStyle name="40% - Accent5 5 2 2 2" xfId="15586" xr:uid="{133C975D-4CDA-4B4D-9A28-53EDE970B4C2}"/>
    <cellStyle name="40% - Accent5 5 2 3" xfId="11368" xr:uid="{B99C18FB-C01E-4B42-A3E4-CE337687102B}"/>
    <cellStyle name="40% - Accent5 5 3" xfId="4999" xr:uid="{00000000-0005-0000-0000-0000D1060000}"/>
    <cellStyle name="40% - Accent5 5 3 2" xfId="13441" xr:uid="{F01263D7-227E-422B-B8CA-B8295187DBDF}"/>
    <cellStyle name="40% - Accent5 5 4" xfId="9223" xr:uid="{0EAA7139-7A2E-41C7-B14D-E99689499609}"/>
    <cellStyle name="40% - Accent5 6" xfId="1103" xr:uid="{00000000-0005-0000-0000-0000D2060000}"/>
    <cellStyle name="40% - Accent5 6 2" xfId="3334" xr:uid="{00000000-0005-0000-0000-0000D3060000}"/>
    <cellStyle name="40% - Accent5 6 2 2" xfId="7557" xr:uid="{00000000-0005-0000-0000-0000D4060000}"/>
    <cellStyle name="40% - Accent5 6 2 2 2" xfId="15999" xr:uid="{2A54BAD2-8708-479E-BB38-307F43F2C853}"/>
    <cellStyle name="40% - Accent5 6 2 3" xfId="11781" xr:uid="{7D3C3728-7090-478F-88BA-65F9264BCD71}"/>
    <cellStyle name="40% - Accent5 6 3" xfId="5412" xr:uid="{00000000-0005-0000-0000-0000D5060000}"/>
    <cellStyle name="40% - Accent5 6 3 2" xfId="13854" xr:uid="{DC5E6163-9744-40D3-8B2C-393CC7A22129}"/>
    <cellStyle name="40% - Accent5 6 4" xfId="9636" xr:uid="{38E4AD4B-342F-4F14-A368-2750FE4F1815}"/>
    <cellStyle name="40% - Accent5 7" xfId="1517" xr:uid="{00000000-0005-0000-0000-0000D6060000}"/>
    <cellStyle name="40% - Accent5 7 2" xfId="3747" xr:uid="{00000000-0005-0000-0000-0000D7060000}"/>
    <cellStyle name="40% - Accent5 7 2 2" xfId="7970" xr:uid="{00000000-0005-0000-0000-0000D8060000}"/>
    <cellStyle name="40% - Accent5 7 2 2 2" xfId="16412" xr:uid="{F0FE9724-7553-4925-B7C0-F85760DAF296}"/>
    <cellStyle name="40% - Accent5 7 2 3" xfId="12194" xr:uid="{467070EC-AEBC-4CC1-BA31-DC8329CE035A}"/>
    <cellStyle name="40% - Accent5 7 3" xfId="5825" xr:uid="{00000000-0005-0000-0000-0000D9060000}"/>
    <cellStyle name="40% - Accent5 7 3 2" xfId="14267" xr:uid="{70921387-6071-4BA0-8E1D-1A77B4B4D5C8}"/>
    <cellStyle name="40% - Accent5 7 4" xfId="10049" xr:uid="{8CF02443-98C2-4FB4-817B-60519BF61396}"/>
    <cellStyle name="40% - Accent5 8" xfId="1931" xr:uid="{00000000-0005-0000-0000-0000DA060000}"/>
    <cellStyle name="40% - Accent5 8 2" xfId="4160" xr:uid="{00000000-0005-0000-0000-0000DB060000}"/>
    <cellStyle name="40% - Accent5 8 2 2" xfId="8383" xr:uid="{00000000-0005-0000-0000-0000DC060000}"/>
    <cellStyle name="40% - Accent5 8 2 2 2" xfId="16825" xr:uid="{878B1639-F094-430D-BDB9-693F9A1BE00A}"/>
    <cellStyle name="40% - Accent5 8 2 3" xfId="12607" xr:uid="{01B57878-C67C-497B-B9B2-364FBFECBDBC}"/>
    <cellStyle name="40% - Accent5 8 3" xfId="6238" xr:uid="{00000000-0005-0000-0000-0000DD060000}"/>
    <cellStyle name="40% - Accent5 8 3 2" xfId="14680" xr:uid="{38BDFFA2-765A-4817-8595-5A8F91F61743}"/>
    <cellStyle name="40% - Accent5 8 4" xfId="10462" xr:uid="{C400FB54-4D9C-41E0-B243-9BA1578308BD}"/>
    <cellStyle name="40% - Accent5 9" xfId="2344" xr:uid="{00000000-0005-0000-0000-0000DE060000}"/>
    <cellStyle name="40% - Accent5 9 2" xfId="6651" xr:uid="{00000000-0005-0000-0000-0000DF060000}"/>
    <cellStyle name="40% - Accent5 9 2 2" xfId="15093" xr:uid="{E0DAB198-4B65-4D64-9F8F-441568408252}"/>
    <cellStyle name="40% - Accent5 9 3" xfId="10875" xr:uid="{8A87AEBB-BDA5-4612-9450-29841A38DD02}"/>
    <cellStyle name="40% - Accent6" xfId="89" builtinId="51" customBuiltin="1"/>
    <cellStyle name="40% - Accent6 10" xfId="4593" xr:uid="{00000000-0005-0000-0000-0000E1060000}"/>
    <cellStyle name="40% - Accent6 10 2" xfId="13035" xr:uid="{499E7025-F3D9-4A04-A764-BD272F0EA05B}"/>
    <cellStyle name="40% - Accent6 11" xfId="8817" xr:uid="{F00080EE-0878-449C-B16D-21CE855BEB90}"/>
    <cellStyle name="40% - Accent6 2" xfId="90" xr:uid="{00000000-0005-0000-0000-0000E2060000}"/>
    <cellStyle name="40% - Accent6 2 10" xfId="8818" xr:uid="{EC65DAB0-6609-4F70-9D83-84EB919A93E5}"/>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15597" xr:uid="{3615240E-FA81-4DF3-BA7E-373A06B82642}"/>
    <cellStyle name="40% - Accent6 2 2 2 2 2 3" xfId="11379" xr:uid="{50F10160-C1EE-4EF7-B0F5-D6C031DD5E25}"/>
    <cellStyle name="40% - Accent6 2 2 2 2 3" xfId="5010" xr:uid="{00000000-0005-0000-0000-0000E8060000}"/>
    <cellStyle name="40% - Accent6 2 2 2 2 3 2" xfId="13452" xr:uid="{484EFF34-B7A8-4CED-B3C6-194E650BFCD8}"/>
    <cellStyle name="40% - Accent6 2 2 2 2 4" xfId="9234" xr:uid="{E709E429-8871-4F4F-A1F4-7DC266F56991}"/>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16010" xr:uid="{997658C5-F350-4835-8FE3-43711E7139F1}"/>
    <cellStyle name="40% - Accent6 2 2 2 3 2 3" xfId="11792" xr:uid="{13DBD0E0-7798-4593-8346-19B225BF9FC4}"/>
    <cellStyle name="40% - Accent6 2 2 2 3 3" xfId="5423" xr:uid="{00000000-0005-0000-0000-0000EC060000}"/>
    <cellStyle name="40% - Accent6 2 2 2 3 3 2" xfId="13865" xr:uid="{77BD8190-C49D-4B4D-93FA-E709232F739F}"/>
    <cellStyle name="40% - Accent6 2 2 2 3 4" xfId="9647" xr:uid="{CC2006FC-8B13-46F4-B4BF-88B08898788C}"/>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16423" xr:uid="{491D42B2-9AA8-474B-A02C-F28310E4AD96}"/>
    <cellStyle name="40% - Accent6 2 2 2 4 2 3" xfId="12205" xr:uid="{A5DD79B4-E5F8-4821-86DC-80DF4EEA94DA}"/>
    <cellStyle name="40% - Accent6 2 2 2 4 3" xfId="5836" xr:uid="{00000000-0005-0000-0000-0000F0060000}"/>
    <cellStyle name="40% - Accent6 2 2 2 4 3 2" xfId="14278" xr:uid="{99779B01-A520-4004-89EE-C24153B6FD86}"/>
    <cellStyle name="40% - Accent6 2 2 2 4 4" xfId="10060" xr:uid="{C2B147D6-715C-431C-8FDA-27E6DA041F86}"/>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16836" xr:uid="{305832CF-3B61-4D6E-BC56-9DA2CEA769B5}"/>
    <cellStyle name="40% - Accent6 2 2 2 5 2 3" xfId="12618" xr:uid="{79CD86B5-411A-43A0-82F2-EB25C3131397}"/>
    <cellStyle name="40% - Accent6 2 2 2 5 3" xfId="6249" xr:uid="{00000000-0005-0000-0000-0000F4060000}"/>
    <cellStyle name="40% - Accent6 2 2 2 5 3 2" xfId="14691" xr:uid="{49C617E5-7CBA-43E6-8CC0-E78119848147}"/>
    <cellStyle name="40% - Accent6 2 2 2 5 4" xfId="10473" xr:uid="{5713952C-D997-4433-B370-A47E12B478E6}"/>
    <cellStyle name="40% - Accent6 2 2 2 6" xfId="2355" xr:uid="{00000000-0005-0000-0000-0000F5060000}"/>
    <cellStyle name="40% - Accent6 2 2 2 6 2" xfId="6662" xr:uid="{00000000-0005-0000-0000-0000F6060000}"/>
    <cellStyle name="40% - Accent6 2 2 2 6 2 2" xfId="15104" xr:uid="{DCC42C5E-6291-451F-9A35-C47352424E43}"/>
    <cellStyle name="40% - Accent6 2 2 2 6 3" xfId="10886" xr:uid="{AB63ECB0-E390-41EE-8679-D5395A3D9530}"/>
    <cellStyle name="40% - Accent6 2 2 2 7" xfId="4596" xr:uid="{00000000-0005-0000-0000-0000F7060000}"/>
    <cellStyle name="40% - Accent6 2 2 2 7 2" xfId="13038" xr:uid="{4ECFCF34-2D55-4BD6-84AF-2385F3C4161B}"/>
    <cellStyle name="40% - Accent6 2 2 2 8" xfId="8820" xr:uid="{E60C99E5-C4D2-4709-AB82-953944D078F0}"/>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15596" xr:uid="{F6702FB4-7EB5-4016-9940-89FB2E0B4BF2}"/>
    <cellStyle name="40% - Accent6 2 2 3 2 3" xfId="11378" xr:uid="{66CF9CE1-E6B8-43B1-9BC8-1595EDE72E64}"/>
    <cellStyle name="40% - Accent6 2 2 3 3" xfId="5009" xr:uid="{00000000-0005-0000-0000-0000FB060000}"/>
    <cellStyle name="40% - Accent6 2 2 3 3 2" xfId="13451" xr:uid="{7B82A915-67D2-4D93-82CD-55633360C262}"/>
    <cellStyle name="40% - Accent6 2 2 3 4" xfId="9233" xr:uid="{AEFE5388-3F5E-46DF-9271-3D3862C1D26C}"/>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16009" xr:uid="{676A70EE-F10D-4D6E-BD2F-3DD52DDB7F4A}"/>
    <cellStyle name="40% - Accent6 2 2 4 2 3" xfId="11791" xr:uid="{4500E665-1727-4717-87FE-8333234DD5D2}"/>
    <cellStyle name="40% - Accent6 2 2 4 3" xfId="5422" xr:uid="{00000000-0005-0000-0000-0000FF060000}"/>
    <cellStyle name="40% - Accent6 2 2 4 3 2" xfId="13864" xr:uid="{AF8335DC-470E-4CFC-9B38-D6F864BECBA1}"/>
    <cellStyle name="40% - Accent6 2 2 4 4" xfId="9646" xr:uid="{E53F22EE-7522-4F3E-93A5-DE20B67BDEA3}"/>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16422" xr:uid="{8EDEB1CD-9246-4F9F-9EBF-18A20672052F}"/>
    <cellStyle name="40% - Accent6 2 2 5 2 3" xfId="12204" xr:uid="{4D7F0ABA-EF99-4337-8D96-B04602BD048B}"/>
    <cellStyle name="40% - Accent6 2 2 5 3" xfId="5835" xr:uid="{00000000-0005-0000-0000-000003070000}"/>
    <cellStyle name="40% - Accent6 2 2 5 3 2" xfId="14277" xr:uid="{0D1508F1-E3D0-4838-A90C-E8802FD0F342}"/>
    <cellStyle name="40% - Accent6 2 2 5 4" xfId="10059" xr:uid="{DDEE2600-7CF4-48DD-B711-1569820B5452}"/>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16835" xr:uid="{8CA1B04B-1D54-4D2A-9D6C-1930B7494448}"/>
    <cellStyle name="40% - Accent6 2 2 6 2 3" xfId="12617" xr:uid="{3D771B1C-0BE3-405A-A26A-867CEB3D1AAC}"/>
    <cellStyle name="40% - Accent6 2 2 6 3" xfId="6248" xr:uid="{00000000-0005-0000-0000-000007070000}"/>
    <cellStyle name="40% - Accent6 2 2 6 3 2" xfId="14690" xr:uid="{88D0B54F-3E16-430E-8F32-8A22AB48D5FB}"/>
    <cellStyle name="40% - Accent6 2 2 6 4" xfId="10472" xr:uid="{9366533D-E677-48BD-8D0F-519F47853803}"/>
    <cellStyle name="40% - Accent6 2 2 7" xfId="2354" xr:uid="{00000000-0005-0000-0000-000008070000}"/>
    <cellStyle name="40% - Accent6 2 2 7 2" xfId="6661" xr:uid="{00000000-0005-0000-0000-000009070000}"/>
    <cellStyle name="40% - Accent6 2 2 7 2 2" xfId="15103" xr:uid="{C21AB661-A082-492B-9DFE-D6310A4340CD}"/>
    <cellStyle name="40% - Accent6 2 2 7 3" xfId="10885" xr:uid="{3392E2F3-2D2E-4169-A8C4-1C434226131A}"/>
    <cellStyle name="40% - Accent6 2 2 8" xfId="4595" xr:uid="{00000000-0005-0000-0000-00000A070000}"/>
    <cellStyle name="40% - Accent6 2 2 8 2" xfId="13037" xr:uid="{2216EAA3-7E39-4CA9-A232-22E766E6478E}"/>
    <cellStyle name="40% - Accent6 2 2 9" xfId="8819" xr:uid="{9F305370-3FE1-4F06-95E7-2F0DF24177A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15598" xr:uid="{6FFA4CC1-01A1-43EA-9E2F-A9B4797E5031}"/>
    <cellStyle name="40% - Accent6 2 3 2 2 3" xfId="11380" xr:uid="{8CE9C091-E322-4E11-A450-B9FF6A4727B9}"/>
    <cellStyle name="40% - Accent6 2 3 2 3" xfId="5011" xr:uid="{00000000-0005-0000-0000-00000F070000}"/>
    <cellStyle name="40% - Accent6 2 3 2 3 2" xfId="13453" xr:uid="{548174F4-DB7A-435B-A7D5-C406E9ABD88C}"/>
    <cellStyle name="40% - Accent6 2 3 2 4" xfId="9235" xr:uid="{C633DF15-1093-40EB-9F74-5EC3A3C870AD}"/>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16011" xr:uid="{16DF4643-59E4-4B35-8C55-E51754AEF338}"/>
    <cellStyle name="40% - Accent6 2 3 3 2 3" xfId="11793" xr:uid="{8601DF6E-2BE6-49EF-BF9A-48020C7FE511}"/>
    <cellStyle name="40% - Accent6 2 3 3 3" xfId="5424" xr:uid="{00000000-0005-0000-0000-000013070000}"/>
    <cellStyle name="40% - Accent6 2 3 3 3 2" xfId="13866" xr:uid="{1A552AF3-2E63-427F-93E3-C103ACF8B562}"/>
    <cellStyle name="40% - Accent6 2 3 3 4" xfId="9648" xr:uid="{FC17615B-EE1C-48C9-8887-A3149178EC86}"/>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16424" xr:uid="{59676366-3C44-404B-99F5-911BA79C7919}"/>
    <cellStyle name="40% - Accent6 2 3 4 2 3" xfId="12206" xr:uid="{14B8999E-074B-4396-B8E0-42960EF02E7A}"/>
    <cellStyle name="40% - Accent6 2 3 4 3" xfId="5837" xr:uid="{00000000-0005-0000-0000-000017070000}"/>
    <cellStyle name="40% - Accent6 2 3 4 3 2" xfId="14279" xr:uid="{23864D24-9582-4788-81A0-5A24330CC9C2}"/>
    <cellStyle name="40% - Accent6 2 3 4 4" xfId="10061" xr:uid="{429BC0EA-FEA3-4E8B-8865-351B005AB802}"/>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16837" xr:uid="{A9CFF6E3-029A-4A7D-AB40-5FA0EEA7C66F}"/>
    <cellStyle name="40% - Accent6 2 3 5 2 3" xfId="12619" xr:uid="{1C3BA082-4384-4834-B823-4C3803AABFDF}"/>
    <cellStyle name="40% - Accent6 2 3 5 3" xfId="6250" xr:uid="{00000000-0005-0000-0000-00001B070000}"/>
    <cellStyle name="40% - Accent6 2 3 5 3 2" xfId="14692" xr:uid="{A2D29A37-E273-4FD4-B55F-ED9EA5932AC6}"/>
    <cellStyle name="40% - Accent6 2 3 5 4" xfId="10474" xr:uid="{47B7C990-55B3-406F-A1D6-9E440EA6ABA4}"/>
    <cellStyle name="40% - Accent6 2 3 6" xfId="2356" xr:uid="{00000000-0005-0000-0000-00001C070000}"/>
    <cellStyle name="40% - Accent6 2 3 6 2" xfId="6663" xr:uid="{00000000-0005-0000-0000-00001D070000}"/>
    <cellStyle name="40% - Accent6 2 3 6 2 2" xfId="15105" xr:uid="{21E731B2-BB2C-478E-8553-29FD3029CBB1}"/>
    <cellStyle name="40% - Accent6 2 3 6 3" xfId="10887" xr:uid="{7CB2249E-2E6F-4BE7-B0F3-CE85DC5F28BB}"/>
    <cellStyle name="40% - Accent6 2 3 7" xfId="4597" xr:uid="{00000000-0005-0000-0000-00001E070000}"/>
    <cellStyle name="40% - Accent6 2 3 7 2" xfId="13039" xr:uid="{D876394D-69EF-42A2-BEC1-83082F4F8BCC}"/>
    <cellStyle name="40% - Accent6 2 3 8" xfId="8821" xr:uid="{7E460116-6968-4A36-9749-033505D6D50C}"/>
    <cellStyle name="40% - Accent6 2 4" xfId="659" xr:uid="{00000000-0005-0000-0000-00001F070000}"/>
    <cellStyle name="40% - Accent6 2 4 2" xfId="2930" xr:uid="{00000000-0005-0000-0000-000020070000}"/>
    <cellStyle name="40% - Accent6 2 4 2 2" xfId="7153" xr:uid="{00000000-0005-0000-0000-000021070000}"/>
    <cellStyle name="40% - Accent6 2 4 2 2 2" xfId="15595" xr:uid="{1890297D-3AB1-4C3E-8654-0ADB0BB4CDA2}"/>
    <cellStyle name="40% - Accent6 2 4 2 3" xfId="11377" xr:uid="{90C65919-459E-4AB6-BBA8-AAF7AB396215}"/>
    <cellStyle name="40% - Accent6 2 4 3" xfId="5008" xr:uid="{00000000-0005-0000-0000-000022070000}"/>
    <cellStyle name="40% - Accent6 2 4 3 2" xfId="13450" xr:uid="{D5D083B2-8F72-4B91-8673-B05F4718461D}"/>
    <cellStyle name="40% - Accent6 2 4 4" xfId="9232" xr:uid="{B66E9D2D-7AE5-48E3-941E-71698F1E506B}"/>
    <cellStyle name="40% - Accent6 2 5" xfId="1112" xr:uid="{00000000-0005-0000-0000-000023070000}"/>
    <cellStyle name="40% - Accent6 2 5 2" xfId="3343" xr:uid="{00000000-0005-0000-0000-000024070000}"/>
    <cellStyle name="40% - Accent6 2 5 2 2" xfId="7566" xr:uid="{00000000-0005-0000-0000-000025070000}"/>
    <cellStyle name="40% - Accent6 2 5 2 2 2" xfId="16008" xr:uid="{EE02CFA7-084E-40CC-9EDF-8CC7277224EA}"/>
    <cellStyle name="40% - Accent6 2 5 2 3" xfId="11790" xr:uid="{D0EF6431-B1EB-4891-84E5-F808A3F64100}"/>
    <cellStyle name="40% - Accent6 2 5 3" xfId="5421" xr:uid="{00000000-0005-0000-0000-000026070000}"/>
    <cellStyle name="40% - Accent6 2 5 3 2" xfId="13863" xr:uid="{76FC5B7D-D99F-4D5A-B4A7-13A1227353A2}"/>
    <cellStyle name="40% - Accent6 2 5 4" xfId="9645" xr:uid="{4C95F20A-4E63-4F7F-B2C1-2765EE3904E1}"/>
    <cellStyle name="40% - Accent6 2 6" xfId="1526" xr:uid="{00000000-0005-0000-0000-000027070000}"/>
    <cellStyle name="40% - Accent6 2 6 2" xfId="3756" xr:uid="{00000000-0005-0000-0000-000028070000}"/>
    <cellStyle name="40% - Accent6 2 6 2 2" xfId="7979" xr:uid="{00000000-0005-0000-0000-000029070000}"/>
    <cellStyle name="40% - Accent6 2 6 2 2 2" xfId="16421" xr:uid="{3E9D3EED-CFF8-409F-82D1-7F249B165946}"/>
    <cellStyle name="40% - Accent6 2 6 2 3" xfId="12203" xr:uid="{A1783F39-66E8-4E8B-A35E-C3E49711E5D9}"/>
    <cellStyle name="40% - Accent6 2 6 3" xfId="5834" xr:uid="{00000000-0005-0000-0000-00002A070000}"/>
    <cellStyle name="40% - Accent6 2 6 3 2" xfId="14276" xr:uid="{B40CB40C-CAEA-4F59-8A5D-4D5198C23C72}"/>
    <cellStyle name="40% - Accent6 2 6 4" xfId="10058" xr:uid="{0D2C693D-A7CA-4D20-9DBD-697F2A444CEF}"/>
    <cellStyle name="40% - Accent6 2 7" xfId="1940" xr:uid="{00000000-0005-0000-0000-00002B070000}"/>
    <cellStyle name="40% - Accent6 2 7 2" xfId="4169" xr:uid="{00000000-0005-0000-0000-00002C070000}"/>
    <cellStyle name="40% - Accent6 2 7 2 2" xfId="8392" xr:uid="{00000000-0005-0000-0000-00002D070000}"/>
    <cellStyle name="40% - Accent6 2 7 2 2 2" xfId="16834" xr:uid="{A7576220-AA78-44FC-8E65-BF9678BD636A}"/>
    <cellStyle name="40% - Accent6 2 7 2 3" xfId="12616" xr:uid="{F4830C9E-8380-4A74-A2C6-69B123F00C7C}"/>
    <cellStyle name="40% - Accent6 2 7 3" xfId="6247" xr:uid="{00000000-0005-0000-0000-00002E070000}"/>
    <cellStyle name="40% - Accent6 2 7 3 2" xfId="14689" xr:uid="{B182492E-60F9-4E16-ADA4-5ADEF17D36EE}"/>
    <cellStyle name="40% - Accent6 2 7 4" xfId="10471" xr:uid="{817CB231-1AE1-4D4B-A237-56F6990793D8}"/>
    <cellStyle name="40% - Accent6 2 8" xfId="2353" xr:uid="{00000000-0005-0000-0000-00002F070000}"/>
    <cellStyle name="40% - Accent6 2 8 2" xfId="6660" xr:uid="{00000000-0005-0000-0000-000030070000}"/>
    <cellStyle name="40% - Accent6 2 8 2 2" xfId="15102" xr:uid="{17F3F619-C434-4A9B-9D3C-DCCD9A557B6D}"/>
    <cellStyle name="40% - Accent6 2 8 3" xfId="10884" xr:uid="{CA1FA28E-1575-42A3-80FD-7FC75D25F392}"/>
    <cellStyle name="40% - Accent6 2 9" xfId="4594" xr:uid="{00000000-0005-0000-0000-000031070000}"/>
    <cellStyle name="40% - Accent6 2 9 2" xfId="13036" xr:uid="{3F38FC87-4704-4779-8E09-1771E4281CCD}"/>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15600" xr:uid="{ADE1A97F-720F-4CA9-BCFA-869C78FB3068}"/>
    <cellStyle name="40% - Accent6 3 2 2 2 3" xfId="11382" xr:uid="{46885D4F-EFF6-47A6-8981-9555D6C768CF}"/>
    <cellStyle name="40% - Accent6 3 2 2 3" xfId="5013" xr:uid="{00000000-0005-0000-0000-000037070000}"/>
    <cellStyle name="40% - Accent6 3 2 2 3 2" xfId="13455" xr:uid="{87F76AC1-0681-4368-8821-85297460B514}"/>
    <cellStyle name="40% - Accent6 3 2 2 4" xfId="9237" xr:uid="{E25F6FC4-AAC4-492D-BF40-2274DAFF0169}"/>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16013" xr:uid="{5D1EEC8C-1139-407F-A709-D5E9D9496E5A}"/>
    <cellStyle name="40% - Accent6 3 2 3 2 3" xfId="11795" xr:uid="{DE21F38F-4002-4B9D-803C-65E4336875C8}"/>
    <cellStyle name="40% - Accent6 3 2 3 3" xfId="5426" xr:uid="{00000000-0005-0000-0000-00003B070000}"/>
    <cellStyle name="40% - Accent6 3 2 3 3 2" xfId="13868" xr:uid="{17C4A19F-899C-404D-9994-42E0F93A1CA5}"/>
    <cellStyle name="40% - Accent6 3 2 3 4" xfId="9650" xr:uid="{E08305C2-B95E-4E81-BF0E-85970AD38957}"/>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16426" xr:uid="{A2E812E1-A2FF-4ED2-93AA-ED9482905F43}"/>
    <cellStyle name="40% - Accent6 3 2 4 2 3" xfId="12208" xr:uid="{39C0BAC0-91D6-4D97-8B6D-F694CC42508B}"/>
    <cellStyle name="40% - Accent6 3 2 4 3" xfId="5839" xr:uid="{00000000-0005-0000-0000-00003F070000}"/>
    <cellStyle name="40% - Accent6 3 2 4 3 2" xfId="14281" xr:uid="{77B0C637-7EA0-4B28-9511-20D45A15AAAF}"/>
    <cellStyle name="40% - Accent6 3 2 4 4" xfId="10063" xr:uid="{49453E16-7FBA-4A81-B404-872E47910B95}"/>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16839" xr:uid="{C7F82342-B759-4397-9133-E59945A57265}"/>
    <cellStyle name="40% - Accent6 3 2 5 2 3" xfId="12621" xr:uid="{83BC307B-22DA-4278-BE23-A0C77FBC5894}"/>
    <cellStyle name="40% - Accent6 3 2 5 3" xfId="6252" xr:uid="{00000000-0005-0000-0000-000043070000}"/>
    <cellStyle name="40% - Accent6 3 2 5 3 2" xfId="14694" xr:uid="{1E8FA37B-60FA-4568-8C35-E000D17BAEDE}"/>
    <cellStyle name="40% - Accent6 3 2 5 4" xfId="10476" xr:uid="{CC8DD3E4-C0E0-4075-94C6-D3A23D5F2DD6}"/>
    <cellStyle name="40% - Accent6 3 2 6" xfId="2358" xr:uid="{00000000-0005-0000-0000-000044070000}"/>
    <cellStyle name="40% - Accent6 3 2 6 2" xfId="6665" xr:uid="{00000000-0005-0000-0000-000045070000}"/>
    <cellStyle name="40% - Accent6 3 2 6 2 2" xfId="15107" xr:uid="{C6EFCD7F-3142-47AE-A871-BFF898F0204B}"/>
    <cellStyle name="40% - Accent6 3 2 6 3" xfId="10889" xr:uid="{CCDB3413-57EA-4439-B60F-C8984D0D3167}"/>
    <cellStyle name="40% - Accent6 3 2 7" xfId="4599" xr:uid="{00000000-0005-0000-0000-000046070000}"/>
    <cellStyle name="40% - Accent6 3 2 7 2" xfId="13041" xr:uid="{D8633997-7277-4D09-B41B-5BECB0EEEB53}"/>
    <cellStyle name="40% - Accent6 3 2 8" xfId="8823" xr:uid="{E01973DE-C822-4C4E-B207-BBCD41191F84}"/>
    <cellStyle name="40% - Accent6 3 3" xfId="663" xr:uid="{00000000-0005-0000-0000-000047070000}"/>
    <cellStyle name="40% - Accent6 3 3 2" xfId="2934" xr:uid="{00000000-0005-0000-0000-000048070000}"/>
    <cellStyle name="40% - Accent6 3 3 2 2" xfId="7157" xr:uid="{00000000-0005-0000-0000-000049070000}"/>
    <cellStyle name="40% - Accent6 3 3 2 2 2" xfId="15599" xr:uid="{C1079EEB-B848-4C18-A022-D897EC6CE083}"/>
    <cellStyle name="40% - Accent6 3 3 2 3" xfId="11381" xr:uid="{92F06FA6-DDD1-4442-B1CA-DAB67D1D095E}"/>
    <cellStyle name="40% - Accent6 3 3 3" xfId="5012" xr:uid="{00000000-0005-0000-0000-00004A070000}"/>
    <cellStyle name="40% - Accent6 3 3 3 2" xfId="13454" xr:uid="{90F023D3-97EA-425A-86CA-272056DBF1FF}"/>
    <cellStyle name="40% - Accent6 3 3 4" xfId="9236" xr:uid="{D6E06ADA-AFED-48E3-8280-D935D4EA8067}"/>
    <cellStyle name="40% - Accent6 3 4" xfId="1116" xr:uid="{00000000-0005-0000-0000-00004B070000}"/>
    <cellStyle name="40% - Accent6 3 4 2" xfId="3347" xr:uid="{00000000-0005-0000-0000-00004C070000}"/>
    <cellStyle name="40% - Accent6 3 4 2 2" xfId="7570" xr:uid="{00000000-0005-0000-0000-00004D070000}"/>
    <cellStyle name="40% - Accent6 3 4 2 2 2" xfId="16012" xr:uid="{8054794E-7B44-487A-AA6A-33F0C1B5EFA6}"/>
    <cellStyle name="40% - Accent6 3 4 2 3" xfId="11794" xr:uid="{9797CDD5-9561-4D75-B443-6161F007904E}"/>
    <cellStyle name="40% - Accent6 3 4 3" xfId="5425" xr:uid="{00000000-0005-0000-0000-00004E070000}"/>
    <cellStyle name="40% - Accent6 3 4 3 2" xfId="13867" xr:uid="{E429AA7B-B21C-403A-A876-35CEF9B9A96C}"/>
    <cellStyle name="40% - Accent6 3 4 4" xfId="9649" xr:uid="{03A25D6C-C208-4B8C-8B18-73DFD3728F03}"/>
    <cellStyle name="40% - Accent6 3 5" xfId="1530" xr:uid="{00000000-0005-0000-0000-00004F070000}"/>
    <cellStyle name="40% - Accent6 3 5 2" xfId="3760" xr:uid="{00000000-0005-0000-0000-000050070000}"/>
    <cellStyle name="40% - Accent6 3 5 2 2" xfId="7983" xr:uid="{00000000-0005-0000-0000-000051070000}"/>
    <cellStyle name="40% - Accent6 3 5 2 2 2" xfId="16425" xr:uid="{B551D65C-E865-4A0A-B53A-4920749988E2}"/>
    <cellStyle name="40% - Accent6 3 5 2 3" xfId="12207" xr:uid="{BAC62D31-AF21-4B90-BF6C-F6062F27A73F}"/>
    <cellStyle name="40% - Accent6 3 5 3" xfId="5838" xr:uid="{00000000-0005-0000-0000-000052070000}"/>
    <cellStyle name="40% - Accent6 3 5 3 2" xfId="14280" xr:uid="{7BF89F7B-6161-4BB0-9BC4-15E3DE39499B}"/>
    <cellStyle name="40% - Accent6 3 5 4" xfId="10062" xr:uid="{BD9085D3-12B7-48BD-BA95-7BB4CEA43DB4}"/>
    <cellStyle name="40% - Accent6 3 6" xfId="1944" xr:uid="{00000000-0005-0000-0000-000053070000}"/>
    <cellStyle name="40% - Accent6 3 6 2" xfId="4173" xr:uid="{00000000-0005-0000-0000-000054070000}"/>
    <cellStyle name="40% - Accent6 3 6 2 2" xfId="8396" xr:uid="{00000000-0005-0000-0000-000055070000}"/>
    <cellStyle name="40% - Accent6 3 6 2 2 2" xfId="16838" xr:uid="{7A94009C-389F-4148-A9F8-45BEB00B7B96}"/>
    <cellStyle name="40% - Accent6 3 6 2 3" xfId="12620" xr:uid="{A96E3E23-8B87-44B4-AFD7-136A0CB2B170}"/>
    <cellStyle name="40% - Accent6 3 6 3" xfId="6251" xr:uid="{00000000-0005-0000-0000-000056070000}"/>
    <cellStyle name="40% - Accent6 3 6 3 2" xfId="14693" xr:uid="{2FB3CB78-1710-47EB-A5DA-7B138FA8C351}"/>
    <cellStyle name="40% - Accent6 3 6 4" xfId="10475" xr:uid="{002A237A-CC81-4BC2-B4FE-DAA79363B902}"/>
    <cellStyle name="40% - Accent6 3 7" xfId="2357" xr:uid="{00000000-0005-0000-0000-000057070000}"/>
    <cellStyle name="40% - Accent6 3 7 2" xfId="6664" xr:uid="{00000000-0005-0000-0000-000058070000}"/>
    <cellStyle name="40% - Accent6 3 7 2 2" xfId="15106" xr:uid="{48EEF18C-501E-4087-8C33-498AFBAA64B3}"/>
    <cellStyle name="40% - Accent6 3 7 3" xfId="10888" xr:uid="{AF6CFE28-8A47-46A9-8607-EB54587261DE}"/>
    <cellStyle name="40% - Accent6 3 8" xfId="4598" xr:uid="{00000000-0005-0000-0000-000059070000}"/>
    <cellStyle name="40% - Accent6 3 8 2" xfId="13040" xr:uid="{40B86DD6-198C-497A-A456-96FD4B2F28B0}"/>
    <cellStyle name="40% - Accent6 3 9" xfId="8822" xr:uid="{521A351E-73BA-49F3-9731-52280478963E}"/>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2 2 2" xfId="15601" xr:uid="{F5DA408B-E1C2-47D1-98E6-73207192B5F0}"/>
    <cellStyle name="40% - Accent6 4 2 2 3" xfId="11383" xr:uid="{E07C84E6-45DF-4F90-B3AF-B6A22EC5472C}"/>
    <cellStyle name="40% - Accent6 4 2 3" xfId="5014" xr:uid="{00000000-0005-0000-0000-00005E070000}"/>
    <cellStyle name="40% - Accent6 4 2 3 2" xfId="13456" xr:uid="{9D7AAD08-BE20-4FA2-B956-06A587169684}"/>
    <cellStyle name="40% - Accent6 4 2 4" xfId="9238" xr:uid="{84B9490A-930A-4052-BE4A-51F1FCFF4DBB}"/>
    <cellStyle name="40% - Accent6 4 3" xfId="1118" xr:uid="{00000000-0005-0000-0000-00005F070000}"/>
    <cellStyle name="40% - Accent6 4 3 2" xfId="3349" xr:uid="{00000000-0005-0000-0000-000060070000}"/>
    <cellStyle name="40% - Accent6 4 3 2 2" xfId="7572" xr:uid="{00000000-0005-0000-0000-000061070000}"/>
    <cellStyle name="40% - Accent6 4 3 2 2 2" xfId="16014" xr:uid="{8BC299BC-63B4-472A-B8EE-33A174BE5CAB}"/>
    <cellStyle name="40% - Accent6 4 3 2 3" xfId="11796" xr:uid="{D5F2ACAC-6F01-4EEE-A0E1-9AF15D84691E}"/>
    <cellStyle name="40% - Accent6 4 3 3" xfId="5427" xr:uid="{00000000-0005-0000-0000-000062070000}"/>
    <cellStyle name="40% - Accent6 4 3 3 2" xfId="13869" xr:uid="{DC8532A6-6FC6-4027-906E-F91526D8BCD8}"/>
    <cellStyle name="40% - Accent6 4 3 4" xfId="9651" xr:uid="{173C9809-D1A7-4B21-86E5-4BC7F8DF1555}"/>
    <cellStyle name="40% - Accent6 4 4" xfId="1532" xr:uid="{00000000-0005-0000-0000-000063070000}"/>
    <cellStyle name="40% - Accent6 4 4 2" xfId="3762" xr:uid="{00000000-0005-0000-0000-000064070000}"/>
    <cellStyle name="40% - Accent6 4 4 2 2" xfId="7985" xr:uid="{00000000-0005-0000-0000-000065070000}"/>
    <cellStyle name="40% - Accent6 4 4 2 2 2" xfId="16427" xr:uid="{29C259EF-E51E-426C-BD98-8D3C188C4C43}"/>
    <cellStyle name="40% - Accent6 4 4 2 3" xfId="12209" xr:uid="{97D6DF26-FF3A-4F73-BCCD-A201EB2C633A}"/>
    <cellStyle name="40% - Accent6 4 4 3" xfId="5840" xr:uid="{00000000-0005-0000-0000-000066070000}"/>
    <cellStyle name="40% - Accent6 4 4 3 2" xfId="14282" xr:uid="{6D0060E4-4DAC-4A2E-A533-EB4CBABA8D7B}"/>
    <cellStyle name="40% - Accent6 4 4 4" xfId="10064" xr:uid="{6DC9C810-9B64-472B-B937-89E6C5CD6085}"/>
    <cellStyle name="40% - Accent6 4 5" xfId="1946" xr:uid="{00000000-0005-0000-0000-000067070000}"/>
    <cellStyle name="40% - Accent6 4 5 2" xfId="4175" xr:uid="{00000000-0005-0000-0000-000068070000}"/>
    <cellStyle name="40% - Accent6 4 5 2 2" xfId="8398" xr:uid="{00000000-0005-0000-0000-000069070000}"/>
    <cellStyle name="40% - Accent6 4 5 2 2 2" xfId="16840" xr:uid="{0A72630B-7868-4303-8543-5EEEF7FD424C}"/>
    <cellStyle name="40% - Accent6 4 5 2 3" xfId="12622" xr:uid="{E89483F3-6A1A-44F3-ABBE-242B86B0C505}"/>
    <cellStyle name="40% - Accent6 4 5 3" xfId="6253" xr:uid="{00000000-0005-0000-0000-00006A070000}"/>
    <cellStyle name="40% - Accent6 4 5 3 2" xfId="14695" xr:uid="{FFB17AD0-E8CE-40E3-929D-1B9C8474D209}"/>
    <cellStyle name="40% - Accent6 4 5 4" xfId="10477" xr:uid="{488FBADE-5FAE-409C-BFDB-8F3B824F86E7}"/>
    <cellStyle name="40% - Accent6 4 6" xfId="2359" xr:uid="{00000000-0005-0000-0000-00006B070000}"/>
    <cellStyle name="40% - Accent6 4 6 2" xfId="6666" xr:uid="{00000000-0005-0000-0000-00006C070000}"/>
    <cellStyle name="40% - Accent6 4 6 2 2" xfId="15108" xr:uid="{7F797776-F0C9-48FB-A82A-0AEB13000D0B}"/>
    <cellStyle name="40% - Accent6 4 6 3" xfId="10890" xr:uid="{B4745F34-B9F1-499F-A9B5-84F7C7A1D7F4}"/>
    <cellStyle name="40% - Accent6 4 7" xfId="4600" xr:uid="{00000000-0005-0000-0000-00006D070000}"/>
    <cellStyle name="40% - Accent6 4 7 2" xfId="13042" xr:uid="{42FE7206-1AD3-4E4C-88EA-5E18F7094175}"/>
    <cellStyle name="40% - Accent6 4 8" xfId="8824" xr:uid="{D09CCA89-FF33-48CF-85F6-ECF8B9A5E43B}"/>
    <cellStyle name="40% - Accent6 5" xfId="658" xr:uid="{00000000-0005-0000-0000-00006E070000}"/>
    <cellStyle name="40% - Accent6 5 2" xfId="2929" xr:uid="{00000000-0005-0000-0000-00006F070000}"/>
    <cellStyle name="40% - Accent6 5 2 2" xfId="7152" xr:uid="{00000000-0005-0000-0000-000070070000}"/>
    <cellStyle name="40% - Accent6 5 2 2 2" xfId="15594" xr:uid="{9987A6D1-9ED1-4C2B-A2BD-50FEA0DF020E}"/>
    <cellStyle name="40% - Accent6 5 2 3" xfId="11376" xr:uid="{4955B238-08D6-46DB-8C3C-098B8544CBDE}"/>
    <cellStyle name="40% - Accent6 5 3" xfId="5007" xr:uid="{00000000-0005-0000-0000-000071070000}"/>
    <cellStyle name="40% - Accent6 5 3 2" xfId="13449" xr:uid="{E5D8C672-0E16-4947-97E6-360B21E77408}"/>
    <cellStyle name="40% - Accent6 5 4" xfId="9231" xr:uid="{44692BD1-5D80-4EA0-80DF-C583C4BE0F99}"/>
    <cellStyle name="40% - Accent6 6" xfId="1111" xr:uid="{00000000-0005-0000-0000-000072070000}"/>
    <cellStyle name="40% - Accent6 6 2" xfId="3342" xr:uid="{00000000-0005-0000-0000-000073070000}"/>
    <cellStyle name="40% - Accent6 6 2 2" xfId="7565" xr:uid="{00000000-0005-0000-0000-000074070000}"/>
    <cellStyle name="40% - Accent6 6 2 2 2" xfId="16007" xr:uid="{AE0558E0-9773-482A-9BF0-9BAE7D330B8B}"/>
    <cellStyle name="40% - Accent6 6 2 3" xfId="11789" xr:uid="{D2D3853A-3A4A-44BC-B031-4C878655ED89}"/>
    <cellStyle name="40% - Accent6 6 3" xfId="5420" xr:uid="{00000000-0005-0000-0000-000075070000}"/>
    <cellStyle name="40% - Accent6 6 3 2" xfId="13862" xr:uid="{8CF2736B-9D92-4A16-9892-4916C030891D}"/>
    <cellStyle name="40% - Accent6 6 4" xfId="9644" xr:uid="{FF5750F5-1233-422E-8CA7-7603B30A4B71}"/>
    <cellStyle name="40% - Accent6 7" xfId="1525" xr:uid="{00000000-0005-0000-0000-000076070000}"/>
    <cellStyle name="40% - Accent6 7 2" xfId="3755" xr:uid="{00000000-0005-0000-0000-000077070000}"/>
    <cellStyle name="40% - Accent6 7 2 2" xfId="7978" xr:uid="{00000000-0005-0000-0000-000078070000}"/>
    <cellStyle name="40% - Accent6 7 2 2 2" xfId="16420" xr:uid="{1712622A-01C4-4E86-AF8F-CA2CAF28978F}"/>
    <cellStyle name="40% - Accent6 7 2 3" xfId="12202" xr:uid="{FA0A76E5-5A3C-442C-AC5A-A75F1B76F7FF}"/>
    <cellStyle name="40% - Accent6 7 3" xfId="5833" xr:uid="{00000000-0005-0000-0000-000079070000}"/>
    <cellStyle name="40% - Accent6 7 3 2" xfId="14275" xr:uid="{00367195-B245-431E-B396-A0776C5BEF50}"/>
    <cellStyle name="40% - Accent6 7 4" xfId="10057" xr:uid="{EE5F30D9-EA7D-4B0F-8E3D-F48EC34F7D2B}"/>
    <cellStyle name="40% - Accent6 8" xfId="1939" xr:uid="{00000000-0005-0000-0000-00007A070000}"/>
    <cellStyle name="40% - Accent6 8 2" xfId="4168" xr:uid="{00000000-0005-0000-0000-00007B070000}"/>
    <cellStyle name="40% - Accent6 8 2 2" xfId="8391" xr:uid="{00000000-0005-0000-0000-00007C070000}"/>
    <cellStyle name="40% - Accent6 8 2 2 2" xfId="16833" xr:uid="{B89778AF-24C1-4A3C-97C1-E29D6455B7E2}"/>
    <cellStyle name="40% - Accent6 8 2 3" xfId="12615" xr:uid="{A202F3A3-CC44-41F0-8650-9F50A705D0CD}"/>
    <cellStyle name="40% - Accent6 8 3" xfId="6246" xr:uid="{00000000-0005-0000-0000-00007D070000}"/>
    <cellStyle name="40% - Accent6 8 3 2" xfId="14688" xr:uid="{68C755E9-ED5E-45A3-9C1D-5F0EA0F74359}"/>
    <cellStyle name="40% - Accent6 8 4" xfId="10470" xr:uid="{7CF87674-3D44-4CCD-BC9D-2B2B16B1864F}"/>
    <cellStyle name="40% - Accent6 9" xfId="2352" xr:uid="{00000000-0005-0000-0000-00007E070000}"/>
    <cellStyle name="40% - Accent6 9 2" xfId="6659" xr:uid="{00000000-0005-0000-0000-00007F070000}"/>
    <cellStyle name="40% - Accent6 9 2 2" xfId="15101" xr:uid="{919E65EB-68F3-4C0F-BAE0-3365BF19FE33}"/>
    <cellStyle name="40% - Accent6 9 3" xfId="10883" xr:uid="{F4C9D1E0-3A6F-4D23-8DD4-38F8A3F5439B}"/>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15426" xr:uid="{E57E757D-A1BF-46A2-B331-51E08ABF2945}"/>
    <cellStyle name="Comma 4 2 2 2 10 3" xfId="11208" xr:uid="{F8D85BEC-DC1C-4D5D-9D2C-4D440057361A}"/>
    <cellStyle name="Comma 4 2 2 2 11" xfId="4601" xr:uid="{00000000-0005-0000-0000-0000A3070000}"/>
    <cellStyle name="Comma 4 2 2 2 11 2" xfId="13043" xr:uid="{1FCE968B-8DCE-4E0E-98D3-A52A6A1C15A3}"/>
    <cellStyle name="Comma 4 2 2 2 12" xfId="8825" xr:uid="{5FBE611B-39D9-46ED-904C-0EEA070D2A6B}"/>
    <cellStyle name="Comma 4 2 2 2 2" xfId="129" xr:uid="{00000000-0005-0000-0000-0000A4070000}"/>
    <cellStyle name="Comma 4 2 2 2 2 10" xfId="4602" xr:uid="{00000000-0005-0000-0000-0000A5070000}"/>
    <cellStyle name="Comma 4 2 2 2 2 10 2" xfId="13044" xr:uid="{BFE97681-71DB-48B7-A007-FEC96780546E}"/>
    <cellStyle name="Comma 4 2 2 2 2 11" xfId="8826" xr:uid="{2D000DEA-5696-4B9F-B77C-783D7095227D}"/>
    <cellStyle name="Comma 4 2 2 2 2 2" xfId="130" xr:uid="{00000000-0005-0000-0000-0000A6070000}"/>
    <cellStyle name="Comma 4 2 2 2 2 2 10" xfId="8827" xr:uid="{E49C5A82-07D0-4F8C-895F-1EB81391C9A4}"/>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15604" xr:uid="{B594CE6E-35C6-4462-9EBE-28C0C948FD98}"/>
    <cellStyle name="Comma 4 2 2 2 2 2 2 2 3" xfId="11386" xr:uid="{6A427D9C-5BA9-41C6-A4A4-557AAD169491}"/>
    <cellStyle name="Comma 4 2 2 2 2 2 2 3" xfId="5017" xr:uid="{00000000-0005-0000-0000-0000AA070000}"/>
    <cellStyle name="Comma 4 2 2 2 2 2 2 3 2" xfId="13459" xr:uid="{7F9BB189-1AF1-4ABC-A8D6-85F7183495C4}"/>
    <cellStyle name="Comma 4 2 2 2 2 2 2 4" xfId="9241" xr:uid="{507B2331-4DAB-4038-9EF3-A12FBFDED8C9}"/>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16017" xr:uid="{4152BCA8-D19B-4D94-9FBD-CD52732C207D}"/>
    <cellStyle name="Comma 4 2 2 2 2 2 3 2 3" xfId="11799" xr:uid="{1D80F05C-C101-4E43-914E-6A8AABAE4E2F}"/>
    <cellStyle name="Comma 4 2 2 2 2 2 3 3" xfId="5430" xr:uid="{00000000-0005-0000-0000-0000AE070000}"/>
    <cellStyle name="Comma 4 2 2 2 2 2 3 3 2" xfId="13872" xr:uid="{498C67E6-2277-4261-A55B-566DDF571684}"/>
    <cellStyle name="Comma 4 2 2 2 2 2 3 4" xfId="9654" xr:uid="{8009D9C6-A1F5-431D-90A2-FAF7E1CA195F}"/>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16430" xr:uid="{54A5D355-91C2-4F0F-96D2-A066BC283C65}"/>
    <cellStyle name="Comma 4 2 2 2 2 2 4 2 3" xfId="12212" xr:uid="{CC7B732C-8D03-4CE5-B964-557B1A57BBEF}"/>
    <cellStyle name="Comma 4 2 2 2 2 2 4 3" xfId="5843" xr:uid="{00000000-0005-0000-0000-0000B2070000}"/>
    <cellStyle name="Comma 4 2 2 2 2 2 4 3 2" xfId="14285" xr:uid="{F23B535E-2795-4C98-8070-C5889C49ECA0}"/>
    <cellStyle name="Comma 4 2 2 2 2 2 4 4" xfId="10067" xr:uid="{70943EE9-D75F-441B-B120-30A107A3121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16843" xr:uid="{20BA1E12-66CB-496F-BDB7-92014BA4ED98}"/>
    <cellStyle name="Comma 4 2 2 2 2 2 5 2 3" xfId="12625" xr:uid="{6D5A1545-F285-448C-9F0D-DDCE337408B6}"/>
    <cellStyle name="Comma 4 2 2 2 2 2 5 3" xfId="6256" xr:uid="{00000000-0005-0000-0000-0000B6070000}"/>
    <cellStyle name="Comma 4 2 2 2 2 2 5 3 2" xfId="14698" xr:uid="{A95B87CF-C358-4647-BCA7-70B07AF0EC56}"/>
    <cellStyle name="Comma 4 2 2 2 2 2 5 4" xfId="10480" xr:uid="{FA25AE60-E61D-4ABC-957D-3BA319D6652D}"/>
    <cellStyle name="Comma 4 2 2 2 2 2 6" xfId="2384" xr:uid="{00000000-0005-0000-0000-0000B7070000}"/>
    <cellStyle name="Comma 4 2 2 2 2 2 6 2" xfId="6669" xr:uid="{00000000-0005-0000-0000-0000B8070000}"/>
    <cellStyle name="Comma 4 2 2 2 2 2 6 2 2" xfId="15111" xr:uid="{E5A691E2-629B-409A-8077-1A8459767336}"/>
    <cellStyle name="Comma 4 2 2 2 2 2 6 3" xfId="10893" xr:uid="{593B1DDE-40E3-40DB-89B3-CD06AA73A17B}"/>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15428" xr:uid="{26E74E0C-98DC-45AB-8EAC-241F3F3F4536}"/>
    <cellStyle name="Comma 4 2 2 2 2 2 8 3" xfId="11210" xr:uid="{4516A073-C927-4F4D-BFFB-11A75230C187}"/>
    <cellStyle name="Comma 4 2 2 2 2 2 9" xfId="4603" xr:uid="{00000000-0005-0000-0000-0000BC070000}"/>
    <cellStyle name="Comma 4 2 2 2 2 2 9 2" xfId="13045" xr:uid="{F2525F69-8C7B-4A8B-8E94-301757992D05}"/>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15603" xr:uid="{57ECD360-35E6-4C4C-A82F-3CBC85A7157A}"/>
    <cellStyle name="Comma 4 2 2 2 2 3 2 3" xfId="11385" xr:uid="{E2A84830-DDD5-4B3D-BA3D-9F0CCA7FB580}"/>
    <cellStyle name="Comma 4 2 2 2 2 3 3" xfId="5016" xr:uid="{00000000-0005-0000-0000-0000C0070000}"/>
    <cellStyle name="Comma 4 2 2 2 2 3 3 2" xfId="13458" xr:uid="{84C61E35-FB84-4F60-9602-47CA2CEF0F25}"/>
    <cellStyle name="Comma 4 2 2 2 2 3 4" xfId="9240" xr:uid="{C23F00A9-F3D2-4BB5-B367-E59BD57587DB}"/>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16016" xr:uid="{9B63E748-2003-4F02-8652-FEC5B8724B86}"/>
    <cellStyle name="Comma 4 2 2 2 2 4 2 3" xfId="11798" xr:uid="{EF242F72-0E49-4CFF-ADFF-D9E64117D9BC}"/>
    <cellStyle name="Comma 4 2 2 2 2 4 3" xfId="5429" xr:uid="{00000000-0005-0000-0000-0000C4070000}"/>
    <cellStyle name="Comma 4 2 2 2 2 4 3 2" xfId="13871" xr:uid="{EDB91183-6B3F-4648-B2C2-9D45B7707889}"/>
    <cellStyle name="Comma 4 2 2 2 2 4 4" xfId="9653" xr:uid="{56EFEDC0-F78F-4C38-847E-3B67CE44C7E1}"/>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16429" xr:uid="{931D1DE7-3F59-4391-B3B1-0245562109C3}"/>
    <cellStyle name="Comma 4 2 2 2 2 5 2 3" xfId="12211" xr:uid="{B79FDF28-5396-4F52-A037-250A4A2F92F2}"/>
    <cellStyle name="Comma 4 2 2 2 2 5 3" xfId="5842" xr:uid="{00000000-0005-0000-0000-0000C8070000}"/>
    <cellStyle name="Comma 4 2 2 2 2 5 3 2" xfId="14284" xr:uid="{844829CA-AC68-4266-91D7-D5FBA0A8CBDF}"/>
    <cellStyle name="Comma 4 2 2 2 2 5 4" xfId="10066" xr:uid="{3028F8E9-DE6A-426E-A3B9-9FDF4FBA246C}"/>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16842" xr:uid="{9D2671F1-8C93-43B5-B402-4B53F6D2C25E}"/>
    <cellStyle name="Comma 4 2 2 2 2 6 2 3" xfId="12624" xr:uid="{57DF2E31-1611-4278-9EC9-018CBB398F42}"/>
    <cellStyle name="Comma 4 2 2 2 2 6 3" xfId="6255" xr:uid="{00000000-0005-0000-0000-0000CC070000}"/>
    <cellStyle name="Comma 4 2 2 2 2 6 3 2" xfId="14697" xr:uid="{E5F6A299-54A5-4B91-8B1E-61C960DB6F17}"/>
    <cellStyle name="Comma 4 2 2 2 2 6 4" xfId="10479" xr:uid="{7D2DAE14-D7EB-4DE2-AE1C-D28B3C92D358}"/>
    <cellStyle name="Comma 4 2 2 2 2 7" xfId="2383" xr:uid="{00000000-0005-0000-0000-0000CD070000}"/>
    <cellStyle name="Comma 4 2 2 2 2 7 2" xfId="6668" xr:uid="{00000000-0005-0000-0000-0000CE070000}"/>
    <cellStyle name="Comma 4 2 2 2 2 7 2 2" xfId="15110" xr:uid="{3F2BCB79-DD09-44E6-906C-C5C802E18731}"/>
    <cellStyle name="Comma 4 2 2 2 2 7 3" xfId="10892" xr:uid="{69987160-B98A-41C0-A730-3E5957655291}"/>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15427" xr:uid="{CBD7C8F9-4616-4525-AB67-9FDAA303D782}"/>
    <cellStyle name="Comma 4 2 2 2 2 9 3" xfId="11209" xr:uid="{EC31059C-B0E7-48E4-B5B3-9548FE31F771}"/>
    <cellStyle name="Comma 4 2 2 2 3" xfId="131" xr:uid="{00000000-0005-0000-0000-0000D2070000}"/>
    <cellStyle name="Comma 4 2 2 2 3 10" xfId="8828" xr:uid="{A6C29BC7-D7FD-4AAC-A041-7DCA38843A0F}"/>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15605" xr:uid="{AFB22C1D-8645-440E-B7ED-E3B0F77AE18B}"/>
    <cellStyle name="Comma 4 2 2 2 3 2 2 3" xfId="11387" xr:uid="{C1749B36-6E21-4890-BB91-723D9B0F4058}"/>
    <cellStyle name="Comma 4 2 2 2 3 2 3" xfId="5018" xr:uid="{00000000-0005-0000-0000-0000D6070000}"/>
    <cellStyle name="Comma 4 2 2 2 3 2 3 2" xfId="13460" xr:uid="{7BAA4018-5049-440D-ACEF-A513DAB70064}"/>
    <cellStyle name="Comma 4 2 2 2 3 2 4" xfId="9242" xr:uid="{87F5D9C3-2761-4867-BD6D-9B0998F15449}"/>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16018" xr:uid="{CC27282E-63BE-4F7D-AAC7-7180C90507CD}"/>
    <cellStyle name="Comma 4 2 2 2 3 3 2 3" xfId="11800" xr:uid="{E22FF633-5445-4446-B75B-7AB99F8C446F}"/>
    <cellStyle name="Comma 4 2 2 2 3 3 3" xfId="5431" xr:uid="{00000000-0005-0000-0000-0000DA070000}"/>
    <cellStyle name="Comma 4 2 2 2 3 3 3 2" xfId="13873" xr:uid="{495DE69B-2017-4BD4-93D3-11D9CD21DF6F}"/>
    <cellStyle name="Comma 4 2 2 2 3 3 4" xfId="9655" xr:uid="{BA4DFDCC-770B-4C45-BB5B-2395B3A7E3F9}"/>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16431" xr:uid="{176E889B-65D9-4124-8B57-BB8F3EFE1C63}"/>
    <cellStyle name="Comma 4 2 2 2 3 4 2 3" xfId="12213" xr:uid="{CFE5B3D3-C679-4F8D-B2EA-F0CA0805774E}"/>
    <cellStyle name="Comma 4 2 2 2 3 4 3" xfId="5844" xr:uid="{00000000-0005-0000-0000-0000DE070000}"/>
    <cellStyle name="Comma 4 2 2 2 3 4 3 2" xfId="14286" xr:uid="{D36F8795-4ECF-4FA4-9D4D-25525C49EC64}"/>
    <cellStyle name="Comma 4 2 2 2 3 4 4" xfId="10068" xr:uid="{74DF4BFA-EEC4-407B-AAA1-CD278BBFA6FF}"/>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16844" xr:uid="{24B37EEC-E9C4-452A-BF88-7D12EAE9DC95}"/>
    <cellStyle name="Comma 4 2 2 2 3 5 2 3" xfId="12626" xr:uid="{385DBDFB-8C76-4F55-B156-8A4E6405BE07}"/>
    <cellStyle name="Comma 4 2 2 2 3 5 3" xfId="6257" xr:uid="{00000000-0005-0000-0000-0000E2070000}"/>
    <cellStyle name="Comma 4 2 2 2 3 5 3 2" xfId="14699" xr:uid="{0AECC0F7-9174-42BA-996F-FC174E30D5B9}"/>
    <cellStyle name="Comma 4 2 2 2 3 5 4" xfId="10481" xr:uid="{B6CD58EB-F47F-43AE-AE98-E6EDB7673F66}"/>
    <cellStyle name="Comma 4 2 2 2 3 6" xfId="2385" xr:uid="{00000000-0005-0000-0000-0000E3070000}"/>
    <cellStyle name="Comma 4 2 2 2 3 6 2" xfId="6670" xr:uid="{00000000-0005-0000-0000-0000E4070000}"/>
    <cellStyle name="Comma 4 2 2 2 3 6 2 2" xfId="15112" xr:uid="{CF5B99B8-230C-4A2B-B036-2D2EE0F8D9D1}"/>
    <cellStyle name="Comma 4 2 2 2 3 6 3" xfId="10894" xr:uid="{8D1579AF-5B26-4C94-891B-6F2FFCBF9A90}"/>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15429" xr:uid="{2478099A-D106-4FA9-80E8-1601A41A621F}"/>
    <cellStyle name="Comma 4 2 2 2 3 8 3" xfId="11211" xr:uid="{81B247C9-E264-464D-9A6B-5F832ADCE0B2}"/>
    <cellStyle name="Comma 4 2 2 2 3 9" xfId="4604" xr:uid="{00000000-0005-0000-0000-0000E8070000}"/>
    <cellStyle name="Comma 4 2 2 2 3 9 2" xfId="13046" xr:uid="{98CBAD65-F2AE-4374-9175-14BBB067A948}"/>
    <cellStyle name="Comma 4 2 2 2 4" xfId="666" xr:uid="{00000000-0005-0000-0000-0000E9070000}"/>
    <cellStyle name="Comma 4 2 2 2 4 2" xfId="2937" xr:uid="{00000000-0005-0000-0000-0000EA070000}"/>
    <cellStyle name="Comma 4 2 2 2 4 2 2" xfId="7160" xr:uid="{00000000-0005-0000-0000-0000EB070000}"/>
    <cellStyle name="Comma 4 2 2 2 4 2 2 2" xfId="15602" xr:uid="{2D0A97D1-547B-4078-9209-7743AFBCE9FE}"/>
    <cellStyle name="Comma 4 2 2 2 4 2 3" xfId="11384" xr:uid="{8DBC2902-BC04-4455-A0E8-96C67ED3E8B3}"/>
    <cellStyle name="Comma 4 2 2 2 4 3" xfId="5015" xr:uid="{00000000-0005-0000-0000-0000EC070000}"/>
    <cellStyle name="Comma 4 2 2 2 4 3 2" xfId="13457" xr:uid="{7711800E-79F2-48E4-B8CB-6B9E570D69E9}"/>
    <cellStyle name="Comma 4 2 2 2 4 4" xfId="9239" xr:uid="{1A50E465-76DF-4A95-AB10-C7F719DA0713}"/>
    <cellStyle name="Comma 4 2 2 2 5" xfId="1119" xr:uid="{00000000-0005-0000-0000-0000ED070000}"/>
    <cellStyle name="Comma 4 2 2 2 5 2" xfId="3350" xr:uid="{00000000-0005-0000-0000-0000EE070000}"/>
    <cellStyle name="Comma 4 2 2 2 5 2 2" xfId="7573" xr:uid="{00000000-0005-0000-0000-0000EF070000}"/>
    <cellStyle name="Comma 4 2 2 2 5 2 2 2" xfId="16015" xr:uid="{7F20EA74-7489-4721-96E7-9847E412E257}"/>
    <cellStyle name="Comma 4 2 2 2 5 2 3" xfId="11797" xr:uid="{3A7ACB32-CD36-4092-A923-FC8E29CB16E3}"/>
    <cellStyle name="Comma 4 2 2 2 5 3" xfId="5428" xr:uid="{00000000-0005-0000-0000-0000F0070000}"/>
    <cellStyle name="Comma 4 2 2 2 5 3 2" xfId="13870" xr:uid="{315B8CB7-5866-49A5-905B-91FE8448888F}"/>
    <cellStyle name="Comma 4 2 2 2 5 4" xfId="9652" xr:uid="{92D63795-342E-43DD-A2B6-20B9D1CB13A3}"/>
    <cellStyle name="Comma 4 2 2 2 6" xfId="1533" xr:uid="{00000000-0005-0000-0000-0000F1070000}"/>
    <cellStyle name="Comma 4 2 2 2 6 2" xfId="3763" xr:uid="{00000000-0005-0000-0000-0000F2070000}"/>
    <cellStyle name="Comma 4 2 2 2 6 2 2" xfId="7986" xr:uid="{00000000-0005-0000-0000-0000F3070000}"/>
    <cellStyle name="Comma 4 2 2 2 6 2 2 2" xfId="16428" xr:uid="{7E2ACD75-F727-442B-821C-86536536FAA1}"/>
    <cellStyle name="Comma 4 2 2 2 6 2 3" xfId="12210" xr:uid="{272BFEC5-FE9C-4656-860A-0A6B10B42273}"/>
    <cellStyle name="Comma 4 2 2 2 6 3" xfId="5841" xr:uid="{00000000-0005-0000-0000-0000F4070000}"/>
    <cellStyle name="Comma 4 2 2 2 6 3 2" xfId="14283" xr:uid="{E9568B37-992A-4BD3-832C-80B70688DFDB}"/>
    <cellStyle name="Comma 4 2 2 2 6 4" xfId="10065" xr:uid="{BE684D9B-E5C3-4420-9FED-BEF0818FEBA8}"/>
    <cellStyle name="Comma 4 2 2 2 7" xfId="1947" xr:uid="{00000000-0005-0000-0000-0000F5070000}"/>
    <cellStyle name="Comma 4 2 2 2 7 2" xfId="4176" xr:uid="{00000000-0005-0000-0000-0000F6070000}"/>
    <cellStyle name="Comma 4 2 2 2 7 2 2" xfId="8399" xr:uid="{00000000-0005-0000-0000-0000F7070000}"/>
    <cellStyle name="Comma 4 2 2 2 7 2 2 2" xfId="16841" xr:uid="{A9BFD3A7-702D-46BD-A458-5D22946AA527}"/>
    <cellStyle name="Comma 4 2 2 2 7 2 3" xfId="12623" xr:uid="{750F9D67-7609-4037-9E54-00050C547352}"/>
    <cellStyle name="Comma 4 2 2 2 7 3" xfId="6254" xr:uid="{00000000-0005-0000-0000-0000F8070000}"/>
    <cellStyle name="Comma 4 2 2 2 7 3 2" xfId="14696" xr:uid="{06FA049D-3F05-4B48-BADC-A6D8DF68D963}"/>
    <cellStyle name="Comma 4 2 2 2 7 4" xfId="10478" xr:uid="{C8DDC3C4-0BD2-455F-9419-38C53E8BAE98}"/>
    <cellStyle name="Comma 4 2 2 2 8" xfId="2382" xr:uid="{00000000-0005-0000-0000-0000F9070000}"/>
    <cellStyle name="Comma 4 2 2 2 8 2" xfId="6667" xr:uid="{00000000-0005-0000-0000-0000FA070000}"/>
    <cellStyle name="Comma 4 2 2 2 8 2 2" xfId="15109" xr:uid="{D3580FD3-8AEB-4F56-8930-F8A34CAA6FD5}"/>
    <cellStyle name="Comma 4 2 2 2 8 3" xfId="10891" xr:uid="{C2827FF9-41EF-43B8-8E9F-E4E0D3344494}"/>
    <cellStyle name="Comma 4 2 2 2 9" xfId="2381" xr:uid="{00000000-0005-0000-0000-0000FB070000}"/>
    <cellStyle name="Comma 4 2 2 3" xfId="132" xr:uid="{00000000-0005-0000-0000-0000FC070000}"/>
    <cellStyle name="Comma 4 2 2 3 10" xfId="4605" xr:uid="{00000000-0005-0000-0000-0000FD070000}"/>
    <cellStyle name="Comma 4 2 2 3 10 2" xfId="13047" xr:uid="{9D4CE66D-A93B-476C-978B-5E1477100007}"/>
    <cellStyle name="Comma 4 2 2 3 11" xfId="8829" xr:uid="{85F19097-02D5-43CB-A731-05D1229B262C}"/>
    <cellStyle name="Comma 4 2 2 3 2" xfId="133" xr:uid="{00000000-0005-0000-0000-0000FE070000}"/>
    <cellStyle name="Comma 4 2 2 3 2 10" xfId="8830" xr:uid="{E43FC651-B708-4B3F-8E5E-A58223BE7CF1}"/>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15607" xr:uid="{3C92697C-0980-4B08-AEB5-F5170F31A53F}"/>
    <cellStyle name="Comma 4 2 2 3 2 2 2 3" xfId="11389" xr:uid="{7ACB535F-6201-4E0E-8EAE-AFB6F2B1ECF2}"/>
    <cellStyle name="Comma 4 2 2 3 2 2 3" xfId="5020" xr:uid="{00000000-0005-0000-0000-000002080000}"/>
    <cellStyle name="Comma 4 2 2 3 2 2 3 2" xfId="13462" xr:uid="{943FF955-D20E-4FC0-8485-C40E198E66F0}"/>
    <cellStyle name="Comma 4 2 2 3 2 2 4" xfId="9244" xr:uid="{536F9958-F0E6-4C65-BC3E-49DFED7B4728}"/>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16020" xr:uid="{F76612D2-2C82-417E-BF70-FF29D30AB6CF}"/>
    <cellStyle name="Comma 4 2 2 3 2 3 2 3" xfId="11802" xr:uid="{000EC531-8689-45D6-8C02-F1B9DDDEA0EA}"/>
    <cellStyle name="Comma 4 2 2 3 2 3 3" xfId="5433" xr:uid="{00000000-0005-0000-0000-000006080000}"/>
    <cellStyle name="Comma 4 2 2 3 2 3 3 2" xfId="13875" xr:uid="{A569F5E3-72CB-4BA0-A4F4-D153DB1DB5C9}"/>
    <cellStyle name="Comma 4 2 2 3 2 3 4" xfId="9657" xr:uid="{73BF8F2C-6EE0-4034-9ABC-836A093D6E44}"/>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16433" xr:uid="{CBFD76E6-DBDC-40FA-A106-D0BF201C5A19}"/>
    <cellStyle name="Comma 4 2 2 3 2 4 2 3" xfId="12215" xr:uid="{E41D8240-7420-47EE-81A9-BFD938095730}"/>
    <cellStyle name="Comma 4 2 2 3 2 4 3" xfId="5846" xr:uid="{00000000-0005-0000-0000-00000A080000}"/>
    <cellStyle name="Comma 4 2 2 3 2 4 3 2" xfId="14288" xr:uid="{D4C8106C-8928-45A1-AF7B-E9ADEA8DD432}"/>
    <cellStyle name="Comma 4 2 2 3 2 4 4" xfId="10070" xr:uid="{93ABA1DA-E559-492C-A4F2-07CD2CF2AFFF}"/>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16846" xr:uid="{0F68E57A-3741-4984-86ED-06806F8C253A}"/>
    <cellStyle name="Comma 4 2 2 3 2 5 2 3" xfId="12628" xr:uid="{BB98475B-5C0C-420A-9E4D-5DAD67E10DE7}"/>
    <cellStyle name="Comma 4 2 2 3 2 5 3" xfId="6259" xr:uid="{00000000-0005-0000-0000-00000E080000}"/>
    <cellStyle name="Comma 4 2 2 3 2 5 3 2" xfId="14701" xr:uid="{B1F47F87-8FEF-490A-A222-F4A95ADE9734}"/>
    <cellStyle name="Comma 4 2 2 3 2 5 4" xfId="10483" xr:uid="{549DDFEA-9179-4502-BD09-A87A892D5050}"/>
    <cellStyle name="Comma 4 2 2 3 2 6" xfId="2387" xr:uid="{00000000-0005-0000-0000-00000F080000}"/>
    <cellStyle name="Comma 4 2 2 3 2 6 2" xfId="6672" xr:uid="{00000000-0005-0000-0000-000010080000}"/>
    <cellStyle name="Comma 4 2 2 3 2 6 2 2" xfId="15114" xr:uid="{63046B5F-A2C0-468C-B124-1ED752F7B5C1}"/>
    <cellStyle name="Comma 4 2 2 3 2 6 3" xfId="10896" xr:uid="{AE7F1F13-2C26-4AEA-BD1B-8E6B81B44ABE}"/>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15431" xr:uid="{43BEED8B-A71A-4681-AF32-1D8FA8A3694D}"/>
    <cellStyle name="Comma 4 2 2 3 2 8 3" xfId="11213" xr:uid="{D9E3AE8F-9A4C-4A52-AF80-F33C0A41719C}"/>
    <cellStyle name="Comma 4 2 2 3 2 9" xfId="4606" xr:uid="{00000000-0005-0000-0000-000014080000}"/>
    <cellStyle name="Comma 4 2 2 3 2 9 2" xfId="13048" xr:uid="{87F1D5CA-BC63-4ACE-A191-9B45620DA97E}"/>
    <cellStyle name="Comma 4 2 2 3 3" xfId="670" xr:uid="{00000000-0005-0000-0000-000015080000}"/>
    <cellStyle name="Comma 4 2 2 3 3 2" xfId="2941" xr:uid="{00000000-0005-0000-0000-000016080000}"/>
    <cellStyle name="Comma 4 2 2 3 3 2 2" xfId="7164" xr:uid="{00000000-0005-0000-0000-000017080000}"/>
    <cellStyle name="Comma 4 2 2 3 3 2 2 2" xfId="15606" xr:uid="{BD5AA730-9236-4584-95F3-233EE817227D}"/>
    <cellStyle name="Comma 4 2 2 3 3 2 3" xfId="11388" xr:uid="{61D0EE85-B04C-483A-BA7F-F68D6A78A75B}"/>
    <cellStyle name="Comma 4 2 2 3 3 3" xfId="5019" xr:uid="{00000000-0005-0000-0000-000018080000}"/>
    <cellStyle name="Comma 4 2 2 3 3 3 2" xfId="13461" xr:uid="{ED4C7CF0-8B86-4F0A-9BBA-D0E7CCFE2C8D}"/>
    <cellStyle name="Comma 4 2 2 3 3 4" xfId="9243" xr:uid="{5B3843C2-0684-47E0-9000-6E9A5C3153BD}"/>
    <cellStyle name="Comma 4 2 2 3 4" xfId="1123" xr:uid="{00000000-0005-0000-0000-000019080000}"/>
    <cellStyle name="Comma 4 2 2 3 4 2" xfId="3354" xr:uid="{00000000-0005-0000-0000-00001A080000}"/>
    <cellStyle name="Comma 4 2 2 3 4 2 2" xfId="7577" xr:uid="{00000000-0005-0000-0000-00001B080000}"/>
    <cellStyle name="Comma 4 2 2 3 4 2 2 2" xfId="16019" xr:uid="{652EE2FD-BCE4-4F20-AC1A-46415A676041}"/>
    <cellStyle name="Comma 4 2 2 3 4 2 3" xfId="11801" xr:uid="{644FD30A-649C-4C14-843B-16DD8008EB96}"/>
    <cellStyle name="Comma 4 2 2 3 4 3" xfId="5432" xr:uid="{00000000-0005-0000-0000-00001C080000}"/>
    <cellStyle name="Comma 4 2 2 3 4 3 2" xfId="13874" xr:uid="{0E7780D3-B6A2-4B8B-8DE3-9F2E526EB67A}"/>
    <cellStyle name="Comma 4 2 2 3 4 4" xfId="9656" xr:uid="{87A3321A-3A0F-43A4-98DA-2850218AD7A2}"/>
    <cellStyle name="Comma 4 2 2 3 5" xfId="1537" xr:uid="{00000000-0005-0000-0000-00001D080000}"/>
    <cellStyle name="Comma 4 2 2 3 5 2" xfId="3767" xr:uid="{00000000-0005-0000-0000-00001E080000}"/>
    <cellStyle name="Comma 4 2 2 3 5 2 2" xfId="7990" xr:uid="{00000000-0005-0000-0000-00001F080000}"/>
    <cellStyle name="Comma 4 2 2 3 5 2 2 2" xfId="16432" xr:uid="{5888C3D5-121E-497C-BF07-FA2956AD9F40}"/>
    <cellStyle name="Comma 4 2 2 3 5 2 3" xfId="12214" xr:uid="{46672DB2-6B42-4E0C-B662-6BF2D0E0E3CB}"/>
    <cellStyle name="Comma 4 2 2 3 5 3" xfId="5845" xr:uid="{00000000-0005-0000-0000-000020080000}"/>
    <cellStyle name="Comma 4 2 2 3 5 3 2" xfId="14287" xr:uid="{8DDA1446-903C-4E7A-997B-82BE6BA54CFA}"/>
    <cellStyle name="Comma 4 2 2 3 5 4" xfId="10069" xr:uid="{1F12EA26-C419-4666-AA11-BD28C8E496F5}"/>
    <cellStyle name="Comma 4 2 2 3 6" xfId="1951" xr:uid="{00000000-0005-0000-0000-000021080000}"/>
    <cellStyle name="Comma 4 2 2 3 6 2" xfId="4180" xr:uid="{00000000-0005-0000-0000-000022080000}"/>
    <cellStyle name="Comma 4 2 2 3 6 2 2" xfId="8403" xr:uid="{00000000-0005-0000-0000-000023080000}"/>
    <cellStyle name="Comma 4 2 2 3 6 2 2 2" xfId="16845" xr:uid="{62592777-9301-4A1F-A23E-DF5AFF6D40B4}"/>
    <cellStyle name="Comma 4 2 2 3 6 2 3" xfId="12627" xr:uid="{032D2F46-1CEE-4F12-A6D7-E0CDD3640DE3}"/>
    <cellStyle name="Comma 4 2 2 3 6 3" xfId="6258" xr:uid="{00000000-0005-0000-0000-000024080000}"/>
    <cellStyle name="Comma 4 2 2 3 6 3 2" xfId="14700" xr:uid="{9B8B6F37-79DC-4DA0-9EEE-11A0F7B9D075}"/>
    <cellStyle name="Comma 4 2 2 3 6 4" xfId="10482" xr:uid="{52EA1DF1-8B69-4A12-9DE0-7DE10E04DD89}"/>
    <cellStyle name="Comma 4 2 2 3 7" xfId="2386" xr:uid="{00000000-0005-0000-0000-000025080000}"/>
    <cellStyle name="Comma 4 2 2 3 7 2" xfId="6671" xr:uid="{00000000-0005-0000-0000-000026080000}"/>
    <cellStyle name="Comma 4 2 2 3 7 2 2" xfId="15113" xr:uid="{5E16028A-8F71-44F0-8CF8-1DD9139F02CF}"/>
    <cellStyle name="Comma 4 2 2 3 7 3" xfId="10895" xr:uid="{4F972A69-7F69-4513-A47B-436BC784A9A0}"/>
    <cellStyle name="Comma 4 2 2 3 8" xfId="2377" xr:uid="{00000000-0005-0000-0000-000027080000}"/>
    <cellStyle name="Comma 4 2 2 3 9" xfId="2764" xr:uid="{00000000-0005-0000-0000-000028080000}"/>
    <cellStyle name="Comma 4 2 2 3 9 2" xfId="6988" xr:uid="{00000000-0005-0000-0000-000029080000}"/>
    <cellStyle name="Comma 4 2 2 3 9 2 2" xfId="15430" xr:uid="{70A07A37-951A-431F-9370-9F9F3DF19CA7}"/>
    <cellStyle name="Comma 4 2 2 3 9 3" xfId="11212" xr:uid="{A0DD612B-1724-4732-ACE4-AEF11B4844E0}"/>
    <cellStyle name="Comma 4 2 2 4" xfId="134" xr:uid="{00000000-0005-0000-0000-00002A080000}"/>
    <cellStyle name="Comma 4 2 2 4 10" xfId="8831" xr:uid="{B78C7389-C9EE-4A16-8312-03964FEB654A}"/>
    <cellStyle name="Comma 4 2 2 4 2" xfId="672" xr:uid="{00000000-0005-0000-0000-00002B080000}"/>
    <cellStyle name="Comma 4 2 2 4 2 2" xfId="2943" xr:uid="{00000000-0005-0000-0000-00002C080000}"/>
    <cellStyle name="Comma 4 2 2 4 2 2 2" xfId="7166" xr:uid="{00000000-0005-0000-0000-00002D080000}"/>
    <cellStyle name="Comma 4 2 2 4 2 2 2 2" xfId="15608" xr:uid="{9DA70063-1F0D-44FB-A35D-E67C8F6D9964}"/>
    <cellStyle name="Comma 4 2 2 4 2 2 3" xfId="11390" xr:uid="{DD36485F-8B80-4221-B0D2-CA4004C5930B}"/>
    <cellStyle name="Comma 4 2 2 4 2 3" xfId="5021" xr:uid="{00000000-0005-0000-0000-00002E080000}"/>
    <cellStyle name="Comma 4 2 2 4 2 3 2" xfId="13463" xr:uid="{2A7C65AE-DC6A-4B99-AE38-BE319E4E4563}"/>
    <cellStyle name="Comma 4 2 2 4 2 4" xfId="9245" xr:uid="{BA09E4C5-B452-46BA-B2E1-7B3111282544}"/>
    <cellStyle name="Comma 4 2 2 4 3" xfId="1125" xr:uid="{00000000-0005-0000-0000-00002F080000}"/>
    <cellStyle name="Comma 4 2 2 4 3 2" xfId="3356" xr:uid="{00000000-0005-0000-0000-000030080000}"/>
    <cellStyle name="Comma 4 2 2 4 3 2 2" xfId="7579" xr:uid="{00000000-0005-0000-0000-000031080000}"/>
    <cellStyle name="Comma 4 2 2 4 3 2 2 2" xfId="16021" xr:uid="{66EB9629-D9AB-43CE-BFB3-0C60CA9E2FAD}"/>
    <cellStyle name="Comma 4 2 2 4 3 2 3" xfId="11803" xr:uid="{3F9E92AB-970C-4E74-B04E-F2317DD1ED89}"/>
    <cellStyle name="Comma 4 2 2 4 3 3" xfId="5434" xr:uid="{00000000-0005-0000-0000-000032080000}"/>
    <cellStyle name="Comma 4 2 2 4 3 3 2" xfId="13876" xr:uid="{2097F094-0A13-44E3-8632-8CCDA8E876DA}"/>
    <cellStyle name="Comma 4 2 2 4 3 4" xfId="9658" xr:uid="{6800BED1-1ECF-4FD9-BE53-13727808D3D3}"/>
    <cellStyle name="Comma 4 2 2 4 4" xfId="1539" xr:uid="{00000000-0005-0000-0000-000033080000}"/>
    <cellStyle name="Comma 4 2 2 4 4 2" xfId="3769" xr:uid="{00000000-0005-0000-0000-000034080000}"/>
    <cellStyle name="Comma 4 2 2 4 4 2 2" xfId="7992" xr:uid="{00000000-0005-0000-0000-000035080000}"/>
    <cellStyle name="Comma 4 2 2 4 4 2 2 2" xfId="16434" xr:uid="{8D26D690-FB9B-487D-832A-EA948BE09AF5}"/>
    <cellStyle name="Comma 4 2 2 4 4 2 3" xfId="12216" xr:uid="{487576F8-5022-45A0-ADA2-0619B279CE64}"/>
    <cellStyle name="Comma 4 2 2 4 4 3" xfId="5847" xr:uid="{00000000-0005-0000-0000-000036080000}"/>
    <cellStyle name="Comma 4 2 2 4 4 3 2" xfId="14289" xr:uid="{24462A36-276B-4FB9-8351-62365D0BC7AE}"/>
    <cellStyle name="Comma 4 2 2 4 4 4" xfId="10071" xr:uid="{2E2F46B4-D0E9-402D-AD0D-A7D0AF46907C}"/>
    <cellStyle name="Comma 4 2 2 4 5" xfId="1953" xr:uid="{00000000-0005-0000-0000-000037080000}"/>
    <cellStyle name="Comma 4 2 2 4 5 2" xfId="4182" xr:uid="{00000000-0005-0000-0000-000038080000}"/>
    <cellStyle name="Comma 4 2 2 4 5 2 2" xfId="8405" xr:uid="{00000000-0005-0000-0000-000039080000}"/>
    <cellStyle name="Comma 4 2 2 4 5 2 2 2" xfId="16847" xr:uid="{87D12963-2558-494B-A64A-A18F2A18DEC2}"/>
    <cellStyle name="Comma 4 2 2 4 5 2 3" xfId="12629" xr:uid="{E9DDC139-D634-4CBF-8757-904A6F9E99B9}"/>
    <cellStyle name="Comma 4 2 2 4 5 3" xfId="6260" xr:uid="{00000000-0005-0000-0000-00003A080000}"/>
    <cellStyle name="Comma 4 2 2 4 5 3 2" xfId="14702" xr:uid="{9D3E1EE0-1873-4A25-9ECA-BEA7CE89B2EA}"/>
    <cellStyle name="Comma 4 2 2 4 5 4" xfId="10484" xr:uid="{D31C355F-3186-46E2-9DF1-9925F206AFC8}"/>
    <cellStyle name="Comma 4 2 2 4 6" xfId="2388" xr:uid="{00000000-0005-0000-0000-00003B080000}"/>
    <cellStyle name="Comma 4 2 2 4 6 2" xfId="6673" xr:uid="{00000000-0005-0000-0000-00003C080000}"/>
    <cellStyle name="Comma 4 2 2 4 6 2 2" xfId="15115" xr:uid="{46343181-94FA-47A9-832F-59331AB9A6B6}"/>
    <cellStyle name="Comma 4 2 2 4 6 3" xfId="10897" xr:uid="{4D99134A-2E41-4935-B55F-12519B1DFF08}"/>
    <cellStyle name="Comma 4 2 2 4 7" xfId="2375" xr:uid="{00000000-0005-0000-0000-00003D080000}"/>
    <cellStyle name="Comma 4 2 2 4 8" xfId="2766" xr:uid="{00000000-0005-0000-0000-00003E080000}"/>
    <cellStyle name="Comma 4 2 2 4 8 2" xfId="6990" xr:uid="{00000000-0005-0000-0000-00003F080000}"/>
    <cellStyle name="Comma 4 2 2 4 8 2 2" xfId="15432" xr:uid="{A35B1E16-8F22-4645-88F2-7E27C2AE1562}"/>
    <cellStyle name="Comma 4 2 2 4 8 3" xfId="11214" xr:uid="{E1D8DB1E-E8FE-442F-B434-C2017BCA2CC9}"/>
    <cellStyle name="Comma 4 2 2 4 9" xfId="4607" xr:uid="{00000000-0005-0000-0000-000040080000}"/>
    <cellStyle name="Comma 4 2 2 4 9 2" xfId="13049" xr:uid="{A01D4732-AACA-4B20-A9E9-5CF70E0401D6}"/>
    <cellStyle name="Comma 4 2 2 5" xfId="135" xr:uid="{00000000-0005-0000-0000-000041080000}"/>
    <cellStyle name="Comma 4 2 2 5 10" xfId="8832" xr:uid="{BA2B9A9C-65A0-4D54-9284-7BEDEDADC068}"/>
    <cellStyle name="Comma 4 2 2 5 2" xfId="673" xr:uid="{00000000-0005-0000-0000-000042080000}"/>
    <cellStyle name="Comma 4 2 2 5 2 2" xfId="2944" xr:uid="{00000000-0005-0000-0000-000043080000}"/>
    <cellStyle name="Comma 4 2 2 5 2 2 2" xfId="7167" xr:uid="{00000000-0005-0000-0000-000044080000}"/>
    <cellStyle name="Comma 4 2 2 5 2 2 2 2" xfId="15609" xr:uid="{C2910475-55BF-4F09-8FE6-CF7EC7245058}"/>
    <cellStyle name="Comma 4 2 2 5 2 2 3" xfId="11391" xr:uid="{D9E18B50-4291-4425-A750-51C0A4EF8186}"/>
    <cellStyle name="Comma 4 2 2 5 2 3" xfId="5022" xr:uid="{00000000-0005-0000-0000-000045080000}"/>
    <cellStyle name="Comma 4 2 2 5 2 3 2" xfId="13464" xr:uid="{8536A7D0-D4D5-410B-86B5-3A8BDD3C9687}"/>
    <cellStyle name="Comma 4 2 2 5 2 4" xfId="9246" xr:uid="{175D4B20-FAF6-4712-8114-434B24A0BF7E}"/>
    <cellStyle name="Comma 4 2 2 5 3" xfId="1126" xr:uid="{00000000-0005-0000-0000-000046080000}"/>
    <cellStyle name="Comma 4 2 2 5 3 2" xfId="3357" xr:uid="{00000000-0005-0000-0000-000047080000}"/>
    <cellStyle name="Comma 4 2 2 5 3 2 2" xfId="7580" xr:uid="{00000000-0005-0000-0000-000048080000}"/>
    <cellStyle name="Comma 4 2 2 5 3 2 2 2" xfId="16022" xr:uid="{A9CF1BD8-CAEE-49B1-83C2-513C6CFEB747}"/>
    <cellStyle name="Comma 4 2 2 5 3 2 3" xfId="11804" xr:uid="{3C8D1F2E-3ADB-4A0A-A2F3-ED4EACEC8EFE}"/>
    <cellStyle name="Comma 4 2 2 5 3 3" xfId="5435" xr:uid="{00000000-0005-0000-0000-000049080000}"/>
    <cellStyle name="Comma 4 2 2 5 3 3 2" xfId="13877" xr:uid="{A00A0697-07E0-4996-AD7F-FDCD508AD6CA}"/>
    <cellStyle name="Comma 4 2 2 5 3 4" xfId="9659" xr:uid="{1DCF52F3-EC1D-40D4-A3F7-9724B24AAE6A}"/>
    <cellStyle name="Comma 4 2 2 5 4" xfId="1540" xr:uid="{00000000-0005-0000-0000-00004A080000}"/>
    <cellStyle name="Comma 4 2 2 5 4 2" xfId="3770" xr:uid="{00000000-0005-0000-0000-00004B080000}"/>
    <cellStyle name="Comma 4 2 2 5 4 2 2" xfId="7993" xr:uid="{00000000-0005-0000-0000-00004C080000}"/>
    <cellStyle name="Comma 4 2 2 5 4 2 2 2" xfId="16435" xr:uid="{D1484BCE-47EA-4DE2-BD32-A384706CBB84}"/>
    <cellStyle name="Comma 4 2 2 5 4 2 3" xfId="12217" xr:uid="{0D5C04F5-82B1-4D6C-ACA9-968B185735D3}"/>
    <cellStyle name="Comma 4 2 2 5 4 3" xfId="5848" xr:uid="{00000000-0005-0000-0000-00004D080000}"/>
    <cellStyle name="Comma 4 2 2 5 4 3 2" xfId="14290" xr:uid="{9C46AAAE-4074-4D00-8262-6EF8BC8F2F43}"/>
    <cellStyle name="Comma 4 2 2 5 4 4" xfId="10072" xr:uid="{54792CC8-ADC5-463F-973B-419564E369AA}"/>
    <cellStyle name="Comma 4 2 2 5 5" xfId="1954" xr:uid="{00000000-0005-0000-0000-00004E080000}"/>
    <cellStyle name="Comma 4 2 2 5 5 2" xfId="4183" xr:uid="{00000000-0005-0000-0000-00004F080000}"/>
    <cellStyle name="Comma 4 2 2 5 5 2 2" xfId="8406" xr:uid="{00000000-0005-0000-0000-000050080000}"/>
    <cellStyle name="Comma 4 2 2 5 5 2 2 2" xfId="16848" xr:uid="{79B00B64-B70D-4210-B84D-7248E1BDBCE7}"/>
    <cellStyle name="Comma 4 2 2 5 5 2 3" xfId="12630" xr:uid="{298DC664-8E57-4295-B0E5-48EEE6D2A86F}"/>
    <cellStyle name="Comma 4 2 2 5 5 3" xfId="6261" xr:uid="{00000000-0005-0000-0000-000051080000}"/>
    <cellStyle name="Comma 4 2 2 5 5 3 2" xfId="14703" xr:uid="{BCE9A92D-0AB1-4AEE-8154-296DC8BC3D33}"/>
    <cellStyle name="Comma 4 2 2 5 5 4" xfId="10485" xr:uid="{04474DA0-967C-4E17-B8EC-E74663E42550}"/>
    <cellStyle name="Comma 4 2 2 5 6" xfId="2389" xr:uid="{00000000-0005-0000-0000-000052080000}"/>
    <cellStyle name="Comma 4 2 2 5 6 2" xfId="6674" xr:uid="{00000000-0005-0000-0000-000053080000}"/>
    <cellStyle name="Comma 4 2 2 5 6 2 2" xfId="15116" xr:uid="{11F926EC-B7F2-4AA2-8AC0-C584832A9709}"/>
    <cellStyle name="Comma 4 2 2 5 6 3" xfId="10898" xr:uid="{DB4F7B86-F6D0-4E48-B3AD-EE51D864CCB4}"/>
    <cellStyle name="Comma 4 2 2 5 7" xfId="2374" xr:uid="{00000000-0005-0000-0000-000054080000}"/>
    <cellStyle name="Comma 4 2 2 5 8" xfId="2767" xr:uid="{00000000-0005-0000-0000-000055080000}"/>
    <cellStyle name="Comma 4 2 2 5 8 2" xfId="6991" xr:uid="{00000000-0005-0000-0000-000056080000}"/>
    <cellStyle name="Comma 4 2 2 5 8 2 2" xfId="15433" xr:uid="{B81CF831-9DE7-4D80-B5D5-EFC5B8C14319}"/>
    <cellStyle name="Comma 4 2 2 5 8 3" xfId="11215" xr:uid="{777536A6-D70B-4A6D-A5D8-FBBB9752CDBB}"/>
    <cellStyle name="Comma 4 2 2 5 9" xfId="4608" xr:uid="{00000000-0005-0000-0000-000057080000}"/>
    <cellStyle name="Comma 4 2 2 5 9 2" xfId="13050" xr:uid="{4432103A-11F7-41B9-96C9-34D1314A553F}"/>
    <cellStyle name="Comma 4 2 3" xfId="136" xr:uid="{00000000-0005-0000-0000-000058080000}"/>
    <cellStyle name="Comma 4 2 3 10" xfId="2768" xr:uid="{00000000-0005-0000-0000-000059080000}"/>
    <cellStyle name="Comma 4 2 3 10 2" xfId="6992" xr:uid="{00000000-0005-0000-0000-00005A080000}"/>
    <cellStyle name="Comma 4 2 3 10 2 2" xfId="15434" xr:uid="{98CC57C4-196E-47D6-869E-0CA265803C8B}"/>
    <cellStyle name="Comma 4 2 3 10 3" xfId="11216" xr:uid="{27249628-515A-43EA-BF7E-87A4ED1DB3D4}"/>
    <cellStyle name="Comma 4 2 3 11" xfId="4609" xr:uid="{00000000-0005-0000-0000-00005B080000}"/>
    <cellStyle name="Comma 4 2 3 11 2" xfId="13051" xr:uid="{D716338B-38AF-446C-819D-F909456F1389}"/>
    <cellStyle name="Comma 4 2 3 12" xfId="8833" xr:uid="{CB1C6523-3C86-4D26-AFB9-37C2DD85A55C}"/>
    <cellStyle name="Comma 4 2 3 2" xfId="137" xr:uid="{00000000-0005-0000-0000-00005C080000}"/>
    <cellStyle name="Comma 4 2 3 2 10" xfId="4610" xr:uid="{00000000-0005-0000-0000-00005D080000}"/>
    <cellStyle name="Comma 4 2 3 2 10 2" xfId="13052" xr:uid="{8DDB0BC8-BC09-46F5-8DFD-E5E174E2CE35}"/>
    <cellStyle name="Comma 4 2 3 2 11" xfId="8834" xr:uid="{6613C781-A5CD-478B-87F7-2FF73BC9B052}"/>
    <cellStyle name="Comma 4 2 3 2 2" xfId="138" xr:uid="{00000000-0005-0000-0000-00005E080000}"/>
    <cellStyle name="Comma 4 2 3 2 2 10" xfId="8835" xr:uid="{92DAA507-2F18-4717-87D6-5935DDDD8C51}"/>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15612" xr:uid="{27DF2CA4-DD18-46E7-9B98-27C571A8F17F}"/>
    <cellStyle name="Comma 4 2 3 2 2 2 2 3" xfId="11394" xr:uid="{8E51C02A-A66B-4C3D-85D0-89D98B16B19E}"/>
    <cellStyle name="Comma 4 2 3 2 2 2 3" xfId="5025" xr:uid="{00000000-0005-0000-0000-000062080000}"/>
    <cellStyle name="Comma 4 2 3 2 2 2 3 2" xfId="13467" xr:uid="{34F45975-DA50-4D68-B09B-780F60AC4AAA}"/>
    <cellStyle name="Comma 4 2 3 2 2 2 4" xfId="9249" xr:uid="{029B9E91-68FA-43AA-8F00-DCF81434349E}"/>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16025" xr:uid="{0A954BEF-F84A-4836-8C89-F2FE7E6EE69C}"/>
    <cellStyle name="Comma 4 2 3 2 2 3 2 3" xfId="11807" xr:uid="{CC049ED1-ECA9-44F1-A138-97EF330DAC5B}"/>
    <cellStyle name="Comma 4 2 3 2 2 3 3" xfId="5438" xr:uid="{00000000-0005-0000-0000-000066080000}"/>
    <cellStyle name="Comma 4 2 3 2 2 3 3 2" xfId="13880" xr:uid="{C387D7D4-CF14-4732-A5BE-42FADEC5C44C}"/>
    <cellStyle name="Comma 4 2 3 2 2 3 4" xfId="9662" xr:uid="{AB9837CA-3BDC-4921-9B94-B306ED5CF2E3}"/>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16438" xr:uid="{20310EE2-6DCA-40A4-AF3A-41664B24C7BC}"/>
    <cellStyle name="Comma 4 2 3 2 2 4 2 3" xfId="12220" xr:uid="{F2C60C5D-C03D-472C-8808-85D1A4BF75B6}"/>
    <cellStyle name="Comma 4 2 3 2 2 4 3" xfId="5851" xr:uid="{00000000-0005-0000-0000-00006A080000}"/>
    <cellStyle name="Comma 4 2 3 2 2 4 3 2" xfId="14293" xr:uid="{C6B3EDC7-F119-43BA-A794-DF2C4D635759}"/>
    <cellStyle name="Comma 4 2 3 2 2 4 4" xfId="10075" xr:uid="{42E78BC3-AE94-4106-ACF6-AED8D161E6EA}"/>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16851" xr:uid="{133EB2FF-2140-4336-83A1-17A22D7BA835}"/>
    <cellStyle name="Comma 4 2 3 2 2 5 2 3" xfId="12633" xr:uid="{8EEEFAC6-178D-436C-AB4B-2F3C9B6A7575}"/>
    <cellStyle name="Comma 4 2 3 2 2 5 3" xfId="6264" xr:uid="{00000000-0005-0000-0000-00006E080000}"/>
    <cellStyle name="Comma 4 2 3 2 2 5 3 2" xfId="14706" xr:uid="{3CCFB264-A9B4-4A1B-A570-738FA24C1BF8}"/>
    <cellStyle name="Comma 4 2 3 2 2 5 4" xfId="10488" xr:uid="{85683DE7-B10D-4C75-92E9-58BA5E8656C0}"/>
    <cellStyle name="Comma 4 2 3 2 2 6" xfId="2392" xr:uid="{00000000-0005-0000-0000-00006F080000}"/>
    <cellStyle name="Comma 4 2 3 2 2 6 2" xfId="6677" xr:uid="{00000000-0005-0000-0000-000070080000}"/>
    <cellStyle name="Comma 4 2 3 2 2 6 2 2" xfId="15119" xr:uid="{37721B72-7EC5-4BD4-B627-06EE0C1B63F9}"/>
    <cellStyle name="Comma 4 2 3 2 2 6 3" xfId="10901" xr:uid="{4B64B93D-6C3B-404B-8015-675159ECF4BD}"/>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15436" xr:uid="{3E4D5D02-56CC-4298-BAB6-B380A9723498}"/>
    <cellStyle name="Comma 4 2 3 2 2 8 3" xfId="11218" xr:uid="{0CCC69A8-B9FB-4E2E-8F03-67DE8B8C001E}"/>
    <cellStyle name="Comma 4 2 3 2 2 9" xfId="4611" xr:uid="{00000000-0005-0000-0000-000074080000}"/>
    <cellStyle name="Comma 4 2 3 2 2 9 2" xfId="13053" xr:uid="{AD3D61BC-1DFC-4FF6-A3E0-9129D4A5F9C4}"/>
    <cellStyle name="Comma 4 2 3 2 3" xfId="675" xr:uid="{00000000-0005-0000-0000-000075080000}"/>
    <cellStyle name="Comma 4 2 3 2 3 2" xfId="2946" xr:uid="{00000000-0005-0000-0000-000076080000}"/>
    <cellStyle name="Comma 4 2 3 2 3 2 2" xfId="7169" xr:uid="{00000000-0005-0000-0000-000077080000}"/>
    <cellStyle name="Comma 4 2 3 2 3 2 2 2" xfId="15611" xr:uid="{5318F1A9-43C7-4C5A-B9F0-70694CAFE1F6}"/>
    <cellStyle name="Comma 4 2 3 2 3 2 3" xfId="11393" xr:uid="{3CE1277D-DDEF-41B7-A8B6-3CB805C4E740}"/>
    <cellStyle name="Comma 4 2 3 2 3 3" xfId="5024" xr:uid="{00000000-0005-0000-0000-000078080000}"/>
    <cellStyle name="Comma 4 2 3 2 3 3 2" xfId="13466" xr:uid="{E9071A54-2BE3-4A70-96E6-57E1560D9EFC}"/>
    <cellStyle name="Comma 4 2 3 2 3 4" xfId="9248" xr:uid="{2F0B1440-6B94-4F79-88C8-169D94A9CE09}"/>
    <cellStyle name="Comma 4 2 3 2 4" xfId="1128" xr:uid="{00000000-0005-0000-0000-000079080000}"/>
    <cellStyle name="Comma 4 2 3 2 4 2" xfId="3359" xr:uid="{00000000-0005-0000-0000-00007A080000}"/>
    <cellStyle name="Comma 4 2 3 2 4 2 2" xfId="7582" xr:uid="{00000000-0005-0000-0000-00007B080000}"/>
    <cellStyle name="Comma 4 2 3 2 4 2 2 2" xfId="16024" xr:uid="{8BB311C0-5969-4D1C-AFC0-21351C73902F}"/>
    <cellStyle name="Comma 4 2 3 2 4 2 3" xfId="11806" xr:uid="{B95548EC-501D-4749-8F9C-F146EA5C4E80}"/>
    <cellStyle name="Comma 4 2 3 2 4 3" xfId="5437" xr:uid="{00000000-0005-0000-0000-00007C080000}"/>
    <cellStyle name="Comma 4 2 3 2 4 3 2" xfId="13879" xr:uid="{A7B0EFF6-5E35-40DA-A657-513C13F08667}"/>
    <cellStyle name="Comma 4 2 3 2 4 4" xfId="9661" xr:uid="{ADC7A5F0-4976-4079-855C-41511BF6338C}"/>
    <cellStyle name="Comma 4 2 3 2 5" xfId="1542" xr:uid="{00000000-0005-0000-0000-00007D080000}"/>
    <cellStyle name="Comma 4 2 3 2 5 2" xfId="3772" xr:uid="{00000000-0005-0000-0000-00007E080000}"/>
    <cellStyle name="Comma 4 2 3 2 5 2 2" xfId="7995" xr:uid="{00000000-0005-0000-0000-00007F080000}"/>
    <cellStyle name="Comma 4 2 3 2 5 2 2 2" xfId="16437" xr:uid="{E2527EE5-8AD9-4BEF-93C4-A0E9368CFABC}"/>
    <cellStyle name="Comma 4 2 3 2 5 2 3" xfId="12219" xr:uid="{185B5391-6276-439B-992C-819354294C76}"/>
    <cellStyle name="Comma 4 2 3 2 5 3" xfId="5850" xr:uid="{00000000-0005-0000-0000-000080080000}"/>
    <cellStyle name="Comma 4 2 3 2 5 3 2" xfId="14292" xr:uid="{9FD4EF17-E263-4935-AD77-7585E5946401}"/>
    <cellStyle name="Comma 4 2 3 2 5 4" xfId="10074" xr:uid="{B3971CA4-0BD3-4931-86B1-18F42E7F92A4}"/>
    <cellStyle name="Comma 4 2 3 2 6" xfId="1956" xr:uid="{00000000-0005-0000-0000-000081080000}"/>
    <cellStyle name="Comma 4 2 3 2 6 2" xfId="4185" xr:uid="{00000000-0005-0000-0000-000082080000}"/>
    <cellStyle name="Comma 4 2 3 2 6 2 2" xfId="8408" xr:uid="{00000000-0005-0000-0000-000083080000}"/>
    <cellStyle name="Comma 4 2 3 2 6 2 2 2" xfId="16850" xr:uid="{BFA0CC0D-72F9-44F4-942B-5B8340976B3E}"/>
    <cellStyle name="Comma 4 2 3 2 6 2 3" xfId="12632" xr:uid="{CCDAB534-E4A3-41AB-8FA8-8B8BF8EAEDCC}"/>
    <cellStyle name="Comma 4 2 3 2 6 3" xfId="6263" xr:uid="{00000000-0005-0000-0000-000084080000}"/>
    <cellStyle name="Comma 4 2 3 2 6 3 2" xfId="14705" xr:uid="{AC25F226-A956-4EAA-A2DD-A8CF3E6D4AB1}"/>
    <cellStyle name="Comma 4 2 3 2 6 4" xfId="10487" xr:uid="{DBC5920F-1C09-46F5-83F4-EF045B572953}"/>
    <cellStyle name="Comma 4 2 3 2 7" xfId="2391" xr:uid="{00000000-0005-0000-0000-000085080000}"/>
    <cellStyle name="Comma 4 2 3 2 7 2" xfId="6676" xr:uid="{00000000-0005-0000-0000-000086080000}"/>
    <cellStyle name="Comma 4 2 3 2 7 2 2" xfId="15118" xr:uid="{60A4780A-6BFD-4873-838A-80DE7B2A13C7}"/>
    <cellStyle name="Comma 4 2 3 2 7 3" xfId="10900" xr:uid="{5B4CE6D3-C26E-4D0D-A171-1B1B372FAEE6}"/>
    <cellStyle name="Comma 4 2 3 2 8" xfId="2372" xr:uid="{00000000-0005-0000-0000-000087080000}"/>
    <cellStyle name="Comma 4 2 3 2 9" xfId="2769" xr:uid="{00000000-0005-0000-0000-000088080000}"/>
    <cellStyle name="Comma 4 2 3 2 9 2" xfId="6993" xr:uid="{00000000-0005-0000-0000-000089080000}"/>
    <cellStyle name="Comma 4 2 3 2 9 2 2" xfId="15435" xr:uid="{8A283828-425B-46CC-B095-AF0AE2C20553}"/>
    <cellStyle name="Comma 4 2 3 2 9 3" xfId="11217" xr:uid="{0FA1075B-9D4F-4B5B-9643-CC677E8C3ACA}"/>
    <cellStyle name="Comma 4 2 3 3" xfId="139" xr:uid="{00000000-0005-0000-0000-00008A080000}"/>
    <cellStyle name="Comma 4 2 3 3 10" xfId="8836" xr:uid="{542330CB-4E7F-4B91-BED5-165E8AC1994F}"/>
    <cellStyle name="Comma 4 2 3 3 2" xfId="677" xr:uid="{00000000-0005-0000-0000-00008B080000}"/>
    <cellStyle name="Comma 4 2 3 3 2 2" xfId="2948" xr:uid="{00000000-0005-0000-0000-00008C080000}"/>
    <cellStyle name="Comma 4 2 3 3 2 2 2" xfId="7171" xr:uid="{00000000-0005-0000-0000-00008D080000}"/>
    <cellStyle name="Comma 4 2 3 3 2 2 2 2" xfId="15613" xr:uid="{AAF5E171-9D5F-4B18-830C-1ABC7E558503}"/>
    <cellStyle name="Comma 4 2 3 3 2 2 3" xfId="11395" xr:uid="{9CE5F3F4-56A5-4F88-8C7E-4FCCB74CA748}"/>
    <cellStyle name="Comma 4 2 3 3 2 3" xfId="5026" xr:uid="{00000000-0005-0000-0000-00008E080000}"/>
    <cellStyle name="Comma 4 2 3 3 2 3 2" xfId="13468" xr:uid="{C9578523-96A0-4E24-BBD6-E8861C7251DB}"/>
    <cellStyle name="Comma 4 2 3 3 2 4" xfId="9250" xr:uid="{26719905-7CFC-4BC0-9212-AC027A54EAEC}"/>
    <cellStyle name="Comma 4 2 3 3 3" xfId="1130" xr:uid="{00000000-0005-0000-0000-00008F080000}"/>
    <cellStyle name="Comma 4 2 3 3 3 2" xfId="3361" xr:uid="{00000000-0005-0000-0000-000090080000}"/>
    <cellStyle name="Comma 4 2 3 3 3 2 2" xfId="7584" xr:uid="{00000000-0005-0000-0000-000091080000}"/>
    <cellStyle name="Comma 4 2 3 3 3 2 2 2" xfId="16026" xr:uid="{88FE9101-A2BA-4179-B2DB-DA90E1B7E814}"/>
    <cellStyle name="Comma 4 2 3 3 3 2 3" xfId="11808" xr:uid="{0699091A-1750-43B7-BCE5-392F28240EAB}"/>
    <cellStyle name="Comma 4 2 3 3 3 3" xfId="5439" xr:uid="{00000000-0005-0000-0000-000092080000}"/>
    <cellStyle name="Comma 4 2 3 3 3 3 2" xfId="13881" xr:uid="{71FF59BC-2B86-41A3-8A67-5A5DF2F03C7A}"/>
    <cellStyle name="Comma 4 2 3 3 3 4" xfId="9663" xr:uid="{1B88AE01-EB5F-403C-8608-F7143458C990}"/>
    <cellStyle name="Comma 4 2 3 3 4" xfId="1544" xr:uid="{00000000-0005-0000-0000-000093080000}"/>
    <cellStyle name="Comma 4 2 3 3 4 2" xfId="3774" xr:uid="{00000000-0005-0000-0000-000094080000}"/>
    <cellStyle name="Comma 4 2 3 3 4 2 2" xfId="7997" xr:uid="{00000000-0005-0000-0000-000095080000}"/>
    <cellStyle name="Comma 4 2 3 3 4 2 2 2" xfId="16439" xr:uid="{1C42E272-AE75-42AA-9267-DF77C7BC4BE7}"/>
    <cellStyle name="Comma 4 2 3 3 4 2 3" xfId="12221" xr:uid="{02CDC081-46F6-4BFD-8DFD-372CA9BD7850}"/>
    <cellStyle name="Comma 4 2 3 3 4 3" xfId="5852" xr:uid="{00000000-0005-0000-0000-000096080000}"/>
    <cellStyle name="Comma 4 2 3 3 4 3 2" xfId="14294" xr:uid="{AD3F47BC-8959-4B32-88A9-A3E00E38671F}"/>
    <cellStyle name="Comma 4 2 3 3 4 4" xfId="10076" xr:uid="{19906EB9-AE57-4D61-83C0-D7372A07ABD7}"/>
    <cellStyle name="Comma 4 2 3 3 5" xfId="1958" xr:uid="{00000000-0005-0000-0000-000097080000}"/>
    <cellStyle name="Comma 4 2 3 3 5 2" xfId="4187" xr:uid="{00000000-0005-0000-0000-000098080000}"/>
    <cellStyle name="Comma 4 2 3 3 5 2 2" xfId="8410" xr:uid="{00000000-0005-0000-0000-000099080000}"/>
    <cellStyle name="Comma 4 2 3 3 5 2 2 2" xfId="16852" xr:uid="{2AA0E3C7-56C6-4813-B638-67E44229D546}"/>
    <cellStyle name="Comma 4 2 3 3 5 2 3" xfId="12634" xr:uid="{395A52F6-0311-4E86-BAB8-C905DCDBD0DD}"/>
    <cellStyle name="Comma 4 2 3 3 5 3" xfId="6265" xr:uid="{00000000-0005-0000-0000-00009A080000}"/>
    <cellStyle name="Comma 4 2 3 3 5 3 2" xfId="14707" xr:uid="{A50B9DBB-8DD6-4BAF-965B-0CCEE96F1604}"/>
    <cellStyle name="Comma 4 2 3 3 5 4" xfId="10489" xr:uid="{811394F1-BFA2-43D1-B6B0-0F6BB729833E}"/>
    <cellStyle name="Comma 4 2 3 3 6" xfId="2393" xr:uid="{00000000-0005-0000-0000-00009B080000}"/>
    <cellStyle name="Comma 4 2 3 3 6 2" xfId="6678" xr:uid="{00000000-0005-0000-0000-00009C080000}"/>
    <cellStyle name="Comma 4 2 3 3 6 2 2" xfId="15120" xr:uid="{B613F962-70AF-46ED-87C2-55B65F5A9D8A}"/>
    <cellStyle name="Comma 4 2 3 3 6 3" xfId="10902" xr:uid="{3243DE1A-C8CE-49A9-A703-A43A0E9D2CB9}"/>
    <cellStyle name="Comma 4 2 3 3 7" xfId="2370" xr:uid="{00000000-0005-0000-0000-00009D080000}"/>
    <cellStyle name="Comma 4 2 3 3 8" xfId="2771" xr:uid="{00000000-0005-0000-0000-00009E080000}"/>
    <cellStyle name="Comma 4 2 3 3 8 2" xfId="6995" xr:uid="{00000000-0005-0000-0000-00009F080000}"/>
    <cellStyle name="Comma 4 2 3 3 8 2 2" xfId="15437" xr:uid="{DA588DDE-ADCE-4AE3-BE4B-BCD5E57DB8DA}"/>
    <cellStyle name="Comma 4 2 3 3 8 3" xfId="11219" xr:uid="{7CE05325-5901-4AF7-8B71-9F4BA007B6CB}"/>
    <cellStyle name="Comma 4 2 3 3 9" xfId="4612" xr:uid="{00000000-0005-0000-0000-0000A0080000}"/>
    <cellStyle name="Comma 4 2 3 3 9 2" xfId="13054" xr:uid="{82F79E23-4603-4717-8B63-EDD26A803952}"/>
    <cellStyle name="Comma 4 2 3 4" xfId="674" xr:uid="{00000000-0005-0000-0000-0000A1080000}"/>
    <cellStyle name="Comma 4 2 3 4 2" xfId="2945" xr:uid="{00000000-0005-0000-0000-0000A2080000}"/>
    <cellStyle name="Comma 4 2 3 4 2 2" xfId="7168" xr:uid="{00000000-0005-0000-0000-0000A3080000}"/>
    <cellStyle name="Comma 4 2 3 4 2 2 2" xfId="15610" xr:uid="{24923325-B554-4202-8A08-725B5CF93C72}"/>
    <cellStyle name="Comma 4 2 3 4 2 3" xfId="11392" xr:uid="{D4E1EED6-EE5B-41F7-9793-FB097EAAA32E}"/>
    <cellStyle name="Comma 4 2 3 4 3" xfId="5023" xr:uid="{00000000-0005-0000-0000-0000A4080000}"/>
    <cellStyle name="Comma 4 2 3 4 3 2" xfId="13465" xr:uid="{B64C84FE-B606-46C7-A63C-4A4155BE6012}"/>
    <cellStyle name="Comma 4 2 3 4 4" xfId="9247" xr:uid="{4B17A6E3-D458-4934-876C-E5A12320E1D0}"/>
    <cellStyle name="Comma 4 2 3 5" xfId="1127" xr:uid="{00000000-0005-0000-0000-0000A5080000}"/>
    <cellStyle name="Comma 4 2 3 5 2" xfId="3358" xr:uid="{00000000-0005-0000-0000-0000A6080000}"/>
    <cellStyle name="Comma 4 2 3 5 2 2" xfId="7581" xr:uid="{00000000-0005-0000-0000-0000A7080000}"/>
    <cellStyle name="Comma 4 2 3 5 2 2 2" xfId="16023" xr:uid="{F7A9252A-EAE9-4CB5-894E-D208EAC222E2}"/>
    <cellStyle name="Comma 4 2 3 5 2 3" xfId="11805" xr:uid="{41C29092-954E-47EF-B469-FA01143682B2}"/>
    <cellStyle name="Comma 4 2 3 5 3" xfId="5436" xr:uid="{00000000-0005-0000-0000-0000A8080000}"/>
    <cellStyle name="Comma 4 2 3 5 3 2" xfId="13878" xr:uid="{EA4E92B7-3ABA-47F7-8AD2-662AEA4A8AAB}"/>
    <cellStyle name="Comma 4 2 3 5 4" xfId="9660" xr:uid="{2DEDD5DD-2193-4A1E-AB1B-2D2C5E63650E}"/>
    <cellStyle name="Comma 4 2 3 6" xfId="1541" xr:uid="{00000000-0005-0000-0000-0000A9080000}"/>
    <cellStyle name="Comma 4 2 3 6 2" xfId="3771" xr:uid="{00000000-0005-0000-0000-0000AA080000}"/>
    <cellStyle name="Comma 4 2 3 6 2 2" xfId="7994" xr:uid="{00000000-0005-0000-0000-0000AB080000}"/>
    <cellStyle name="Comma 4 2 3 6 2 2 2" xfId="16436" xr:uid="{9AA091E5-9ED4-41A2-9CA8-EF6E1669BA56}"/>
    <cellStyle name="Comma 4 2 3 6 2 3" xfId="12218" xr:uid="{22E18CAF-A1DC-40C5-BF61-EAEEF183778D}"/>
    <cellStyle name="Comma 4 2 3 6 3" xfId="5849" xr:uid="{00000000-0005-0000-0000-0000AC080000}"/>
    <cellStyle name="Comma 4 2 3 6 3 2" xfId="14291" xr:uid="{ED81E6EF-10BE-4FCC-9E3A-165701DDE7AD}"/>
    <cellStyle name="Comma 4 2 3 6 4" xfId="10073" xr:uid="{B9501616-1383-493A-B70E-49D3BDA6C91F}"/>
    <cellStyle name="Comma 4 2 3 7" xfId="1955" xr:uid="{00000000-0005-0000-0000-0000AD080000}"/>
    <cellStyle name="Comma 4 2 3 7 2" xfId="4184" xr:uid="{00000000-0005-0000-0000-0000AE080000}"/>
    <cellStyle name="Comma 4 2 3 7 2 2" xfId="8407" xr:uid="{00000000-0005-0000-0000-0000AF080000}"/>
    <cellStyle name="Comma 4 2 3 7 2 2 2" xfId="16849" xr:uid="{38C3F81E-3906-4C04-A6EA-72050B851978}"/>
    <cellStyle name="Comma 4 2 3 7 2 3" xfId="12631" xr:uid="{0F80A299-04AE-4BBB-8E30-00BEDB340F99}"/>
    <cellStyle name="Comma 4 2 3 7 3" xfId="6262" xr:uid="{00000000-0005-0000-0000-0000B0080000}"/>
    <cellStyle name="Comma 4 2 3 7 3 2" xfId="14704" xr:uid="{13D3E5D3-AF2C-4E44-9455-01ED6DDB9E1D}"/>
    <cellStyle name="Comma 4 2 3 7 4" xfId="10486" xr:uid="{50F2260B-6E4D-4A76-A97F-751541880D79}"/>
    <cellStyle name="Comma 4 2 3 8" xfId="2390" xr:uid="{00000000-0005-0000-0000-0000B1080000}"/>
    <cellStyle name="Comma 4 2 3 8 2" xfId="6675" xr:uid="{00000000-0005-0000-0000-0000B2080000}"/>
    <cellStyle name="Comma 4 2 3 8 2 2" xfId="15117" xr:uid="{EE2635D7-3DEA-4C9A-8A3D-157B8BF9BEDA}"/>
    <cellStyle name="Comma 4 2 3 8 3" xfId="10899" xr:uid="{25E0A434-5079-421B-A5C8-3480369BF94F}"/>
    <cellStyle name="Comma 4 2 3 9" xfId="2373" xr:uid="{00000000-0005-0000-0000-0000B3080000}"/>
    <cellStyle name="Comma 4 2 4" xfId="140" xr:uid="{00000000-0005-0000-0000-0000B4080000}"/>
    <cellStyle name="Comma 4 2 4 10" xfId="4613" xr:uid="{00000000-0005-0000-0000-0000B5080000}"/>
    <cellStyle name="Comma 4 2 4 10 2" xfId="13055" xr:uid="{4966CE93-C701-4D9B-8032-DE5A010F1287}"/>
    <cellStyle name="Comma 4 2 4 11" xfId="8837" xr:uid="{2B9BFCCE-2A16-404A-9888-9FA2076318BD}"/>
    <cellStyle name="Comma 4 2 4 2" xfId="141" xr:uid="{00000000-0005-0000-0000-0000B6080000}"/>
    <cellStyle name="Comma 4 2 4 2 10" xfId="8838" xr:uid="{AB9F269D-785E-4832-8B95-145DFE7A1456}"/>
    <cellStyle name="Comma 4 2 4 2 2" xfId="679" xr:uid="{00000000-0005-0000-0000-0000B7080000}"/>
    <cellStyle name="Comma 4 2 4 2 2 2" xfId="2950" xr:uid="{00000000-0005-0000-0000-0000B8080000}"/>
    <cellStyle name="Comma 4 2 4 2 2 2 2" xfId="7173" xr:uid="{00000000-0005-0000-0000-0000B9080000}"/>
    <cellStyle name="Comma 4 2 4 2 2 2 2 2" xfId="15615" xr:uid="{3D0BE3B8-575B-4A64-ACB2-B7ABCC4CE376}"/>
    <cellStyle name="Comma 4 2 4 2 2 2 3" xfId="11397" xr:uid="{97D00201-47B1-46F8-A55C-9DFE026CEDD1}"/>
    <cellStyle name="Comma 4 2 4 2 2 3" xfId="5028" xr:uid="{00000000-0005-0000-0000-0000BA080000}"/>
    <cellStyle name="Comma 4 2 4 2 2 3 2" xfId="13470" xr:uid="{FD04255C-FAC6-4A55-8EA0-8537D63EDCB0}"/>
    <cellStyle name="Comma 4 2 4 2 2 4" xfId="9252" xr:uid="{0A7E9AAA-EDB5-4F46-A6BC-FE76F43549A9}"/>
    <cellStyle name="Comma 4 2 4 2 3" xfId="1132" xr:uid="{00000000-0005-0000-0000-0000BB080000}"/>
    <cellStyle name="Comma 4 2 4 2 3 2" xfId="3363" xr:uid="{00000000-0005-0000-0000-0000BC080000}"/>
    <cellStyle name="Comma 4 2 4 2 3 2 2" xfId="7586" xr:uid="{00000000-0005-0000-0000-0000BD080000}"/>
    <cellStyle name="Comma 4 2 4 2 3 2 2 2" xfId="16028" xr:uid="{998EC542-8723-4C73-8A40-E1FE15C67AFC}"/>
    <cellStyle name="Comma 4 2 4 2 3 2 3" xfId="11810" xr:uid="{13306DD3-ECEB-4603-A00D-B6C5DE3E8C4C}"/>
    <cellStyle name="Comma 4 2 4 2 3 3" xfId="5441" xr:uid="{00000000-0005-0000-0000-0000BE080000}"/>
    <cellStyle name="Comma 4 2 4 2 3 3 2" xfId="13883" xr:uid="{3B7E6DE3-8D68-4FBF-A47D-9A3D171F13BD}"/>
    <cellStyle name="Comma 4 2 4 2 3 4" xfId="9665" xr:uid="{2C64CA89-C94B-434C-A900-E0F7B168994B}"/>
    <cellStyle name="Comma 4 2 4 2 4" xfId="1546" xr:uid="{00000000-0005-0000-0000-0000BF080000}"/>
    <cellStyle name="Comma 4 2 4 2 4 2" xfId="3776" xr:uid="{00000000-0005-0000-0000-0000C0080000}"/>
    <cellStyle name="Comma 4 2 4 2 4 2 2" xfId="7999" xr:uid="{00000000-0005-0000-0000-0000C1080000}"/>
    <cellStyle name="Comma 4 2 4 2 4 2 2 2" xfId="16441" xr:uid="{77454ECE-7ADD-4AA6-A02F-372E0BA356F6}"/>
    <cellStyle name="Comma 4 2 4 2 4 2 3" xfId="12223" xr:uid="{C1190867-459B-432C-991A-CFF918CCA6E9}"/>
    <cellStyle name="Comma 4 2 4 2 4 3" xfId="5854" xr:uid="{00000000-0005-0000-0000-0000C2080000}"/>
    <cellStyle name="Comma 4 2 4 2 4 3 2" xfId="14296" xr:uid="{5CF103B8-0CAC-4800-8FA7-04B6092E2DA3}"/>
    <cellStyle name="Comma 4 2 4 2 4 4" xfId="10078" xr:uid="{612098EA-D4DC-45D8-A278-F9CA8C50B906}"/>
    <cellStyle name="Comma 4 2 4 2 5" xfId="1960" xr:uid="{00000000-0005-0000-0000-0000C3080000}"/>
    <cellStyle name="Comma 4 2 4 2 5 2" xfId="4189" xr:uid="{00000000-0005-0000-0000-0000C4080000}"/>
    <cellStyle name="Comma 4 2 4 2 5 2 2" xfId="8412" xr:uid="{00000000-0005-0000-0000-0000C5080000}"/>
    <cellStyle name="Comma 4 2 4 2 5 2 2 2" xfId="16854" xr:uid="{81C39986-ECC8-465D-BC5C-31F0FF126CB8}"/>
    <cellStyle name="Comma 4 2 4 2 5 2 3" xfId="12636" xr:uid="{0D33977A-5162-4197-BC80-A03EAF05A2E4}"/>
    <cellStyle name="Comma 4 2 4 2 5 3" xfId="6267" xr:uid="{00000000-0005-0000-0000-0000C6080000}"/>
    <cellStyle name="Comma 4 2 4 2 5 3 2" xfId="14709" xr:uid="{C5BBB9D2-0311-4BB9-B230-04A75B21D861}"/>
    <cellStyle name="Comma 4 2 4 2 5 4" xfId="10491" xr:uid="{C146CA0B-6435-4F5A-8107-FDAC09D5AFFD}"/>
    <cellStyle name="Comma 4 2 4 2 6" xfId="2395" xr:uid="{00000000-0005-0000-0000-0000C7080000}"/>
    <cellStyle name="Comma 4 2 4 2 6 2" xfId="6680" xr:uid="{00000000-0005-0000-0000-0000C8080000}"/>
    <cellStyle name="Comma 4 2 4 2 6 2 2" xfId="15122" xr:uid="{7C8258E6-98F4-4B79-9FA5-15CD02D87F44}"/>
    <cellStyle name="Comma 4 2 4 2 6 3" xfId="10904" xr:uid="{BB4B5722-D7F5-4A96-88D2-4BB7F8E905F1}"/>
    <cellStyle name="Comma 4 2 4 2 7" xfId="2368" xr:uid="{00000000-0005-0000-0000-0000C9080000}"/>
    <cellStyle name="Comma 4 2 4 2 8" xfId="2773" xr:uid="{00000000-0005-0000-0000-0000CA080000}"/>
    <cellStyle name="Comma 4 2 4 2 8 2" xfId="6997" xr:uid="{00000000-0005-0000-0000-0000CB080000}"/>
    <cellStyle name="Comma 4 2 4 2 8 2 2" xfId="15439" xr:uid="{C74B9D65-88D1-480F-8651-816DEAC50EDA}"/>
    <cellStyle name="Comma 4 2 4 2 8 3" xfId="11221" xr:uid="{9BC69F90-2368-4B6A-8F95-D339AA2C3545}"/>
    <cellStyle name="Comma 4 2 4 2 9" xfId="4614" xr:uid="{00000000-0005-0000-0000-0000CC080000}"/>
    <cellStyle name="Comma 4 2 4 2 9 2" xfId="13056" xr:uid="{5BE7508C-B4AE-4A16-949F-0D5169A95AFF}"/>
    <cellStyle name="Comma 4 2 4 3" xfId="678" xr:uid="{00000000-0005-0000-0000-0000CD080000}"/>
    <cellStyle name="Comma 4 2 4 3 2" xfId="2949" xr:uid="{00000000-0005-0000-0000-0000CE080000}"/>
    <cellStyle name="Comma 4 2 4 3 2 2" xfId="7172" xr:uid="{00000000-0005-0000-0000-0000CF080000}"/>
    <cellStyle name="Comma 4 2 4 3 2 2 2" xfId="15614" xr:uid="{79E55ADC-5926-411A-807B-084F4D3D5198}"/>
    <cellStyle name="Comma 4 2 4 3 2 3" xfId="11396" xr:uid="{0010E60A-03DA-4FEC-8273-6B6C6DF6A42B}"/>
    <cellStyle name="Comma 4 2 4 3 3" xfId="5027" xr:uid="{00000000-0005-0000-0000-0000D0080000}"/>
    <cellStyle name="Comma 4 2 4 3 3 2" xfId="13469" xr:uid="{5CFEAFCE-537C-490F-9EA8-2F733AF3AB1D}"/>
    <cellStyle name="Comma 4 2 4 3 4" xfId="9251" xr:uid="{12DAB5D7-E433-4653-B700-75C2C52CEC31}"/>
    <cellStyle name="Comma 4 2 4 4" xfId="1131" xr:uid="{00000000-0005-0000-0000-0000D1080000}"/>
    <cellStyle name="Comma 4 2 4 4 2" xfId="3362" xr:uid="{00000000-0005-0000-0000-0000D2080000}"/>
    <cellStyle name="Comma 4 2 4 4 2 2" xfId="7585" xr:uid="{00000000-0005-0000-0000-0000D3080000}"/>
    <cellStyle name="Comma 4 2 4 4 2 2 2" xfId="16027" xr:uid="{0FAB4405-7006-44BD-8EED-7DEA0986143D}"/>
    <cellStyle name="Comma 4 2 4 4 2 3" xfId="11809" xr:uid="{FEB24603-5167-4C61-9CE2-CFD6CF3A869D}"/>
    <cellStyle name="Comma 4 2 4 4 3" xfId="5440" xr:uid="{00000000-0005-0000-0000-0000D4080000}"/>
    <cellStyle name="Comma 4 2 4 4 3 2" xfId="13882" xr:uid="{BD6790B8-A113-489E-B60F-F2F9ACCF541C}"/>
    <cellStyle name="Comma 4 2 4 4 4" xfId="9664" xr:uid="{D8A47D2A-D330-4A82-B305-1C50A352863E}"/>
    <cellStyle name="Comma 4 2 4 5" xfId="1545" xr:uid="{00000000-0005-0000-0000-0000D5080000}"/>
    <cellStyle name="Comma 4 2 4 5 2" xfId="3775" xr:uid="{00000000-0005-0000-0000-0000D6080000}"/>
    <cellStyle name="Comma 4 2 4 5 2 2" xfId="7998" xr:uid="{00000000-0005-0000-0000-0000D7080000}"/>
    <cellStyle name="Comma 4 2 4 5 2 2 2" xfId="16440" xr:uid="{8D37001B-ACEB-4144-8518-2A725A2B497B}"/>
    <cellStyle name="Comma 4 2 4 5 2 3" xfId="12222" xr:uid="{2C286CED-1801-43FA-90B1-9FB2771B31E4}"/>
    <cellStyle name="Comma 4 2 4 5 3" xfId="5853" xr:uid="{00000000-0005-0000-0000-0000D8080000}"/>
    <cellStyle name="Comma 4 2 4 5 3 2" xfId="14295" xr:uid="{41C7CD10-33FF-443F-A6E0-72474D3D7EE2}"/>
    <cellStyle name="Comma 4 2 4 5 4" xfId="10077" xr:uid="{718D8823-0998-4D2E-9B7E-B86F25E6FB93}"/>
    <cellStyle name="Comma 4 2 4 6" xfId="1959" xr:uid="{00000000-0005-0000-0000-0000D9080000}"/>
    <cellStyle name="Comma 4 2 4 6 2" xfId="4188" xr:uid="{00000000-0005-0000-0000-0000DA080000}"/>
    <cellStyle name="Comma 4 2 4 6 2 2" xfId="8411" xr:uid="{00000000-0005-0000-0000-0000DB080000}"/>
    <cellStyle name="Comma 4 2 4 6 2 2 2" xfId="16853" xr:uid="{0B1FD6FB-B43A-4D5D-AEA7-085C9F08A3D5}"/>
    <cellStyle name="Comma 4 2 4 6 2 3" xfId="12635" xr:uid="{F2C0D8AC-14EA-4B2B-9BAF-B30FA4555274}"/>
    <cellStyle name="Comma 4 2 4 6 3" xfId="6266" xr:uid="{00000000-0005-0000-0000-0000DC080000}"/>
    <cellStyle name="Comma 4 2 4 6 3 2" xfId="14708" xr:uid="{26FC7337-EC82-4DB9-B3CD-25263AF86713}"/>
    <cellStyle name="Comma 4 2 4 6 4" xfId="10490" xr:uid="{21622963-B19B-4C11-87D2-9C282F36630E}"/>
    <cellStyle name="Comma 4 2 4 7" xfId="2394" xr:uid="{00000000-0005-0000-0000-0000DD080000}"/>
    <cellStyle name="Comma 4 2 4 7 2" xfId="6679" xr:uid="{00000000-0005-0000-0000-0000DE080000}"/>
    <cellStyle name="Comma 4 2 4 7 2 2" xfId="15121" xr:uid="{2265F04C-F266-46D4-9520-BDF31BDC173D}"/>
    <cellStyle name="Comma 4 2 4 7 3" xfId="10903" xr:uid="{EF8ECEF7-ED57-4299-9C4E-0F82A5DA0E1E}"/>
    <cellStyle name="Comma 4 2 4 8" xfId="2369" xr:uid="{00000000-0005-0000-0000-0000DF080000}"/>
    <cellStyle name="Comma 4 2 4 9" xfId="2772" xr:uid="{00000000-0005-0000-0000-0000E0080000}"/>
    <cellStyle name="Comma 4 2 4 9 2" xfId="6996" xr:uid="{00000000-0005-0000-0000-0000E1080000}"/>
    <cellStyle name="Comma 4 2 4 9 2 2" xfId="15438" xr:uid="{DD55E3CE-5E3C-4ADC-AD39-C7E36DE5ECF2}"/>
    <cellStyle name="Comma 4 2 4 9 3" xfId="11220" xr:uid="{246CA8D7-71EA-4C7F-BBA8-EE29CD09D72F}"/>
    <cellStyle name="Comma 4 2 5" xfId="142" xr:uid="{00000000-0005-0000-0000-0000E2080000}"/>
    <cellStyle name="Comma 4 2 5 10" xfId="8839" xr:uid="{87E7758A-C475-4C8B-BD32-12E6DFABC51C}"/>
    <cellStyle name="Comma 4 2 5 2" xfId="680" xr:uid="{00000000-0005-0000-0000-0000E3080000}"/>
    <cellStyle name="Comma 4 2 5 2 2" xfId="2951" xr:uid="{00000000-0005-0000-0000-0000E4080000}"/>
    <cellStyle name="Comma 4 2 5 2 2 2" xfId="7174" xr:uid="{00000000-0005-0000-0000-0000E5080000}"/>
    <cellStyle name="Comma 4 2 5 2 2 2 2" xfId="15616" xr:uid="{D611DD72-AB8E-4680-BD2D-CEF926765678}"/>
    <cellStyle name="Comma 4 2 5 2 2 3" xfId="11398" xr:uid="{A2803809-5496-4A25-8A94-DB7925C5421C}"/>
    <cellStyle name="Comma 4 2 5 2 3" xfId="5029" xr:uid="{00000000-0005-0000-0000-0000E6080000}"/>
    <cellStyle name="Comma 4 2 5 2 3 2" xfId="13471" xr:uid="{33413F55-510A-419F-9C81-A6E03EFAAB0C}"/>
    <cellStyle name="Comma 4 2 5 2 4" xfId="9253" xr:uid="{9D348CB5-D9AB-4499-9730-56CA16C75489}"/>
    <cellStyle name="Comma 4 2 5 3" xfId="1133" xr:uid="{00000000-0005-0000-0000-0000E7080000}"/>
    <cellStyle name="Comma 4 2 5 3 2" xfId="3364" xr:uid="{00000000-0005-0000-0000-0000E8080000}"/>
    <cellStyle name="Comma 4 2 5 3 2 2" xfId="7587" xr:uid="{00000000-0005-0000-0000-0000E9080000}"/>
    <cellStyle name="Comma 4 2 5 3 2 2 2" xfId="16029" xr:uid="{2F7AA8F0-97E7-4AED-92BE-70231EAD4ADB}"/>
    <cellStyle name="Comma 4 2 5 3 2 3" xfId="11811" xr:uid="{E074BB4F-0FA8-497C-829A-7BE87EA6B199}"/>
    <cellStyle name="Comma 4 2 5 3 3" xfId="5442" xr:uid="{00000000-0005-0000-0000-0000EA080000}"/>
    <cellStyle name="Comma 4 2 5 3 3 2" xfId="13884" xr:uid="{D16DBB87-8A67-4B22-9673-3AB60A82B3DB}"/>
    <cellStyle name="Comma 4 2 5 3 4" xfId="9666" xr:uid="{457E706F-6925-4A07-800F-919C031C4225}"/>
    <cellStyle name="Comma 4 2 5 4" xfId="1547" xr:uid="{00000000-0005-0000-0000-0000EB080000}"/>
    <cellStyle name="Comma 4 2 5 4 2" xfId="3777" xr:uid="{00000000-0005-0000-0000-0000EC080000}"/>
    <cellStyle name="Comma 4 2 5 4 2 2" xfId="8000" xr:uid="{00000000-0005-0000-0000-0000ED080000}"/>
    <cellStyle name="Comma 4 2 5 4 2 2 2" xfId="16442" xr:uid="{E95F4971-3B2B-4E67-A2B9-712834734D6A}"/>
    <cellStyle name="Comma 4 2 5 4 2 3" xfId="12224" xr:uid="{DBB998A7-7532-456E-A42F-E62364A8AE83}"/>
    <cellStyle name="Comma 4 2 5 4 3" xfId="5855" xr:uid="{00000000-0005-0000-0000-0000EE080000}"/>
    <cellStyle name="Comma 4 2 5 4 3 2" xfId="14297" xr:uid="{E01B23D6-5E67-4964-9FB7-64566A05D459}"/>
    <cellStyle name="Comma 4 2 5 4 4" xfId="10079" xr:uid="{8AFFCD62-CC28-4FE4-85DD-94B9CA3971AD}"/>
    <cellStyle name="Comma 4 2 5 5" xfId="1961" xr:uid="{00000000-0005-0000-0000-0000EF080000}"/>
    <cellStyle name="Comma 4 2 5 5 2" xfId="4190" xr:uid="{00000000-0005-0000-0000-0000F0080000}"/>
    <cellStyle name="Comma 4 2 5 5 2 2" xfId="8413" xr:uid="{00000000-0005-0000-0000-0000F1080000}"/>
    <cellStyle name="Comma 4 2 5 5 2 2 2" xfId="16855" xr:uid="{1409DFFD-E1C1-4F04-80AD-38781F8C5A9D}"/>
    <cellStyle name="Comma 4 2 5 5 2 3" xfId="12637" xr:uid="{38CBFCD8-86E5-4EA2-B20E-2AC4340F1096}"/>
    <cellStyle name="Comma 4 2 5 5 3" xfId="6268" xr:uid="{00000000-0005-0000-0000-0000F2080000}"/>
    <cellStyle name="Comma 4 2 5 5 3 2" xfId="14710" xr:uid="{31623D00-DC3B-4931-93A5-580DF1898BE1}"/>
    <cellStyle name="Comma 4 2 5 5 4" xfId="10492" xr:uid="{8ABB0068-950A-4A01-BE52-1924FEB8CF96}"/>
    <cellStyle name="Comma 4 2 5 6" xfId="2396" xr:uid="{00000000-0005-0000-0000-0000F3080000}"/>
    <cellStyle name="Comma 4 2 5 6 2" xfId="6681" xr:uid="{00000000-0005-0000-0000-0000F4080000}"/>
    <cellStyle name="Comma 4 2 5 6 2 2" xfId="15123" xr:uid="{D6511D5F-D190-4A83-8405-355F164B098A}"/>
    <cellStyle name="Comma 4 2 5 6 3" xfId="10905" xr:uid="{29ECA3EA-750E-4A85-ACC7-48E5A5620328}"/>
    <cellStyle name="Comma 4 2 5 7" xfId="2367" xr:uid="{00000000-0005-0000-0000-0000F5080000}"/>
    <cellStyle name="Comma 4 2 5 8" xfId="2774" xr:uid="{00000000-0005-0000-0000-0000F6080000}"/>
    <cellStyle name="Comma 4 2 5 8 2" xfId="6998" xr:uid="{00000000-0005-0000-0000-0000F7080000}"/>
    <cellStyle name="Comma 4 2 5 8 2 2" xfId="15440" xr:uid="{7DB65514-BF51-43FB-9564-29FC973CD8B4}"/>
    <cellStyle name="Comma 4 2 5 8 3" xfId="11222" xr:uid="{693726CF-F1CB-4F82-8CAE-2DEE604628DF}"/>
    <cellStyle name="Comma 4 2 5 9" xfId="4615" xr:uid="{00000000-0005-0000-0000-0000F8080000}"/>
    <cellStyle name="Comma 4 2 5 9 2" xfId="13057" xr:uid="{D595DE9E-9BAE-43C1-96D3-FDCE30DE1A6B}"/>
    <cellStyle name="Comma 4 2 6" xfId="143" xr:uid="{00000000-0005-0000-0000-0000F9080000}"/>
    <cellStyle name="Comma 4 2 6 10" xfId="8840" xr:uid="{D872C63B-CD13-450D-B035-026CEB3C9FCA}"/>
    <cellStyle name="Comma 4 2 6 2" xfId="681" xr:uid="{00000000-0005-0000-0000-0000FA080000}"/>
    <cellStyle name="Comma 4 2 6 2 2" xfId="2952" xr:uid="{00000000-0005-0000-0000-0000FB080000}"/>
    <cellStyle name="Comma 4 2 6 2 2 2" xfId="7175" xr:uid="{00000000-0005-0000-0000-0000FC080000}"/>
    <cellStyle name="Comma 4 2 6 2 2 2 2" xfId="15617" xr:uid="{61B206C3-E1BB-4094-BD8C-EB0BC40DD502}"/>
    <cellStyle name="Comma 4 2 6 2 2 3" xfId="11399" xr:uid="{A0CF2604-364E-4A38-BC2A-CD588111D6B4}"/>
    <cellStyle name="Comma 4 2 6 2 3" xfId="5030" xr:uid="{00000000-0005-0000-0000-0000FD080000}"/>
    <cellStyle name="Comma 4 2 6 2 3 2" xfId="13472" xr:uid="{73D8A46B-7972-40D1-AE22-FE4C1391F208}"/>
    <cellStyle name="Comma 4 2 6 2 4" xfId="9254" xr:uid="{72E175E2-DD8C-4208-8817-0D218EF2D584}"/>
    <cellStyle name="Comma 4 2 6 3" xfId="1134" xr:uid="{00000000-0005-0000-0000-0000FE080000}"/>
    <cellStyle name="Comma 4 2 6 3 2" xfId="3365" xr:uid="{00000000-0005-0000-0000-0000FF080000}"/>
    <cellStyle name="Comma 4 2 6 3 2 2" xfId="7588" xr:uid="{00000000-0005-0000-0000-000000090000}"/>
    <cellStyle name="Comma 4 2 6 3 2 2 2" xfId="16030" xr:uid="{9AACF300-47C8-4F5C-9FEA-C59073E4D6E8}"/>
    <cellStyle name="Comma 4 2 6 3 2 3" xfId="11812" xr:uid="{2651CAE5-3795-4518-A308-0D611BB2E5B7}"/>
    <cellStyle name="Comma 4 2 6 3 3" xfId="5443" xr:uid="{00000000-0005-0000-0000-000001090000}"/>
    <cellStyle name="Comma 4 2 6 3 3 2" xfId="13885" xr:uid="{1B6927AF-8867-4C24-A13F-4DFC17FA9778}"/>
    <cellStyle name="Comma 4 2 6 3 4" xfId="9667" xr:uid="{544C94E8-4D1C-4141-A764-93392146D8F0}"/>
    <cellStyle name="Comma 4 2 6 4" xfId="1548" xr:uid="{00000000-0005-0000-0000-000002090000}"/>
    <cellStyle name="Comma 4 2 6 4 2" xfId="3778" xr:uid="{00000000-0005-0000-0000-000003090000}"/>
    <cellStyle name="Comma 4 2 6 4 2 2" xfId="8001" xr:uid="{00000000-0005-0000-0000-000004090000}"/>
    <cellStyle name="Comma 4 2 6 4 2 2 2" xfId="16443" xr:uid="{2F6657F3-74C8-4264-8647-65B6B756D484}"/>
    <cellStyle name="Comma 4 2 6 4 2 3" xfId="12225" xr:uid="{5DB8D973-229A-4F49-9972-F647846B20AA}"/>
    <cellStyle name="Comma 4 2 6 4 3" xfId="5856" xr:uid="{00000000-0005-0000-0000-000005090000}"/>
    <cellStyle name="Comma 4 2 6 4 3 2" xfId="14298" xr:uid="{244C2D09-808B-4607-B7C3-B49F4D96A869}"/>
    <cellStyle name="Comma 4 2 6 4 4" xfId="10080" xr:uid="{137E0300-1F7B-4D6F-A768-12A1FCE14D36}"/>
    <cellStyle name="Comma 4 2 6 5" xfId="1962" xr:uid="{00000000-0005-0000-0000-000006090000}"/>
    <cellStyle name="Comma 4 2 6 5 2" xfId="4191" xr:uid="{00000000-0005-0000-0000-000007090000}"/>
    <cellStyle name="Comma 4 2 6 5 2 2" xfId="8414" xr:uid="{00000000-0005-0000-0000-000008090000}"/>
    <cellStyle name="Comma 4 2 6 5 2 2 2" xfId="16856" xr:uid="{8EACF526-B735-4779-ADEC-D3848C659A66}"/>
    <cellStyle name="Comma 4 2 6 5 2 3" xfId="12638" xr:uid="{60D63A2F-AEB2-489E-A969-7A81F6987DCE}"/>
    <cellStyle name="Comma 4 2 6 5 3" xfId="6269" xr:uid="{00000000-0005-0000-0000-000009090000}"/>
    <cellStyle name="Comma 4 2 6 5 3 2" xfId="14711" xr:uid="{770DC25F-573C-4E65-AA58-2E0EC6DA67E0}"/>
    <cellStyle name="Comma 4 2 6 5 4" xfId="10493" xr:uid="{64813477-61E3-491A-970B-DA0B868EB352}"/>
    <cellStyle name="Comma 4 2 6 6" xfId="2397" xr:uid="{00000000-0005-0000-0000-00000A090000}"/>
    <cellStyle name="Comma 4 2 6 6 2" xfId="6682" xr:uid="{00000000-0005-0000-0000-00000B090000}"/>
    <cellStyle name="Comma 4 2 6 6 2 2" xfId="15124" xr:uid="{9E4784CF-90F7-4179-A817-6053B5992025}"/>
    <cellStyle name="Comma 4 2 6 6 3" xfId="10906" xr:uid="{B395D5D4-767A-4DC8-8A86-4B080E425E0D}"/>
    <cellStyle name="Comma 4 2 6 7" xfId="2366" xr:uid="{00000000-0005-0000-0000-00000C090000}"/>
    <cellStyle name="Comma 4 2 6 8" xfId="2775" xr:uid="{00000000-0005-0000-0000-00000D090000}"/>
    <cellStyle name="Comma 4 2 6 8 2" xfId="6999" xr:uid="{00000000-0005-0000-0000-00000E090000}"/>
    <cellStyle name="Comma 4 2 6 8 2 2" xfId="15441" xr:uid="{D03C7D4B-8F92-4433-8B55-533F0B05BF11}"/>
    <cellStyle name="Comma 4 2 6 8 3" xfId="11223" xr:uid="{417DB4E8-0166-4DBA-B7BB-A3D9B9F70FDA}"/>
    <cellStyle name="Comma 4 2 6 9" xfId="4616" xr:uid="{00000000-0005-0000-0000-00000F090000}"/>
    <cellStyle name="Comma 4 2 6 9 2" xfId="13058" xr:uid="{6244E95A-3C5F-44DE-B393-62977CA7A0CB}"/>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15442" xr:uid="{14A9A442-8053-4CED-8E5E-3E388AAC0455}"/>
    <cellStyle name="Comma 4 3 2 10 3" xfId="11224" xr:uid="{D4E1F3E5-339D-4972-AD9F-BB14DF12851A}"/>
    <cellStyle name="Comma 4 3 2 11" xfId="4617" xr:uid="{00000000-0005-0000-0000-000014090000}"/>
    <cellStyle name="Comma 4 3 2 11 2" xfId="13059" xr:uid="{47D703EB-6E8D-4F5B-A920-A29FEB94145A}"/>
    <cellStyle name="Comma 4 3 2 12" xfId="8841" xr:uid="{B0423B2D-FF4F-4207-B67C-433B71DCF27A}"/>
    <cellStyle name="Comma 4 3 2 2" xfId="146" xr:uid="{00000000-0005-0000-0000-000015090000}"/>
    <cellStyle name="Comma 4 3 2 2 10" xfId="4618" xr:uid="{00000000-0005-0000-0000-000016090000}"/>
    <cellStyle name="Comma 4 3 2 2 10 2" xfId="13060" xr:uid="{8C65C46D-52F1-4566-BC7C-D825680831E5}"/>
    <cellStyle name="Comma 4 3 2 2 11" xfId="8842" xr:uid="{7F98BA33-DEF2-4CA7-B517-7AE373F7D8CD}"/>
    <cellStyle name="Comma 4 3 2 2 2" xfId="147" xr:uid="{00000000-0005-0000-0000-000017090000}"/>
    <cellStyle name="Comma 4 3 2 2 2 10" xfId="8843" xr:uid="{135892CE-23B8-480A-9C94-B0F1D3AAD4CB}"/>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15620" xr:uid="{C668B5FC-D562-4CB0-A7C5-BA9A5310F18A}"/>
    <cellStyle name="Comma 4 3 2 2 2 2 2 3" xfId="11402" xr:uid="{D1515FA6-E544-429C-82ED-71255B6F3C65}"/>
    <cellStyle name="Comma 4 3 2 2 2 2 3" xfId="5033" xr:uid="{00000000-0005-0000-0000-00001B090000}"/>
    <cellStyle name="Comma 4 3 2 2 2 2 3 2" xfId="13475" xr:uid="{C382DE55-8133-48AC-B777-8D950A6EDA6C}"/>
    <cellStyle name="Comma 4 3 2 2 2 2 4" xfId="9257" xr:uid="{D7B5AE25-AA39-4BF9-A995-91A601E1E5FE}"/>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16033" xr:uid="{4D2B04FD-11E3-4270-A547-0E4FBFC5A480}"/>
    <cellStyle name="Comma 4 3 2 2 2 3 2 3" xfId="11815" xr:uid="{7BABCDCC-19B9-42CB-B653-C8C64ACB1EA0}"/>
    <cellStyle name="Comma 4 3 2 2 2 3 3" xfId="5446" xr:uid="{00000000-0005-0000-0000-00001F090000}"/>
    <cellStyle name="Comma 4 3 2 2 2 3 3 2" xfId="13888" xr:uid="{E8DF83A9-5DA4-4A88-A915-118CF7B841B2}"/>
    <cellStyle name="Comma 4 3 2 2 2 3 4" xfId="9670" xr:uid="{8EE53181-3333-4F07-BB69-95BC5751E69F}"/>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16446" xr:uid="{02202676-06D8-4AD0-9835-9A8933D1FDD1}"/>
    <cellStyle name="Comma 4 3 2 2 2 4 2 3" xfId="12228" xr:uid="{F3910E2F-0784-4038-87F8-0DFDF68EDF2E}"/>
    <cellStyle name="Comma 4 3 2 2 2 4 3" xfId="5859" xr:uid="{00000000-0005-0000-0000-000023090000}"/>
    <cellStyle name="Comma 4 3 2 2 2 4 3 2" xfId="14301" xr:uid="{96CA5772-8829-4228-A345-C1343B1B0EF3}"/>
    <cellStyle name="Comma 4 3 2 2 2 4 4" xfId="10083" xr:uid="{1C7A40C3-CC69-4A70-B318-E7DE321BD3A1}"/>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16859" xr:uid="{09333B7B-4B17-4680-B3D2-09AB906C9559}"/>
    <cellStyle name="Comma 4 3 2 2 2 5 2 3" xfId="12641" xr:uid="{33720814-B473-4B2A-B072-BA3C0423988A}"/>
    <cellStyle name="Comma 4 3 2 2 2 5 3" xfId="6272" xr:uid="{00000000-0005-0000-0000-000027090000}"/>
    <cellStyle name="Comma 4 3 2 2 2 5 3 2" xfId="14714" xr:uid="{495A5DA5-0263-4104-A922-C2A4B1EB8A59}"/>
    <cellStyle name="Comma 4 3 2 2 2 5 4" xfId="10496" xr:uid="{0ECDDDB3-231A-464D-8FAE-D0F3BBA13206}"/>
    <cellStyle name="Comma 4 3 2 2 2 6" xfId="2400" xr:uid="{00000000-0005-0000-0000-000028090000}"/>
    <cellStyle name="Comma 4 3 2 2 2 6 2" xfId="6685" xr:uid="{00000000-0005-0000-0000-000029090000}"/>
    <cellStyle name="Comma 4 3 2 2 2 6 2 2" xfId="15127" xr:uid="{9F8D174E-A656-4FCA-ADFF-0572EDEE4B7D}"/>
    <cellStyle name="Comma 4 3 2 2 2 6 3" xfId="10909" xr:uid="{F5D00F3D-251D-41EB-8A61-48798A54296B}"/>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15444" xr:uid="{AC249453-CC21-43FE-A9E0-F3AC993E8BAB}"/>
    <cellStyle name="Comma 4 3 2 2 2 8 3" xfId="11226" xr:uid="{79F89B7E-BFAF-4A4A-9CD9-23C968DBFA13}"/>
    <cellStyle name="Comma 4 3 2 2 2 9" xfId="4619" xr:uid="{00000000-0005-0000-0000-00002D090000}"/>
    <cellStyle name="Comma 4 3 2 2 2 9 2" xfId="13061" xr:uid="{8150A3A0-D97C-4628-884E-F24DC34C6D2F}"/>
    <cellStyle name="Comma 4 3 2 2 3" xfId="683" xr:uid="{00000000-0005-0000-0000-00002E090000}"/>
    <cellStyle name="Comma 4 3 2 2 3 2" xfId="2954" xr:uid="{00000000-0005-0000-0000-00002F090000}"/>
    <cellStyle name="Comma 4 3 2 2 3 2 2" xfId="7177" xr:uid="{00000000-0005-0000-0000-000030090000}"/>
    <cellStyle name="Comma 4 3 2 2 3 2 2 2" xfId="15619" xr:uid="{32CEBC1D-D89F-40CD-A136-15F4CDBBCB11}"/>
    <cellStyle name="Comma 4 3 2 2 3 2 3" xfId="11401" xr:uid="{BE36C926-99A3-415D-8C5C-89F089BD2B6B}"/>
    <cellStyle name="Comma 4 3 2 2 3 3" xfId="5032" xr:uid="{00000000-0005-0000-0000-000031090000}"/>
    <cellStyle name="Comma 4 3 2 2 3 3 2" xfId="13474" xr:uid="{5DA17A82-1EE2-4FB6-BBED-A3EF52E02FF8}"/>
    <cellStyle name="Comma 4 3 2 2 3 4" xfId="9256" xr:uid="{D6536F0F-8D4A-4ABA-82A6-98F697717E53}"/>
    <cellStyle name="Comma 4 3 2 2 4" xfId="1136" xr:uid="{00000000-0005-0000-0000-000032090000}"/>
    <cellStyle name="Comma 4 3 2 2 4 2" xfId="3367" xr:uid="{00000000-0005-0000-0000-000033090000}"/>
    <cellStyle name="Comma 4 3 2 2 4 2 2" xfId="7590" xr:uid="{00000000-0005-0000-0000-000034090000}"/>
    <cellStyle name="Comma 4 3 2 2 4 2 2 2" xfId="16032" xr:uid="{3D92135F-65A0-4954-800A-B3892520483F}"/>
    <cellStyle name="Comma 4 3 2 2 4 2 3" xfId="11814" xr:uid="{BD2BCD28-1B6B-4308-BA95-14002DA3D2BC}"/>
    <cellStyle name="Comma 4 3 2 2 4 3" xfId="5445" xr:uid="{00000000-0005-0000-0000-000035090000}"/>
    <cellStyle name="Comma 4 3 2 2 4 3 2" xfId="13887" xr:uid="{F17C5811-C3AF-4B43-9800-58C43D43FA5E}"/>
    <cellStyle name="Comma 4 3 2 2 4 4" xfId="9669" xr:uid="{817BE3D4-309D-4F8D-9AC2-D97B81E0FCF5}"/>
    <cellStyle name="Comma 4 3 2 2 5" xfId="1550" xr:uid="{00000000-0005-0000-0000-000036090000}"/>
    <cellStyle name="Comma 4 3 2 2 5 2" xfId="3780" xr:uid="{00000000-0005-0000-0000-000037090000}"/>
    <cellStyle name="Comma 4 3 2 2 5 2 2" xfId="8003" xr:uid="{00000000-0005-0000-0000-000038090000}"/>
    <cellStyle name="Comma 4 3 2 2 5 2 2 2" xfId="16445" xr:uid="{1AF55C97-FE49-4D76-B9F3-D468F79BDADE}"/>
    <cellStyle name="Comma 4 3 2 2 5 2 3" xfId="12227" xr:uid="{06E77BCE-D550-45A9-B80A-41CA30EEBF96}"/>
    <cellStyle name="Comma 4 3 2 2 5 3" xfId="5858" xr:uid="{00000000-0005-0000-0000-000039090000}"/>
    <cellStyle name="Comma 4 3 2 2 5 3 2" xfId="14300" xr:uid="{7627E631-AD73-4C43-B390-1BBCFB7EAF04}"/>
    <cellStyle name="Comma 4 3 2 2 5 4" xfId="10082" xr:uid="{DC24DA6A-1903-498C-A30F-BE87DA38D057}"/>
    <cellStyle name="Comma 4 3 2 2 6" xfId="1964" xr:uid="{00000000-0005-0000-0000-00003A090000}"/>
    <cellStyle name="Comma 4 3 2 2 6 2" xfId="4193" xr:uid="{00000000-0005-0000-0000-00003B090000}"/>
    <cellStyle name="Comma 4 3 2 2 6 2 2" xfId="8416" xr:uid="{00000000-0005-0000-0000-00003C090000}"/>
    <cellStyle name="Comma 4 3 2 2 6 2 2 2" xfId="16858" xr:uid="{C954B67B-5275-43DE-A3A4-996669AF5063}"/>
    <cellStyle name="Comma 4 3 2 2 6 2 3" xfId="12640" xr:uid="{B5381646-557A-4556-9F3D-9BBCEAE9054F}"/>
    <cellStyle name="Comma 4 3 2 2 6 3" xfId="6271" xr:uid="{00000000-0005-0000-0000-00003D090000}"/>
    <cellStyle name="Comma 4 3 2 2 6 3 2" xfId="14713" xr:uid="{72E9046C-50BC-4B34-86D8-1BF3FE6323A7}"/>
    <cellStyle name="Comma 4 3 2 2 6 4" xfId="10495" xr:uid="{20D7C94D-93C0-480C-A0A4-A7AE6A0DF0C5}"/>
    <cellStyle name="Comma 4 3 2 2 7" xfId="2399" xr:uid="{00000000-0005-0000-0000-00003E090000}"/>
    <cellStyle name="Comma 4 3 2 2 7 2" xfId="6684" xr:uid="{00000000-0005-0000-0000-00003F090000}"/>
    <cellStyle name="Comma 4 3 2 2 7 2 2" xfId="15126" xr:uid="{5E0DDA6E-8446-45B9-9A12-1EF8BA76D9DB}"/>
    <cellStyle name="Comma 4 3 2 2 7 3" xfId="10908" xr:uid="{4CAA4C94-2817-4B43-9E20-AE20E3E3140D}"/>
    <cellStyle name="Comma 4 3 2 2 8" xfId="2364" xr:uid="{00000000-0005-0000-0000-000040090000}"/>
    <cellStyle name="Comma 4 3 2 2 9" xfId="2777" xr:uid="{00000000-0005-0000-0000-000041090000}"/>
    <cellStyle name="Comma 4 3 2 2 9 2" xfId="7001" xr:uid="{00000000-0005-0000-0000-000042090000}"/>
    <cellStyle name="Comma 4 3 2 2 9 2 2" xfId="15443" xr:uid="{7375721F-2C7C-43F9-AD55-F253E80FC8BE}"/>
    <cellStyle name="Comma 4 3 2 2 9 3" xfId="11225" xr:uid="{5E799C75-3A86-463B-B92B-837CF45CE947}"/>
    <cellStyle name="Comma 4 3 2 3" xfId="148" xr:uid="{00000000-0005-0000-0000-000043090000}"/>
    <cellStyle name="Comma 4 3 2 3 10" xfId="8844" xr:uid="{0183BCBA-374B-4E05-9759-633529476682}"/>
    <cellStyle name="Comma 4 3 2 3 2" xfId="685" xr:uid="{00000000-0005-0000-0000-000044090000}"/>
    <cellStyle name="Comma 4 3 2 3 2 2" xfId="2956" xr:uid="{00000000-0005-0000-0000-000045090000}"/>
    <cellStyle name="Comma 4 3 2 3 2 2 2" xfId="7179" xr:uid="{00000000-0005-0000-0000-000046090000}"/>
    <cellStyle name="Comma 4 3 2 3 2 2 2 2" xfId="15621" xr:uid="{F278D906-7A70-49DB-AADA-C1416B9C236C}"/>
    <cellStyle name="Comma 4 3 2 3 2 2 3" xfId="11403" xr:uid="{6DCF5D4B-1261-4CC1-BF3A-5B0FDD5CD5C7}"/>
    <cellStyle name="Comma 4 3 2 3 2 3" xfId="5034" xr:uid="{00000000-0005-0000-0000-000047090000}"/>
    <cellStyle name="Comma 4 3 2 3 2 3 2" xfId="13476" xr:uid="{FFE2C25B-D3E5-4944-8784-C0A35DAB8408}"/>
    <cellStyle name="Comma 4 3 2 3 2 4" xfId="9258" xr:uid="{8C5321D0-4F15-4EC9-95A2-217EE66C582A}"/>
    <cellStyle name="Comma 4 3 2 3 3" xfId="1138" xr:uid="{00000000-0005-0000-0000-000048090000}"/>
    <cellStyle name="Comma 4 3 2 3 3 2" xfId="3369" xr:uid="{00000000-0005-0000-0000-000049090000}"/>
    <cellStyle name="Comma 4 3 2 3 3 2 2" xfId="7592" xr:uid="{00000000-0005-0000-0000-00004A090000}"/>
    <cellStyle name="Comma 4 3 2 3 3 2 2 2" xfId="16034" xr:uid="{F5BC1E47-738E-4FC7-B154-74D2BE363A7A}"/>
    <cellStyle name="Comma 4 3 2 3 3 2 3" xfId="11816" xr:uid="{42313256-7016-4088-A75F-452753E69A9C}"/>
    <cellStyle name="Comma 4 3 2 3 3 3" xfId="5447" xr:uid="{00000000-0005-0000-0000-00004B090000}"/>
    <cellStyle name="Comma 4 3 2 3 3 3 2" xfId="13889" xr:uid="{747D3BC1-9A08-4B4E-8775-CD8160BF1F05}"/>
    <cellStyle name="Comma 4 3 2 3 3 4" xfId="9671" xr:uid="{16B59F4C-E114-4937-BF36-8F89F6E3C7C7}"/>
    <cellStyle name="Comma 4 3 2 3 4" xfId="1552" xr:uid="{00000000-0005-0000-0000-00004C090000}"/>
    <cellStyle name="Comma 4 3 2 3 4 2" xfId="3782" xr:uid="{00000000-0005-0000-0000-00004D090000}"/>
    <cellStyle name="Comma 4 3 2 3 4 2 2" xfId="8005" xr:uid="{00000000-0005-0000-0000-00004E090000}"/>
    <cellStyle name="Comma 4 3 2 3 4 2 2 2" xfId="16447" xr:uid="{BE095D83-5084-463B-8D18-0F8CF29AC688}"/>
    <cellStyle name="Comma 4 3 2 3 4 2 3" xfId="12229" xr:uid="{65A0E3E0-26D1-44A4-BFE6-3341C4296EEB}"/>
    <cellStyle name="Comma 4 3 2 3 4 3" xfId="5860" xr:uid="{00000000-0005-0000-0000-00004F090000}"/>
    <cellStyle name="Comma 4 3 2 3 4 3 2" xfId="14302" xr:uid="{4B903324-298C-4961-BAFE-181A9FA44D70}"/>
    <cellStyle name="Comma 4 3 2 3 4 4" xfId="10084" xr:uid="{4D22AF7E-4894-4599-89E0-3F6DDAE868AF}"/>
    <cellStyle name="Comma 4 3 2 3 5" xfId="1966" xr:uid="{00000000-0005-0000-0000-000050090000}"/>
    <cellStyle name="Comma 4 3 2 3 5 2" xfId="4195" xr:uid="{00000000-0005-0000-0000-000051090000}"/>
    <cellStyle name="Comma 4 3 2 3 5 2 2" xfId="8418" xr:uid="{00000000-0005-0000-0000-000052090000}"/>
    <cellStyle name="Comma 4 3 2 3 5 2 2 2" xfId="16860" xr:uid="{C92080B4-AF86-4134-94BE-92CE1188765C}"/>
    <cellStyle name="Comma 4 3 2 3 5 2 3" xfId="12642" xr:uid="{2604B85B-596B-486A-AC47-8174144313FE}"/>
    <cellStyle name="Comma 4 3 2 3 5 3" xfId="6273" xr:uid="{00000000-0005-0000-0000-000053090000}"/>
    <cellStyle name="Comma 4 3 2 3 5 3 2" xfId="14715" xr:uid="{C9EF8DF3-A19F-46B0-8DDA-F91B75B66229}"/>
    <cellStyle name="Comma 4 3 2 3 5 4" xfId="10497" xr:uid="{B4073414-A33D-47E8-8791-5ADF59F84EEF}"/>
    <cellStyle name="Comma 4 3 2 3 6" xfId="2401" xr:uid="{00000000-0005-0000-0000-000054090000}"/>
    <cellStyle name="Comma 4 3 2 3 6 2" xfId="6686" xr:uid="{00000000-0005-0000-0000-000055090000}"/>
    <cellStyle name="Comma 4 3 2 3 6 2 2" xfId="15128" xr:uid="{FC0D3DFE-D884-4307-BD5E-0F51891FF3B1}"/>
    <cellStyle name="Comma 4 3 2 3 6 3" xfId="10910" xr:uid="{8902799D-FCE9-4BB4-BA60-6F161482B419}"/>
    <cellStyle name="Comma 4 3 2 3 7" xfId="2362" xr:uid="{00000000-0005-0000-0000-000056090000}"/>
    <cellStyle name="Comma 4 3 2 3 8" xfId="2779" xr:uid="{00000000-0005-0000-0000-000057090000}"/>
    <cellStyle name="Comma 4 3 2 3 8 2" xfId="7003" xr:uid="{00000000-0005-0000-0000-000058090000}"/>
    <cellStyle name="Comma 4 3 2 3 8 2 2" xfId="15445" xr:uid="{D4EA955D-22E1-4D26-8F0E-14B78F6727BE}"/>
    <cellStyle name="Comma 4 3 2 3 8 3" xfId="11227" xr:uid="{9906E99E-20D5-45C1-A32A-C369CA7424AB}"/>
    <cellStyle name="Comma 4 3 2 3 9" xfId="4620" xr:uid="{00000000-0005-0000-0000-000059090000}"/>
    <cellStyle name="Comma 4 3 2 3 9 2" xfId="13062" xr:uid="{18B419DA-4917-4F9E-8F45-B48DF51939A5}"/>
    <cellStyle name="Comma 4 3 2 4" xfId="682" xr:uid="{00000000-0005-0000-0000-00005A090000}"/>
    <cellStyle name="Comma 4 3 2 4 2" xfId="2953" xr:uid="{00000000-0005-0000-0000-00005B090000}"/>
    <cellStyle name="Comma 4 3 2 4 2 2" xfId="7176" xr:uid="{00000000-0005-0000-0000-00005C090000}"/>
    <cellStyle name="Comma 4 3 2 4 2 2 2" xfId="15618" xr:uid="{8DDEA80E-25B6-4EF3-9155-4DF27739085F}"/>
    <cellStyle name="Comma 4 3 2 4 2 3" xfId="11400" xr:uid="{FE538DFE-4B3A-4CED-8BAB-C9C34FFB43C7}"/>
    <cellStyle name="Comma 4 3 2 4 3" xfId="5031" xr:uid="{00000000-0005-0000-0000-00005D090000}"/>
    <cellStyle name="Comma 4 3 2 4 3 2" xfId="13473" xr:uid="{7CDFAD11-EA52-4544-90C6-BDBB0CD4F57D}"/>
    <cellStyle name="Comma 4 3 2 4 4" xfId="9255" xr:uid="{2E0373F3-B09F-4E13-9619-7BD925DAA501}"/>
    <cellStyle name="Comma 4 3 2 5" xfId="1135" xr:uid="{00000000-0005-0000-0000-00005E090000}"/>
    <cellStyle name="Comma 4 3 2 5 2" xfId="3366" xr:uid="{00000000-0005-0000-0000-00005F090000}"/>
    <cellStyle name="Comma 4 3 2 5 2 2" xfId="7589" xr:uid="{00000000-0005-0000-0000-000060090000}"/>
    <cellStyle name="Comma 4 3 2 5 2 2 2" xfId="16031" xr:uid="{7C4F9149-2573-414C-A923-750C96286B56}"/>
    <cellStyle name="Comma 4 3 2 5 2 3" xfId="11813" xr:uid="{6FF447FD-759F-4CFC-8585-0331D19B8424}"/>
    <cellStyle name="Comma 4 3 2 5 3" xfId="5444" xr:uid="{00000000-0005-0000-0000-000061090000}"/>
    <cellStyle name="Comma 4 3 2 5 3 2" xfId="13886" xr:uid="{B7C9E978-A534-4CAA-9346-CCEC8148E050}"/>
    <cellStyle name="Comma 4 3 2 5 4" xfId="9668" xr:uid="{A1794758-01D2-42FE-A1AF-94E9CC16503A}"/>
    <cellStyle name="Comma 4 3 2 6" xfId="1549" xr:uid="{00000000-0005-0000-0000-000062090000}"/>
    <cellStyle name="Comma 4 3 2 6 2" xfId="3779" xr:uid="{00000000-0005-0000-0000-000063090000}"/>
    <cellStyle name="Comma 4 3 2 6 2 2" xfId="8002" xr:uid="{00000000-0005-0000-0000-000064090000}"/>
    <cellStyle name="Comma 4 3 2 6 2 2 2" xfId="16444" xr:uid="{2287C843-5578-4057-8093-34A57BFF4F0A}"/>
    <cellStyle name="Comma 4 3 2 6 2 3" xfId="12226" xr:uid="{04BA97F9-05CA-4499-B112-9545107C7625}"/>
    <cellStyle name="Comma 4 3 2 6 3" xfId="5857" xr:uid="{00000000-0005-0000-0000-000065090000}"/>
    <cellStyle name="Comma 4 3 2 6 3 2" xfId="14299" xr:uid="{1395254B-D5D1-4EED-85F0-2F05600C73BA}"/>
    <cellStyle name="Comma 4 3 2 6 4" xfId="10081" xr:uid="{B2E76E8A-010B-4312-90D2-1A80EF98E684}"/>
    <cellStyle name="Comma 4 3 2 7" xfId="1963" xr:uid="{00000000-0005-0000-0000-000066090000}"/>
    <cellStyle name="Comma 4 3 2 7 2" xfId="4192" xr:uid="{00000000-0005-0000-0000-000067090000}"/>
    <cellStyle name="Comma 4 3 2 7 2 2" xfId="8415" xr:uid="{00000000-0005-0000-0000-000068090000}"/>
    <cellStyle name="Comma 4 3 2 7 2 2 2" xfId="16857" xr:uid="{D2E9BB29-F62C-4C25-B79B-F1902EC56982}"/>
    <cellStyle name="Comma 4 3 2 7 2 3" xfId="12639" xr:uid="{E4FA78F6-0F5C-4668-88CB-59B4EA70012D}"/>
    <cellStyle name="Comma 4 3 2 7 3" xfId="6270" xr:uid="{00000000-0005-0000-0000-000069090000}"/>
    <cellStyle name="Comma 4 3 2 7 3 2" xfId="14712" xr:uid="{D5C539D7-11E9-4B92-9918-B17968FA0719}"/>
    <cellStyle name="Comma 4 3 2 7 4" xfId="10494" xr:uid="{616D6EED-C011-422C-9392-5C069F7D5045}"/>
    <cellStyle name="Comma 4 3 2 8" xfId="2398" xr:uid="{00000000-0005-0000-0000-00006A090000}"/>
    <cellStyle name="Comma 4 3 2 8 2" xfId="6683" xr:uid="{00000000-0005-0000-0000-00006B090000}"/>
    <cellStyle name="Comma 4 3 2 8 2 2" xfId="15125" xr:uid="{71870F28-CC5E-499F-B5AE-388C48854B01}"/>
    <cellStyle name="Comma 4 3 2 8 3" xfId="10907" xr:uid="{4F6F5291-CDBB-4DA4-BE06-F5E9FACFAA70}"/>
    <cellStyle name="Comma 4 3 2 9" xfId="2365" xr:uid="{00000000-0005-0000-0000-00006C090000}"/>
    <cellStyle name="Comma 4 3 3" xfId="149" xr:uid="{00000000-0005-0000-0000-00006D090000}"/>
    <cellStyle name="Comma 4 3 3 10" xfId="4621" xr:uid="{00000000-0005-0000-0000-00006E090000}"/>
    <cellStyle name="Comma 4 3 3 10 2" xfId="13063" xr:uid="{E1B54200-144C-42EF-9E6A-E91A0C875A3C}"/>
    <cellStyle name="Comma 4 3 3 11" xfId="8845" xr:uid="{174A2023-70CF-4C17-9937-0B8216812FFB}"/>
    <cellStyle name="Comma 4 3 3 2" xfId="150" xr:uid="{00000000-0005-0000-0000-00006F090000}"/>
    <cellStyle name="Comma 4 3 3 2 10" xfId="8846" xr:uid="{476C56C2-2F0F-4CFA-8710-245BB13D4B14}"/>
    <cellStyle name="Comma 4 3 3 2 2" xfId="687" xr:uid="{00000000-0005-0000-0000-000070090000}"/>
    <cellStyle name="Comma 4 3 3 2 2 2" xfId="2958" xr:uid="{00000000-0005-0000-0000-000071090000}"/>
    <cellStyle name="Comma 4 3 3 2 2 2 2" xfId="7181" xr:uid="{00000000-0005-0000-0000-000072090000}"/>
    <cellStyle name="Comma 4 3 3 2 2 2 2 2" xfId="15623" xr:uid="{462E4505-53EA-4ABF-AD1F-A3732E4B53A0}"/>
    <cellStyle name="Comma 4 3 3 2 2 2 3" xfId="11405" xr:uid="{3587ECC3-2001-4BFC-A53C-91E6A981CACA}"/>
    <cellStyle name="Comma 4 3 3 2 2 3" xfId="5036" xr:uid="{00000000-0005-0000-0000-000073090000}"/>
    <cellStyle name="Comma 4 3 3 2 2 3 2" xfId="13478" xr:uid="{F002B4C5-AC4E-4129-939E-25D61ADEC471}"/>
    <cellStyle name="Comma 4 3 3 2 2 4" xfId="9260" xr:uid="{9C7508BC-B9EF-46B8-A748-426098E6D5C9}"/>
    <cellStyle name="Comma 4 3 3 2 3" xfId="1140" xr:uid="{00000000-0005-0000-0000-000074090000}"/>
    <cellStyle name="Comma 4 3 3 2 3 2" xfId="3371" xr:uid="{00000000-0005-0000-0000-000075090000}"/>
    <cellStyle name="Comma 4 3 3 2 3 2 2" xfId="7594" xr:uid="{00000000-0005-0000-0000-000076090000}"/>
    <cellStyle name="Comma 4 3 3 2 3 2 2 2" xfId="16036" xr:uid="{2E4D3FD2-4737-4DE3-B7D1-F3387D468359}"/>
    <cellStyle name="Comma 4 3 3 2 3 2 3" xfId="11818" xr:uid="{5100C6C3-62EE-413E-BD16-3292DFB4C310}"/>
    <cellStyle name="Comma 4 3 3 2 3 3" xfId="5449" xr:uid="{00000000-0005-0000-0000-000077090000}"/>
    <cellStyle name="Comma 4 3 3 2 3 3 2" xfId="13891" xr:uid="{B1AD9241-EAE5-4880-8213-EA20E09752A1}"/>
    <cellStyle name="Comma 4 3 3 2 3 4" xfId="9673" xr:uid="{EBAC2215-8098-4F45-A6AB-228CFEFD5838}"/>
    <cellStyle name="Comma 4 3 3 2 4" xfId="1554" xr:uid="{00000000-0005-0000-0000-000078090000}"/>
    <cellStyle name="Comma 4 3 3 2 4 2" xfId="3784" xr:uid="{00000000-0005-0000-0000-000079090000}"/>
    <cellStyle name="Comma 4 3 3 2 4 2 2" xfId="8007" xr:uid="{00000000-0005-0000-0000-00007A090000}"/>
    <cellStyle name="Comma 4 3 3 2 4 2 2 2" xfId="16449" xr:uid="{120541C1-FD27-4273-8258-C0ACDC236D0A}"/>
    <cellStyle name="Comma 4 3 3 2 4 2 3" xfId="12231" xr:uid="{88B32970-A27E-4250-82A6-6C81D8CE33FD}"/>
    <cellStyle name="Comma 4 3 3 2 4 3" xfId="5862" xr:uid="{00000000-0005-0000-0000-00007B090000}"/>
    <cellStyle name="Comma 4 3 3 2 4 3 2" xfId="14304" xr:uid="{2A9B5070-DEA0-4EB6-A561-A8B1752AA12E}"/>
    <cellStyle name="Comma 4 3 3 2 4 4" xfId="10086" xr:uid="{E9D789EA-22E3-43CC-BC99-30A9C92C1F3E}"/>
    <cellStyle name="Comma 4 3 3 2 5" xfId="1968" xr:uid="{00000000-0005-0000-0000-00007C090000}"/>
    <cellStyle name="Comma 4 3 3 2 5 2" xfId="4197" xr:uid="{00000000-0005-0000-0000-00007D090000}"/>
    <cellStyle name="Comma 4 3 3 2 5 2 2" xfId="8420" xr:uid="{00000000-0005-0000-0000-00007E090000}"/>
    <cellStyle name="Comma 4 3 3 2 5 2 2 2" xfId="16862" xr:uid="{E169E8F3-93C2-45FA-92F1-2C8D7D3F225D}"/>
    <cellStyle name="Comma 4 3 3 2 5 2 3" xfId="12644" xr:uid="{B3ADF1C2-F08E-41D0-B4E9-4E33541CBFA3}"/>
    <cellStyle name="Comma 4 3 3 2 5 3" xfId="6275" xr:uid="{00000000-0005-0000-0000-00007F090000}"/>
    <cellStyle name="Comma 4 3 3 2 5 3 2" xfId="14717" xr:uid="{DBB2EA7B-2C0B-4807-A4F6-3DA6DE8D7DD1}"/>
    <cellStyle name="Comma 4 3 3 2 5 4" xfId="10499" xr:uid="{01F40A26-D7C2-4115-9B29-FBB76D599753}"/>
    <cellStyle name="Comma 4 3 3 2 6" xfId="2403" xr:uid="{00000000-0005-0000-0000-000080090000}"/>
    <cellStyle name="Comma 4 3 3 2 6 2" xfId="6688" xr:uid="{00000000-0005-0000-0000-000081090000}"/>
    <cellStyle name="Comma 4 3 3 2 6 2 2" xfId="15130" xr:uid="{63E4AC8A-33FA-4444-B99F-A588FFFBE6BA}"/>
    <cellStyle name="Comma 4 3 3 2 6 3" xfId="10912" xr:uid="{0D5002D4-0405-4C12-ACEC-7457199034DF}"/>
    <cellStyle name="Comma 4 3 3 2 7" xfId="2360" xr:uid="{00000000-0005-0000-0000-000082090000}"/>
    <cellStyle name="Comma 4 3 3 2 8" xfId="2781" xr:uid="{00000000-0005-0000-0000-000083090000}"/>
    <cellStyle name="Comma 4 3 3 2 8 2" xfId="7005" xr:uid="{00000000-0005-0000-0000-000084090000}"/>
    <cellStyle name="Comma 4 3 3 2 8 2 2" xfId="15447" xr:uid="{94C64230-BAF2-4C71-8631-4360E83447E0}"/>
    <cellStyle name="Comma 4 3 3 2 8 3" xfId="11229" xr:uid="{85918A50-5CCA-49BB-8938-AECD4BEDBF51}"/>
    <cellStyle name="Comma 4 3 3 2 9" xfId="4622" xr:uid="{00000000-0005-0000-0000-000085090000}"/>
    <cellStyle name="Comma 4 3 3 2 9 2" xfId="13064" xr:uid="{C39452E7-AF10-43A9-B76B-0977F4701DEE}"/>
    <cellStyle name="Comma 4 3 3 3" xfId="686" xr:uid="{00000000-0005-0000-0000-000086090000}"/>
    <cellStyle name="Comma 4 3 3 3 2" xfId="2957" xr:uid="{00000000-0005-0000-0000-000087090000}"/>
    <cellStyle name="Comma 4 3 3 3 2 2" xfId="7180" xr:uid="{00000000-0005-0000-0000-000088090000}"/>
    <cellStyle name="Comma 4 3 3 3 2 2 2" xfId="15622" xr:uid="{2E227728-0188-4165-BDFC-014D154A0D59}"/>
    <cellStyle name="Comma 4 3 3 3 2 3" xfId="11404" xr:uid="{F6812CCE-0241-46E5-8DB1-26C70A48CA54}"/>
    <cellStyle name="Comma 4 3 3 3 3" xfId="5035" xr:uid="{00000000-0005-0000-0000-000089090000}"/>
    <cellStyle name="Comma 4 3 3 3 3 2" xfId="13477" xr:uid="{83DCF401-54E9-4C08-A0A5-27865C41459E}"/>
    <cellStyle name="Comma 4 3 3 3 4" xfId="9259" xr:uid="{6B375A18-E48F-410B-8ED0-DFD574F675BA}"/>
    <cellStyle name="Comma 4 3 3 4" xfId="1139" xr:uid="{00000000-0005-0000-0000-00008A090000}"/>
    <cellStyle name="Comma 4 3 3 4 2" xfId="3370" xr:uid="{00000000-0005-0000-0000-00008B090000}"/>
    <cellStyle name="Comma 4 3 3 4 2 2" xfId="7593" xr:uid="{00000000-0005-0000-0000-00008C090000}"/>
    <cellStyle name="Comma 4 3 3 4 2 2 2" xfId="16035" xr:uid="{DC7E2FF2-8B70-4AE5-9192-DA7CFCC5A116}"/>
    <cellStyle name="Comma 4 3 3 4 2 3" xfId="11817" xr:uid="{5AC76084-F319-4FBF-9D9E-65B8FAE0EBCA}"/>
    <cellStyle name="Comma 4 3 3 4 3" xfId="5448" xr:uid="{00000000-0005-0000-0000-00008D090000}"/>
    <cellStyle name="Comma 4 3 3 4 3 2" xfId="13890" xr:uid="{8551475C-C144-45CC-A451-F26CA813DE3F}"/>
    <cellStyle name="Comma 4 3 3 4 4" xfId="9672" xr:uid="{1A608B75-A625-4410-AA06-83C2B53FA660}"/>
    <cellStyle name="Comma 4 3 3 5" xfId="1553" xr:uid="{00000000-0005-0000-0000-00008E090000}"/>
    <cellStyle name="Comma 4 3 3 5 2" xfId="3783" xr:uid="{00000000-0005-0000-0000-00008F090000}"/>
    <cellStyle name="Comma 4 3 3 5 2 2" xfId="8006" xr:uid="{00000000-0005-0000-0000-000090090000}"/>
    <cellStyle name="Comma 4 3 3 5 2 2 2" xfId="16448" xr:uid="{A1590E20-DF46-4B81-9D34-0C3B6B62B6F8}"/>
    <cellStyle name="Comma 4 3 3 5 2 3" xfId="12230" xr:uid="{B3EBBCF8-84AF-44D0-981E-E69AB8E925C4}"/>
    <cellStyle name="Comma 4 3 3 5 3" xfId="5861" xr:uid="{00000000-0005-0000-0000-000091090000}"/>
    <cellStyle name="Comma 4 3 3 5 3 2" xfId="14303" xr:uid="{8C2BA97F-FAF7-45E8-A607-8DB0C87E5CCD}"/>
    <cellStyle name="Comma 4 3 3 5 4" xfId="10085" xr:uid="{297FD803-1664-4D94-AFEE-8D14D356D5D0}"/>
    <cellStyle name="Comma 4 3 3 6" xfId="1967" xr:uid="{00000000-0005-0000-0000-000092090000}"/>
    <cellStyle name="Comma 4 3 3 6 2" xfId="4196" xr:uid="{00000000-0005-0000-0000-000093090000}"/>
    <cellStyle name="Comma 4 3 3 6 2 2" xfId="8419" xr:uid="{00000000-0005-0000-0000-000094090000}"/>
    <cellStyle name="Comma 4 3 3 6 2 2 2" xfId="16861" xr:uid="{6B0A1A75-31C5-4079-9EFE-E4B9FAA3A5EA}"/>
    <cellStyle name="Comma 4 3 3 6 2 3" xfId="12643" xr:uid="{16B12D4F-FCEF-47F1-B260-69941B9060A5}"/>
    <cellStyle name="Comma 4 3 3 6 3" xfId="6274" xr:uid="{00000000-0005-0000-0000-000095090000}"/>
    <cellStyle name="Comma 4 3 3 6 3 2" xfId="14716" xr:uid="{B826D48C-755F-43E7-BABD-6B7331EF9510}"/>
    <cellStyle name="Comma 4 3 3 6 4" xfId="10498" xr:uid="{E3A0CA8D-D2B4-4400-A236-55F8C7EF7294}"/>
    <cellStyle name="Comma 4 3 3 7" xfId="2402" xr:uid="{00000000-0005-0000-0000-000096090000}"/>
    <cellStyle name="Comma 4 3 3 7 2" xfId="6687" xr:uid="{00000000-0005-0000-0000-000097090000}"/>
    <cellStyle name="Comma 4 3 3 7 2 2" xfId="15129" xr:uid="{54F900AC-247A-4AA9-A78C-348E7BDD7A6D}"/>
    <cellStyle name="Comma 4 3 3 7 3" xfId="10911" xr:uid="{5D10FA89-0816-42BC-9190-CFDA438D8014}"/>
    <cellStyle name="Comma 4 3 3 8" xfId="2361" xr:uid="{00000000-0005-0000-0000-000098090000}"/>
    <cellStyle name="Comma 4 3 3 9" xfId="2780" xr:uid="{00000000-0005-0000-0000-000099090000}"/>
    <cellStyle name="Comma 4 3 3 9 2" xfId="7004" xr:uid="{00000000-0005-0000-0000-00009A090000}"/>
    <cellStyle name="Comma 4 3 3 9 2 2" xfId="15446" xr:uid="{0E70D677-537F-46F9-8F0A-7F9BE5ADCF1E}"/>
    <cellStyle name="Comma 4 3 3 9 3" xfId="11228" xr:uid="{356DBCB3-74A9-4925-A3B1-85A6B9E9FE8C}"/>
    <cellStyle name="Comma 4 3 4" xfId="151" xr:uid="{00000000-0005-0000-0000-00009B090000}"/>
    <cellStyle name="Comma 4 3 4 10" xfId="8847" xr:uid="{A21C4458-3EE7-4E49-9D71-8F3B28CEC2E4}"/>
    <cellStyle name="Comma 4 3 4 2" xfId="688" xr:uid="{00000000-0005-0000-0000-00009C090000}"/>
    <cellStyle name="Comma 4 3 4 2 2" xfId="2959" xr:uid="{00000000-0005-0000-0000-00009D090000}"/>
    <cellStyle name="Comma 4 3 4 2 2 2" xfId="7182" xr:uid="{00000000-0005-0000-0000-00009E090000}"/>
    <cellStyle name="Comma 4 3 4 2 2 2 2" xfId="15624" xr:uid="{3EA2D2AB-1460-49E9-8FC6-FF2635E781B7}"/>
    <cellStyle name="Comma 4 3 4 2 2 3" xfId="11406" xr:uid="{4372DBA6-4D50-402F-A4CD-B5BB3AAD5501}"/>
    <cellStyle name="Comma 4 3 4 2 3" xfId="5037" xr:uid="{00000000-0005-0000-0000-00009F090000}"/>
    <cellStyle name="Comma 4 3 4 2 3 2" xfId="13479" xr:uid="{9C49DEBE-6326-4BD4-BD81-1B29BA8AE2D0}"/>
    <cellStyle name="Comma 4 3 4 2 4" xfId="9261" xr:uid="{35B93D1B-7BFC-4D85-974C-0198207FDA27}"/>
    <cellStyle name="Comma 4 3 4 3" xfId="1141" xr:uid="{00000000-0005-0000-0000-0000A0090000}"/>
    <cellStyle name="Comma 4 3 4 3 2" xfId="3372" xr:uid="{00000000-0005-0000-0000-0000A1090000}"/>
    <cellStyle name="Comma 4 3 4 3 2 2" xfId="7595" xr:uid="{00000000-0005-0000-0000-0000A2090000}"/>
    <cellStyle name="Comma 4 3 4 3 2 2 2" xfId="16037" xr:uid="{9AAAA94C-87FD-4C11-BDB3-DA3A46B3EA3C}"/>
    <cellStyle name="Comma 4 3 4 3 2 3" xfId="11819" xr:uid="{36812AED-A62A-4093-9E15-81C9F9948FBC}"/>
    <cellStyle name="Comma 4 3 4 3 3" xfId="5450" xr:uid="{00000000-0005-0000-0000-0000A3090000}"/>
    <cellStyle name="Comma 4 3 4 3 3 2" xfId="13892" xr:uid="{7B072915-89A8-4A8F-8B45-DB71B4DF1C94}"/>
    <cellStyle name="Comma 4 3 4 3 4" xfId="9674" xr:uid="{BD9115F1-8C4D-486E-8C27-C1993484A4CD}"/>
    <cellStyle name="Comma 4 3 4 4" xfId="1555" xr:uid="{00000000-0005-0000-0000-0000A4090000}"/>
    <cellStyle name="Comma 4 3 4 4 2" xfId="3785" xr:uid="{00000000-0005-0000-0000-0000A5090000}"/>
    <cellStyle name="Comma 4 3 4 4 2 2" xfId="8008" xr:uid="{00000000-0005-0000-0000-0000A6090000}"/>
    <cellStyle name="Comma 4 3 4 4 2 2 2" xfId="16450" xr:uid="{8073EF64-8B9A-4F65-A34E-8F7B047B9C79}"/>
    <cellStyle name="Comma 4 3 4 4 2 3" xfId="12232" xr:uid="{1C6C3183-B2B6-4FE7-A92B-D0E013AFBD53}"/>
    <cellStyle name="Comma 4 3 4 4 3" xfId="5863" xr:uid="{00000000-0005-0000-0000-0000A7090000}"/>
    <cellStyle name="Comma 4 3 4 4 3 2" xfId="14305" xr:uid="{FF6028F8-EAA9-46A2-BCB2-3FB30DC34EBB}"/>
    <cellStyle name="Comma 4 3 4 4 4" xfId="10087" xr:uid="{77096CC8-FDBA-48D7-A9C0-C3C9C008593E}"/>
    <cellStyle name="Comma 4 3 4 5" xfId="1969" xr:uid="{00000000-0005-0000-0000-0000A8090000}"/>
    <cellStyle name="Comma 4 3 4 5 2" xfId="4198" xr:uid="{00000000-0005-0000-0000-0000A9090000}"/>
    <cellStyle name="Comma 4 3 4 5 2 2" xfId="8421" xr:uid="{00000000-0005-0000-0000-0000AA090000}"/>
    <cellStyle name="Comma 4 3 4 5 2 2 2" xfId="16863" xr:uid="{167D7552-161B-44F5-A753-D18FDD62BC71}"/>
    <cellStyle name="Comma 4 3 4 5 2 3" xfId="12645" xr:uid="{0A0D4BBE-F17A-422E-8D97-07BC8485ABDF}"/>
    <cellStyle name="Comma 4 3 4 5 3" xfId="6276" xr:uid="{00000000-0005-0000-0000-0000AB090000}"/>
    <cellStyle name="Comma 4 3 4 5 3 2" xfId="14718" xr:uid="{342460F3-DBD6-4401-A1BA-C5AA3BA9A848}"/>
    <cellStyle name="Comma 4 3 4 5 4" xfId="10500" xr:uid="{3838485C-878F-4A7D-B132-010400748B0E}"/>
    <cellStyle name="Comma 4 3 4 6" xfId="2404" xr:uid="{00000000-0005-0000-0000-0000AC090000}"/>
    <cellStyle name="Comma 4 3 4 6 2" xfId="6689" xr:uid="{00000000-0005-0000-0000-0000AD090000}"/>
    <cellStyle name="Comma 4 3 4 6 2 2" xfId="15131" xr:uid="{76598F54-7A0C-48A2-9C00-F500197A9030}"/>
    <cellStyle name="Comma 4 3 4 6 3" xfId="10913" xr:uid="{3D8726A7-1BC6-4211-9703-CBC26EC89CF5}"/>
    <cellStyle name="Comma 4 3 4 7" xfId="2700" xr:uid="{00000000-0005-0000-0000-0000AE090000}"/>
    <cellStyle name="Comma 4 3 4 8" xfId="2782" xr:uid="{00000000-0005-0000-0000-0000AF090000}"/>
    <cellStyle name="Comma 4 3 4 8 2" xfId="7006" xr:uid="{00000000-0005-0000-0000-0000B0090000}"/>
    <cellStyle name="Comma 4 3 4 8 2 2" xfId="15448" xr:uid="{41004601-725F-4436-A2A7-E23DDAA40814}"/>
    <cellStyle name="Comma 4 3 4 8 3" xfId="11230" xr:uid="{743F14CE-CA5C-4EB8-9730-5799EC4C2128}"/>
    <cellStyle name="Comma 4 3 4 9" xfId="4623" xr:uid="{00000000-0005-0000-0000-0000B1090000}"/>
    <cellStyle name="Comma 4 3 4 9 2" xfId="13065" xr:uid="{F9B23129-F07C-459E-AFE6-CBE265F2C382}"/>
    <cellStyle name="Comma 4 3 5" xfId="152" xr:uid="{00000000-0005-0000-0000-0000B2090000}"/>
    <cellStyle name="Comma 4 3 5 10" xfId="8848" xr:uid="{02EBE65E-5C3A-40AF-80C9-3C0D248262CC}"/>
    <cellStyle name="Comma 4 3 5 2" xfId="689" xr:uid="{00000000-0005-0000-0000-0000B3090000}"/>
    <cellStyle name="Comma 4 3 5 2 2" xfId="2960" xr:uid="{00000000-0005-0000-0000-0000B4090000}"/>
    <cellStyle name="Comma 4 3 5 2 2 2" xfId="7183" xr:uid="{00000000-0005-0000-0000-0000B5090000}"/>
    <cellStyle name="Comma 4 3 5 2 2 2 2" xfId="15625" xr:uid="{4E95548B-3DAA-4243-9377-346AE218143D}"/>
    <cellStyle name="Comma 4 3 5 2 2 3" xfId="11407" xr:uid="{4752F4C7-B522-4191-B5DE-4424780F83B7}"/>
    <cellStyle name="Comma 4 3 5 2 3" xfId="5038" xr:uid="{00000000-0005-0000-0000-0000B6090000}"/>
    <cellStyle name="Comma 4 3 5 2 3 2" xfId="13480" xr:uid="{F42022C3-CB48-43B7-9D26-670A81FBF688}"/>
    <cellStyle name="Comma 4 3 5 2 4" xfId="9262" xr:uid="{93CFC120-736D-4753-AA64-2DB969D8A0E2}"/>
    <cellStyle name="Comma 4 3 5 3" xfId="1142" xr:uid="{00000000-0005-0000-0000-0000B7090000}"/>
    <cellStyle name="Comma 4 3 5 3 2" xfId="3373" xr:uid="{00000000-0005-0000-0000-0000B8090000}"/>
    <cellStyle name="Comma 4 3 5 3 2 2" xfId="7596" xr:uid="{00000000-0005-0000-0000-0000B9090000}"/>
    <cellStyle name="Comma 4 3 5 3 2 2 2" xfId="16038" xr:uid="{28027445-6929-431E-AAC6-50F65C38D96C}"/>
    <cellStyle name="Comma 4 3 5 3 2 3" xfId="11820" xr:uid="{5FFBC747-F3CC-46AE-A47C-6E96A63D4B72}"/>
    <cellStyle name="Comma 4 3 5 3 3" xfId="5451" xr:uid="{00000000-0005-0000-0000-0000BA090000}"/>
    <cellStyle name="Comma 4 3 5 3 3 2" xfId="13893" xr:uid="{5896424C-C833-4146-995F-7DA87FC5B607}"/>
    <cellStyle name="Comma 4 3 5 3 4" xfId="9675" xr:uid="{5CDFD69A-A563-478B-87F4-A1EE3B0FE824}"/>
    <cellStyle name="Comma 4 3 5 4" xfId="1556" xr:uid="{00000000-0005-0000-0000-0000BB090000}"/>
    <cellStyle name="Comma 4 3 5 4 2" xfId="3786" xr:uid="{00000000-0005-0000-0000-0000BC090000}"/>
    <cellStyle name="Comma 4 3 5 4 2 2" xfId="8009" xr:uid="{00000000-0005-0000-0000-0000BD090000}"/>
    <cellStyle name="Comma 4 3 5 4 2 2 2" xfId="16451" xr:uid="{D904451F-8EDF-4327-8E11-E53CD8D67C72}"/>
    <cellStyle name="Comma 4 3 5 4 2 3" xfId="12233" xr:uid="{5D2324DE-3F92-40CB-85E6-76F13C51A6EF}"/>
    <cellStyle name="Comma 4 3 5 4 3" xfId="5864" xr:uid="{00000000-0005-0000-0000-0000BE090000}"/>
    <cellStyle name="Comma 4 3 5 4 3 2" xfId="14306" xr:uid="{602CC180-067F-4008-9111-9DB7BC11D03D}"/>
    <cellStyle name="Comma 4 3 5 4 4" xfId="10088" xr:uid="{F02B98BF-5502-40ED-9746-5D5518B133E1}"/>
    <cellStyle name="Comma 4 3 5 5" xfId="1970" xr:uid="{00000000-0005-0000-0000-0000BF090000}"/>
    <cellStyle name="Comma 4 3 5 5 2" xfId="4199" xr:uid="{00000000-0005-0000-0000-0000C0090000}"/>
    <cellStyle name="Comma 4 3 5 5 2 2" xfId="8422" xr:uid="{00000000-0005-0000-0000-0000C1090000}"/>
    <cellStyle name="Comma 4 3 5 5 2 2 2" xfId="16864" xr:uid="{E8901579-0054-4E67-9CA2-FADC791DC1D1}"/>
    <cellStyle name="Comma 4 3 5 5 2 3" xfId="12646" xr:uid="{B142E5B1-7607-4C5B-91B1-44173A0B309A}"/>
    <cellStyle name="Comma 4 3 5 5 3" xfId="6277" xr:uid="{00000000-0005-0000-0000-0000C2090000}"/>
    <cellStyle name="Comma 4 3 5 5 3 2" xfId="14719" xr:uid="{D15F301C-86A5-4F40-8B24-162EE7BA0F54}"/>
    <cellStyle name="Comma 4 3 5 5 4" xfId="10501" xr:uid="{F8BB2180-58F1-4EAA-9E48-40DFFEF45F11}"/>
    <cellStyle name="Comma 4 3 5 6" xfId="2405" xr:uid="{00000000-0005-0000-0000-0000C3090000}"/>
    <cellStyle name="Comma 4 3 5 6 2" xfId="6690" xr:uid="{00000000-0005-0000-0000-0000C4090000}"/>
    <cellStyle name="Comma 4 3 5 6 2 2" xfId="15132" xr:uid="{A331AC10-3CD5-4EB7-BCC6-89583205AAF6}"/>
    <cellStyle name="Comma 4 3 5 6 3" xfId="10914" xr:uid="{14F8D552-3A8F-4E4E-B605-0CB083582915}"/>
    <cellStyle name="Comma 4 3 5 7" xfId="2701" xr:uid="{00000000-0005-0000-0000-0000C5090000}"/>
    <cellStyle name="Comma 4 3 5 8" xfId="2783" xr:uid="{00000000-0005-0000-0000-0000C6090000}"/>
    <cellStyle name="Comma 4 3 5 8 2" xfId="7007" xr:uid="{00000000-0005-0000-0000-0000C7090000}"/>
    <cellStyle name="Comma 4 3 5 8 2 2" xfId="15449" xr:uid="{D629CD52-2E8B-457B-B3F4-3A7FF8A83EBF}"/>
    <cellStyle name="Comma 4 3 5 8 3" xfId="11231" xr:uid="{9964974D-4ABE-4071-BE12-94945E12D2B0}"/>
    <cellStyle name="Comma 4 3 5 9" xfId="4624" xr:uid="{00000000-0005-0000-0000-0000C8090000}"/>
    <cellStyle name="Comma 4 3 5 9 2" xfId="13066" xr:uid="{F55786F1-CB70-4D98-BBFD-AECD8B92CA1C}"/>
    <cellStyle name="Comma 4 4" xfId="153" xr:uid="{00000000-0005-0000-0000-0000C9090000}"/>
    <cellStyle name="Comma 4 4 10" xfId="2784" xr:uid="{00000000-0005-0000-0000-0000CA090000}"/>
    <cellStyle name="Comma 4 4 10 2" xfId="7008" xr:uid="{00000000-0005-0000-0000-0000CB090000}"/>
    <cellStyle name="Comma 4 4 10 2 2" xfId="15450" xr:uid="{D07CBFC6-8B2E-41D1-8543-CF2792096217}"/>
    <cellStyle name="Comma 4 4 10 3" xfId="11232" xr:uid="{554DD3C9-92F1-4565-81F0-2BCB084D5B9F}"/>
    <cellStyle name="Comma 4 4 11" xfId="4625" xr:uid="{00000000-0005-0000-0000-0000CC090000}"/>
    <cellStyle name="Comma 4 4 11 2" xfId="13067" xr:uid="{83EB6558-A6FA-43A9-B257-5A8E0F1AC5B1}"/>
    <cellStyle name="Comma 4 4 12" xfId="8849" xr:uid="{85435E1F-0F97-4AE5-8CDE-F264C13EB282}"/>
    <cellStyle name="Comma 4 4 2" xfId="154" xr:uid="{00000000-0005-0000-0000-0000CD090000}"/>
    <cellStyle name="Comma 4 4 2 10" xfId="4626" xr:uid="{00000000-0005-0000-0000-0000CE090000}"/>
    <cellStyle name="Comma 4 4 2 10 2" xfId="13068" xr:uid="{2F679694-A043-4821-82C4-23E70C1A52DC}"/>
    <cellStyle name="Comma 4 4 2 11" xfId="8850" xr:uid="{41F9D6C6-3536-4CAC-A8B9-FC4B28807A81}"/>
    <cellStyle name="Comma 4 4 2 2" xfId="155" xr:uid="{00000000-0005-0000-0000-0000CF090000}"/>
    <cellStyle name="Comma 4 4 2 2 10" xfId="8851" xr:uid="{957744AE-4930-44CE-956B-8B998A3277CF}"/>
    <cellStyle name="Comma 4 4 2 2 2" xfId="692" xr:uid="{00000000-0005-0000-0000-0000D0090000}"/>
    <cellStyle name="Comma 4 4 2 2 2 2" xfId="2963" xr:uid="{00000000-0005-0000-0000-0000D1090000}"/>
    <cellStyle name="Comma 4 4 2 2 2 2 2" xfId="7186" xr:uid="{00000000-0005-0000-0000-0000D2090000}"/>
    <cellStyle name="Comma 4 4 2 2 2 2 2 2" xfId="15628" xr:uid="{ECC75F72-BFA3-4AF6-9944-F05E2B5BDCB9}"/>
    <cellStyle name="Comma 4 4 2 2 2 2 3" xfId="11410" xr:uid="{492EAC09-7F47-418A-8AB5-561104E6142A}"/>
    <cellStyle name="Comma 4 4 2 2 2 3" xfId="5041" xr:uid="{00000000-0005-0000-0000-0000D3090000}"/>
    <cellStyle name="Comma 4 4 2 2 2 3 2" xfId="13483" xr:uid="{68FFD494-FF01-4015-8B2E-E65CA529BBF1}"/>
    <cellStyle name="Comma 4 4 2 2 2 4" xfId="9265" xr:uid="{840EEB26-FE34-41A6-8BE8-C3F4DB19F301}"/>
    <cellStyle name="Comma 4 4 2 2 3" xfId="1145" xr:uid="{00000000-0005-0000-0000-0000D4090000}"/>
    <cellStyle name="Comma 4 4 2 2 3 2" xfId="3376" xr:uid="{00000000-0005-0000-0000-0000D5090000}"/>
    <cellStyle name="Comma 4 4 2 2 3 2 2" xfId="7599" xr:uid="{00000000-0005-0000-0000-0000D6090000}"/>
    <cellStyle name="Comma 4 4 2 2 3 2 2 2" xfId="16041" xr:uid="{4E066BE6-8FE3-4229-B20A-C06C5B415394}"/>
    <cellStyle name="Comma 4 4 2 2 3 2 3" xfId="11823" xr:uid="{54144BD6-0060-40ED-9E21-0BC160C32E30}"/>
    <cellStyle name="Comma 4 4 2 2 3 3" xfId="5454" xr:uid="{00000000-0005-0000-0000-0000D7090000}"/>
    <cellStyle name="Comma 4 4 2 2 3 3 2" xfId="13896" xr:uid="{FC0595BB-35C7-46DF-B123-3264A2976698}"/>
    <cellStyle name="Comma 4 4 2 2 3 4" xfId="9678" xr:uid="{2D540F1E-2B67-4718-89ED-7B7A42367EEE}"/>
    <cellStyle name="Comma 4 4 2 2 4" xfId="1559" xr:uid="{00000000-0005-0000-0000-0000D8090000}"/>
    <cellStyle name="Comma 4 4 2 2 4 2" xfId="3789" xr:uid="{00000000-0005-0000-0000-0000D9090000}"/>
    <cellStyle name="Comma 4 4 2 2 4 2 2" xfId="8012" xr:uid="{00000000-0005-0000-0000-0000DA090000}"/>
    <cellStyle name="Comma 4 4 2 2 4 2 2 2" xfId="16454" xr:uid="{6E112B2B-D9FE-483A-817B-97EF6DBC0984}"/>
    <cellStyle name="Comma 4 4 2 2 4 2 3" xfId="12236" xr:uid="{0D22AEBC-AF73-4292-9B14-4209C46A4751}"/>
    <cellStyle name="Comma 4 4 2 2 4 3" xfId="5867" xr:uid="{00000000-0005-0000-0000-0000DB090000}"/>
    <cellStyle name="Comma 4 4 2 2 4 3 2" xfId="14309" xr:uid="{C482D018-D239-470E-8860-8DA5F0C4503C}"/>
    <cellStyle name="Comma 4 4 2 2 4 4" xfId="10091" xr:uid="{7F5B2238-1191-419F-9CE1-E33BA93152E0}"/>
    <cellStyle name="Comma 4 4 2 2 5" xfId="1973" xr:uid="{00000000-0005-0000-0000-0000DC090000}"/>
    <cellStyle name="Comma 4 4 2 2 5 2" xfId="4202" xr:uid="{00000000-0005-0000-0000-0000DD090000}"/>
    <cellStyle name="Comma 4 4 2 2 5 2 2" xfId="8425" xr:uid="{00000000-0005-0000-0000-0000DE090000}"/>
    <cellStyle name="Comma 4 4 2 2 5 2 2 2" xfId="16867" xr:uid="{47B94826-3AB4-4885-9575-2DA27F6C8736}"/>
    <cellStyle name="Comma 4 4 2 2 5 2 3" xfId="12649" xr:uid="{CC7BA8B6-2139-4E61-B56C-7D44FCAE9587}"/>
    <cellStyle name="Comma 4 4 2 2 5 3" xfId="6280" xr:uid="{00000000-0005-0000-0000-0000DF090000}"/>
    <cellStyle name="Comma 4 4 2 2 5 3 2" xfId="14722" xr:uid="{92B84477-2A66-42FA-B016-17960DC3685C}"/>
    <cellStyle name="Comma 4 4 2 2 5 4" xfId="10504" xr:uid="{4E22A430-4954-4A23-836B-D420A9E7896B}"/>
    <cellStyle name="Comma 4 4 2 2 6" xfId="2408" xr:uid="{00000000-0005-0000-0000-0000E0090000}"/>
    <cellStyle name="Comma 4 4 2 2 6 2" xfId="6693" xr:uid="{00000000-0005-0000-0000-0000E1090000}"/>
    <cellStyle name="Comma 4 4 2 2 6 2 2" xfId="15135" xr:uid="{208AEDA1-925C-4F15-9542-A3722263D7A0}"/>
    <cellStyle name="Comma 4 4 2 2 6 3" xfId="10917" xr:uid="{D2DCF53E-0EC3-4100-A2CF-518EB277A65A}"/>
    <cellStyle name="Comma 4 4 2 2 7" xfId="2704" xr:uid="{00000000-0005-0000-0000-0000E2090000}"/>
    <cellStyle name="Comma 4 4 2 2 8" xfId="2786" xr:uid="{00000000-0005-0000-0000-0000E3090000}"/>
    <cellStyle name="Comma 4 4 2 2 8 2" xfId="7010" xr:uid="{00000000-0005-0000-0000-0000E4090000}"/>
    <cellStyle name="Comma 4 4 2 2 8 2 2" xfId="15452" xr:uid="{50AEBCA0-1AA4-4207-931F-1AEE72D0959F}"/>
    <cellStyle name="Comma 4 4 2 2 8 3" xfId="11234" xr:uid="{5EF12936-E9D9-4712-AA2A-241B8019D09B}"/>
    <cellStyle name="Comma 4 4 2 2 9" xfId="4627" xr:uid="{00000000-0005-0000-0000-0000E5090000}"/>
    <cellStyle name="Comma 4 4 2 2 9 2" xfId="13069" xr:uid="{8026D802-63AA-44BF-BF4B-13BA84AC7D71}"/>
    <cellStyle name="Comma 4 4 2 3" xfId="691" xr:uid="{00000000-0005-0000-0000-0000E6090000}"/>
    <cellStyle name="Comma 4 4 2 3 2" xfId="2962" xr:uid="{00000000-0005-0000-0000-0000E7090000}"/>
    <cellStyle name="Comma 4 4 2 3 2 2" xfId="7185" xr:uid="{00000000-0005-0000-0000-0000E8090000}"/>
    <cellStyle name="Comma 4 4 2 3 2 2 2" xfId="15627" xr:uid="{87395C03-5AF9-4B95-8EE5-F589E0F56C70}"/>
    <cellStyle name="Comma 4 4 2 3 2 3" xfId="11409" xr:uid="{D0B1F78E-1AC9-4D15-980B-327177306D40}"/>
    <cellStyle name="Comma 4 4 2 3 3" xfId="5040" xr:uid="{00000000-0005-0000-0000-0000E9090000}"/>
    <cellStyle name="Comma 4 4 2 3 3 2" xfId="13482" xr:uid="{FDFFF97A-0300-413D-A23D-31FEEC56D03D}"/>
    <cellStyle name="Comma 4 4 2 3 4" xfId="9264" xr:uid="{2CBB748B-8CFD-4B0D-B3EB-21E6183A55DF}"/>
    <cellStyle name="Comma 4 4 2 4" xfId="1144" xr:uid="{00000000-0005-0000-0000-0000EA090000}"/>
    <cellStyle name="Comma 4 4 2 4 2" xfId="3375" xr:uid="{00000000-0005-0000-0000-0000EB090000}"/>
    <cellStyle name="Comma 4 4 2 4 2 2" xfId="7598" xr:uid="{00000000-0005-0000-0000-0000EC090000}"/>
    <cellStyle name="Comma 4 4 2 4 2 2 2" xfId="16040" xr:uid="{5224149C-5CD0-489D-BCD1-2B348EAD7DE3}"/>
    <cellStyle name="Comma 4 4 2 4 2 3" xfId="11822" xr:uid="{F6657085-5704-438D-A03E-8BB9EA3C4A2D}"/>
    <cellStyle name="Comma 4 4 2 4 3" xfId="5453" xr:uid="{00000000-0005-0000-0000-0000ED090000}"/>
    <cellStyle name="Comma 4 4 2 4 3 2" xfId="13895" xr:uid="{FD1B4097-4A2B-4937-8BA7-F9D2AF1DF179}"/>
    <cellStyle name="Comma 4 4 2 4 4" xfId="9677" xr:uid="{A7964B76-DF0C-47B2-9C81-420A4F577645}"/>
    <cellStyle name="Comma 4 4 2 5" xfId="1558" xr:uid="{00000000-0005-0000-0000-0000EE090000}"/>
    <cellStyle name="Comma 4 4 2 5 2" xfId="3788" xr:uid="{00000000-0005-0000-0000-0000EF090000}"/>
    <cellStyle name="Comma 4 4 2 5 2 2" xfId="8011" xr:uid="{00000000-0005-0000-0000-0000F0090000}"/>
    <cellStyle name="Comma 4 4 2 5 2 2 2" xfId="16453" xr:uid="{D03234A0-7A64-41E1-82FC-E03FE52F56E9}"/>
    <cellStyle name="Comma 4 4 2 5 2 3" xfId="12235" xr:uid="{852B1E8A-0502-4A42-B8F2-8E104CCE0B83}"/>
    <cellStyle name="Comma 4 4 2 5 3" xfId="5866" xr:uid="{00000000-0005-0000-0000-0000F1090000}"/>
    <cellStyle name="Comma 4 4 2 5 3 2" xfId="14308" xr:uid="{28CC28A5-63D8-4204-98CE-B63CABD7E332}"/>
    <cellStyle name="Comma 4 4 2 5 4" xfId="10090" xr:uid="{F4860C44-5696-4625-91A4-5115D4568454}"/>
    <cellStyle name="Comma 4 4 2 6" xfId="1972" xr:uid="{00000000-0005-0000-0000-0000F2090000}"/>
    <cellStyle name="Comma 4 4 2 6 2" xfId="4201" xr:uid="{00000000-0005-0000-0000-0000F3090000}"/>
    <cellStyle name="Comma 4 4 2 6 2 2" xfId="8424" xr:uid="{00000000-0005-0000-0000-0000F4090000}"/>
    <cellStyle name="Comma 4 4 2 6 2 2 2" xfId="16866" xr:uid="{BD888A5C-2B70-4A53-B3B1-F657A958C0EE}"/>
    <cellStyle name="Comma 4 4 2 6 2 3" xfId="12648" xr:uid="{64DEDA1B-659F-4595-B8D4-39FA424DD93A}"/>
    <cellStyle name="Comma 4 4 2 6 3" xfId="6279" xr:uid="{00000000-0005-0000-0000-0000F5090000}"/>
    <cellStyle name="Comma 4 4 2 6 3 2" xfId="14721" xr:uid="{5B5275E7-3033-490E-BB6B-F56CA27A8187}"/>
    <cellStyle name="Comma 4 4 2 6 4" xfId="10503" xr:uid="{03253020-B01C-4932-A0B9-01CDB775094A}"/>
    <cellStyle name="Comma 4 4 2 7" xfId="2407" xr:uid="{00000000-0005-0000-0000-0000F6090000}"/>
    <cellStyle name="Comma 4 4 2 7 2" xfId="6692" xr:uid="{00000000-0005-0000-0000-0000F7090000}"/>
    <cellStyle name="Comma 4 4 2 7 2 2" xfId="15134" xr:uid="{BA9C8659-D5D7-4CF1-B73D-35441A23B314}"/>
    <cellStyle name="Comma 4 4 2 7 3" xfId="10916" xr:uid="{C963B69E-2B7E-4C26-AA15-60C887594B03}"/>
    <cellStyle name="Comma 4 4 2 8" xfId="2703" xr:uid="{00000000-0005-0000-0000-0000F8090000}"/>
    <cellStyle name="Comma 4 4 2 9" xfId="2785" xr:uid="{00000000-0005-0000-0000-0000F9090000}"/>
    <cellStyle name="Comma 4 4 2 9 2" xfId="7009" xr:uid="{00000000-0005-0000-0000-0000FA090000}"/>
    <cellStyle name="Comma 4 4 2 9 2 2" xfId="15451" xr:uid="{E7698403-9D12-4896-B25C-B569FD6451BC}"/>
    <cellStyle name="Comma 4 4 2 9 3" xfId="11233" xr:uid="{9A5A8E97-CA89-475C-B3C2-098735F572B5}"/>
    <cellStyle name="Comma 4 4 3" xfId="156" xr:uid="{00000000-0005-0000-0000-0000FB090000}"/>
    <cellStyle name="Comma 4 4 3 10" xfId="8852" xr:uid="{42F7F4BE-B8CD-40EE-B1D6-F50C73FDBB66}"/>
    <cellStyle name="Comma 4 4 3 2" xfId="693" xr:uid="{00000000-0005-0000-0000-0000FC090000}"/>
    <cellStyle name="Comma 4 4 3 2 2" xfId="2964" xr:uid="{00000000-0005-0000-0000-0000FD090000}"/>
    <cellStyle name="Comma 4 4 3 2 2 2" xfId="7187" xr:uid="{00000000-0005-0000-0000-0000FE090000}"/>
    <cellStyle name="Comma 4 4 3 2 2 2 2" xfId="15629" xr:uid="{8850C1D3-D4E4-4678-8668-1CE43A36E9DD}"/>
    <cellStyle name="Comma 4 4 3 2 2 3" xfId="11411" xr:uid="{E00E3863-25FF-4352-BEF6-12954D1B46F8}"/>
    <cellStyle name="Comma 4 4 3 2 3" xfId="5042" xr:uid="{00000000-0005-0000-0000-0000FF090000}"/>
    <cellStyle name="Comma 4 4 3 2 3 2" xfId="13484" xr:uid="{6636429C-F789-4946-9EC4-6BDC0C0F06E0}"/>
    <cellStyle name="Comma 4 4 3 2 4" xfId="9266" xr:uid="{E31835F6-F074-4382-AD1C-65D11497D1C6}"/>
    <cellStyle name="Comma 4 4 3 3" xfId="1146" xr:uid="{00000000-0005-0000-0000-0000000A0000}"/>
    <cellStyle name="Comma 4 4 3 3 2" xfId="3377" xr:uid="{00000000-0005-0000-0000-0000010A0000}"/>
    <cellStyle name="Comma 4 4 3 3 2 2" xfId="7600" xr:uid="{00000000-0005-0000-0000-0000020A0000}"/>
    <cellStyle name="Comma 4 4 3 3 2 2 2" xfId="16042" xr:uid="{3A6394E5-B6A1-436C-886F-A11D7F16C665}"/>
    <cellStyle name="Comma 4 4 3 3 2 3" xfId="11824" xr:uid="{D67A0354-6BD1-4E1F-A208-AA46E4898823}"/>
    <cellStyle name="Comma 4 4 3 3 3" xfId="5455" xr:uid="{00000000-0005-0000-0000-0000030A0000}"/>
    <cellStyle name="Comma 4 4 3 3 3 2" xfId="13897" xr:uid="{D92A4330-93C3-4028-978C-2303CB7678CA}"/>
    <cellStyle name="Comma 4 4 3 3 4" xfId="9679" xr:uid="{72054023-4D26-4E76-87B5-4B5C618DE4CB}"/>
    <cellStyle name="Comma 4 4 3 4" xfId="1560" xr:uid="{00000000-0005-0000-0000-0000040A0000}"/>
    <cellStyle name="Comma 4 4 3 4 2" xfId="3790" xr:uid="{00000000-0005-0000-0000-0000050A0000}"/>
    <cellStyle name="Comma 4 4 3 4 2 2" xfId="8013" xr:uid="{00000000-0005-0000-0000-0000060A0000}"/>
    <cellStyle name="Comma 4 4 3 4 2 2 2" xfId="16455" xr:uid="{7A0CFDBD-FD9E-45A9-A423-A0395A9A1A2A}"/>
    <cellStyle name="Comma 4 4 3 4 2 3" xfId="12237" xr:uid="{AF214697-8A33-4278-898D-D9633FB943BF}"/>
    <cellStyle name="Comma 4 4 3 4 3" xfId="5868" xr:uid="{00000000-0005-0000-0000-0000070A0000}"/>
    <cellStyle name="Comma 4 4 3 4 3 2" xfId="14310" xr:uid="{EC536F8F-20B5-4C61-A101-8D19CEC81948}"/>
    <cellStyle name="Comma 4 4 3 4 4" xfId="10092" xr:uid="{6468BAB6-B01D-4A41-A6B9-08AF82E50966}"/>
    <cellStyle name="Comma 4 4 3 5" xfId="1974" xr:uid="{00000000-0005-0000-0000-0000080A0000}"/>
    <cellStyle name="Comma 4 4 3 5 2" xfId="4203" xr:uid="{00000000-0005-0000-0000-0000090A0000}"/>
    <cellStyle name="Comma 4 4 3 5 2 2" xfId="8426" xr:uid="{00000000-0005-0000-0000-00000A0A0000}"/>
    <cellStyle name="Comma 4 4 3 5 2 2 2" xfId="16868" xr:uid="{8AF36F91-2F6C-49BD-9A6F-A1E6BFD77894}"/>
    <cellStyle name="Comma 4 4 3 5 2 3" xfId="12650" xr:uid="{98C0AE0E-2869-4292-B5D4-7789055C57CE}"/>
    <cellStyle name="Comma 4 4 3 5 3" xfId="6281" xr:uid="{00000000-0005-0000-0000-00000B0A0000}"/>
    <cellStyle name="Comma 4 4 3 5 3 2" xfId="14723" xr:uid="{92D5B91B-C46D-4AF4-BE7A-4B8904F6D7C0}"/>
    <cellStyle name="Comma 4 4 3 5 4" xfId="10505" xr:uid="{8649DEDA-B65F-4626-A70D-6F71D5D00BCA}"/>
    <cellStyle name="Comma 4 4 3 6" xfId="2409" xr:uid="{00000000-0005-0000-0000-00000C0A0000}"/>
    <cellStyle name="Comma 4 4 3 6 2" xfId="6694" xr:uid="{00000000-0005-0000-0000-00000D0A0000}"/>
    <cellStyle name="Comma 4 4 3 6 2 2" xfId="15136" xr:uid="{4A9AB12A-BCE1-4F3E-AC47-22DBC635580F}"/>
    <cellStyle name="Comma 4 4 3 6 3" xfId="10918" xr:uid="{B1EC81A0-CC7E-459D-BA9A-CCC70D7D2994}"/>
    <cellStyle name="Comma 4 4 3 7" xfId="2705" xr:uid="{00000000-0005-0000-0000-00000E0A0000}"/>
    <cellStyle name="Comma 4 4 3 8" xfId="2787" xr:uid="{00000000-0005-0000-0000-00000F0A0000}"/>
    <cellStyle name="Comma 4 4 3 8 2" xfId="7011" xr:uid="{00000000-0005-0000-0000-0000100A0000}"/>
    <cellStyle name="Comma 4 4 3 8 2 2" xfId="15453" xr:uid="{56E6326D-00B1-4DDB-A206-531D863B49B5}"/>
    <cellStyle name="Comma 4 4 3 8 3" xfId="11235" xr:uid="{909C695D-51FA-4CE9-AEAF-BA82A0703C4D}"/>
    <cellStyle name="Comma 4 4 3 9" xfId="4628" xr:uid="{00000000-0005-0000-0000-0000110A0000}"/>
    <cellStyle name="Comma 4 4 3 9 2" xfId="13070" xr:uid="{92F93002-0B1F-4C78-9E11-DB9FFB704011}"/>
    <cellStyle name="Comma 4 4 4" xfId="690" xr:uid="{00000000-0005-0000-0000-0000120A0000}"/>
    <cellStyle name="Comma 4 4 4 2" xfId="2961" xr:uid="{00000000-0005-0000-0000-0000130A0000}"/>
    <cellStyle name="Comma 4 4 4 2 2" xfId="7184" xr:uid="{00000000-0005-0000-0000-0000140A0000}"/>
    <cellStyle name="Comma 4 4 4 2 2 2" xfId="15626" xr:uid="{E1782E70-3A2A-449D-8370-7D44C78CB62E}"/>
    <cellStyle name="Comma 4 4 4 2 3" xfId="11408" xr:uid="{957C0E08-AA38-4AE9-B399-F4A03C44D881}"/>
    <cellStyle name="Comma 4 4 4 3" xfId="5039" xr:uid="{00000000-0005-0000-0000-0000150A0000}"/>
    <cellStyle name="Comma 4 4 4 3 2" xfId="13481" xr:uid="{C80DF510-6300-440C-A8C6-B6EB7BEE6DA3}"/>
    <cellStyle name="Comma 4 4 4 4" xfId="9263" xr:uid="{BF567BC5-6341-44CC-A621-2D3767C0D8CE}"/>
    <cellStyle name="Comma 4 4 5" xfId="1143" xr:uid="{00000000-0005-0000-0000-0000160A0000}"/>
    <cellStyle name="Comma 4 4 5 2" xfId="3374" xr:uid="{00000000-0005-0000-0000-0000170A0000}"/>
    <cellStyle name="Comma 4 4 5 2 2" xfId="7597" xr:uid="{00000000-0005-0000-0000-0000180A0000}"/>
    <cellStyle name="Comma 4 4 5 2 2 2" xfId="16039" xr:uid="{B74534E8-443E-44BB-AFFD-8D6916CDCBDC}"/>
    <cellStyle name="Comma 4 4 5 2 3" xfId="11821" xr:uid="{E6B0CB0B-8D20-441B-BD74-E45BDCB663CB}"/>
    <cellStyle name="Comma 4 4 5 3" xfId="5452" xr:uid="{00000000-0005-0000-0000-0000190A0000}"/>
    <cellStyle name="Comma 4 4 5 3 2" xfId="13894" xr:uid="{49567C2F-508E-4F1E-8824-FC476BE4C62A}"/>
    <cellStyle name="Comma 4 4 5 4" xfId="9676" xr:uid="{592DB205-7CA7-4BFE-B672-A3575E6DBE49}"/>
    <cellStyle name="Comma 4 4 6" xfId="1557" xr:uid="{00000000-0005-0000-0000-00001A0A0000}"/>
    <cellStyle name="Comma 4 4 6 2" xfId="3787" xr:uid="{00000000-0005-0000-0000-00001B0A0000}"/>
    <cellStyle name="Comma 4 4 6 2 2" xfId="8010" xr:uid="{00000000-0005-0000-0000-00001C0A0000}"/>
    <cellStyle name="Comma 4 4 6 2 2 2" xfId="16452" xr:uid="{BD62CB8A-9949-49D7-B2EE-0CB7D9A48BA9}"/>
    <cellStyle name="Comma 4 4 6 2 3" xfId="12234" xr:uid="{DD52DFF0-5899-4FAF-B838-380C338FC2EA}"/>
    <cellStyle name="Comma 4 4 6 3" xfId="5865" xr:uid="{00000000-0005-0000-0000-00001D0A0000}"/>
    <cellStyle name="Comma 4 4 6 3 2" xfId="14307" xr:uid="{5F5B2D73-3A7F-45C9-840C-B21731C76620}"/>
    <cellStyle name="Comma 4 4 6 4" xfId="10089" xr:uid="{BF3DF8B3-0705-4CE8-ABDE-CE3951AC4E4E}"/>
    <cellStyle name="Comma 4 4 7" xfId="1971" xr:uid="{00000000-0005-0000-0000-00001E0A0000}"/>
    <cellStyle name="Comma 4 4 7 2" xfId="4200" xr:uid="{00000000-0005-0000-0000-00001F0A0000}"/>
    <cellStyle name="Comma 4 4 7 2 2" xfId="8423" xr:uid="{00000000-0005-0000-0000-0000200A0000}"/>
    <cellStyle name="Comma 4 4 7 2 2 2" xfId="16865" xr:uid="{1500F280-B386-4E2A-A8D7-96751B0FE009}"/>
    <cellStyle name="Comma 4 4 7 2 3" xfId="12647" xr:uid="{6BD90BE9-CE2D-4142-94E6-EF987671E347}"/>
    <cellStyle name="Comma 4 4 7 3" xfId="6278" xr:uid="{00000000-0005-0000-0000-0000210A0000}"/>
    <cellStyle name="Comma 4 4 7 3 2" xfId="14720" xr:uid="{40949FDC-910B-4C65-8646-8F0C419E26B0}"/>
    <cellStyle name="Comma 4 4 7 4" xfId="10502" xr:uid="{949D960E-18DD-4A29-BEC9-987480712E02}"/>
    <cellStyle name="Comma 4 4 8" xfId="2406" xr:uid="{00000000-0005-0000-0000-0000220A0000}"/>
    <cellStyle name="Comma 4 4 8 2" xfId="6691" xr:uid="{00000000-0005-0000-0000-0000230A0000}"/>
    <cellStyle name="Comma 4 4 8 2 2" xfId="15133" xr:uid="{BE70E5E9-10B8-442E-AE88-C21494B6E940}"/>
    <cellStyle name="Comma 4 4 8 3" xfId="10915" xr:uid="{C7BF2692-C37E-4843-87C8-080433BFC0EA}"/>
    <cellStyle name="Comma 4 4 9" xfId="2702" xr:uid="{00000000-0005-0000-0000-0000240A0000}"/>
    <cellStyle name="Comma 4 5" xfId="157" xr:uid="{00000000-0005-0000-0000-0000250A0000}"/>
    <cellStyle name="Comma 4 5 10" xfId="4629" xr:uid="{00000000-0005-0000-0000-0000260A0000}"/>
    <cellStyle name="Comma 4 5 10 2" xfId="13071" xr:uid="{08FD535E-CEA4-4E43-91E6-299F21223077}"/>
    <cellStyle name="Comma 4 5 11" xfId="8853" xr:uid="{AE4C34E8-9049-4AAA-82F3-ACEF1A9949C6}"/>
    <cellStyle name="Comma 4 5 2" xfId="158" xr:uid="{00000000-0005-0000-0000-0000270A0000}"/>
    <cellStyle name="Comma 4 5 2 10" xfId="8854" xr:uid="{E03AA5FB-2DDA-4B80-92FF-8166997CDEF0}"/>
    <cellStyle name="Comma 4 5 2 2" xfId="695" xr:uid="{00000000-0005-0000-0000-0000280A0000}"/>
    <cellStyle name="Comma 4 5 2 2 2" xfId="2966" xr:uid="{00000000-0005-0000-0000-0000290A0000}"/>
    <cellStyle name="Comma 4 5 2 2 2 2" xfId="7189" xr:uid="{00000000-0005-0000-0000-00002A0A0000}"/>
    <cellStyle name="Comma 4 5 2 2 2 2 2" xfId="15631" xr:uid="{C7D80F72-D7E9-46AD-B2CB-5B5039DD81FF}"/>
    <cellStyle name="Comma 4 5 2 2 2 3" xfId="11413" xr:uid="{95E63C7E-1CFE-4150-9649-224C250FB248}"/>
    <cellStyle name="Comma 4 5 2 2 3" xfId="5044" xr:uid="{00000000-0005-0000-0000-00002B0A0000}"/>
    <cellStyle name="Comma 4 5 2 2 3 2" xfId="13486" xr:uid="{331E0D33-2431-41BD-8626-3D83156B3FAF}"/>
    <cellStyle name="Comma 4 5 2 2 4" xfId="9268" xr:uid="{80E1D7C6-276A-4791-8933-C3F2D440FEC7}"/>
    <cellStyle name="Comma 4 5 2 3" xfId="1148" xr:uid="{00000000-0005-0000-0000-00002C0A0000}"/>
    <cellStyle name="Comma 4 5 2 3 2" xfId="3379" xr:uid="{00000000-0005-0000-0000-00002D0A0000}"/>
    <cellStyle name="Comma 4 5 2 3 2 2" xfId="7602" xr:uid="{00000000-0005-0000-0000-00002E0A0000}"/>
    <cellStyle name="Comma 4 5 2 3 2 2 2" xfId="16044" xr:uid="{D494D3D8-7AA7-489B-8CE2-BB14C8C7A465}"/>
    <cellStyle name="Comma 4 5 2 3 2 3" xfId="11826" xr:uid="{EDD0C955-7AC9-45C3-BE33-860E90BA9AF1}"/>
    <cellStyle name="Comma 4 5 2 3 3" xfId="5457" xr:uid="{00000000-0005-0000-0000-00002F0A0000}"/>
    <cellStyle name="Comma 4 5 2 3 3 2" xfId="13899" xr:uid="{3FCB12C8-9BB4-4833-AD24-C217271A2C03}"/>
    <cellStyle name="Comma 4 5 2 3 4" xfId="9681" xr:uid="{4096AC84-EC22-42C6-93AD-722F2673E368}"/>
    <cellStyle name="Comma 4 5 2 4" xfId="1562" xr:uid="{00000000-0005-0000-0000-0000300A0000}"/>
    <cellStyle name="Comma 4 5 2 4 2" xfId="3792" xr:uid="{00000000-0005-0000-0000-0000310A0000}"/>
    <cellStyle name="Comma 4 5 2 4 2 2" xfId="8015" xr:uid="{00000000-0005-0000-0000-0000320A0000}"/>
    <cellStyle name="Comma 4 5 2 4 2 2 2" xfId="16457" xr:uid="{633DCE74-FA7B-4888-A9E5-537CF9A75D61}"/>
    <cellStyle name="Comma 4 5 2 4 2 3" xfId="12239" xr:uid="{7CDBA473-0B75-4D4A-B76A-21A0BB924603}"/>
    <cellStyle name="Comma 4 5 2 4 3" xfId="5870" xr:uid="{00000000-0005-0000-0000-0000330A0000}"/>
    <cellStyle name="Comma 4 5 2 4 3 2" xfId="14312" xr:uid="{C7252D00-F411-40A1-88CD-7374D6C91D9F}"/>
    <cellStyle name="Comma 4 5 2 4 4" xfId="10094" xr:uid="{1F5D1D1A-C9A2-4A85-9885-8F6B5930B5E7}"/>
    <cellStyle name="Comma 4 5 2 5" xfId="1976" xr:uid="{00000000-0005-0000-0000-0000340A0000}"/>
    <cellStyle name="Comma 4 5 2 5 2" xfId="4205" xr:uid="{00000000-0005-0000-0000-0000350A0000}"/>
    <cellStyle name="Comma 4 5 2 5 2 2" xfId="8428" xr:uid="{00000000-0005-0000-0000-0000360A0000}"/>
    <cellStyle name="Comma 4 5 2 5 2 2 2" xfId="16870" xr:uid="{342B5327-5F75-4D68-8D48-2DC614302974}"/>
    <cellStyle name="Comma 4 5 2 5 2 3" xfId="12652" xr:uid="{F0B8AC07-1FDF-4F8A-9677-50BD5D32FED2}"/>
    <cellStyle name="Comma 4 5 2 5 3" xfId="6283" xr:uid="{00000000-0005-0000-0000-0000370A0000}"/>
    <cellStyle name="Comma 4 5 2 5 3 2" xfId="14725" xr:uid="{3AE1A79F-CCBC-45BD-9F22-6EC655554BAD}"/>
    <cellStyle name="Comma 4 5 2 5 4" xfId="10507" xr:uid="{59F23E66-3110-448C-9574-51DCBDDD0C6D}"/>
    <cellStyle name="Comma 4 5 2 6" xfId="2411" xr:uid="{00000000-0005-0000-0000-0000380A0000}"/>
    <cellStyle name="Comma 4 5 2 6 2" xfId="6696" xr:uid="{00000000-0005-0000-0000-0000390A0000}"/>
    <cellStyle name="Comma 4 5 2 6 2 2" xfId="15138" xr:uid="{AB808950-51C2-4D4B-8777-E4CF0DFC02F8}"/>
    <cellStyle name="Comma 4 5 2 6 3" xfId="10920" xr:uid="{7AD51797-8F9C-4DC6-B4D8-46636C4FCBAE}"/>
    <cellStyle name="Comma 4 5 2 7" xfId="2707" xr:uid="{00000000-0005-0000-0000-00003A0A0000}"/>
    <cellStyle name="Comma 4 5 2 8" xfId="2789" xr:uid="{00000000-0005-0000-0000-00003B0A0000}"/>
    <cellStyle name="Comma 4 5 2 8 2" xfId="7013" xr:uid="{00000000-0005-0000-0000-00003C0A0000}"/>
    <cellStyle name="Comma 4 5 2 8 2 2" xfId="15455" xr:uid="{84BC384E-FF2A-446F-9808-2925EB70957D}"/>
    <cellStyle name="Comma 4 5 2 8 3" xfId="11237" xr:uid="{D9CD06FF-D373-4A74-934E-358D896237D4}"/>
    <cellStyle name="Comma 4 5 2 9" xfId="4630" xr:uid="{00000000-0005-0000-0000-00003D0A0000}"/>
    <cellStyle name="Comma 4 5 2 9 2" xfId="13072" xr:uid="{1CE7FEB3-D72B-4CED-83BF-CED8F12B3791}"/>
    <cellStyle name="Comma 4 5 3" xfId="694" xr:uid="{00000000-0005-0000-0000-00003E0A0000}"/>
    <cellStyle name="Comma 4 5 3 2" xfId="2965" xr:uid="{00000000-0005-0000-0000-00003F0A0000}"/>
    <cellStyle name="Comma 4 5 3 2 2" xfId="7188" xr:uid="{00000000-0005-0000-0000-0000400A0000}"/>
    <cellStyle name="Comma 4 5 3 2 2 2" xfId="15630" xr:uid="{9F687079-0BDC-4A63-872A-A57D7BD23CF7}"/>
    <cellStyle name="Comma 4 5 3 2 3" xfId="11412" xr:uid="{70D4F999-522F-4347-AB94-783AEF6C2A5E}"/>
    <cellStyle name="Comma 4 5 3 3" xfId="5043" xr:uid="{00000000-0005-0000-0000-0000410A0000}"/>
    <cellStyle name="Comma 4 5 3 3 2" xfId="13485" xr:uid="{93905B32-B6A6-43E7-A546-0A29D741F4B8}"/>
    <cellStyle name="Comma 4 5 3 4" xfId="9267" xr:uid="{77E342A0-95F5-4366-951B-8F544E8D464F}"/>
    <cellStyle name="Comma 4 5 4" xfId="1147" xr:uid="{00000000-0005-0000-0000-0000420A0000}"/>
    <cellStyle name="Comma 4 5 4 2" xfId="3378" xr:uid="{00000000-0005-0000-0000-0000430A0000}"/>
    <cellStyle name="Comma 4 5 4 2 2" xfId="7601" xr:uid="{00000000-0005-0000-0000-0000440A0000}"/>
    <cellStyle name="Comma 4 5 4 2 2 2" xfId="16043" xr:uid="{724B65EF-4BBE-40EA-90BC-FDE2B34565DD}"/>
    <cellStyle name="Comma 4 5 4 2 3" xfId="11825" xr:uid="{7F6A5620-0C60-4C05-93A1-70B14FA02088}"/>
    <cellStyle name="Comma 4 5 4 3" xfId="5456" xr:uid="{00000000-0005-0000-0000-0000450A0000}"/>
    <cellStyle name="Comma 4 5 4 3 2" xfId="13898" xr:uid="{8E6F4625-047F-4D35-A3A7-23B5300A5BDF}"/>
    <cellStyle name="Comma 4 5 4 4" xfId="9680" xr:uid="{FDE4CF33-0A38-41E2-9E68-F6FDC5726BEB}"/>
    <cellStyle name="Comma 4 5 5" xfId="1561" xr:uid="{00000000-0005-0000-0000-0000460A0000}"/>
    <cellStyle name="Comma 4 5 5 2" xfId="3791" xr:uid="{00000000-0005-0000-0000-0000470A0000}"/>
    <cellStyle name="Comma 4 5 5 2 2" xfId="8014" xr:uid="{00000000-0005-0000-0000-0000480A0000}"/>
    <cellStyle name="Comma 4 5 5 2 2 2" xfId="16456" xr:uid="{9E434774-47B0-490B-B169-6C6B7807F8E3}"/>
    <cellStyle name="Comma 4 5 5 2 3" xfId="12238" xr:uid="{DBC49EA1-65BF-4BCB-87E7-09A70265B0F4}"/>
    <cellStyle name="Comma 4 5 5 3" xfId="5869" xr:uid="{00000000-0005-0000-0000-0000490A0000}"/>
    <cellStyle name="Comma 4 5 5 3 2" xfId="14311" xr:uid="{1BDB7A7F-A7B9-46DB-BFA0-DBBE14057D28}"/>
    <cellStyle name="Comma 4 5 5 4" xfId="10093" xr:uid="{8D6AE6C8-2A94-4169-A33B-4D5F5F043F86}"/>
    <cellStyle name="Comma 4 5 6" xfId="1975" xr:uid="{00000000-0005-0000-0000-00004A0A0000}"/>
    <cellStyle name="Comma 4 5 6 2" xfId="4204" xr:uid="{00000000-0005-0000-0000-00004B0A0000}"/>
    <cellStyle name="Comma 4 5 6 2 2" xfId="8427" xr:uid="{00000000-0005-0000-0000-00004C0A0000}"/>
    <cellStyle name="Comma 4 5 6 2 2 2" xfId="16869" xr:uid="{E2DAB0E3-DB2E-429D-A612-F1F0D44D0334}"/>
    <cellStyle name="Comma 4 5 6 2 3" xfId="12651" xr:uid="{5B6569F1-79AD-462F-9A61-B7ED9F7130C8}"/>
    <cellStyle name="Comma 4 5 6 3" xfId="6282" xr:uid="{00000000-0005-0000-0000-00004D0A0000}"/>
    <cellStyle name="Comma 4 5 6 3 2" xfId="14724" xr:uid="{A8848F96-5E4F-403C-92A2-A797031A45B7}"/>
    <cellStyle name="Comma 4 5 6 4" xfId="10506" xr:uid="{DB2A7362-2F4C-4367-83EB-0B7B4D9F8BCE}"/>
    <cellStyle name="Comma 4 5 7" xfId="2410" xr:uid="{00000000-0005-0000-0000-00004E0A0000}"/>
    <cellStyle name="Comma 4 5 7 2" xfId="6695" xr:uid="{00000000-0005-0000-0000-00004F0A0000}"/>
    <cellStyle name="Comma 4 5 7 2 2" xfId="15137" xr:uid="{FB72DA13-8103-426C-BB09-D35A2A8763B2}"/>
    <cellStyle name="Comma 4 5 7 3" xfId="10919" xr:uid="{8A000507-91AD-4382-A646-401896448C45}"/>
    <cellStyle name="Comma 4 5 8" xfId="2706" xr:uid="{00000000-0005-0000-0000-0000500A0000}"/>
    <cellStyle name="Comma 4 5 9" xfId="2788" xr:uid="{00000000-0005-0000-0000-0000510A0000}"/>
    <cellStyle name="Comma 4 5 9 2" xfId="7012" xr:uid="{00000000-0005-0000-0000-0000520A0000}"/>
    <cellStyle name="Comma 4 5 9 2 2" xfId="15454" xr:uid="{85375F8D-F915-4645-943D-D4275030BB12}"/>
    <cellStyle name="Comma 4 5 9 3" xfId="11236" xr:uid="{0CB5DB4E-8913-4441-A79D-2D72F37804FA}"/>
    <cellStyle name="Comma 4 6" xfId="159" xr:uid="{00000000-0005-0000-0000-0000530A0000}"/>
    <cellStyle name="Comma 4 6 10" xfId="8855" xr:uid="{82574447-35AC-4C60-85C4-9C5B3B72688A}"/>
    <cellStyle name="Comma 4 6 2" xfId="696" xr:uid="{00000000-0005-0000-0000-0000540A0000}"/>
    <cellStyle name="Comma 4 6 2 2" xfId="2967" xr:uid="{00000000-0005-0000-0000-0000550A0000}"/>
    <cellStyle name="Comma 4 6 2 2 2" xfId="7190" xr:uid="{00000000-0005-0000-0000-0000560A0000}"/>
    <cellStyle name="Comma 4 6 2 2 2 2" xfId="15632" xr:uid="{CCDAA8DE-9116-4384-8728-8272D951180B}"/>
    <cellStyle name="Comma 4 6 2 2 3" xfId="11414" xr:uid="{0B63B415-575E-4552-9159-899753EC0E56}"/>
    <cellStyle name="Comma 4 6 2 3" xfId="5045" xr:uid="{00000000-0005-0000-0000-0000570A0000}"/>
    <cellStyle name="Comma 4 6 2 3 2" xfId="13487" xr:uid="{B02EB2AD-D882-4BD1-9897-B7AF239724FB}"/>
    <cellStyle name="Comma 4 6 2 4" xfId="9269" xr:uid="{C524D457-4E15-4B12-A3AE-95D8D9D5E758}"/>
    <cellStyle name="Comma 4 6 3" xfId="1149" xr:uid="{00000000-0005-0000-0000-0000580A0000}"/>
    <cellStyle name="Comma 4 6 3 2" xfId="3380" xr:uid="{00000000-0005-0000-0000-0000590A0000}"/>
    <cellStyle name="Comma 4 6 3 2 2" xfId="7603" xr:uid="{00000000-0005-0000-0000-00005A0A0000}"/>
    <cellStyle name="Comma 4 6 3 2 2 2" xfId="16045" xr:uid="{5118CC8F-8B8F-4874-BC8B-69FACEDE82A4}"/>
    <cellStyle name="Comma 4 6 3 2 3" xfId="11827" xr:uid="{2B5BC0FA-59B0-42FE-9689-C741B0F31578}"/>
    <cellStyle name="Comma 4 6 3 3" xfId="5458" xr:uid="{00000000-0005-0000-0000-00005B0A0000}"/>
    <cellStyle name="Comma 4 6 3 3 2" xfId="13900" xr:uid="{F9C3532B-0451-4A36-B055-24F5F8E096B3}"/>
    <cellStyle name="Comma 4 6 3 4" xfId="9682" xr:uid="{27F238FD-C769-4F2A-A768-6D67E2A579E6}"/>
    <cellStyle name="Comma 4 6 4" xfId="1563" xr:uid="{00000000-0005-0000-0000-00005C0A0000}"/>
    <cellStyle name="Comma 4 6 4 2" xfId="3793" xr:uid="{00000000-0005-0000-0000-00005D0A0000}"/>
    <cellStyle name="Comma 4 6 4 2 2" xfId="8016" xr:uid="{00000000-0005-0000-0000-00005E0A0000}"/>
    <cellStyle name="Comma 4 6 4 2 2 2" xfId="16458" xr:uid="{2991B5E9-B661-4404-80A1-02FDA3FE5D24}"/>
    <cellStyle name="Comma 4 6 4 2 3" xfId="12240" xr:uid="{2AFD3D10-D89E-4418-967B-635D648BCB61}"/>
    <cellStyle name="Comma 4 6 4 3" xfId="5871" xr:uid="{00000000-0005-0000-0000-00005F0A0000}"/>
    <cellStyle name="Comma 4 6 4 3 2" xfId="14313" xr:uid="{E4AD43DE-80AF-4C28-83C0-560B787A4980}"/>
    <cellStyle name="Comma 4 6 4 4" xfId="10095" xr:uid="{1D94A4CD-2755-437C-BF00-A6D06758FBFF}"/>
    <cellStyle name="Comma 4 6 5" xfId="1977" xr:uid="{00000000-0005-0000-0000-0000600A0000}"/>
    <cellStyle name="Comma 4 6 5 2" xfId="4206" xr:uid="{00000000-0005-0000-0000-0000610A0000}"/>
    <cellStyle name="Comma 4 6 5 2 2" xfId="8429" xr:uid="{00000000-0005-0000-0000-0000620A0000}"/>
    <cellStyle name="Comma 4 6 5 2 2 2" xfId="16871" xr:uid="{AF46A549-F1DD-4EFA-BF9E-6BF8D00CE0E7}"/>
    <cellStyle name="Comma 4 6 5 2 3" xfId="12653" xr:uid="{112A9B2D-E3EE-4E03-87E4-6B7CA9E11CB7}"/>
    <cellStyle name="Comma 4 6 5 3" xfId="6284" xr:uid="{00000000-0005-0000-0000-0000630A0000}"/>
    <cellStyle name="Comma 4 6 5 3 2" xfId="14726" xr:uid="{9317B5BA-D08B-4F9A-8BBE-8887C7ECD5CA}"/>
    <cellStyle name="Comma 4 6 5 4" xfId="10508" xr:uid="{A0A6509C-4B8F-4056-94E5-9EAA7B1ABE39}"/>
    <cellStyle name="Comma 4 6 6" xfId="2412" xr:uid="{00000000-0005-0000-0000-0000640A0000}"/>
    <cellStyle name="Comma 4 6 6 2" xfId="6697" xr:uid="{00000000-0005-0000-0000-0000650A0000}"/>
    <cellStyle name="Comma 4 6 6 2 2" xfId="15139" xr:uid="{210C491C-891B-4DAB-BB68-0A6A1B6CDB62}"/>
    <cellStyle name="Comma 4 6 6 3" xfId="10921" xr:uid="{07244C11-A750-430B-9DCA-B96AE1DBED52}"/>
    <cellStyle name="Comma 4 6 7" xfId="2708" xr:uid="{00000000-0005-0000-0000-0000660A0000}"/>
    <cellStyle name="Comma 4 6 8" xfId="2790" xr:uid="{00000000-0005-0000-0000-0000670A0000}"/>
    <cellStyle name="Comma 4 6 8 2" xfId="7014" xr:uid="{00000000-0005-0000-0000-0000680A0000}"/>
    <cellStyle name="Comma 4 6 8 2 2" xfId="15456" xr:uid="{5BAA9590-B458-43D0-B99F-21EFEC3114D5}"/>
    <cellStyle name="Comma 4 6 8 3" xfId="11238" xr:uid="{76D83332-07E9-4FEE-862D-95F68468AD83}"/>
    <cellStyle name="Comma 4 6 9" xfId="4631" xr:uid="{00000000-0005-0000-0000-0000690A0000}"/>
    <cellStyle name="Comma 4 6 9 2" xfId="13073" xr:uid="{6C0A4F01-7374-4E2F-A203-439F7D469C7D}"/>
    <cellStyle name="Comma 4 7" xfId="160" xr:uid="{00000000-0005-0000-0000-00006A0A0000}"/>
    <cellStyle name="Comma 4 7 10" xfId="8856" xr:uid="{B00722C5-4178-4538-90D8-F0A592E3FF9C}"/>
    <cellStyle name="Comma 4 7 2" xfId="697" xr:uid="{00000000-0005-0000-0000-00006B0A0000}"/>
    <cellStyle name="Comma 4 7 2 2" xfId="2968" xr:uid="{00000000-0005-0000-0000-00006C0A0000}"/>
    <cellStyle name="Comma 4 7 2 2 2" xfId="7191" xr:uid="{00000000-0005-0000-0000-00006D0A0000}"/>
    <cellStyle name="Comma 4 7 2 2 2 2" xfId="15633" xr:uid="{98D52F20-2D79-4BBC-ACF2-8FC1460BB19E}"/>
    <cellStyle name="Comma 4 7 2 2 3" xfId="11415" xr:uid="{6F908D92-BC5A-47B4-82A3-70788B748004}"/>
    <cellStyle name="Comma 4 7 2 3" xfId="5046" xr:uid="{00000000-0005-0000-0000-00006E0A0000}"/>
    <cellStyle name="Comma 4 7 2 3 2" xfId="13488" xr:uid="{1BB85831-0D9B-4DEB-877C-5E2650F0E43F}"/>
    <cellStyle name="Comma 4 7 2 4" xfId="9270" xr:uid="{74FBDE07-2351-48FB-A6F7-86A169ECD75B}"/>
    <cellStyle name="Comma 4 7 3" xfId="1150" xr:uid="{00000000-0005-0000-0000-00006F0A0000}"/>
    <cellStyle name="Comma 4 7 3 2" xfId="3381" xr:uid="{00000000-0005-0000-0000-0000700A0000}"/>
    <cellStyle name="Comma 4 7 3 2 2" xfId="7604" xr:uid="{00000000-0005-0000-0000-0000710A0000}"/>
    <cellStyle name="Comma 4 7 3 2 2 2" xfId="16046" xr:uid="{6FF96C82-E79F-4AF2-A08F-DDDA775698A0}"/>
    <cellStyle name="Comma 4 7 3 2 3" xfId="11828" xr:uid="{938853F0-18D0-435A-A578-2B8699C8092A}"/>
    <cellStyle name="Comma 4 7 3 3" xfId="5459" xr:uid="{00000000-0005-0000-0000-0000720A0000}"/>
    <cellStyle name="Comma 4 7 3 3 2" xfId="13901" xr:uid="{CA340980-833B-4581-9720-5BF70EDFFE3F}"/>
    <cellStyle name="Comma 4 7 3 4" xfId="9683" xr:uid="{6E3C2A54-462F-47C1-A379-A4DE37C4A97E}"/>
    <cellStyle name="Comma 4 7 4" xfId="1564" xr:uid="{00000000-0005-0000-0000-0000730A0000}"/>
    <cellStyle name="Comma 4 7 4 2" xfId="3794" xr:uid="{00000000-0005-0000-0000-0000740A0000}"/>
    <cellStyle name="Comma 4 7 4 2 2" xfId="8017" xr:uid="{00000000-0005-0000-0000-0000750A0000}"/>
    <cellStyle name="Comma 4 7 4 2 2 2" xfId="16459" xr:uid="{DD6CE26E-66BA-4574-B791-779C78BF3BBF}"/>
    <cellStyle name="Comma 4 7 4 2 3" xfId="12241" xr:uid="{89E1393F-C783-4C9A-A681-2636A0202EC6}"/>
    <cellStyle name="Comma 4 7 4 3" xfId="5872" xr:uid="{00000000-0005-0000-0000-0000760A0000}"/>
    <cellStyle name="Comma 4 7 4 3 2" xfId="14314" xr:uid="{6CBBE89B-D49C-49A0-9190-45126C8F3E10}"/>
    <cellStyle name="Comma 4 7 4 4" xfId="10096" xr:uid="{F8977D1E-F498-4835-8A75-6383ABDD405B}"/>
    <cellStyle name="Comma 4 7 5" xfId="1978" xr:uid="{00000000-0005-0000-0000-0000770A0000}"/>
    <cellStyle name="Comma 4 7 5 2" xfId="4207" xr:uid="{00000000-0005-0000-0000-0000780A0000}"/>
    <cellStyle name="Comma 4 7 5 2 2" xfId="8430" xr:uid="{00000000-0005-0000-0000-0000790A0000}"/>
    <cellStyle name="Comma 4 7 5 2 2 2" xfId="16872" xr:uid="{3B0A76F9-25B5-445D-8FF2-AA22C81647EE}"/>
    <cellStyle name="Comma 4 7 5 2 3" xfId="12654" xr:uid="{3A89CEC3-EE6D-4054-8C0A-05DE85D999C8}"/>
    <cellStyle name="Comma 4 7 5 3" xfId="6285" xr:uid="{00000000-0005-0000-0000-00007A0A0000}"/>
    <cellStyle name="Comma 4 7 5 3 2" xfId="14727" xr:uid="{40164B37-2CB3-481C-81A3-5326B99AE039}"/>
    <cellStyle name="Comma 4 7 5 4" xfId="10509" xr:uid="{A9D740BA-D8C7-4EB3-A4E9-53E603DD28DB}"/>
    <cellStyle name="Comma 4 7 6" xfId="2413" xr:uid="{00000000-0005-0000-0000-00007B0A0000}"/>
    <cellStyle name="Comma 4 7 6 2" xfId="6698" xr:uid="{00000000-0005-0000-0000-00007C0A0000}"/>
    <cellStyle name="Comma 4 7 6 2 2" xfId="15140" xr:uid="{C68409F4-083A-4499-8FE6-E9EAB89E7AF8}"/>
    <cellStyle name="Comma 4 7 6 3" xfId="10922" xr:uid="{52BEF34A-124D-46D6-92F9-3A3D191E68C2}"/>
    <cellStyle name="Comma 4 7 7" xfId="2709" xr:uid="{00000000-0005-0000-0000-00007D0A0000}"/>
    <cellStyle name="Comma 4 7 8" xfId="2791" xr:uid="{00000000-0005-0000-0000-00007E0A0000}"/>
    <cellStyle name="Comma 4 7 8 2" xfId="7015" xr:uid="{00000000-0005-0000-0000-00007F0A0000}"/>
    <cellStyle name="Comma 4 7 8 2 2" xfId="15457" xr:uid="{84F94B47-307E-4F7C-A4C2-1AEFBF20F7FB}"/>
    <cellStyle name="Comma 4 7 8 3" xfId="11239" xr:uid="{5632D385-F694-44F9-8F53-DC05BB6BEB60}"/>
    <cellStyle name="Comma 4 7 9" xfId="4632" xr:uid="{00000000-0005-0000-0000-0000800A0000}"/>
    <cellStyle name="Comma 4 7 9 2" xfId="13074" xr:uid="{335C3DDC-218A-446C-97A5-86046DC82058}"/>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2" xr:uid="{25F14CE0-6069-44E6-9D01-262808F66905}"/>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17159" xr:uid="{F3198AC6-FB6F-4D96-BA33-C1762EA7ACD1}"/>
    <cellStyle name="Currency 14 3" xfId="8720" xr:uid="{729B09A7-2394-4D7C-912C-1471FB3455A3}"/>
    <cellStyle name="Currency 14 3 2" xfId="8724" xr:uid="{1945FB0F-31EC-4D98-B64C-BAFBADA341A1}"/>
    <cellStyle name="Currency 14 3 2 2" xfId="8727" xr:uid="{03BA8DEE-11D2-406B-B26D-8EE163916FB0}"/>
    <cellStyle name="Currency 14 3 2 2 2" xfId="17168" xr:uid="{BF14233F-0BD9-41A1-8D06-8A06F5D324F2}"/>
    <cellStyle name="Currency 14 3 2 3" xfId="17165" xr:uid="{22FBB391-E646-4527-9006-79253CF48ABF}"/>
    <cellStyle name="Currency 14 3 3" xfId="17162" xr:uid="{4D0F264B-7488-4C25-AAD0-9D87BD7A2882}"/>
    <cellStyle name="Currency 14 4" xfId="12945" xr:uid="{6C6E2446-3106-4BE1-BDB8-12ACD490D255}"/>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15458" xr:uid="{CC1FCF86-0D8B-4A60-BB9E-E906218EF8C8}"/>
    <cellStyle name="Currency 3 2 2 10 3" xfId="11240" xr:uid="{C6D4F7B8-D01B-4467-BFE9-9754FF52159D}"/>
    <cellStyle name="Currency 3 2 2 11" xfId="4633" xr:uid="{00000000-0005-0000-0000-0000A50A0000}"/>
    <cellStyle name="Currency 3 2 2 11 2" xfId="13075" xr:uid="{3ACA4BDF-9F82-46CC-93AE-EFC6D750FF69}"/>
    <cellStyle name="Currency 3 2 2 12" xfId="8857" xr:uid="{C545B4CC-5B38-451C-B299-944039A3B810}"/>
    <cellStyle name="Currency 3 2 2 2" xfId="179" xr:uid="{00000000-0005-0000-0000-0000A60A0000}"/>
    <cellStyle name="Currency 3 2 2 2 10" xfId="4634" xr:uid="{00000000-0005-0000-0000-0000A70A0000}"/>
    <cellStyle name="Currency 3 2 2 2 10 2" xfId="13076" xr:uid="{7A8F9D1D-511B-483C-BCCE-9EDDFCECB9C7}"/>
    <cellStyle name="Currency 3 2 2 2 11" xfId="8858" xr:uid="{97CE50A6-340A-4B08-A0AA-1DA543DFF47A}"/>
    <cellStyle name="Currency 3 2 2 2 2" xfId="180" xr:uid="{00000000-0005-0000-0000-0000A80A0000}"/>
    <cellStyle name="Currency 3 2 2 2 2 10" xfId="8859" xr:uid="{31BFF8D7-26A0-402D-A6FA-4B3AF6382C0F}"/>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15636" xr:uid="{03B32966-D3D7-499F-8804-DE57731262EE}"/>
    <cellStyle name="Currency 3 2 2 2 2 2 2 3" xfId="11418" xr:uid="{282671EA-0E74-4722-AC9F-667060358457}"/>
    <cellStyle name="Currency 3 2 2 2 2 2 3" xfId="5049" xr:uid="{00000000-0005-0000-0000-0000AC0A0000}"/>
    <cellStyle name="Currency 3 2 2 2 2 2 3 2" xfId="13491" xr:uid="{F897C66F-8A64-4CFE-85A8-01209D2C0878}"/>
    <cellStyle name="Currency 3 2 2 2 2 2 4" xfId="9273" xr:uid="{5D7A6AF0-997A-4BDA-9D83-DBC10EED9EA7}"/>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16049" xr:uid="{B81B05B4-0D5A-4780-AE04-61DD4234077B}"/>
    <cellStyle name="Currency 3 2 2 2 2 3 2 3" xfId="11831" xr:uid="{AE881E50-2C82-4335-8372-0FF240624557}"/>
    <cellStyle name="Currency 3 2 2 2 2 3 3" xfId="5462" xr:uid="{00000000-0005-0000-0000-0000B00A0000}"/>
    <cellStyle name="Currency 3 2 2 2 2 3 3 2" xfId="13904" xr:uid="{41D85DFE-5A93-4557-AA09-DAE49D228FDB}"/>
    <cellStyle name="Currency 3 2 2 2 2 3 4" xfId="9686" xr:uid="{932A2509-5444-41FF-802E-E3E85656EB19}"/>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16462" xr:uid="{4213ED60-C283-4D91-8FCB-95CFDB7B6D33}"/>
    <cellStyle name="Currency 3 2 2 2 2 4 2 3" xfId="12244" xr:uid="{EC012FEA-C71B-4BFA-864F-0541B93903C4}"/>
    <cellStyle name="Currency 3 2 2 2 2 4 3" xfId="5875" xr:uid="{00000000-0005-0000-0000-0000B40A0000}"/>
    <cellStyle name="Currency 3 2 2 2 2 4 3 2" xfId="14317" xr:uid="{D9032964-7A9C-44AF-BC81-0E21995DE884}"/>
    <cellStyle name="Currency 3 2 2 2 2 4 4" xfId="10099" xr:uid="{456A0FE0-A63B-4974-836E-E4D39877929D}"/>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16875" xr:uid="{6C7F953A-16D1-40A9-B980-748EC23C39BC}"/>
    <cellStyle name="Currency 3 2 2 2 2 5 2 3" xfId="12657" xr:uid="{712A6470-2FFB-4814-8120-156EB83146C5}"/>
    <cellStyle name="Currency 3 2 2 2 2 5 3" xfId="6288" xr:uid="{00000000-0005-0000-0000-0000B80A0000}"/>
    <cellStyle name="Currency 3 2 2 2 2 5 3 2" xfId="14730" xr:uid="{6FF1F775-98FF-42A1-9968-B854560D310C}"/>
    <cellStyle name="Currency 3 2 2 2 2 5 4" xfId="10512" xr:uid="{562FF4A1-2DD6-413D-AD85-1EC57E315537}"/>
    <cellStyle name="Currency 3 2 2 2 2 6" xfId="2416" xr:uid="{00000000-0005-0000-0000-0000B90A0000}"/>
    <cellStyle name="Currency 3 2 2 2 2 6 2" xfId="6701" xr:uid="{00000000-0005-0000-0000-0000BA0A0000}"/>
    <cellStyle name="Currency 3 2 2 2 2 6 2 2" xfId="15143" xr:uid="{EEF35294-6E62-4A28-8A62-222B2581AA55}"/>
    <cellStyle name="Currency 3 2 2 2 2 6 3" xfId="10925" xr:uid="{BA43674D-A1E7-4505-8470-CA47F18C9C3E}"/>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15460" xr:uid="{208C76EF-A1E6-4A04-955A-C32798843878}"/>
    <cellStyle name="Currency 3 2 2 2 2 8 3" xfId="11242" xr:uid="{564D4A30-3FCB-4164-99A2-39ACE21AFAE7}"/>
    <cellStyle name="Currency 3 2 2 2 2 9" xfId="4635" xr:uid="{00000000-0005-0000-0000-0000BE0A0000}"/>
    <cellStyle name="Currency 3 2 2 2 2 9 2" xfId="13077" xr:uid="{D856EA60-D0C8-44FB-ABB6-407F2F13121A}"/>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15635" xr:uid="{448462D7-658E-4866-B6E0-8057FD705CA4}"/>
    <cellStyle name="Currency 3 2 2 2 3 2 3" xfId="11417" xr:uid="{60AC4A36-989F-4261-B0C1-259291EB99B3}"/>
    <cellStyle name="Currency 3 2 2 2 3 3" xfId="5048" xr:uid="{00000000-0005-0000-0000-0000C20A0000}"/>
    <cellStyle name="Currency 3 2 2 2 3 3 2" xfId="13490" xr:uid="{F5F98BE5-B419-47AD-B054-303CE1AE7275}"/>
    <cellStyle name="Currency 3 2 2 2 3 4" xfId="9272" xr:uid="{089E7C57-DF1D-4142-9CCA-CFD70A12A413}"/>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16048" xr:uid="{2B0649FD-F0C9-403C-AC6F-24023A630D75}"/>
    <cellStyle name="Currency 3 2 2 2 4 2 3" xfId="11830" xr:uid="{99FF280B-4FA7-4815-8683-7AF0F435A3EB}"/>
    <cellStyle name="Currency 3 2 2 2 4 3" xfId="5461" xr:uid="{00000000-0005-0000-0000-0000C60A0000}"/>
    <cellStyle name="Currency 3 2 2 2 4 3 2" xfId="13903" xr:uid="{1D95D3E7-908B-4526-80CE-1DAC9B13E4F5}"/>
    <cellStyle name="Currency 3 2 2 2 4 4" xfId="9685" xr:uid="{E8B57699-9F74-4A4A-9767-B12FBFCE807D}"/>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16461" xr:uid="{E6DA5C5F-2023-433F-B77F-B6214CAACE50}"/>
    <cellStyle name="Currency 3 2 2 2 5 2 3" xfId="12243" xr:uid="{671AFA50-DBC4-4F15-9897-D5AFDA22A36A}"/>
    <cellStyle name="Currency 3 2 2 2 5 3" xfId="5874" xr:uid="{00000000-0005-0000-0000-0000CA0A0000}"/>
    <cellStyle name="Currency 3 2 2 2 5 3 2" xfId="14316" xr:uid="{A4857194-CEA4-489B-86FC-172F106BA819}"/>
    <cellStyle name="Currency 3 2 2 2 5 4" xfId="10098" xr:uid="{34FA7978-A831-432D-845C-99BFF5BE9F77}"/>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16874" xr:uid="{14E3D8DB-8BB0-461C-91C9-41518EE1BAA2}"/>
    <cellStyle name="Currency 3 2 2 2 6 2 3" xfId="12656" xr:uid="{20B74431-6F65-44D7-92F2-1FC1F107179F}"/>
    <cellStyle name="Currency 3 2 2 2 6 3" xfId="6287" xr:uid="{00000000-0005-0000-0000-0000CE0A0000}"/>
    <cellStyle name="Currency 3 2 2 2 6 3 2" xfId="14729" xr:uid="{A636D9A1-0675-453B-BFC0-8764ECE82C45}"/>
    <cellStyle name="Currency 3 2 2 2 6 4" xfId="10511" xr:uid="{7E1CD609-DFC8-456E-9A89-F25B28624804}"/>
    <cellStyle name="Currency 3 2 2 2 7" xfId="2415" xr:uid="{00000000-0005-0000-0000-0000CF0A0000}"/>
    <cellStyle name="Currency 3 2 2 2 7 2" xfId="6700" xr:uid="{00000000-0005-0000-0000-0000D00A0000}"/>
    <cellStyle name="Currency 3 2 2 2 7 2 2" xfId="15142" xr:uid="{BE27DBB3-267C-4748-BCDD-12B70D4B43F8}"/>
    <cellStyle name="Currency 3 2 2 2 7 3" xfId="10924" xr:uid="{BA8E02F9-47A8-4022-A5BD-33D351CF76F9}"/>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15459" xr:uid="{07DCEF62-34E1-4940-AE65-06F3C929435D}"/>
    <cellStyle name="Currency 3 2 2 2 9 3" xfId="11241" xr:uid="{BED6D973-64EB-491F-909B-BA4890D5A799}"/>
    <cellStyle name="Currency 3 2 2 3" xfId="181" xr:uid="{00000000-0005-0000-0000-0000D40A0000}"/>
    <cellStyle name="Currency 3 2 2 3 10" xfId="8860" xr:uid="{9420A451-FE38-45B5-BA13-B1124703E12D}"/>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15637" xr:uid="{B897AE72-9718-4188-9AE3-88422C1D42C3}"/>
    <cellStyle name="Currency 3 2 2 3 2 2 3" xfId="11419" xr:uid="{D6C48A99-DB5D-4781-A077-784A8706DD6F}"/>
    <cellStyle name="Currency 3 2 2 3 2 3" xfId="5050" xr:uid="{00000000-0005-0000-0000-0000D80A0000}"/>
    <cellStyle name="Currency 3 2 2 3 2 3 2" xfId="13492" xr:uid="{C55437C4-AF9A-4FC8-A444-D1B562D0A250}"/>
    <cellStyle name="Currency 3 2 2 3 2 4" xfId="9274" xr:uid="{D0B3E823-91B9-4EE7-ABF1-4826E2851597}"/>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16050" xr:uid="{435ED995-38F8-4A68-B8F2-46F2E4FF339D}"/>
    <cellStyle name="Currency 3 2 2 3 3 2 3" xfId="11832" xr:uid="{CB09C0D9-B00D-4387-B29A-535379225009}"/>
    <cellStyle name="Currency 3 2 2 3 3 3" xfId="5463" xr:uid="{00000000-0005-0000-0000-0000DC0A0000}"/>
    <cellStyle name="Currency 3 2 2 3 3 3 2" xfId="13905" xr:uid="{D6867A60-D13F-412F-ACF2-8094F2C3C6AD}"/>
    <cellStyle name="Currency 3 2 2 3 3 4" xfId="9687" xr:uid="{9512EDA4-5B71-4BF3-ACDE-08C9A249C041}"/>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16463" xr:uid="{79FDC967-A62B-49E0-AA9C-BDACEEB6FF25}"/>
    <cellStyle name="Currency 3 2 2 3 4 2 3" xfId="12245" xr:uid="{4650FD99-81A6-4F1B-AFCA-7C4660DE45B0}"/>
    <cellStyle name="Currency 3 2 2 3 4 3" xfId="5876" xr:uid="{00000000-0005-0000-0000-0000E00A0000}"/>
    <cellStyle name="Currency 3 2 2 3 4 3 2" xfId="14318" xr:uid="{8CB8C7FC-8186-482D-BA29-4F3FF105C750}"/>
    <cellStyle name="Currency 3 2 2 3 4 4" xfId="10100" xr:uid="{82801548-B256-4AD0-8944-5D8926CF27F6}"/>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16876" xr:uid="{2FF93ED1-A364-4492-9D22-DDE88DBDB279}"/>
    <cellStyle name="Currency 3 2 2 3 5 2 3" xfId="12658" xr:uid="{EB5B47E3-4F78-4769-8CDD-D63436D9A040}"/>
    <cellStyle name="Currency 3 2 2 3 5 3" xfId="6289" xr:uid="{00000000-0005-0000-0000-0000E40A0000}"/>
    <cellStyle name="Currency 3 2 2 3 5 3 2" xfId="14731" xr:uid="{4B003635-5A91-4586-9556-1B0BB1095DAE}"/>
    <cellStyle name="Currency 3 2 2 3 5 4" xfId="10513" xr:uid="{54B33381-DF63-4CD9-A66F-4C9765A5D1C2}"/>
    <cellStyle name="Currency 3 2 2 3 6" xfId="2417" xr:uid="{00000000-0005-0000-0000-0000E50A0000}"/>
    <cellStyle name="Currency 3 2 2 3 6 2" xfId="6702" xr:uid="{00000000-0005-0000-0000-0000E60A0000}"/>
    <cellStyle name="Currency 3 2 2 3 6 2 2" xfId="15144" xr:uid="{5DED5F00-6503-4EB4-8FE1-2DEBAB6DC34A}"/>
    <cellStyle name="Currency 3 2 2 3 6 3" xfId="10926" xr:uid="{7DBA8E33-6E3D-494C-B686-3FE70740B2DC}"/>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15461" xr:uid="{6944DB4D-E094-4728-AFF9-00BF7E37FFFC}"/>
    <cellStyle name="Currency 3 2 2 3 8 3" xfId="11243" xr:uid="{43180BD0-A6F1-4749-BAB0-06C5509CAAA6}"/>
    <cellStyle name="Currency 3 2 2 3 9" xfId="4636" xr:uid="{00000000-0005-0000-0000-0000EA0A0000}"/>
    <cellStyle name="Currency 3 2 2 3 9 2" xfId="13078" xr:uid="{1E059D9D-3A46-486F-B334-5C748BD680AC}"/>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15634" xr:uid="{2921D6B6-0AA8-4A95-91A3-81578629EDD2}"/>
    <cellStyle name="Currency 3 2 2 4 2 3" xfId="11416" xr:uid="{4731ED9E-A8F6-4B67-B3CF-C1A58A9EF902}"/>
    <cellStyle name="Currency 3 2 2 4 3" xfId="5047" xr:uid="{00000000-0005-0000-0000-0000EE0A0000}"/>
    <cellStyle name="Currency 3 2 2 4 3 2" xfId="13489" xr:uid="{6E053EB4-A14B-41F9-835F-E26B912EA2BD}"/>
    <cellStyle name="Currency 3 2 2 4 4" xfId="9271" xr:uid="{77D4D08D-7922-4FB6-8178-6CE31532BBDC}"/>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16047" xr:uid="{6DDA0CDF-910D-4F74-9DA1-31953E0B9752}"/>
    <cellStyle name="Currency 3 2 2 5 2 3" xfId="11829" xr:uid="{D0715796-D28C-4A57-B5CF-51AF3D42BC9D}"/>
    <cellStyle name="Currency 3 2 2 5 3" xfId="5460" xr:uid="{00000000-0005-0000-0000-0000F20A0000}"/>
    <cellStyle name="Currency 3 2 2 5 3 2" xfId="13902" xr:uid="{9CF5479E-F38A-4256-BAD8-50C0D39DE91E}"/>
    <cellStyle name="Currency 3 2 2 5 4" xfId="9684" xr:uid="{85E74BDC-775D-49E4-B080-C32DF01D821B}"/>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16460" xr:uid="{112FBD83-936F-4444-AA94-D13C66BB0920}"/>
    <cellStyle name="Currency 3 2 2 6 2 3" xfId="12242" xr:uid="{1D79537D-E9E7-417D-ACAF-36A880E33AAA}"/>
    <cellStyle name="Currency 3 2 2 6 3" xfId="5873" xr:uid="{00000000-0005-0000-0000-0000F60A0000}"/>
    <cellStyle name="Currency 3 2 2 6 3 2" xfId="14315" xr:uid="{B905298F-C18D-4AB2-8D1B-EA44BC592CBE}"/>
    <cellStyle name="Currency 3 2 2 6 4" xfId="10097" xr:uid="{84746A43-776F-41D6-A85F-CB68F1EB1E84}"/>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16873" xr:uid="{B9985C81-FDBA-4073-92DC-AD0B6590FDD5}"/>
    <cellStyle name="Currency 3 2 2 7 2 3" xfId="12655" xr:uid="{4FAD03DD-D5AD-4123-AE1A-58E824E13521}"/>
    <cellStyle name="Currency 3 2 2 7 3" xfId="6286" xr:uid="{00000000-0005-0000-0000-0000FA0A0000}"/>
    <cellStyle name="Currency 3 2 2 7 3 2" xfId="14728" xr:uid="{B1DF1137-739E-4A28-9968-8D8EC8A8DC54}"/>
    <cellStyle name="Currency 3 2 2 7 4" xfId="10510" xr:uid="{69978430-B57E-423C-857D-9193111B8F52}"/>
    <cellStyle name="Currency 3 2 2 8" xfId="2414" xr:uid="{00000000-0005-0000-0000-0000FB0A0000}"/>
    <cellStyle name="Currency 3 2 2 8 2" xfId="6699" xr:uid="{00000000-0005-0000-0000-0000FC0A0000}"/>
    <cellStyle name="Currency 3 2 2 8 2 2" xfId="15141" xr:uid="{3892F577-2E71-4B05-BA00-2235D3ACCA35}"/>
    <cellStyle name="Currency 3 2 2 8 3" xfId="10923" xr:uid="{E51E1E67-FAED-4E2C-8A3A-CCD3FFD1C29B}"/>
    <cellStyle name="Currency 3 2 2 9" xfId="2711" xr:uid="{00000000-0005-0000-0000-0000FD0A0000}"/>
    <cellStyle name="Currency 3 2 3" xfId="182" xr:uid="{00000000-0005-0000-0000-0000FE0A0000}"/>
    <cellStyle name="Currency 3 2 3 10" xfId="4637" xr:uid="{00000000-0005-0000-0000-0000FF0A0000}"/>
    <cellStyle name="Currency 3 2 3 10 2" xfId="13079" xr:uid="{34ABBE20-4FFD-4575-A12F-51CD7236D121}"/>
    <cellStyle name="Currency 3 2 3 11" xfId="8861" xr:uid="{2AA959F0-6C06-4DDA-AAF0-2D55ACD6AE16}"/>
    <cellStyle name="Currency 3 2 3 2" xfId="183" xr:uid="{00000000-0005-0000-0000-0000000B0000}"/>
    <cellStyle name="Currency 3 2 3 2 10" xfId="8862" xr:uid="{B11F3F2C-D5F6-4B99-858B-0D45669EA129}"/>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15639" xr:uid="{7EE9D055-DA1C-4089-8085-96A96A3E213A}"/>
    <cellStyle name="Currency 3 2 3 2 2 2 3" xfId="11421" xr:uid="{1F1DF590-E7C3-44B9-8622-52BB3318898C}"/>
    <cellStyle name="Currency 3 2 3 2 2 3" xfId="5052" xr:uid="{00000000-0005-0000-0000-0000040B0000}"/>
    <cellStyle name="Currency 3 2 3 2 2 3 2" xfId="13494" xr:uid="{89BBAB0D-0A4A-485D-9B2E-7EC96E857ED6}"/>
    <cellStyle name="Currency 3 2 3 2 2 4" xfId="9276" xr:uid="{C6BD4081-C7E0-4DDB-949B-70C147D0E646}"/>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16052" xr:uid="{9A819CC1-7FD0-4DAF-8C23-1342CAF4C873}"/>
    <cellStyle name="Currency 3 2 3 2 3 2 3" xfId="11834" xr:uid="{185966DF-47EF-4445-BB12-18B0F79A14B1}"/>
    <cellStyle name="Currency 3 2 3 2 3 3" xfId="5465" xr:uid="{00000000-0005-0000-0000-0000080B0000}"/>
    <cellStyle name="Currency 3 2 3 2 3 3 2" xfId="13907" xr:uid="{985FFF79-E33F-4522-9623-BB189A7DA560}"/>
    <cellStyle name="Currency 3 2 3 2 3 4" xfId="9689" xr:uid="{4A2C5FD8-93AC-41E0-B2D1-3FB4CB76B968}"/>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16465" xr:uid="{7D8F52B1-AF6A-4876-A6BB-981FC1EB5412}"/>
    <cellStyle name="Currency 3 2 3 2 4 2 3" xfId="12247" xr:uid="{3B420097-35D4-4871-9240-492CE47893EE}"/>
    <cellStyle name="Currency 3 2 3 2 4 3" xfId="5878" xr:uid="{00000000-0005-0000-0000-00000C0B0000}"/>
    <cellStyle name="Currency 3 2 3 2 4 3 2" xfId="14320" xr:uid="{F8A9A1EC-FE00-4BF9-B09E-A428F3602B55}"/>
    <cellStyle name="Currency 3 2 3 2 4 4" xfId="10102" xr:uid="{AA3DD4E3-E88E-400B-8E49-0642E2155A05}"/>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16878" xr:uid="{C5FA6F9F-2E05-412C-B2BD-732BF55724F5}"/>
    <cellStyle name="Currency 3 2 3 2 5 2 3" xfId="12660" xr:uid="{85935D19-9CF8-4897-A3D9-85F22E030085}"/>
    <cellStyle name="Currency 3 2 3 2 5 3" xfId="6291" xr:uid="{00000000-0005-0000-0000-0000100B0000}"/>
    <cellStyle name="Currency 3 2 3 2 5 3 2" xfId="14733" xr:uid="{AE2E5D97-EE1C-419C-9BF4-AB48C61B8E0B}"/>
    <cellStyle name="Currency 3 2 3 2 5 4" xfId="10515" xr:uid="{C4519D8E-5D7C-49DF-B0E4-606CC8B8622D}"/>
    <cellStyle name="Currency 3 2 3 2 6" xfId="2419" xr:uid="{00000000-0005-0000-0000-0000110B0000}"/>
    <cellStyle name="Currency 3 2 3 2 6 2" xfId="6704" xr:uid="{00000000-0005-0000-0000-0000120B0000}"/>
    <cellStyle name="Currency 3 2 3 2 6 2 2" xfId="15146" xr:uid="{518C420E-3399-4C1A-83D8-0B9ED13EFF28}"/>
    <cellStyle name="Currency 3 2 3 2 6 3" xfId="10928" xr:uid="{42046470-6965-4256-8679-7178A5BFCB4A}"/>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15463" xr:uid="{D04B5DAF-A1AB-4308-A624-0A3DD67C63FA}"/>
    <cellStyle name="Currency 3 2 3 2 8 3" xfId="11245" xr:uid="{D4EDF1E6-509A-417F-A7CD-AC34341E5246}"/>
    <cellStyle name="Currency 3 2 3 2 9" xfId="4638" xr:uid="{00000000-0005-0000-0000-0000160B0000}"/>
    <cellStyle name="Currency 3 2 3 2 9 2" xfId="13080" xr:uid="{E4CCD407-CA79-441D-A29D-ABA512007467}"/>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15638" xr:uid="{93F5F1E6-D2A4-4B7C-8B04-B2C837A4B2D8}"/>
    <cellStyle name="Currency 3 2 3 3 2 3" xfId="11420" xr:uid="{17D009D2-7A0A-4121-B902-83DA695A800F}"/>
    <cellStyle name="Currency 3 2 3 3 3" xfId="5051" xr:uid="{00000000-0005-0000-0000-00001A0B0000}"/>
    <cellStyle name="Currency 3 2 3 3 3 2" xfId="13493" xr:uid="{C02E5C53-6CB6-47D4-B48F-3FC6C5C12AA6}"/>
    <cellStyle name="Currency 3 2 3 3 4" xfId="9275" xr:uid="{48742DDB-A76C-491D-9DBA-4A033FE31308}"/>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16051" xr:uid="{AE7CAD8A-4F8E-4B8A-82DD-EDAEF171E3B1}"/>
    <cellStyle name="Currency 3 2 3 4 2 3" xfId="11833" xr:uid="{2561818C-E7DA-4CF5-8B7E-79222E8B52A0}"/>
    <cellStyle name="Currency 3 2 3 4 3" xfId="5464" xr:uid="{00000000-0005-0000-0000-00001E0B0000}"/>
    <cellStyle name="Currency 3 2 3 4 3 2" xfId="13906" xr:uid="{42CD408E-E092-4031-86C5-94DFC16B0A8A}"/>
    <cellStyle name="Currency 3 2 3 4 4" xfId="9688" xr:uid="{3AD8C9BD-A3C6-4A5E-8BF2-FF7074903710}"/>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16464" xr:uid="{1357DB87-48A8-4C60-92B3-2840F2B622D6}"/>
    <cellStyle name="Currency 3 2 3 5 2 3" xfId="12246" xr:uid="{2300D1EB-87E2-4E33-9231-B944DCCB50C8}"/>
    <cellStyle name="Currency 3 2 3 5 3" xfId="5877" xr:uid="{00000000-0005-0000-0000-0000220B0000}"/>
    <cellStyle name="Currency 3 2 3 5 3 2" xfId="14319" xr:uid="{F1BE2EA9-2BBD-49E3-AF80-49C3077F8682}"/>
    <cellStyle name="Currency 3 2 3 5 4" xfId="10101" xr:uid="{E90F263C-FB32-46A7-AB06-A1ABC36123A6}"/>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16877" xr:uid="{3ADCF34A-7DE2-4784-B4DE-39513EDAE641}"/>
    <cellStyle name="Currency 3 2 3 6 2 3" xfId="12659" xr:uid="{93F61DE4-F02F-46EC-8429-87B00F5E5305}"/>
    <cellStyle name="Currency 3 2 3 6 3" xfId="6290" xr:uid="{00000000-0005-0000-0000-0000260B0000}"/>
    <cellStyle name="Currency 3 2 3 6 3 2" xfId="14732" xr:uid="{1ED12321-68C0-4DF1-AACF-B1AE3139A922}"/>
    <cellStyle name="Currency 3 2 3 6 4" xfId="10514" xr:uid="{CAADA14A-6BC2-4008-BF57-DFC457E239B5}"/>
    <cellStyle name="Currency 3 2 3 7" xfId="2418" xr:uid="{00000000-0005-0000-0000-0000270B0000}"/>
    <cellStyle name="Currency 3 2 3 7 2" xfId="6703" xr:uid="{00000000-0005-0000-0000-0000280B0000}"/>
    <cellStyle name="Currency 3 2 3 7 2 2" xfId="15145" xr:uid="{CD62EC77-137D-43B9-BB71-E968FC46E5CA}"/>
    <cellStyle name="Currency 3 2 3 7 3" xfId="10927" xr:uid="{1C427C88-A158-4B62-819F-0D054885ACD8}"/>
    <cellStyle name="Currency 3 2 3 8" xfId="2715" xr:uid="{00000000-0005-0000-0000-0000290B0000}"/>
    <cellStyle name="Currency 3 2 3 9" xfId="2796" xr:uid="{00000000-0005-0000-0000-00002A0B0000}"/>
    <cellStyle name="Currency 3 2 3 9 2" xfId="7020" xr:uid="{00000000-0005-0000-0000-00002B0B0000}"/>
    <cellStyle name="Currency 3 2 3 9 2 2" xfId="15462" xr:uid="{C17FEF95-BA40-4159-A54B-490D12B76EB8}"/>
    <cellStyle name="Currency 3 2 3 9 3" xfId="11244" xr:uid="{5A3BFC17-9C87-424B-8DA1-73DF6981B1B2}"/>
    <cellStyle name="Currency 3 2 4" xfId="184" xr:uid="{00000000-0005-0000-0000-00002C0B0000}"/>
    <cellStyle name="Currency 3 2 4 10" xfId="8863" xr:uid="{C3A3B4FD-577F-40B3-9F02-C35211E03D11}"/>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15640" xr:uid="{8ABE0353-5A9F-4FAA-A9A7-3D1146A5DB51}"/>
    <cellStyle name="Currency 3 2 4 2 2 3" xfId="11422" xr:uid="{29B17D4E-DABB-44B4-BDE7-E424371D0401}"/>
    <cellStyle name="Currency 3 2 4 2 3" xfId="5053" xr:uid="{00000000-0005-0000-0000-0000300B0000}"/>
    <cellStyle name="Currency 3 2 4 2 3 2" xfId="13495" xr:uid="{F21B955A-6C4F-450D-BC42-592947A7C313}"/>
    <cellStyle name="Currency 3 2 4 2 4" xfId="9277" xr:uid="{4C0D5076-0237-43FF-A558-01A1ECC0E18A}"/>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16053" xr:uid="{AC4EF17C-6F9C-4827-AE5C-1B4837D3D941}"/>
    <cellStyle name="Currency 3 2 4 3 2 3" xfId="11835" xr:uid="{0DBB186B-1191-4FD6-98CC-CE07EB55816F}"/>
    <cellStyle name="Currency 3 2 4 3 3" xfId="5466" xr:uid="{00000000-0005-0000-0000-0000340B0000}"/>
    <cellStyle name="Currency 3 2 4 3 3 2" xfId="13908" xr:uid="{47D16B22-8EAB-466E-896C-D955B4D8C1A3}"/>
    <cellStyle name="Currency 3 2 4 3 4" xfId="9690" xr:uid="{7F3AC429-EB01-4A05-8754-D8C3DC38E306}"/>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16466" xr:uid="{D980D325-F523-4A84-86F7-140A71D6585E}"/>
    <cellStyle name="Currency 3 2 4 4 2 3" xfId="12248" xr:uid="{8A6314ED-7F08-4B8E-AA5C-1D9E3CDD0E2A}"/>
    <cellStyle name="Currency 3 2 4 4 3" xfId="5879" xr:uid="{00000000-0005-0000-0000-0000380B0000}"/>
    <cellStyle name="Currency 3 2 4 4 3 2" xfId="14321" xr:uid="{A0034EAF-3917-4D7D-84B3-03EE756FF0D5}"/>
    <cellStyle name="Currency 3 2 4 4 4" xfId="10103" xr:uid="{7891EA0F-808B-40CC-82E0-A8E64B1C6316}"/>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16879" xr:uid="{BFA4DECA-2DA6-4EF3-9397-FEAA2656BE98}"/>
    <cellStyle name="Currency 3 2 4 5 2 3" xfId="12661" xr:uid="{32832778-1A0A-4ECB-9100-23D535C83D78}"/>
    <cellStyle name="Currency 3 2 4 5 3" xfId="6292" xr:uid="{00000000-0005-0000-0000-00003C0B0000}"/>
    <cellStyle name="Currency 3 2 4 5 3 2" xfId="14734" xr:uid="{A64A194C-7B24-4D43-AE73-4BEC9E3B8EEE}"/>
    <cellStyle name="Currency 3 2 4 5 4" xfId="10516" xr:uid="{0EF1B64A-3AAE-40CE-9599-42EDAADC690E}"/>
    <cellStyle name="Currency 3 2 4 6" xfId="2420" xr:uid="{00000000-0005-0000-0000-00003D0B0000}"/>
    <cellStyle name="Currency 3 2 4 6 2" xfId="6705" xr:uid="{00000000-0005-0000-0000-00003E0B0000}"/>
    <cellStyle name="Currency 3 2 4 6 2 2" xfId="15147" xr:uid="{23D09B9B-F97F-45FC-9E03-14B8E3CC4979}"/>
    <cellStyle name="Currency 3 2 4 6 3" xfId="10929" xr:uid="{B29B68D3-DCFA-4126-892A-D06E357EB6BF}"/>
    <cellStyle name="Currency 3 2 4 7" xfId="2717" xr:uid="{00000000-0005-0000-0000-00003F0B0000}"/>
    <cellStyle name="Currency 3 2 4 8" xfId="2798" xr:uid="{00000000-0005-0000-0000-0000400B0000}"/>
    <cellStyle name="Currency 3 2 4 8 2" xfId="7022" xr:uid="{00000000-0005-0000-0000-0000410B0000}"/>
    <cellStyle name="Currency 3 2 4 8 2 2" xfId="15464" xr:uid="{AEE4C4A4-A681-408D-8C97-B1EE37552BEF}"/>
    <cellStyle name="Currency 3 2 4 8 3" xfId="11246" xr:uid="{513D6B1F-12B0-4D09-9249-8721196B7D14}"/>
    <cellStyle name="Currency 3 2 4 9" xfId="4639" xr:uid="{00000000-0005-0000-0000-0000420B0000}"/>
    <cellStyle name="Currency 3 2 4 9 2" xfId="13081" xr:uid="{0233E5B9-EC5E-4D20-B2A1-9FBB4835FC4C}"/>
    <cellStyle name="Currency 3 2 5" xfId="185" xr:uid="{00000000-0005-0000-0000-0000430B0000}"/>
    <cellStyle name="Currency 3 2 5 10" xfId="8864" xr:uid="{B9F4B3DB-F25B-461E-B877-C47B079E64AA}"/>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15641" xr:uid="{58AA3A08-5396-4101-9702-FE5A419A8F1A}"/>
    <cellStyle name="Currency 3 2 5 2 2 3" xfId="11423" xr:uid="{ACE94945-7AF5-4D8C-8595-497462218D8D}"/>
    <cellStyle name="Currency 3 2 5 2 3" xfId="5054" xr:uid="{00000000-0005-0000-0000-0000470B0000}"/>
    <cellStyle name="Currency 3 2 5 2 3 2" xfId="13496" xr:uid="{E095043A-8050-4825-895B-FDA920C3DE77}"/>
    <cellStyle name="Currency 3 2 5 2 4" xfId="9278" xr:uid="{9F2A3666-1533-4DE2-B7B2-601FAE2944DA}"/>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16054" xr:uid="{9C09CEFD-EE5B-4D6B-A2D4-F70FE8E50EA7}"/>
    <cellStyle name="Currency 3 2 5 3 2 3" xfId="11836" xr:uid="{1E665294-5ECB-4020-B5DF-985F44110EFC}"/>
    <cellStyle name="Currency 3 2 5 3 3" xfId="5467" xr:uid="{00000000-0005-0000-0000-00004B0B0000}"/>
    <cellStyle name="Currency 3 2 5 3 3 2" xfId="13909" xr:uid="{693BFEFE-A2FE-42CB-980A-6EB0B9E576CD}"/>
    <cellStyle name="Currency 3 2 5 3 4" xfId="9691" xr:uid="{A82B58C5-EC80-4FF2-9BC6-08E8E80980A8}"/>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16467" xr:uid="{0E1E4590-0D19-4C2D-8D6E-13B375E6F1E0}"/>
    <cellStyle name="Currency 3 2 5 4 2 3" xfId="12249" xr:uid="{690B7F60-6CCA-42CC-8E32-88058BF1C9E8}"/>
    <cellStyle name="Currency 3 2 5 4 3" xfId="5880" xr:uid="{00000000-0005-0000-0000-00004F0B0000}"/>
    <cellStyle name="Currency 3 2 5 4 3 2" xfId="14322" xr:uid="{8836D7AF-3975-479A-AEB0-4B66932FF2B1}"/>
    <cellStyle name="Currency 3 2 5 4 4" xfId="10104" xr:uid="{525E9FE2-66A1-4DA1-92C6-A315869756A6}"/>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16880" xr:uid="{DFFAED4D-8690-4D6F-8F8B-B413EDC45B2B}"/>
    <cellStyle name="Currency 3 2 5 5 2 3" xfId="12662" xr:uid="{5811EFD8-36B5-4735-9AAC-B67B9810070E}"/>
    <cellStyle name="Currency 3 2 5 5 3" xfId="6293" xr:uid="{00000000-0005-0000-0000-0000530B0000}"/>
    <cellStyle name="Currency 3 2 5 5 3 2" xfId="14735" xr:uid="{3C2F4CA8-9145-4200-87E7-AF747052DDD6}"/>
    <cellStyle name="Currency 3 2 5 5 4" xfId="10517" xr:uid="{AA7A18A3-CBDF-4569-A101-D3021CEF81DE}"/>
    <cellStyle name="Currency 3 2 5 6" xfId="2421" xr:uid="{00000000-0005-0000-0000-0000540B0000}"/>
    <cellStyle name="Currency 3 2 5 6 2" xfId="6706" xr:uid="{00000000-0005-0000-0000-0000550B0000}"/>
    <cellStyle name="Currency 3 2 5 6 2 2" xfId="15148" xr:uid="{64A5C004-33BB-4E31-85AF-64EC622E3B7B}"/>
    <cellStyle name="Currency 3 2 5 6 3" xfId="10930" xr:uid="{E7ED0C64-C9E0-4A8D-B16E-188B7C0C211C}"/>
    <cellStyle name="Currency 3 2 5 7" xfId="2718" xr:uid="{00000000-0005-0000-0000-0000560B0000}"/>
    <cellStyle name="Currency 3 2 5 8" xfId="2799" xr:uid="{00000000-0005-0000-0000-0000570B0000}"/>
    <cellStyle name="Currency 3 2 5 8 2" xfId="7023" xr:uid="{00000000-0005-0000-0000-0000580B0000}"/>
    <cellStyle name="Currency 3 2 5 8 2 2" xfId="15465" xr:uid="{C0A157EF-8961-4CFF-831E-AB098D42BC0F}"/>
    <cellStyle name="Currency 3 2 5 8 3" xfId="11247" xr:uid="{1BA768E4-48E6-4243-9A09-9DDF54292CC5}"/>
    <cellStyle name="Currency 3 2 5 9" xfId="4640" xr:uid="{00000000-0005-0000-0000-0000590B0000}"/>
    <cellStyle name="Currency 3 2 5 9 2" xfId="13082" xr:uid="{E0CAA301-90C9-4E2D-80D7-0E26C6B12A8D}"/>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15466" xr:uid="{6F74EEE3-C34C-48AF-8AE8-3FA46E9EF56F}"/>
    <cellStyle name="Currency 5 2 2 2 10 3" xfId="11248" xr:uid="{6119CC9D-5E76-413F-A9B5-F80CC3DFAA66}"/>
    <cellStyle name="Currency 5 2 2 2 11" xfId="4641" xr:uid="{00000000-0005-0000-0000-00006C0B0000}"/>
    <cellStyle name="Currency 5 2 2 2 11 2" xfId="13083" xr:uid="{86FEDA15-A59B-4D25-9FFD-3688AA417B4E}"/>
    <cellStyle name="Currency 5 2 2 2 12" xfId="8865" xr:uid="{3BF12098-8BD0-4A8A-B01E-C1AA9078113E}"/>
    <cellStyle name="Currency 5 2 2 2 2" xfId="197" xr:uid="{00000000-0005-0000-0000-00006D0B0000}"/>
    <cellStyle name="Currency 5 2 2 2 2 10" xfId="4642" xr:uid="{00000000-0005-0000-0000-00006E0B0000}"/>
    <cellStyle name="Currency 5 2 2 2 2 10 2" xfId="13084" xr:uid="{64455D14-3C4F-4EC9-A8F9-0BE8876E1297}"/>
    <cellStyle name="Currency 5 2 2 2 2 11" xfId="8866" xr:uid="{9C17A9FE-BD21-4E52-B0D3-940425271B23}"/>
    <cellStyle name="Currency 5 2 2 2 2 2" xfId="198" xr:uid="{00000000-0005-0000-0000-00006F0B0000}"/>
    <cellStyle name="Currency 5 2 2 2 2 2 10" xfId="8867" xr:uid="{95D9CFFA-4A74-4E81-ADE7-DC4D32DB2685}"/>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15644" xr:uid="{FB4A446F-0A5F-494A-89CF-B353BEA267DC}"/>
    <cellStyle name="Currency 5 2 2 2 2 2 2 2 3" xfId="11426" xr:uid="{CC79EAB0-714A-49CA-A45F-D3C385502F29}"/>
    <cellStyle name="Currency 5 2 2 2 2 2 2 3" xfId="5057" xr:uid="{00000000-0005-0000-0000-0000730B0000}"/>
    <cellStyle name="Currency 5 2 2 2 2 2 2 3 2" xfId="13499" xr:uid="{499237C9-FD42-43EB-B4B5-090281D4D3E8}"/>
    <cellStyle name="Currency 5 2 2 2 2 2 2 4" xfId="9281" xr:uid="{608A3EFD-BEA3-4507-B841-2EE88B6F22D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16057" xr:uid="{0026087A-DACA-4BA5-AF32-3EE75FF7BD40}"/>
    <cellStyle name="Currency 5 2 2 2 2 2 3 2 3" xfId="11839" xr:uid="{3176EE7D-B2EF-462A-8A3E-AFA32FBBF62F}"/>
    <cellStyle name="Currency 5 2 2 2 2 2 3 3" xfId="5470" xr:uid="{00000000-0005-0000-0000-0000770B0000}"/>
    <cellStyle name="Currency 5 2 2 2 2 2 3 3 2" xfId="13912" xr:uid="{8EAC0C39-E5EA-41A2-8CBE-665DFE120204}"/>
    <cellStyle name="Currency 5 2 2 2 2 2 3 4" xfId="9694" xr:uid="{E034722D-2323-4182-8360-79D3A7404932}"/>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16470" xr:uid="{FBD23C0B-079B-4EC1-ADC2-E01F51645A69}"/>
    <cellStyle name="Currency 5 2 2 2 2 2 4 2 3" xfId="12252" xr:uid="{B5218540-23B4-4C3D-9FDE-B7E0B44203EA}"/>
    <cellStyle name="Currency 5 2 2 2 2 2 4 3" xfId="5883" xr:uid="{00000000-0005-0000-0000-00007B0B0000}"/>
    <cellStyle name="Currency 5 2 2 2 2 2 4 3 2" xfId="14325" xr:uid="{0C2D1BE1-CDEA-46AE-9C3A-1AB48D004C2A}"/>
    <cellStyle name="Currency 5 2 2 2 2 2 4 4" xfId="10107" xr:uid="{3E862854-859E-42AE-B744-18ADF41724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16883" xr:uid="{0C0F7855-CAA2-4E4B-83E2-102A35943D71}"/>
    <cellStyle name="Currency 5 2 2 2 2 2 5 2 3" xfId="12665" xr:uid="{A85953B3-0C5B-4E78-9244-4339C8770339}"/>
    <cellStyle name="Currency 5 2 2 2 2 2 5 3" xfId="6296" xr:uid="{00000000-0005-0000-0000-00007F0B0000}"/>
    <cellStyle name="Currency 5 2 2 2 2 2 5 3 2" xfId="14738" xr:uid="{63F96649-9059-4A5D-B22D-EFD69AAB3E30}"/>
    <cellStyle name="Currency 5 2 2 2 2 2 5 4" xfId="10520" xr:uid="{9F265639-2A5C-4E8C-8383-0D3BE7F80AB2}"/>
    <cellStyle name="Currency 5 2 2 2 2 2 6" xfId="2424" xr:uid="{00000000-0005-0000-0000-0000800B0000}"/>
    <cellStyle name="Currency 5 2 2 2 2 2 6 2" xfId="6709" xr:uid="{00000000-0005-0000-0000-0000810B0000}"/>
    <cellStyle name="Currency 5 2 2 2 2 2 6 2 2" xfId="15151" xr:uid="{BEFD93E2-ABD9-4022-B197-FABDD87D32FE}"/>
    <cellStyle name="Currency 5 2 2 2 2 2 6 3" xfId="10933" xr:uid="{83FA917B-A36F-4D3B-8C2F-BBDD4E7845E5}"/>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15468" xr:uid="{211B0483-D1C0-4404-9725-E5DA4104B337}"/>
    <cellStyle name="Currency 5 2 2 2 2 2 8 3" xfId="11250" xr:uid="{3D8BA8A4-2D42-4479-B757-7662F3D6E525}"/>
    <cellStyle name="Currency 5 2 2 2 2 2 9" xfId="4643" xr:uid="{00000000-0005-0000-0000-0000850B0000}"/>
    <cellStyle name="Currency 5 2 2 2 2 2 9 2" xfId="13085" xr:uid="{70D26F39-5BD9-401F-ACD7-7A2449975D0E}"/>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15643" xr:uid="{CDF7985E-CCE0-466D-B69D-39B685CC6792}"/>
    <cellStyle name="Currency 5 2 2 2 2 3 2 3" xfId="11425" xr:uid="{59CE7795-BF6F-4686-8784-C2C5315CF28A}"/>
    <cellStyle name="Currency 5 2 2 2 2 3 3" xfId="5056" xr:uid="{00000000-0005-0000-0000-0000890B0000}"/>
    <cellStyle name="Currency 5 2 2 2 2 3 3 2" xfId="13498" xr:uid="{C768D64E-D7FE-4D7C-BCD1-99A3D3CE032B}"/>
    <cellStyle name="Currency 5 2 2 2 2 3 4" xfId="9280" xr:uid="{FC709A9D-8B91-4E6A-B92A-00A7A6CDA9E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16056" xr:uid="{969E5ADB-AD61-425C-B21D-07581C8A7D87}"/>
    <cellStyle name="Currency 5 2 2 2 2 4 2 3" xfId="11838" xr:uid="{37E4E971-E49F-418F-AC60-778E9CD49A46}"/>
    <cellStyle name="Currency 5 2 2 2 2 4 3" xfId="5469" xr:uid="{00000000-0005-0000-0000-00008D0B0000}"/>
    <cellStyle name="Currency 5 2 2 2 2 4 3 2" xfId="13911" xr:uid="{898A4A76-57B4-4582-9FC3-E9CF0C1CBEAE}"/>
    <cellStyle name="Currency 5 2 2 2 2 4 4" xfId="9693" xr:uid="{A140B7F6-95F2-42B2-9CC9-6B315D123C09}"/>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16469" xr:uid="{69EF07D7-A09F-4D3C-B60C-FD23D3744A0B}"/>
    <cellStyle name="Currency 5 2 2 2 2 5 2 3" xfId="12251" xr:uid="{6ABF7E15-4342-4D46-9455-3A090256D409}"/>
    <cellStyle name="Currency 5 2 2 2 2 5 3" xfId="5882" xr:uid="{00000000-0005-0000-0000-0000910B0000}"/>
    <cellStyle name="Currency 5 2 2 2 2 5 3 2" xfId="14324" xr:uid="{9BD0C319-EB7E-4D13-BD3E-658D77BB3400}"/>
    <cellStyle name="Currency 5 2 2 2 2 5 4" xfId="10106" xr:uid="{C114FD0B-FB81-4D26-8366-5C0E56368028}"/>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16882" xr:uid="{5441632C-D8B7-4B51-97EC-B9A812370E84}"/>
    <cellStyle name="Currency 5 2 2 2 2 6 2 3" xfId="12664" xr:uid="{467858A5-560C-490D-AEDF-83FF932DFBAD}"/>
    <cellStyle name="Currency 5 2 2 2 2 6 3" xfId="6295" xr:uid="{00000000-0005-0000-0000-0000950B0000}"/>
    <cellStyle name="Currency 5 2 2 2 2 6 3 2" xfId="14737" xr:uid="{5CF0015E-0B8F-4BA9-B849-0184A0460481}"/>
    <cellStyle name="Currency 5 2 2 2 2 6 4" xfId="10519" xr:uid="{2273349B-B728-4627-A12A-8CF7E844A0CD}"/>
    <cellStyle name="Currency 5 2 2 2 2 7" xfId="2423" xr:uid="{00000000-0005-0000-0000-0000960B0000}"/>
    <cellStyle name="Currency 5 2 2 2 2 7 2" xfId="6708" xr:uid="{00000000-0005-0000-0000-0000970B0000}"/>
    <cellStyle name="Currency 5 2 2 2 2 7 2 2" xfId="15150" xr:uid="{1C39BE06-7D2F-45FC-A454-D269048C2493}"/>
    <cellStyle name="Currency 5 2 2 2 2 7 3" xfId="10932" xr:uid="{7A3318EE-66CC-46B8-9FC7-EE738B68C26B}"/>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15467" xr:uid="{23E7BAB5-6507-4B23-968F-2127177B944E}"/>
    <cellStyle name="Currency 5 2 2 2 2 9 3" xfId="11249" xr:uid="{A40A1BCF-8F82-40A7-B9B3-65A72F554D2C}"/>
    <cellStyle name="Currency 5 2 2 2 3" xfId="199" xr:uid="{00000000-0005-0000-0000-00009B0B0000}"/>
    <cellStyle name="Currency 5 2 2 2 3 10" xfId="8868" xr:uid="{7A087D9B-EC3C-47D6-8880-F4B55CC451BC}"/>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15645" xr:uid="{58F33CF4-FAF9-4EE4-A643-2670436E50F6}"/>
    <cellStyle name="Currency 5 2 2 2 3 2 2 3" xfId="11427" xr:uid="{F38EB906-4ED2-4DF5-B1C9-1BDDB52F6C5A}"/>
    <cellStyle name="Currency 5 2 2 2 3 2 3" xfId="5058" xr:uid="{00000000-0005-0000-0000-00009F0B0000}"/>
    <cellStyle name="Currency 5 2 2 2 3 2 3 2" xfId="13500" xr:uid="{920DC700-9CB6-495F-A09E-47C058B9AA6E}"/>
    <cellStyle name="Currency 5 2 2 2 3 2 4" xfId="9282" xr:uid="{218DCB15-D9E5-49F1-800C-C2F72DE046AF}"/>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16058" xr:uid="{D805F9EA-FE02-4CB8-A039-DE248626B6A5}"/>
    <cellStyle name="Currency 5 2 2 2 3 3 2 3" xfId="11840" xr:uid="{63B8754D-E6A7-4878-8184-530AFE9A3621}"/>
    <cellStyle name="Currency 5 2 2 2 3 3 3" xfId="5471" xr:uid="{00000000-0005-0000-0000-0000A30B0000}"/>
    <cellStyle name="Currency 5 2 2 2 3 3 3 2" xfId="13913" xr:uid="{495A24A3-BA69-4545-8328-C620B2D11B90}"/>
    <cellStyle name="Currency 5 2 2 2 3 3 4" xfId="9695" xr:uid="{81A77C4D-6D38-41D1-AE34-134E2783782C}"/>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16471" xr:uid="{7B3C51ED-C774-4148-B59A-8B00C7EA6A30}"/>
    <cellStyle name="Currency 5 2 2 2 3 4 2 3" xfId="12253" xr:uid="{4E34D493-95E4-47A2-A0A5-05716B0A93DF}"/>
    <cellStyle name="Currency 5 2 2 2 3 4 3" xfId="5884" xr:uid="{00000000-0005-0000-0000-0000A70B0000}"/>
    <cellStyle name="Currency 5 2 2 2 3 4 3 2" xfId="14326" xr:uid="{E28A3437-81E1-44F6-8360-3A82EEDD558D}"/>
    <cellStyle name="Currency 5 2 2 2 3 4 4" xfId="10108" xr:uid="{E4E3D390-94C4-4F5C-817A-17D870E72F64}"/>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16884" xr:uid="{8CBE884B-B863-4A8E-BBEA-B2AB692FB09D}"/>
    <cellStyle name="Currency 5 2 2 2 3 5 2 3" xfId="12666" xr:uid="{ABB3645F-4C1C-42C9-92A0-778D0686B22B}"/>
    <cellStyle name="Currency 5 2 2 2 3 5 3" xfId="6297" xr:uid="{00000000-0005-0000-0000-0000AB0B0000}"/>
    <cellStyle name="Currency 5 2 2 2 3 5 3 2" xfId="14739" xr:uid="{C467EBEC-8C03-4AA7-A9AA-FA796D87DAC6}"/>
    <cellStyle name="Currency 5 2 2 2 3 5 4" xfId="10521" xr:uid="{D1C7F01E-14F9-4071-893B-6294C15255F5}"/>
    <cellStyle name="Currency 5 2 2 2 3 6" xfId="2425" xr:uid="{00000000-0005-0000-0000-0000AC0B0000}"/>
    <cellStyle name="Currency 5 2 2 2 3 6 2" xfId="6710" xr:uid="{00000000-0005-0000-0000-0000AD0B0000}"/>
    <cellStyle name="Currency 5 2 2 2 3 6 2 2" xfId="15152" xr:uid="{CA67A052-B836-427C-A773-507326A384AC}"/>
    <cellStyle name="Currency 5 2 2 2 3 6 3" xfId="10934" xr:uid="{7D0BABE3-ACB8-4295-B7DB-B54EC2D5993A}"/>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15469" xr:uid="{7E14EABD-6F8C-40B1-A9A8-86C11AB9174F}"/>
    <cellStyle name="Currency 5 2 2 2 3 8 3" xfId="11251" xr:uid="{C4292D4D-BEC2-45E8-8F64-5333E1B0614F}"/>
    <cellStyle name="Currency 5 2 2 2 3 9" xfId="4644" xr:uid="{00000000-0005-0000-0000-0000B10B0000}"/>
    <cellStyle name="Currency 5 2 2 2 3 9 2" xfId="13086" xr:uid="{1CE1A626-73E6-466B-B027-F062275B2D1D}"/>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15642" xr:uid="{6FE13148-D4F7-4DF1-837B-EB96AD55628F}"/>
    <cellStyle name="Currency 5 2 2 2 4 2 3" xfId="11424" xr:uid="{ACBF9795-2DDF-42AA-B353-80645B4529EE}"/>
    <cellStyle name="Currency 5 2 2 2 4 3" xfId="5055" xr:uid="{00000000-0005-0000-0000-0000B50B0000}"/>
    <cellStyle name="Currency 5 2 2 2 4 3 2" xfId="13497" xr:uid="{FA7D4571-3A50-4D2A-9A6B-058388F57769}"/>
    <cellStyle name="Currency 5 2 2 2 4 4" xfId="9279" xr:uid="{EAD0A765-CFAE-46C1-8029-288D3755F0C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16055" xr:uid="{7E3A72A7-F400-482B-8DB2-1D4902286A90}"/>
    <cellStyle name="Currency 5 2 2 2 5 2 3" xfId="11837" xr:uid="{73ED1013-0CD2-402A-8807-92585F87E45E}"/>
    <cellStyle name="Currency 5 2 2 2 5 3" xfId="5468" xr:uid="{00000000-0005-0000-0000-0000B90B0000}"/>
    <cellStyle name="Currency 5 2 2 2 5 3 2" xfId="13910" xr:uid="{E30FFAF5-0A62-4999-8AB9-AECDA63AFD26}"/>
    <cellStyle name="Currency 5 2 2 2 5 4" xfId="9692" xr:uid="{7C3F61E5-C324-45F0-85F8-0A9782A4069A}"/>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16468" xr:uid="{E60577A2-0441-442F-8EAF-C6FF60418934}"/>
    <cellStyle name="Currency 5 2 2 2 6 2 3" xfId="12250" xr:uid="{A8F6CDD3-ACE1-457A-8A95-5B90A0C3C1E1}"/>
    <cellStyle name="Currency 5 2 2 2 6 3" xfId="5881" xr:uid="{00000000-0005-0000-0000-0000BD0B0000}"/>
    <cellStyle name="Currency 5 2 2 2 6 3 2" xfId="14323" xr:uid="{8E1872C3-841A-415B-85F2-44A3E5E20DCB}"/>
    <cellStyle name="Currency 5 2 2 2 6 4" xfId="10105" xr:uid="{C30536C0-AE2A-4D6E-9F6C-B017C1B5504F}"/>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16881" xr:uid="{81D8EA7F-114A-40F6-9EDC-B5E6D098AE99}"/>
    <cellStyle name="Currency 5 2 2 2 7 2 3" xfId="12663" xr:uid="{3264F2B3-E369-4E6C-B631-ADA034298B7E}"/>
    <cellStyle name="Currency 5 2 2 2 7 3" xfId="6294" xr:uid="{00000000-0005-0000-0000-0000C10B0000}"/>
    <cellStyle name="Currency 5 2 2 2 7 3 2" xfId="14736" xr:uid="{A2B79858-AD8C-4738-8CD6-1C9881029319}"/>
    <cellStyle name="Currency 5 2 2 2 7 4" xfId="10518" xr:uid="{1A38E820-5AA2-4140-957A-DCCA43F95D6E}"/>
    <cellStyle name="Currency 5 2 2 2 8" xfId="2422" xr:uid="{00000000-0005-0000-0000-0000C20B0000}"/>
    <cellStyle name="Currency 5 2 2 2 8 2" xfId="6707" xr:uid="{00000000-0005-0000-0000-0000C30B0000}"/>
    <cellStyle name="Currency 5 2 2 2 8 2 2" xfId="15149" xr:uid="{97A3DD12-3963-47C0-926A-B4A795EC82E9}"/>
    <cellStyle name="Currency 5 2 2 2 8 3" xfId="10931" xr:uid="{2DFCBFB6-9DF0-4EAE-B7A9-CFFC1CF587AC}"/>
    <cellStyle name="Currency 5 2 2 2 9" xfId="2719" xr:uid="{00000000-0005-0000-0000-0000C40B0000}"/>
    <cellStyle name="Currency 5 2 2 3" xfId="200" xr:uid="{00000000-0005-0000-0000-0000C50B0000}"/>
    <cellStyle name="Currency 5 2 2 3 10" xfId="4645" xr:uid="{00000000-0005-0000-0000-0000C60B0000}"/>
    <cellStyle name="Currency 5 2 2 3 10 2" xfId="13087" xr:uid="{78A349BF-6067-4B8F-9E6D-A1EB367FA8CC}"/>
    <cellStyle name="Currency 5 2 2 3 11" xfId="8869" xr:uid="{E71131F0-1885-4B3A-938C-06F8997A13E3}"/>
    <cellStyle name="Currency 5 2 2 3 2" xfId="201" xr:uid="{00000000-0005-0000-0000-0000C70B0000}"/>
    <cellStyle name="Currency 5 2 2 3 2 10" xfId="8870" xr:uid="{AED4D34B-B509-4928-896A-2A8ABF3261A4}"/>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15647" xr:uid="{187CEDBD-AD78-4344-BE17-30D352DF37CF}"/>
    <cellStyle name="Currency 5 2 2 3 2 2 2 3" xfId="11429" xr:uid="{0E9211D0-4256-4A98-8EF5-058FD8C5E092}"/>
    <cellStyle name="Currency 5 2 2 3 2 2 3" xfId="5060" xr:uid="{00000000-0005-0000-0000-0000CB0B0000}"/>
    <cellStyle name="Currency 5 2 2 3 2 2 3 2" xfId="13502" xr:uid="{749DDCB9-AD89-4984-96DD-C266863F73BA}"/>
    <cellStyle name="Currency 5 2 2 3 2 2 4" xfId="9284" xr:uid="{DB3B02B1-722B-4CA4-8DBF-ED1F327F98EB}"/>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16060" xr:uid="{E96B7D00-0FB8-4793-B30F-F5DAACB88EFF}"/>
    <cellStyle name="Currency 5 2 2 3 2 3 2 3" xfId="11842" xr:uid="{95861464-7CD5-4C39-817C-E45064B76C92}"/>
    <cellStyle name="Currency 5 2 2 3 2 3 3" xfId="5473" xr:uid="{00000000-0005-0000-0000-0000CF0B0000}"/>
    <cellStyle name="Currency 5 2 2 3 2 3 3 2" xfId="13915" xr:uid="{8A86A51B-3080-4249-A836-27C19D609563}"/>
    <cellStyle name="Currency 5 2 2 3 2 3 4" xfId="9697" xr:uid="{2595D815-F8FC-4A46-9117-B6DF9EE2DDF1}"/>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16473" xr:uid="{DAAD39FD-1D2B-40D4-B78D-7D492C0A0320}"/>
    <cellStyle name="Currency 5 2 2 3 2 4 2 3" xfId="12255" xr:uid="{026A47FE-6C96-4B6B-8E98-15FBF709B2E6}"/>
    <cellStyle name="Currency 5 2 2 3 2 4 3" xfId="5886" xr:uid="{00000000-0005-0000-0000-0000D30B0000}"/>
    <cellStyle name="Currency 5 2 2 3 2 4 3 2" xfId="14328" xr:uid="{A9BA8CE6-085D-4581-A15D-E2153DA5BD9E}"/>
    <cellStyle name="Currency 5 2 2 3 2 4 4" xfId="10110" xr:uid="{38865239-B534-49BA-BC2B-8E49C82D8389}"/>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16886" xr:uid="{C91FF25C-6375-4E3B-8E3A-8C2BFE02A586}"/>
    <cellStyle name="Currency 5 2 2 3 2 5 2 3" xfId="12668" xr:uid="{7D8B3468-7904-412D-822E-04CC366A6074}"/>
    <cellStyle name="Currency 5 2 2 3 2 5 3" xfId="6299" xr:uid="{00000000-0005-0000-0000-0000D70B0000}"/>
    <cellStyle name="Currency 5 2 2 3 2 5 3 2" xfId="14741" xr:uid="{721BF4DF-C335-4F36-8258-B7E926078442}"/>
    <cellStyle name="Currency 5 2 2 3 2 5 4" xfId="10523" xr:uid="{EEFEDD5C-E7FA-4BD3-A571-B0B605E8A034}"/>
    <cellStyle name="Currency 5 2 2 3 2 6" xfId="2427" xr:uid="{00000000-0005-0000-0000-0000D80B0000}"/>
    <cellStyle name="Currency 5 2 2 3 2 6 2" xfId="6712" xr:uid="{00000000-0005-0000-0000-0000D90B0000}"/>
    <cellStyle name="Currency 5 2 2 3 2 6 2 2" xfId="15154" xr:uid="{893A45C8-F9CF-45A5-B783-64A595874D4D}"/>
    <cellStyle name="Currency 5 2 2 3 2 6 3" xfId="10936" xr:uid="{19E09679-5953-4255-BC8B-634C1F475AAB}"/>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15471" xr:uid="{11A0AD32-2371-4C50-AE65-7D0B7A9C3681}"/>
    <cellStyle name="Currency 5 2 2 3 2 8 3" xfId="11253" xr:uid="{AAFD9459-DAA5-41BD-ABD9-DACCB98C8C2B}"/>
    <cellStyle name="Currency 5 2 2 3 2 9" xfId="4646" xr:uid="{00000000-0005-0000-0000-0000DD0B0000}"/>
    <cellStyle name="Currency 5 2 2 3 2 9 2" xfId="13088" xr:uid="{FCCEE1A4-9D5C-47DC-84F1-29D44E18DFDE}"/>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15646" xr:uid="{2C0331E7-EFFD-499E-ADE5-B10939BAA905}"/>
    <cellStyle name="Currency 5 2 2 3 3 2 3" xfId="11428" xr:uid="{4B517491-2C18-4263-9D7C-A4F133C203B5}"/>
    <cellStyle name="Currency 5 2 2 3 3 3" xfId="5059" xr:uid="{00000000-0005-0000-0000-0000E10B0000}"/>
    <cellStyle name="Currency 5 2 2 3 3 3 2" xfId="13501" xr:uid="{EDE1F2B2-6390-46EC-9093-698EA1189689}"/>
    <cellStyle name="Currency 5 2 2 3 3 4" xfId="9283" xr:uid="{4CB331F0-65BF-4C96-87F2-02B7CFE509CD}"/>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16059" xr:uid="{5CFA7A84-4E2C-4E69-B3E0-8FEFCEBC0ECB}"/>
    <cellStyle name="Currency 5 2 2 3 4 2 3" xfId="11841" xr:uid="{A1487574-4E87-49C4-85E6-788F5AA66127}"/>
    <cellStyle name="Currency 5 2 2 3 4 3" xfId="5472" xr:uid="{00000000-0005-0000-0000-0000E50B0000}"/>
    <cellStyle name="Currency 5 2 2 3 4 3 2" xfId="13914" xr:uid="{1C85BB1A-C5FC-414B-9C01-7A07D00CD82A}"/>
    <cellStyle name="Currency 5 2 2 3 4 4" xfId="9696" xr:uid="{8DF263E2-E853-4B42-A068-92EED7E3D892}"/>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16472" xr:uid="{189AA99A-9358-47E4-AAFE-D0C5E5F0BF79}"/>
    <cellStyle name="Currency 5 2 2 3 5 2 3" xfId="12254" xr:uid="{F29967DF-333B-42C5-9C1A-A8AF7D7FCFD4}"/>
    <cellStyle name="Currency 5 2 2 3 5 3" xfId="5885" xr:uid="{00000000-0005-0000-0000-0000E90B0000}"/>
    <cellStyle name="Currency 5 2 2 3 5 3 2" xfId="14327" xr:uid="{FC67D01E-F3BB-43A6-9688-921F1639E56F}"/>
    <cellStyle name="Currency 5 2 2 3 5 4" xfId="10109" xr:uid="{B6A1D839-1C3F-486C-8861-B39FA60C1D9B}"/>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16885" xr:uid="{C708CE1B-D779-43BB-8B2C-9D89DCCDC6EB}"/>
    <cellStyle name="Currency 5 2 2 3 6 2 3" xfId="12667" xr:uid="{C3DE9FC3-C796-42D7-BA29-DA6F28012C79}"/>
    <cellStyle name="Currency 5 2 2 3 6 3" xfId="6298" xr:uid="{00000000-0005-0000-0000-0000ED0B0000}"/>
    <cellStyle name="Currency 5 2 2 3 6 3 2" xfId="14740" xr:uid="{6C3E9E74-424C-4B78-85A0-643E74606155}"/>
    <cellStyle name="Currency 5 2 2 3 6 4" xfId="10522" xr:uid="{BC58562A-B5AF-492D-925E-BFEC126A9AEB}"/>
    <cellStyle name="Currency 5 2 2 3 7" xfId="2426" xr:uid="{00000000-0005-0000-0000-0000EE0B0000}"/>
    <cellStyle name="Currency 5 2 2 3 7 2" xfId="6711" xr:uid="{00000000-0005-0000-0000-0000EF0B0000}"/>
    <cellStyle name="Currency 5 2 2 3 7 2 2" xfId="15153" xr:uid="{935E67F4-ED36-4EB7-B959-F15CFABD1008}"/>
    <cellStyle name="Currency 5 2 2 3 7 3" xfId="10935" xr:uid="{7EF1F814-579E-4DFC-BB1A-6A842CB1392D}"/>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15470" xr:uid="{9EEB58EB-7A82-4C2D-BFD8-22894CBA2CFB}"/>
    <cellStyle name="Currency 5 2 2 3 9 3" xfId="11252" xr:uid="{9F48846F-027A-47DF-8F53-31E0A205E63E}"/>
    <cellStyle name="Currency 5 2 2 4" xfId="202" xr:uid="{00000000-0005-0000-0000-0000F30B0000}"/>
    <cellStyle name="Currency 5 2 2 4 10" xfId="8871" xr:uid="{C3E86574-25E7-423C-8B50-05A40BE9C10B}"/>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15648" xr:uid="{FBB702E8-A0CB-4F4F-A0D8-7AC9B1B279B2}"/>
    <cellStyle name="Currency 5 2 2 4 2 2 3" xfId="11430" xr:uid="{A7F8EE4D-F6F7-4C7C-9761-E82775E5F2DE}"/>
    <cellStyle name="Currency 5 2 2 4 2 3" xfId="5061" xr:uid="{00000000-0005-0000-0000-0000F70B0000}"/>
    <cellStyle name="Currency 5 2 2 4 2 3 2" xfId="13503" xr:uid="{74482BA4-ACCB-433A-881C-3A7825D6B8BB}"/>
    <cellStyle name="Currency 5 2 2 4 2 4" xfId="9285" xr:uid="{A001EF1E-B5C8-4F56-A985-D7162C23B7B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16061" xr:uid="{48A51DC9-B459-4930-866C-1CFA39121ABD}"/>
    <cellStyle name="Currency 5 2 2 4 3 2 3" xfId="11843" xr:uid="{84A8AD25-3AD4-4871-ACBC-624F88123975}"/>
    <cellStyle name="Currency 5 2 2 4 3 3" xfId="5474" xr:uid="{00000000-0005-0000-0000-0000FB0B0000}"/>
    <cellStyle name="Currency 5 2 2 4 3 3 2" xfId="13916" xr:uid="{5078BB8C-42D2-4E87-B71B-2BDA63BEEDFD}"/>
    <cellStyle name="Currency 5 2 2 4 3 4" xfId="9698" xr:uid="{A90EC391-B2C3-43F2-ACEC-95FE21FCD734}"/>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16474" xr:uid="{CB33F451-1606-4AFA-929A-0ACAB888953E}"/>
    <cellStyle name="Currency 5 2 2 4 4 2 3" xfId="12256" xr:uid="{48DE00EA-B438-4D01-94B4-CA9E40AFF643}"/>
    <cellStyle name="Currency 5 2 2 4 4 3" xfId="5887" xr:uid="{00000000-0005-0000-0000-0000FF0B0000}"/>
    <cellStyle name="Currency 5 2 2 4 4 3 2" xfId="14329" xr:uid="{996CAA4B-CB2A-44DC-B81A-1A89638486BA}"/>
    <cellStyle name="Currency 5 2 2 4 4 4" xfId="10111" xr:uid="{A15FC1E9-8F27-42DA-AD68-F416A7C0ED61}"/>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16887" xr:uid="{8D8C40A7-0A79-42CC-B17D-B1838327BC3E}"/>
    <cellStyle name="Currency 5 2 2 4 5 2 3" xfId="12669" xr:uid="{3BE5379F-1171-48B8-9D1F-38F768656111}"/>
    <cellStyle name="Currency 5 2 2 4 5 3" xfId="6300" xr:uid="{00000000-0005-0000-0000-0000030C0000}"/>
    <cellStyle name="Currency 5 2 2 4 5 3 2" xfId="14742" xr:uid="{FF87FB54-5639-4C6B-8D30-B112BA93EBE3}"/>
    <cellStyle name="Currency 5 2 2 4 5 4" xfId="10524" xr:uid="{FA5C4427-5C76-4FD2-A8DE-832358BE1437}"/>
    <cellStyle name="Currency 5 2 2 4 6" xfId="2428" xr:uid="{00000000-0005-0000-0000-0000040C0000}"/>
    <cellStyle name="Currency 5 2 2 4 6 2" xfId="6713" xr:uid="{00000000-0005-0000-0000-0000050C0000}"/>
    <cellStyle name="Currency 5 2 2 4 6 2 2" xfId="15155" xr:uid="{4E4FA883-ECEB-49A4-B163-F18A6DB0EEAE}"/>
    <cellStyle name="Currency 5 2 2 4 6 3" xfId="10937" xr:uid="{1C1A3F97-6F12-4727-92B4-35B2B380F1C2}"/>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15472" xr:uid="{AC72480C-9D62-4352-89BD-BCF0281F4458}"/>
    <cellStyle name="Currency 5 2 2 4 8 3" xfId="11254" xr:uid="{97208B9F-C2AD-49C2-9DD8-ED1B94113545}"/>
    <cellStyle name="Currency 5 2 2 4 9" xfId="4647" xr:uid="{00000000-0005-0000-0000-0000090C0000}"/>
    <cellStyle name="Currency 5 2 2 4 9 2" xfId="13089" xr:uid="{85EA9F12-A3EF-4C96-9E99-A00E5AD0927E}"/>
    <cellStyle name="Currency 5 2 2 5" xfId="203" xr:uid="{00000000-0005-0000-0000-00000A0C0000}"/>
    <cellStyle name="Currency 5 2 2 5 10" xfId="8872" xr:uid="{8E013EDF-1886-42EE-8C4B-7FD70C4A6E6C}"/>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15649" xr:uid="{9792C03E-5245-4334-8D1B-594D290E1E4D}"/>
    <cellStyle name="Currency 5 2 2 5 2 2 3" xfId="11431" xr:uid="{5E8C3699-3C29-4918-A3F7-C596F5AAB615}"/>
    <cellStyle name="Currency 5 2 2 5 2 3" xfId="5062" xr:uid="{00000000-0005-0000-0000-00000E0C0000}"/>
    <cellStyle name="Currency 5 2 2 5 2 3 2" xfId="13504" xr:uid="{309BB3BB-C70D-4F69-BB8E-335FD8E58161}"/>
    <cellStyle name="Currency 5 2 2 5 2 4" xfId="9286" xr:uid="{F14316AC-7811-4CEB-9C65-DFA15455FE2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16062" xr:uid="{1AC0680E-91FD-438A-B8EB-EA70C73E4526}"/>
    <cellStyle name="Currency 5 2 2 5 3 2 3" xfId="11844" xr:uid="{719D4B3D-6B2D-45F2-9427-E50BAD3EEA53}"/>
    <cellStyle name="Currency 5 2 2 5 3 3" xfId="5475" xr:uid="{00000000-0005-0000-0000-0000120C0000}"/>
    <cellStyle name="Currency 5 2 2 5 3 3 2" xfId="13917" xr:uid="{1F9798C2-C5F8-438C-AD72-9D0488117C54}"/>
    <cellStyle name="Currency 5 2 2 5 3 4" xfId="9699" xr:uid="{66A014DD-7415-403A-BA93-8FB6D81529E5}"/>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16475" xr:uid="{54FE1C26-BA05-4997-997F-E5BED8EF47BC}"/>
    <cellStyle name="Currency 5 2 2 5 4 2 3" xfId="12257" xr:uid="{91DD70A3-F003-4333-8F16-140DE147023B}"/>
    <cellStyle name="Currency 5 2 2 5 4 3" xfId="5888" xr:uid="{00000000-0005-0000-0000-0000160C0000}"/>
    <cellStyle name="Currency 5 2 2 5 4 3 2" xfId="14330" xr:uid="{87773025-0D6A-440F-A8FB-42B45F2F644B}"/>
    <cellStyle name="Currency 5 2 2 5 4 4" xfId="10112" xr:uid="{D50FE6BB-8ED8-43CE-992D-A35E358705BD}"/>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16888" xr:uid="{6C4ABDFB-DB8B-486D-9513-2296FBA2337A}"/>
    <cellStyle name="Currency 5 2 2 5 5 2 3" xfId="12670" xr:uid="{D11939A1-0DEA-4956-BAA3-5711D47FB525}"/>
    <cellStyle name="Currency 5 2 2 5 5 3" xfId="6301" xr:uid="{00000000-0005-0000-0000-00001A0C0000}"/>
    <cellStyle name="Currency 5 2 2 5 5 3 2" xfId="14743" xr:uid="{AB3D36DB-46E6-460A-8736-EFD62AB5365C}"/>
    <cellStyle name="Currency 5 2 2 5 5 4" xfId="10525" xr:uid="{04307539-F5EA-4FCD-8B98-CFF25AA47D6A}"/>
    <cellStyle name="Currency 5 2 2 5 6" xfId="2429" xr:uid="{00000000-0005-0000-0000-00001B0C0000}"/>
    <cellStyle name="Currency 5 2 2 5 6 2" xfId="6714" xr:uid="{00000000-0005-0000-0000-00001C0C0000}"/>
    <cellStyle name="Currency 5 2 2 5 6 2 2" xfId="15156" xr:uid="{2C075F92-60E2-4162-9A9E-CDA5FA4C2C74}"/>
    <cellStyle name="Currency 5 2 2 5 6 3" xfId="10938" xr:uid="{A519720C-90FE-4AAB-8B93-F8F3983DE176}"/>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15473" xr:uid="{FA4E5310-ECCF-4E08-B437-80049BE1B442}"/>
    <cellStyle name="Currency 5 2 2 5 8 3" xfId="11255" xr:uid="{9344C66A-3411-4FFC-BC97-5C8550F09265}"/>
    <cellStyle name="Currency 5 2 2 5 9" xfId="4648" xr:uid="{00000000-0005-0000-0000-0000200C0000}"/>
    <cellStyle name="Currency 5 2 2 5 9 2" xfId="13090" xr:uid="{5BEEABB8-9DE6-45C7-9A05-BA5175E5BB36}"/>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13091" xr:uid="{7C5B91F5-4C56-44A6-8F88-2E7D11FC6A76}"/>
    <cellStyle name="Currency 5 2 4 11" xfId="8873" xr:uid="{915CD0F8-6D96-429B-9020-5A3178451C38}"/>
    <cellStyle name="Currency 5 2 4 2" xfId="206" xr:uid="{00000000-0005-0000-0000-0000250C0000}"/>
    <cellStyle name="Currency 5 2 4 2 10" xfId="8874" xr:uid="{C8C1DE5C-B028-47E7-83E6-044C514235D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15651" xr:uid="{66BBF167-C780-4300-B6BE-1642231B5E44}"/>
    <cellStyle name="Currency 5 2 4 2 2 2 3" xfId="11433" xr:uid="{2BF544C4-3DC3-449D-9AB8-5031C1776FBD}"/>
    <cellStyle name="Currency 5 2 4 2 2 3" xfId="5064" xr:uid="{00000000-0005-0000-0000-0000290C0000}"/>
    <cellStyle name="Currency 5 2 4 2 2 3 2" xfId="13506" xr:uid="{DA79F605-5C0E-4A43-9360-ECEB7010A99C}"/>
    <cellStyle name="Currency 5 2 4 2 2 4" xfId="9288" xr:uid="{031DB0BF-9E87-4033-83DC-0DB73E56A109}"/>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16064" xr:uid="{6CE317BF-99AE-4682-A7C8-FF1E0635FA4B}"/>
    <cellStyle name="Currency 5 2 4 2 3 2 3" xfId="11846" xr:uid="{4BA6F550-03FE-42A6-8ECA-E797B76DA1F3}"/>
    <cellStyle name="Currency 5 2 4 2 3 3" xfId="5477" xr:uid="{00000000-0005-0000-0000-00002D0C0000}"/>
    <cellStyle name="Currency 5 2 4 2 3 3 2" xfId="13919" xr:uid="{CB8C0AF0-BC93-4D2C-BC3E-8669A7BCF929}"/>
    <cellStyle name="Currency 5 2 4 2 3 4" xfId="9701" xr:uid="{9D8D2673-3C78-49EF-9724-1190BA98B756}"/>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16477" xr:uid="{990763FF-564A-464B-90F7-BE7CBA9106F4}"/>
    <cellStyle name="Currency 5 2 4 2 4 2 3" xfId="12259" xr:uid="{FAB447D0-AC2C-4180-AD66-22FBB73AE2B3}"/>
    <cellStyle name="Currency 5 2 4 2 4 3" xfId="5890" xr:uid="{00000000-0005-0000-0000-0000310C0000}"/>
    <cellStyle name="Currency 5 2 4 2 4 3 2" xfId="14332" xr:uid="{769652FA-50AE-4342-A70F-A0953A13766E}"/>
    <cellStyle name="Currency 5 2 4 2 4 4" xfId="10114" xr:uid="{1BE3E4D7-FB4B-4D6D-A1F5-7F65018C0EE6}"/>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16890" xr:uid="{BE8908D4-6592-4048-ADF9-B56C3F83084F}"/>
    <cellStyle name="Currency 5 2 4 2 5 2 3" xfId="12672" xr:uid="{6EB9199E-E99C-4ABB-9F5C-D8BC96D4DEBA}"/>
    <cellStyle name="Currency 5 2 4 2 5 3" xfId="6303" xr:uid="{00000000-0005-0000-0000-0000350C0000}"/>
    <cellStyle name="Currency 5 2 4 2 5 3 2" xfId="14745" xr:uid="{13707F80-743D-4AB4-BF2C-909CF4D75B39}"/>
    <cellStyle name="Currency 5 2 4 2 5 4" xfId="10527" xr:uid="{B9137B0A-D1A1-42D7-AFD0-F207A2A06FC1}"/>
    <cellStyle name="Currency 5 2 4 2 6" xfId="2431" xr:uid="{00000000-0005-0000-0000-0000360C0000}"/>
    <cellStyle name="Currency 5 2 4 2 6 2" xfId="6716" xr:uid="{00000000-0005-0000-0000-0000370C0000}"/>
    <cellStyle name="Currency 5 2 4 2 6 2 2" xfId="15158" xr:uid="{2377CA5B-85EB-4368-A0A0-8FBA4CC521FF}"/>
    <cellStyle name="Currency 5 2 4 2 6 3" xfId="10940" xr:uid="{A9906264-EE99-4CBC-9140-7E30594490E1}"/>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15475" xr:uid="{3FA3B7D2-7EB0-40AE-B51A-F1BAA1BEE7F6}"/>
    <cellStyle name="Currency 5 2 4 2 8 3" xfId="11257" xr:uid="{D8D2A757-2609-4F4C-9ACF-2CAAC757EFAF}"/>
    <cellStyle name="Currency 5 2 4 2 9" xfId="4650" xr:uid="{00000000-0005-0000-0000-00003B0C0000}"/>
    <cellStyle name="Currency 5 2 4 2 9 2" xfId="13092" xr:uid="{170571A9-343B-44F5-971E-267C68ED8276}"/>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15650" xr:uid="{21AA4975-26B6-4745-ABA2-0FD885521BAA}"/>
    <cellStyle name="Currency 5 2 4 3 2 3" xfId="11432" xr:uid="{08F9EE13-3EB2-4C13-BEF9-F009CF0F50CF}"/>
    <cellStyle name="Currency 5 2 4 3 3" xfId="5063" xr:uid="{00000000-0005-0000-0000-00003F0C0000}"/>
    <cellStyle name="Currency 5 2 4 3 3 2" xfId="13505" xr:uid="{7BB1AEA1-C5B7-4ED9-947E-BD1BCC7E42F9}"/>
    <cellStyle name="Currency 5 2 4 3 4" xfId="9287" xr:uid="{C7A18BA5-1C5F-4DFE-BBDB-657BE4C6ED14}"/>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16063" xr:uid="{003B129C-3D89-4D74-919F-F5E205EB54BC}"/>
    <cellStyle name="Currency 5 2 4 4 2 3" xfId="11845" xr:uid="{9290AE12-A98C-423B-BDF2-CB7C7E1831D6}"/>
    <cellStyle name="Currency 5 2 4 4 3" xfId="5476" xr:uid="{00000000-0005-0000-0000-0000430C0000}"/>
    <cellStyle name="Currency 5 2 4 4 3 2" xfId="13918" xr:uid="{29A16BB0-C7F0-405B-B81A-4B9CAE7989F6}"/>
    <cellStyle name="Currency 5 2 4 4 4" xfId="9700" xr:uid="{865854B6-8F6F-4103-B479-9F622A89FD36}"/>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16476" xr:uid="{01422E7C-8B77-4080-859C-68FFAF75F242}"/>
    <cellStyle name="Currency 5 2 4 5 2 3" xfId="12258" xr:uid="{9CF708B6-1E19-4495-B059-C4A77D152335}"/>
    <cellStyle name="Currency 5 2 4 5 3" xfId="5889" xr:uid="{00000000-0005-0000-0000-0000470C0000}"/>
    <cellStyle name="Currency 5 2 4 5 3 2" xfId="14331" xr:uid="{60BA9AB4-43A1-4850-93CF-EFE743EEACFF}"/>
    <cellStyle name="Currency 5 2 4 5 4" xfId="10113" xr:uid="{5E91A2FE-CA5D-4537-9D65-1FF14583D713}"/>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16889" xr:uid="{F2F2651F-9995-49B0-BF6D-0D338D0D1E92}"/>
    <cellStyle name="Currency 5 2 4 6 2 3" xfId="12671" xr:uid="{C1193107-8890-4338-A32F-4E83251D2DFD}"/>
    <cellStyle name="Currency 5 2 4 6 3" xfId="6302" xr:uid="{00000000-0005-0000-0000-00004B0C0000}"/>
    <cellStyle name="Currency 5 2 4 6 3 2" xfId="14744" xr:uid="{59983531-A8C1-4841-B40A-805F923C740D}"/>
    <cellStyle name="Currency 5 2 4 6 4" xfId="10526" xr:uid="{5E807750-5008-4481-A7B4-573064E83AC6}"/>
    <cellStyle name="Currency 5 2 4 7" xfId="2430" xr:uid="{00000000-0005-0000-0000-00004C0C0000}"/>
    <cellStyle name="Currency 5 2 4 7 2" xfId="6715" xr:uid="{00000000-0005-0000-0000-00004D0C0000}"/>
    <cellStyle name="Currency 5 2 4 7 2 2" xfId="15157" xr:uid="{80BAD95B-61FD-4966-9B31-6B862B25CA0C}"/>
    <cellStyle name="Currency 5 2 4 7 3" xfId="10939" xr:uid="{1F7E9159-A173-4C28-842F-6997D8B74306}"/>
    <cellStyle name="Currency 5 2 4 8" xfId="2727" xr:uid="{00000000-0005-0000-0000-00004E0C0000}"/>
    <cellStyle name="Currency 5 2 4 9" xfId="2808" xr:uid="{00000000-0005-0000-0000-00004F0C0000}"/>
    <cellStyle name="Currency 5 2 4 9 2" xfId="7032" xr:uid="{00000000-0005-0000-0000-0000500C0000}"/>
    <cellStyle name="Currency 5 2 4 9 2 2" xfId="15474" xr:uid="{359EDAE6-CCF9-4720-BF38-C08039153554}"/>
    <cellStyle name="Currency 5 2 4 9 3" xfId="11256" xr:uid="{B8B038EC-C88E-4998-9465-2E4448EA33C9}"/>
    <cellStyle name="Currency 5 2 5" xfId="207" xr:uid="{00000000-0005-0000-0000-0000510C0000}"/>
    <cellStyle name="Currency 5 2 5 10" xfId="8875" xr:uid="{E1B5E276-DFA5-44E8-BEB9-222CB7543F58}"/>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15652" xr:uid="{11E4887D-BF60-4570-9B06-586B224882A0}"/>
    <cellStyle name="Currency 5 2 5 2 2 3" xfId="11434" xr:uid="{89DCC93C-4DAE-4CDD-9402-6B329F17AF5E}"/>
    <cellStyle name="Currency 5 2 5 2 3" xfId="5065" xr:uid="{00000000-0005-0000-0000-0000550C0000}"/>
    <cellStyle name="Currency 5 2 5 2 3 2" xfId="13507" xr:uid="{1C5E5CDE-247F-4DBE-8706-545722CDA045}"/>
    <cellStyle name="Currency 5 2 5 2 4" xfId="9289" xr:uid="{1C6AACF3-1E43-4D40-AF30-1010A0B94966}"/>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16065" xr:uid="{5E2FDA2D-A3DD-46F6-8228-A4882A403724}"/>
    <cellStyle name="Currency 5 2 5 3 2 3" xfId="11847" xr:uid="{27E962A6-C712-420F-9E4B-100F41FCD477}"/>
    <cellStyle name="Currency 5 2 5 3 3" xfId="5478" xr:uid="{00000000-0005-0000-0000-0000590C0000}"/>
    <cellStyle name="Currency 5 2 5 3 3 2" xfId="13920" xr:uid="{9D7DBFC8-BF45-4B44-8D01-38209819AB5C}"/>
    <cellStyle name="Currency 5 2 5 3 4" xfId="9702" xr:uid="{F9ABE27C-2E4E-4D35-8936-E5E36FF8690B}"/>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16478" xr:uid="{10D668B3-CB1B-4EC4-ACEC-B63315DB46CE}"/>
    <cellStyle name="Currency 5 2 5 4 2 3" xfId="12260" xr:uid="{90F7581C-327F-43B1-8DF5-F4F3284B224A}"/>
    <cellStyle name="Currency 5 2 5 4 3" xfId="5891" xr:uid="{00000000-0005-0000-0000-00005D0C0000}"/>
    <cellStyle name="Currency 5 2 5 4 3 2" xfId="14333" xr:uid="{F7EC54CB-74DF-44FA-B45C-D6F76E7C0A02}"/>
    <cellStyle name="Currency 5 2 5 4 4" xfId="10115" xr:uid="{A367D45E-9198-4DEE-B5D7-35E61B86EB33}"/>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16891" xr:uid="{F0B32129-8607-46C2-B210-695EBA32DD2A}"/>
    <cellStyle name="Currency 5 2 5 5 2 3" xfId="12673" xr:uid="{D17085C5-CF62-4BC1-9864-6A70CA58A97C}"/>
    <cellStyle name="Currency 5 2 5 5 3" xfId="6304" xr:uid="{00000000-0005-0000-0000-0000610C0000}"/>
    <cellStyle name="Currency 5 2 5 5 3 2" xfId="14746" xr:uid="{8CF34FBE-3864-48EB-B3E1-1CD30BA87184}"/>
    <cellStyle name="Currency 5 2 5 5 4" xfId="10528" xr:uid="{E608530E-DE3F-4807-A929-CC56A8C34F65}"/>
    <cellStyle name="Currency 5 2 5 6" xfId="2432" xr:uid="{00000000-0005-0000-0000-0000620C0000}"/>
    <cellStyle name="Currency 5 2 5 6 2" xfId="6717" xr:uid="{00000000-0005-0000-0000-0000630C0000}"/>
    <cellStyle name="Currency 5 2 5 6 2 2" xfId="15159" xr:uid="{13FDB6CC-7F94-4164-AE27-8D78E07450F1}"/>
    <cellStyle name="Currency 5 2 5 6 3" xfId="10941" xr:uid="{8B6B076A-8D6F-4354-BB80-D77B9549B371}"/>
    <cellStyle name="Currency 5 2 5 7" xfId="2729" xr:uid="{00000000-0005-0000-0000-0000640C0000}"/>
    <cellStyle name="Currency 5 2 5 8" xfId="2810" xr:uid="{00000000-0005-0000-0000-0000650C0000}"/>
    <cellStyle name="Currency 5 2 5 8 2" xfId="7034" xr:uid="{00000000-0005-0000-0000-0000660C0000}"/>
    <cellStyle name="Currency 5 2 5 8 2 2" xfId="15476" xr:uid="{064B318B-29D3-4D97-9669-E2A15930062A}"/>
    <cellStyle name="Currency 5 2 5 8 3" xfId="11258" xr:uid="{3F889095-8296-4DCD-804F-5432D2A2162C}"/>
    <cellStyle name="Currency 5 2 5 9" xfId="4651" xr:uid="{00000000-0005-0000-0000-0000670C0000}"/>
    <cellStyle name="Currency 5 2 5 9 2" xfId="13093" xr:uid="{F3E0C5C7-55DE-49DA-B37E-76216EE707DF}"/>
    <cellStyle name="Currency 5 2 6" xfId="208" xr:uid="{00000000-0005-0000-0000-0000680C0000}"/>
    <cellStyle name="Currency 5 2 6 10" xfId="8876" xr:uid="{EF29D21E-8778-469A-8ED1-E90B749C4B5E}"/>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15653" xr:uid="{8665AB2C-EC3C-4CD8-AAF8-09DCE30A48DA}"/>
    <cellStyle name="Currency 5 2 6 2 2 3" xfId="11435" xr:uid="{9B76E336-3BD0-4F8E-BE06-69964A16F2B4}"/>
    <cellStyle name="Currency 5 2 6 2 3" xfId="5066" xr:uid="{00000000-0005-0000-0000-00006C0C0000}"/>
    <cellStyle name="Currency 5 2 6 2 3 2" xfId="13508" xr:uid="{47BC080F-16C4-4730-A5EC-C48DF43E2274}"/>
    <cellStyle name="Currency 5 2 6 2 4" xfId="9290" xr:uid="{7A8A1BD3-111E-48A2-A245-5218E15CB342}"/>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16066" xr:uid="{DD5751FC-31BE-4B26-8FBB-85D8D2CAF9AC}"/>
    <cellStyle name="Currency 5 2 6 3 2 3" xfId="11848" xr:uid="{CBBF4B06-A960-43B0-BDC5-E36C88245B1E}"/>
    <cellStyle name="Currency 5 2 6 3 3" xfId="5479" xr:uid="{00000000-0005-0000-0000-0000700C0000}"/>
    <cellStyle name="Currency 5 2 6 3 3 2" xfId="13921" xr:uid="{39310E09-D389-4054-8D09-F50C2F0DDA5D}"/>
    <cellStyle name="Currency 5 2 6 3 4" xfId="9703" xr:uid="{70D6FF9E-5C3C-47CE-A455-43BACD147A17}"/>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16479" xr:uid="{09FFAD84-18EB-46E3-85FC-1B795DB94215}"/>
    <cellStyle name="Currency 5 2 6 4 2 3" xfId="12261" xr:uid="{A499EAC5-EC68-4B59-BF03-F721536F4B06}"/>
    <cellStyle name="Currency 5 2 6 4 3" xfId="5892" xr:uid="{00000000-0005-0000-0000-0000740C0000}"/>
    <cellStyle name="Currency 5 2 6 4 3 2" xfId="14334" xr:uid="{53545575-C727-45A5-9E5F-1B2B6A8CA1EA}"/>
    <cellStyle name="Currency 5 2 6 4 4" xfId="10116" xr:uid="{E5F41634-114F-4CCD-8122-7AE4C5FFE944}"/>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16892" xr:uid="{DDD4F6ED-F61A-4FC9-AD0A-1B1B88E5B28D}"/>
    <cellStyle name="Currency 5 2 6 5 2 3" xfId="12674" xr:uid="{BAF40FB4-BAFC-4074-BFCC-87168E0AE078}"/>
    <cellStyle name="Currency 5 2 6 5 3" xfId="6305" xr:uid="{00000000-0005-0000-0000-0000780C0000}"/>
    <cellStyle name="Currency 5 2 6 5 3 2" xfId="14747" xr:uid="{CEF2A4A7-F16F-45CD-A58E-34948BAB2F10}"/>
    <cellStyle name="Currency 5 2 6 5 4" xfId="10529" xr:uid="{97DA7D88-9257-457D-B6C7-CBD0043E1ACB}"/>
    <cellStyle name="Currency 5 2 6 6" xfId="2433" xr:uid="{00000000-0005-0000-0000-0000790C0000}"/>
    <cellStyle name="Currency 5 2 6 6 2" xfId="6718" xr:uid="{00000000-0005-0000-0000-00007A0C0000}"/>
    <cellStyle name="Currency 5 2 6 6 2 2" xfId="15160" xr:uid="{288C8ACD-E3EA-49D3-8C7A-BA6F3D08EC71}"/>
    <cellStyle name="Currency 5 2 6 6 3" xfId="10942" xr:uid="{0302AE59-D58C-4F67-872F-7BA8983FCAD1}"/>
    <cellStyle name="Currency 5 2 6 7" xfId="2730" xr:uid="{00000000-0005-0000-0000-00007B0C0000}"/>
    <cellStyle name="Currency 5 2 6 8" xfId="2811" xr:uid="{00000000-0005-0000-0000-00007C0C0000}"/>
    <cellStyle name="Currency 5 2 6 8 2" xfId="7035" xr:uid="{00000000-0005-0000-0000-00007D0C0000}"/>
    <cellStyle name="Currency 5 2 6 8 2 2" xfId="15477" xr:uid="{1B33CA9C-DDFE-49AF-A6AF-9D94CB94BF4D}"/>
    <cellStyle name="Currency 5 2 6 8 3" xfId="11259" xr:uid="{75178C39-C3B6-4C5C-B4DF-E9A4693CA2AB}"/>
    <cellStyle name="Currency 5 2 6 9" xfId="4652" xr:uid="{00000000-0005-0000-0000-00007E0C0000}"/>
    <cellStyle name="Currency 5 2 6 9 2" xfId="13094" xr:uid="{0970D0B0-D7DF-4DD9-A3CC-018272E57FC3}"/>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15478" xr:uid="{A5A3C7B3-4C71-4660-8A7B-594B521B3F29}"/>
    <cellStyle name="Currency 5 3 2 10 3" xfId="11260" xr:uid="{86060B98-E178-43C2-82B9-AAD9C818319D}"/>
    <cellStyle name="Currency 5 3 2 11" xfId="4653" xr:uid="{00000000-0005-0000-0000-0000840C0000}"/>
    <cellStyle name="Currency 5 3 2 11 2" xfId="13095" xr:uid="{D8EE3A1F-0AB1-49BA-B836-588B68B8140F}"/>
    <cellStyle name="Currency 5 3 2 12" xfId="8877" xr:uid="{6BA737C5-8B2B-4629-B9DA-688CFC92B610}"/>
    <cellStyle name="Currency 5 3 2 2" xfId="211" xr:uid="{00000000-0005-0000-0000-0000850C0000}"/>
    <cellStyle name="Currency 5 3 2 2 10" xfId="4654" xr:uid="{00000000-0005-0000-0000-0000860C0000}"/>
    <cellStyle name="Currency 5 3 2 2 10 2" xfId="13096" xr:uid="{5AE99BD9-D1FF-4D0B-BF17-8F491B39AF28}"/>
    <cellStyle name="Currency 5 3 2 2 11" xfId="8878" xr:uid="{8811B182-8216-4F27-9010-5940B4420B17}"/>
    <cellStyle name="Currency 5 3 2 2 2" xfId="212" xr:uid="{00000000-0005-0000-0000-0000870C0000}"/>
    <cellStyle name="Currency 5 3 2 2 2 10" xfId="8879" xr:uid="{9A64AF66-96D1-4C96-B824-D893BC0B1A1C}"/>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15656" xr:uid="{095F2009-F130-4DD3-9F6A-EC33752B2A62}"/>
    <cellStyle name="Currency 5 3 2 2 2 2 2 3" xfId="11438" xr:uid="{15C3EFB4-5517-4B5F-9C1F-0CFF51ADC272}"/>
    <cellStyle name="Currency 5 3 2 2 2 2 3" xfId="5069" xr:uid="{00000000-0005-0000-0000-00008B0C0000}"/>
    <cellStyle name="Currency 5 3 2 2 2 2 3 2" xfId="13511" xr:uid="{31964513-CF52-4547-B035-1C18BA2CA31B}"/>
    <cellStyle name="Currency 5 3 2 2 2 2 4" xfId="9293" xr:uid="{DA2B992D-D8C3-4C3B-8757-D65B6FC54256}"/>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16069" xr:uid="{2EC9452A-0C23-4DF0-B9F1-EB12C98AF849}"/>
    <cellStyle name="Currency 5 3 2 2 2 3 2 3" xfId="11851" xr:uid="{59A4D5D6-3D51-4C2F-9873-B6CC2748CA08}"/>
    <cellStyle name="Currency 5 3 2 2 2 3 3" xfId="5482" xr:uid="{00000000-0005-0000-0000-00008F0C0000}"/>
    <cellStyle name="Currency 5 3 2 2 2 3 3 2" xfId="13924" xr:uid="{6283C852-009D-41EA-90A1-BFCE2E7502C2}"/>
    <cellStyle name="Currency 5 3 2 2 2 3 4" xfId="9706" xr:uid="{B19407B9-C5F6-45B0-8CD6-4BD2F961DDD4}"/>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16482" xr:uid="{FDC2D0E7-0A23-441C-8D30-027D6AE00ADD}"/>
    <cellStyle name="Currency 5 3 2 2 2 4 2 3" xfId="12264" xr:uid="{EE217EE0-4ADC-4559-8E93-9934AB83385B}"/>
    <cellStyle name="Currency 5 3 2 2 2 4 3" xfId="5895" xr:uid="{00000000-0005-0000-0000-0000930C0000}"/>
    <cellStyle name="Currency 5 3 2 2 2 4 3 2" xfId="14337" xr:uid="{221D44CD-D074-4B89-B96C-10AC23B033D7}"/>
    <cellStyle name="Currency 5 3 2 2 2 4 4" xfId="10119" xr:uid="{5CC51C47-7FA2-4B78-B259-02277422A0E6}"/>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16895" xr:uid="{A87B76B9-5159-45E1-B47F-E5298A159BC3}"/>
    <cellStyle name="Currency 5 3 2 2 2 5 2 3" xfId="12677" xr:uid="{9DB415C3-8111-45B7-A3F5-3DF2B57E08CD}"/>
    <cellStyle name="Currency 5 3 2 2 2 5 3" xfId="6308" xr:uid="{00000000-0005-0000-0000-0000970C0000}"/>
    <cellStyle name="Currency 5 3 2 2 2 5 3 2" xfId="14750" xr:uid="{2A74A682-5834-462A-B138-1B992431E9EF}"/>
    <cellStyle name="Currency 5 3 2 2 2 5 4" xfId="10532" xr:uid="{576A7878-17D1-4989-9C7C-2EF69272E4C8}"/>
    <cellStyle name="Currency 5 3 2 2 2 6" xfId="2436" xr:uid="{00000000-0005-0000-0000-0000980C0000}"/>
    <cellStyle name="Currency 5 3 2 2 2 6 2" xfId="6721" xr:uid="{00000000-0005-0000-0000-0000990C0000}"/>
    <cellStyle name="Currency 5 3 2 2 2 6 2 2" xfId="15163" xr:uid="{0DF95E51-CF4F-4B0E-B376-3E13B9E21925}"/>
    <cellStyle name="Currency 5 3 2 2 2 6 3" xfId="10945" xr:uid="{97B1A2EA-1E9E-4C9D-AC6B-B0A055E093A5}"/>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15480" xr:uid="{C663A706-A2E1-4906-92D5-92B6A6899129}"/>
    <cellStyle name="Currency 5 3 2 2 2 8 3" xfId="11262" xr:uid="{7CFB5978-2162-4CB7-BB69-820088745265}"/>
    <cellStyle name="Currency 5 3 2 2 2 9" xfId="4655" xr:uid="{00000000-0005-0000-0000-00009D0C0000}"/>
    <cellStyle name="Currency 5 3 2 2 2 9 2" xfId="13097" xr:uid="{DC2BEF3F-FD31-4B49-8FA0-882A7F8F4EF9}"/>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15655" xr:uid="{5445BA06-452B-4891-B2FE-56BE9B2465A7}"/>
    <cellStyle name="Currency 5 3 2 2 3 2 3" xfId="11437" xr:uid="{3A0B6BAA-A3DD-4EEC-91C1-9C10C176267C}"/>
    <cellStyle name="Currency 5 3 2 2 3 3" xfId="5068" xr:uid="{00000000-0005-0000-0000-0000A10C0000}"/>
    <cellStyle name="Currency 5 3 2 2 3 3 2" xfId="13510" xr:uid="{5E0B2828-F587-44E3-897E-A501511AFFD1}"/>
    <cellStyle name="Currency 5 3 2 2 3 4" xfId="9292" xr:uid="{DA2BD6E8-3987-4A5D-B8C8-81CFDD01E2F1}"/>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16068" xr:uid="{8188A277-51FD-4F35-89CE-7CC148E1F25A}"/>
    <cellStyle name="Currency 5 3 2 2 4 2 3" xfId="11850" xr:uid="{7F1271CA-493E-43CB-82C0-BD436AD75F79}"/>
    <cellStyle name="Currency 5 3 2 2 4 3" xfId="5481" xr:uid="{00000000-0005-0000-0000-0000A50C0000}"/>
    <cellStyle name="Currency 5 3 2 2 4 3 2" xfId="13923" xr:uid="{BF94364F-5760-4F95-BE76-9EC1E0636CD0}"/>
    <cellStyle name="Currency 5 3 2 2 4 4" xfId="9705" xr:uid="{BE195E67-7279-4651-8AD2-76B6521F8456}"/>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16481" xr:uid="{4C074EBD-7160-4277-8D26-EA9CD0778FCD}"/>
    <cellStyle name="Currency 5 3 2 2 5 2 3" xfId="12263" xr:uid="{B68CE66B-D81A-493B-A77D-760BDC91F120}"/>
    <cellStyle name="Currency 5 3 2 2 5 3" xfId="5894" xr:uid="{00000000-0005-0000-0000-0000A90C0000}"/>
    <cellStyle name="Currency 5 3 2 2 5 3 2" xfId="14336" xr:uid="{276A13BF-0CED-40CA-B2F8-FE3EA115C20B}"/>
    <cellStyle name="Currency 5 3 2 2 5 4" xfId="10118" xr:uid="{40BACF7E-B947-4242-BDA5-E63F5562A7C7}"/>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16894" xr:uid="{3D342D21-CC68-4E76-8CA2-1235077C6E5C}"/>
    <cellStyle name="Currency 5 3 2 2 6 2 3" xfId="12676" xr:uid="{397CB9B6-2646-4426-8C6D-A145483E59D2}"/>
    <cellStyle name="Currency 5 3 2 2 6 3" xfId="6307" xr:uid="{00000000-0005-0000-0000-0000AD0C0000}"/>
    <cellStyle name="Currency 5 3 2 2 6 3 2" xfId="14749" xr:uid="{2F101E6B-4DEE-4621-96F3-87C9A00F8DF5}"/>
    <cellStyle name="Currency 5 3 2 2 6 4" xfId="10531" xr:uid="{65029B2D-58E3-4DC7-9E36-9AB8B7A86D3D}"/>
    <cellStyle name="Currency 5 3 2 2 7" xfId="2435" xr:uid="{00000000-0005-0000-0000-0000AE0C0000}"/>
    <cellStyle name="Currency 5 3 2 2 7 2" xfId="6720" xr:uid="{00000000-0005-0000-0000-0000AF0C0000}"/>
    <cellStyle name="Currency 5 3 2 2 7 2 2" xfId="15162" xr:uid="{71630EB0-72A3-44A0-BE1F-F4CEEE1C9C64}"/>
    <cellStyle name="Currency 5 3 2 2 7 3" xfId="10944" xr:uid="{9528BA34-D679-4DCE-A637-AFF2B3ADA4C4}"/>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15479" xr:uid="{2236C7CC-BB21-4EE8-8580-28F62A940248}"/>
    <cellStyle name="Currency 5 3 2 2 9 3" xfId="11261" xr:uid="{2033A3E2-2F4B-4DB5-B3C3-E8A0EC327C3C}"/>
    <cellStyle name="Currency 5 3 2 3" xfId="213" xr:uid="{00000000-0005-0000-0000-0000B30C0000}"/>
    <cellStyle name="Currency 5 3 2 3 10" xfId="8880" xr:uid="{7252E07D-51A6-4A24-891E-1DD9AF395815}"/>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15657" xr:uid="{DA22264B-AB90-4654-9775-78FE77855CC2}"/>
    <cellStyle name="Currency 5 3 2 3 2 2 3" xfId="11439" xr:uid="{19A6FC93-6132-451A-98EE-38BB17172350}"/>
    <cellStyle name="Currency 5 3 2 3 2 3" xfId="5070" xr:uid="{00000000-0005-0000-0000-0000B70C0000}"/>
    <cellStyle name="Currency 5 3 2 3 2 3 2" xfId="13512" xr:uid="{256520B4-5BFB-4367-AA05-CD8967394AEF}"/>
    <cellStyle name="Currency 5 3 2 3 2 4" xfId="9294" xr:uid="{60679123-E572-4CD1-BCB2-17ED88D7B67B}"/>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16070" xr:uid="{C1015A90-A906-48A5-92DE-C782E431C955}"/>
    <cellStyle name="Currency 5 3 2 3 3 2 3" xfId="11852" xr:uid="{C1F2D18C-E5AB-442B-8398-3AD8C74F5DA7}"/>
    <cellStyle name="Currency 5 3 2 3 3 3" xfId="5483" xr:uid="{00000000-0005-0000-0000-0000BB0C0000}"/>
    <cellStyle name="Currency 5 3 2 3 3 3 2" xfId="13925" xr:uid="{ACFC7269-B18E-460A-BA30-1AF06ED74C3D}"/>
    <cellStyle name="Currency 5 3 2 3 3 4" xfId="9707" xr:uid="{5CE2BDF2-4DC2-4A96-8F23-F79084E14BFB}"/>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16483" xr:uid="{06C74E0A-83CC-4B80-B57B-BF8BC387518D}"/>
    <cellStyle name="Currency 5 3 2 3 4 2 3" xfId="12265" xr:uid="{FB8E96B3-DDCE-44FE-8D23-D94AD656DE8B}"/>
    <cellStyle name="Currency 5 3 2 3 4 3" xfId="5896" xr:uid="{00000000-0005-0000-0000-0000BF0C0000}"/>
    <cellStyle name="Currency 5 3 2 3 4 3 2" xfId="14338" xr:uid="{A231D4E0-B650-4D9E-BADD-F3100A2747B9}"/>
    <cellStyle name="Currency 5 3 2 3 4 4" xfId="10120" xr:uid="{F072DD0F-3F4D-4705-AE61-A8264BEB0922}"/>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16896" xr:uid="{917A53A7-94CB-4EF3-9B66-2E1E2B3BEC78}"/>
    <cellStyle name="Currency 5 3 2 3 5 2 3" xfId="12678" xr:uid="{D518CCDD-3493-4AA2-B5E4-F77FD8AF44C8}"/>
    <cellStyle name="Currency 5 3 2 3 5 3" xfId="6309" xr:uid="{00000000-0005-0000-0000-0000C30C0000}"/>
    <cellStyle name="Currency 5 3 2 3 5 3 2" xfId="14751" xr:uid="{74999850-E582-46C3-9E08-9E2B9D6E6C8A}"/>
    <cellStyle name="Currency 5 3 2 3 5 4" xfId="10533" xr:uid="{73B52965-D4BC-4290-8FEA-50AD06A97478}"/>
    <cellStyle name="Currency 5 3 2 3 6" xfId="2437" xr:uid="{00000000-0005-0000-0000-0000C40C0000}"/>
    <cellStyle name="Currency 5 3 2 3 6 2" xfId="6722" xr:uid="{00000000-0005-0000-0000-0000C50C0000}"/>
    <cellStyle name="Currency 5 3 2 3 6 2 2" xfId="15164" xr:uid="{DC748315-F862-4841-AF35-0851B9E37BA8}"/>
    <cellStyle name="Currency 5 3 2 3 6 3" xfId="10946" xr:uid="{8DC81632-EC82-40D9-9A5D-F5E43B4108C8}"/>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15481" xr:uid="{0E434715-E370-435D-AA0D-337446F0D458}"/>
    <cellStyle name="Currency 5 3 2 3 8 3" xfId="11263" xr:uid="{D1269638-EC19-4E08-AE9C-C6A31CE341BE}"/>
    <cellStyle name="Currency 5 3 2 3 9" xfId="4656" xr:uid="{00000000-0005-0000-0000-0000C90C0000}"/>
    <cellStyle name="Currency 5 3 2 3 9 2" xfId="13098" xr:uid="{33D0FB3C-59CB-474B-8D1A-7D34ED3D11A5}"/>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15654" xr:uid="{0E0EB6D7-26A8-4F27-A969-41888B9D5989}"/>
    <cellStyle name="Currency 5 3 2 4 2 3" xfId="11436" xr:uid="{363C4C4D-A3AF-4A90-89C9-DD939A52915D}"/>
    <cellStyle name="Currency 5 3 2 4 3" xfId="5067" xr:uid="{00000000-0005-0000-0000-0000CD0C0000}"/>
    <cellStyle name="Currency 5 3 2 4 3 2" xfId="13509" xr:uid="{E98EB6A8-6D68-4863-B6F6-D0E9B9A39A30}"/>
    <cellStyle name="Currency 5 3 2 4 4" xfId="9291" xr:uid="{0D37B722-19A3-4BB6-A658-0420BCB40AE1}"/>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16067" xr:uid="{84D4DE83-CF9E-464E-B056-2DE6EC468CB0}"/>
    <cellStyle name="Currency 5 3 2 5 2 3" xfId="11849" xr:uid="{95A12457-8FA1-4057-9346-23C2ABD81089}"/>
    <cellStyle name="Currency 5 3 2 5 3" xfId="5480" xr:uid="{00000000-0005-0000-0000-0000D10C0000}"/>
    <cellStyle name="Currency 5 3 2 5 3 2" xfId="13922" xr:uid="{AF19B70E-55FA-441A-B0DD-CFF28FAA9325}"/>
    <cellStyle name="Currency 5 3 2 5 4" xfId="9704" xr:uid="{5A84BC82-1BC3-4364-90EF-0318617260DD}"/>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16480" xr:uid="{D12F47DD-AE3B-4741-9ED3-FBA701D81F3E}"/>
    <cellStyle name="Currency 5 3 2 6 2 3" xfId="12262" xr:uid="{7116976B-DDAB-4320-B8B2-AAE033A4AF84}"/>
    <cellStyle name="Currency 5 3 2 6 3" xfId="5893" xr:uid="{00000000-0005-0000-0000-0000D50C0000}"/>
    <cellStyle name="Currency 5 3 2 6 3 2" xfId="14335" xr:uid="{2B2C7145-7ED8-4620-8E51-3B000AEEBE60}"/>
    <cellStyle name="Currency 5 3 2 6 4" xfId="10117" xr:uid="{30DDB731-C530-4A8B-9004-F8E9736B026D}"/>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16893" xr:uid="{A1A325E8-8083-4FE6-932C-ABEEEEC9AF8C}"/>
    <cellStyle name="Currency 5 3 2 7 2 3" xfId="12675" xr:uid="{6ADB3418-6E00-42B6-B3C3-8D422B205D03}"/>
    <cellStyle name="Currency 5 3 2 7 3" xfId="6306" xr:uid="{00000000-0005-0000-0000-0000D90C0000}"/>
    <cellStyle name="Currency 5 3 2 7 3 2" xfId="14748" xr:uid="{C5F79BC8-5E7A-45EE-BE86-C5261040DB54}"/>
    <cellStyle name="Currency 5 3 2 7 4" xfId="10530" xr:uid="{88A69EBA-992F-4D94-8451-83B7154ACE55}"/>
    <cellStyle name="Currency 5 3 2 8" xfId="2434" xr:uid="{00000000-0005-0000-0000-0000DA0C0000}"/>
    <cellStyle name="Currency 5 3 2 8 2" xfId="6719" xr:uid="{00000000-0005-0000-0000-0000DB0C0000}"/>
    <cellStyle name="Currency 5 3 2 8 2 2" xfId="15161" xr:uid="{82D60404-0254-4540-BDF2-856D3769CA90}"/>
    <cellStyle name="Currency 5 3 2 8 3" xfId="10943" xr:uid="{EAF3AC32-D37B-4C94-825E-51E04031267D}"/>
    <cellStyle name="Currency 5 3 2 9" xfId="2731" xr:uid="{00000000-0005-0000-0000-0000DC0C0000}"/>
    <cellStyle name="Currency 5 3 3" xfId="214" xr:uid="{00000000-0005-0000-0000-0000DD0C0000}"/>
    <cellStyle name="Currency 5 3 3 10" xfId="4657" xr:uid="{00000000-0005-0000-0000-0000DE0C0000}"/>
    <cellStyle name="Currency 5 3 3 10 2" xfId="13099" xr:uid="{8B690E2E-E17E-4B50-8AD8-FE68528C437D}"/>
    <cellStyle name="Currency 5 3 3 11" xfId="8881" xr:uid="{8697C037-8C61-4891-9F90-D101A00C3F51}"/>
    <cellStyle name="Currency 5 3 3 2" xfId="215" xr:uid="{00000000-0005-0000-0000-0000DF0C0000}"/>
    <cellStyle name="Currency 5 3 3 2 10" xfId="8882" xr:uid="{444B29CE-03CB-4356-80D1-907797476123}"/>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15659" xr:uid="{E855BA34-06AA-4A94-BA02-ECBFBE7E7B3E}"/>
    <cellStyle name="Currency 5 3 3 2 2 2 3" xfId="11441" xr:uid="{067D356D-40A0-4C4F-B0B8-F008FA7EC5FC}"/>
    <cellStyle name="Currency 5 3 3 2 2 3" xfId="5072" xr:uid="{00000000-0005-0000-0000-0000E30C0000}"/>
    <cellStyle name="Currency 5 3 3 2 2 3 2" xfId="13514" xr:uid="{0B05DAE8-939E-4A57-B7D2-F491BD737153}"/>
    <cellStyle name="Currency 5 3 3 2 2 4" xfId="9296" xr:uid="{812820FE-F7A7-4889-A81E-CE3CA5EB7278}"/>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16072" xr:uid="{9A290D99-9E79-4895-AB27-FCC7F8002DA4}"/>
    <cellStyle name="Currency 5 3 3 2 3 2 3" xfId="11854" xr:uid="{9125B0E0-9CEF-4381-8F94-A9DC9213F947}"/>
    <cellStyle name="Currency 5 3 3 2 3 3" xfId="5485" xr:uid="{00000000-0005-0000-0000-0000E70C0000}"/>
    <cellStyle name="Currency 5 3 3 2 3 3 2" xfId="13927" xr:uid="{A670E584-A8D9-438A-8B98-FE080F16F41F}"/>
    <cellStyle name="Currency 5 3 3 2 3 4" xfId="9709" xr:uid="{ACF3D865-8945-4AA3-8844-9264B2E20B3E}"/>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16485" xr:uid="{63588846-922F-4D00-8D2B-9F690713D23D}"/>
    <cellStyle name="Currency 5 3 3 2 4 2 3" xfId="12267" xr:uid="{D92BC935-6431-4A10-B0F7-75EAA5500442}"/>
    <cellStyle name="Currency 5 3 3 2 4 3" xfId="5898" xr:uid="{00000000-0005-0000-0000-0000EB0C0000}"/>
    <cellStyle name="Currency 5 3 3 2 4 3 2" xfId="14340" xr:uid="{D95EEFE0-52E7-438D-8FF6-07F89278D157}"/>
    <cellStyle name="Currency 5 3 3 2 4 4" xfId="10122" xr:uid="{97A73B18-C366-4CDD-B668-7FA5D0850832}"/>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16898" xr:uid="{E4FF2A8F-3012-40D5-BF66-C55481FFC626}"/>
    <cellStyle name="Currency 5 3 3 2 5 2 3" xfId="12680" xr:uid="{A9403727-017E-44F0-A87A-53AE5AAB86A6}"/>
    <cellStyle name="Currency 5 3 3 2 5 3" xfId="6311" xr:uid="{00000000-0005-0000-0000-0000EF0C0000}"/>
    <cellStyle name="Currency 5 3 3 2 5 3 2" xfId="14753" xr:uid="{EF6F9F0E-D8B9-4753-8B83-22B527E75AF1}"/>
    <cellStyle name="Currency 5 3 3 2 5 4" xfId="10535" xr:uid="{A56F4DC9-BDB6-4C38-B0C6-A17A422E57AB}"/>
    <cellStyle name="Currency 5 3 3 2 6" xfId="2439" xr:uid="{00000000-0005-0000-0000-0000F00C0000}"/>
    <cellStyle name="Currency 5 3 3 2 6 2" xfId="6724" xr:uid="{00000000-0005-0000-0000-0000F10C0000}"/>
    <cellStyle name="Currency 5 3 3 2 6 2 2" xfId="15166" xr:uid="{C3A945DE-760C-4900-9EB0-2AEA0FAD7A51}"/>
    <cellStyle name="Currency 5 3 3 2 6 3" xfId="10948" xr:uid="{096E61CE-5B6E-464D-9906-EAEABB4A3C0D}"/>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15483" xr:uid="{A8D85A82-E230-4B10-8977-9473583DEDB0}"/>
    <cellStyle name="Currency 5 3 3 2 8 3" xfId="11265" xr:uid="{1977853B-4412-4373-8314-9EE3DD40B3CE}"/>
    <cellStyle name="Currency 5 3 3 2 9" xfId="4658" xr:uid="{00000000-0005-0000-0000-0000F50C0000}"/>
    <cellStyle name="Currency 5 3 3 2 9 2" xfId="13100" xr:uid="{AFED0C8F-6A5C-49A7-907F-1FAFDDCA51AF}"/>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15658" xr:uid="{5CC22E7D-693D-4755-B7FB-DB7298C8030D}"/>
    <cellStyle name="Currency 5 3 3 3 2 3" xfId="11440" xr:uid="{F7925F1B-3B45-4A38-8580-D4480A2E50DB}"/>
    <cellStyle name="Currency 5 3 3 3 3" xfId="5071" xr:uid="{00000000-0005-0000-0000-0000F90C0000}"/>
    <cellStyle name="Currency 5 3 3 3 3 2" xfId="13513" xr:uid="{523E22C6-05C4-4033-9FF2-5A5296D93CD0}"/>
    <cellStyle name="Currency 5 3 3 3 4" xfId="9295" xr:uid="{77ED7E5E-DDD7-4D02-BD19-5968626E18E9}"/>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16071" xr:uid="{D630E147-E92D-424E-8465-4C595080BB67}"/>
    <cellStyle name="Currency 5 3 3 4 2 3" xfId="11853" xr:uid="{3314DC48-585E-41A5-A35A-BF72FF06CE2B}"/>
    <cellStyle name="Currency 5 3 3 4 3" xfId="5484" xr:uid="{00000000-0005-0000-0000-0000FD0C0000}"/>
    <cellStyle name="Currency 5 3 3 4 3 2" xfId="13926" xr:uid="{08B52511-1554-4EC4-BDC5-EDD52721A109}"/>
    <cellStyle name="Currency 5 3 3 4 4" xfId="9708" xr:uid="{27266813-DA36-4C92-88BB-8B56129BA1D8}"/>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16484" xr:uid="{46F8E237-12A2-4BDB-96C6-F0817A64FBED}"/>
    <cellStyle name="Currency 5 3 3 5 2 3" xfId="12266" xr:uid="{9C292589-7A86-4520-9C38-EE3AF070467D}"/>
    <cellStyle name="Currency 5 3 3 5 3" xfId="5897" xr:uid="{00000000-0005-0000-0000-0000010D0000}"/>
    <cellStyle name="Currency 5 3 3 5 3 2" xfId="14339" xr:uid="{43DF9DBE-E981-4788-A493-65C1BBD3711F}"/>
    <cellStyle name="Currency 5 3 3 5 4" xfId="10121" xr:uid="{C197BEE9-4100-475C-AB33-81079853CE14}"/>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16897" xr:uid="{ACB23BE7-7E11-4B85-8A60-75458E23B0CC}"/>
    <cellStyle name="Currency 5 3 3 6 2 3" xfId="12679" xr:uid="{EEA4AFEE-14C8-4DD5-B282-5130D1D78E5B}"/>
    <cellStyle name="Currency 5 3 3 6 3" xfId="6310" xr:uid="{00000000-0005-0000-0000-0000050D0000}"/>
    <cellStyle name="Currency 5 3 3 6 3 2" xfId="14752" xr:uid="{6480692D-098D-4BEF-AA8F-BD0060BACCA4}"/>
    <cellStyle name="Currency 5 3 3 6 4" xfId="10534" xr:uid="{CFE8B3C8-F6E2-4883-8916-0BE392493742}"/>
    <cellStyle name="Currency 5 3 3 7" xfId="2438" xr:uid="{00000000-0005-0000-0000-0000060D0000}"/>
    <cellStyle name="Currency 5 3 3 7 2" xfId="6723" xr:uid="{00000000-0005-0000-0000-0000070D0000}"/>
    <cellStyle name="Currency 5 3 3 7 2 2" xfId="15165" xr:uid="{46175CE4-298B-44BB-9743-7C7D513514CE}"/>
    <cellStyle name="Currency 5 3 3 7 3" xfId="10947" xr:uid="{B0B2F1A6-EE6C-4A05-81A7-594E9C417D83}"/>
    <cellStyle name="Currency 5 3 3 8" xfId="2735" xr:uid="{00000000-0005-0000-0000-0000080D0000}"/>
    <cellStyle name="Currency 5 3 3 9" xfId="2816" xr:uid="{00000000-0005-0000-0000-0000090D0000}"/>
    <cellStyle name="Currency 5 3 3 9 2" xfId="7040" xr:uid="{00000000-0005-0000-0000-00000A0D0000}"/>
    <cellStyle name="Currency 5 3 3 9 2 2" xfId="15482" xr:uid="{14F10A0D-94F6-42B9-A6E2-5C7CCEE85DF7}"/>
    <cellStyle name="Currency 5 3 3 9 3" xfId="11264" xr:uid="{C08BAC35-4F56-4481-AD95-09A0409D046C}"/>
    <cellStyle name="Currency 5 3 4" xfId="216" xr:uid="{00000000-0005-0000-0000-00000B0D0000}"/>
    <cellStyle name="Currency 5 3 4 10" xfId="8883" xr:uid="{0E81F56C-9B9F-403B-BB63-731484C3BA32}"/>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15660" xr:uid="{EF731FC4-0F24-44FA-9708-5609E37FF80A}"/>
    <cellStyle name="Currency 5 3 4 2 2 3" xfId="11442" xr:uid="{3D56AF98-2D36-4388-BDEF-B4E2DF357CD1}"/>
    <cellStyle name="Currency 5 3 4 2 3" xfId="5073" xr:uid="{00000000-0005-0000-0000-00000F0D0000}"/>
    <cellStyle name="Currency 5 3 4 2 3 2" xfId="13515" xr:uid="{EAC27CD7-0241-4BFD-8648-FE57273AF641}"/>
    <cellStyle name="Currency 5 3 4 2 4" xfId="9297" xr:uid="{97566524-5F01-44C0-8869-8079DE9ACE9B}"/>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16073" xr:uid="{CAD2A0F9-C231-48CB-8713-0D41A3C1C1CB}"/>
    <cellStyle name="Currency 5 3 4 3 2 3" xfId="11855" xr:uid="{1C4C1F8E-CC5B-4CC3-A49C-BC7E1E203656}"/>
    <cellStyle name="Currency 5 3 4 3 3" xfId="5486" xr:uid="{00000000-0005-0000-0000-0000130D0000}"/>
    <cellStyle name="Currency 5 3 4 3 3 2" xfId="13928" xr:uid="{FB716A16-0E2E-4D13-BEE3-194759980BC4}"/>
    <cellStyle name="Currency 5 3 4 3 4" xfId="9710" xr:uid="{C0D117D8-A279-45AA-AE2F-63DDF272F99D}"/>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16486" xr:uid="{B4159A9D-D6FB-4C2B-851B-77CBEAB8F52D}"/>
    <cellStyle name="Currency 5 3 4 4 2 3" xfId="12268" xr:uid="{6A6D0193-C4C9-4635-ABF3-1FB3810010D3}"/>
    <cellStyle name="Currency 5 3 4 4 3" xfId="5899" xr:uid="{00000000-0005-0000-0000-0000170D0000}"/>
    <cellStyle name="Currency 5 3 4 4 3 2" xfId="14341" xr:uid="{3D0E5EC9-A45C-421A-B871-FB01BD1DB96B}"/>
    <cellStyle name="Currency 5 3 4 4 4" xfId="10123" xr:uid="{33CA4304-55E0-43FE-AF6F-B5B864F8E9E8}"/>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16899" xr:uid="{D9F0EB0F-88C8-41D4-B59D-98C2C359F160}"/>
    <cellStyle name="Currency 5 3 4 5 2 3" xfId="12681" xr:uid="{6C6B098D-87AF-450D-B8D2-1049F0857086}"/>
    <cellStyle name="Currency 5 3 4 5 3" xfId="6312" xr:uid="{00000000-0005-0000-0000-00001B0D0000}"/>
    <cellStyle name="Currency 5 3 4 5 3 2" xfId="14754" xr:uid="{D21EE9A0-FE28-42D6-9B5D-270E5AE5DBDB}"/>
    <cellStyle name="Currency 5 3 4 5 4" xfId="10536" xr:uid="{1F567ABA-55A1-4EDD-BD48-4658A762A491}"/>
    <cellStyle name="Currency 5 3 4 6" xfId="2440" xr:uid="{00000000-0005-0000-0000-00001C0D0000}"/>
    <cellStyle name="Currency 5 3 4 6 2" xfId="6725" xr:uid="{00000000-0005-0000-0000-00001D0D0000}"/>
    <cellStyle name="Currency 5 3 4 6 2 2" xfId="15167" xr:uid="{2FACB9C7-8B40-4016-A243-C289E4C65386}"/>
    <cellStyle name="Currency 5 3 4 6 3" xfId="10949" xr:uid="{1AE3E951-BDD5-4BB3-8B36-F532F137976C}"/>
    <cellStyle name="Currency 5 3 4 7" xfId="2737" xr:uid="{00000000-0005-0000-0000-00001E0D0000}"/>
    <cellStyle name="Currency 5 3 4 8" xfId="2818" xr:uid="{00000000-0005-0000-0000-00001F0D0000}"/>
    <cellStyle name="Currency 5 3 4 8 2" xfId="7042" xr:uid="{00000000-0005-0000-0000-0000200D0000}"/>
    <cellStyle name="Currency 5 3 4 8 2 2" xfId="15484" xr:uid="{0496B6D1-7522-47F4-AA92-B6A172480AA3}"/>
    <cellStyle name="Currency 5 3 4 8 3" xfId="11266" xr:uid="{795AEE97-5CD7-4F1D-BF12-09DFE9146C25}"/>
    <cellStyle name="Currency 5 3 4 9" xfId="4659" xr:uid="{00000000-0005-0000-0000-0000210D0000}"/>
    <cellStyle name="Currency 5 3 4 9 2" xfId="13101" xr:uid="{8CF2C758-E28D-49CC-9CA7-FD9F54AD734F}"/>
    <cellStyle name="Currency 5 3 5" xfId="217" xr:uid="{00000000-0005-0000-0000-0000220D0000}"/>
    <cellStyle name="Currency 5 3 5 10" xfId="8884" xr:uid="{B1A20463-52A8-4F27-8F3A-50031491D8AD}"/>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15661" xr:uid="{44DF772E-0AB2-4DFF-8C5E-32F377C34138}"/>
    <cellStyle name="Currency 5 3 5 2 2 3" xfId="11443" xr:uid="{D5B95990-21B1-47E8-A2FD-C7D74D0D202A}"/>
    <cellStyle name="Currency 5 3 5 2 3" xfId="5074" xr:uid="{00000000-0005-0000-0000-0000260D0000}"/>
    <cellStyle name="Currency 5 3 5 2 3 2" xfId="13516" xr:uid="{83794787-98AE-4FED-863D-A3AE3414A739}"/>
    <cellStyle name="Currency 5 3 5 2 4" xfId="9298" xr:uid="{CC56726A-DF15-421E-8F02-DBB618D2D775}"/>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16074" xr:uid="{EC3DF91F-F4C7-4417-86DA-2AEFDA6EC782}"/>
    <cellStyle name="Currency 5 3 5 3 2 3" xfId="11856" xr:uid="{8D25FE66-FD2B-49D1-BBBB-1BE6DA5C4607}"/>
    <cellStyle name="Currency 5 3 5 3 3" xfId="5487" xr:uid="{00000000-0005-0000-0000-00002A0D0000}"/>
    <cellStyle name="Currency 5 3 5 3 3 2" xfId="13929" xr:uid="{785AF070-43E2-4A16-8568-4E0D31EFCCF6}"/>
    <cellStyle name="Currency 5 3 5 3 4" xfId="9711" xr:uid="{2D96557C-A9C4-4CD4-B622-3F4180A405CD}"/>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16487" xr:uid="{75D055F0-6D1A-4F32-BDF8-7FE7A48777AB}"/>
    <cellStyle name="Currency 5 3 5 4 2 3" xfId="12269" xr:uid="{1B21C05E-4847-409B-BEFC-2BB0CDD46CCE}"/>
    <cellStyle name="Currency 5 3 5 4 3" xfId="5900" xr:uid="{00000000-0005-0000-0000-00002E0D0000}"/>
    <cellStyle name="Currency 5 3 5 4 3 2" xfId="14342" xr:uid="{2F9CEC99-ED62-497A-A480-9D6AC0350C70}"/>
    <cellStyle name="Currency 5 3 5 4 4" xfId="10124" xr:uid="{AA7D6D79-B340-4416-B09B-7C8CE1CFECF2}"/>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16900" xr:uid="{3DEE8EFF-CCF7-42A9-811C-830DDDB2C234}"/>
    <cellStyle name="Currency 5 3 5 5 2 3" xfId="12682" xr:uid="{A4B56FA6-4F56-4B27-AF8A-B335FE04524E}"/>
    <cellStyle name="Currency 5 3 5 5 3" xfId="6313" xr:uid="{00000000-0005-0000-0000-0000320D0000}"/>
    <cellStyle name="Currency 5 3 5 5 3 2" xfId="14755" xr:uid="{467D72A8-3EDD-4623-8E47-F820ACF50F61}"/>
    <cellStyle name="Currency 5 3 5 5 4" xfId="10537" xr:uid="{AA432C4A-3729-4D9C-98B7-9A212EC8BE10}"/>
    <cellStyle name="Currency 5 3 5 6" xfId="2441" xr:uid="{00000000-0005-0000-0000-0000330D0000}"/>
    <cellStyle name="Currency 5 3 5 6 2" xfId="6726" xr:uid="{00000000-0005-0000-0000-0000340D0000}"/>
    <cellStyle name="Currency 5 3 5 6 2 2" xfId="15168" xr:uid="{F2F69446-EBFC-4720-A00D-4F8A9A5DF147}"/>
    <cellStyle name="Currency 5 3 5 6 3" xfId="10950" xr:uid="{0F1C2F89-694C-4EBC-A0E1-0E164B480549}"/>
    <cellStyle name="Currency 5 3 5 7" xfId="2738" xr:uid="{00000000-0005-0000-0000-0000350D0000}"/>
    <cellStyle name="Currency 5 3 5 8" xfId="2819" xr:uid="{00000000-0005-0000-0000-0000360D0000}"/>
    <cellStyle name="Currency 5 3 5 8 2" xfId="7043" xr:uid="{00000000-0005-0000-0000-0000370D0000}"/>
    <cellStyle name="Currency 5 3 5 8 2 2" xfId="15485" xr:uid="{6B454435-B0A4-42F9-B890-70FC29D6A0F2}"/>
    <cellStyle name="Currency 5 3 5 8 3" xfId="11267" xr:uid="{CDB160A3-42AB-47B1-97D1-A958D748C5A9}"/>
    <cellStyle name="Currency 5 3 5 9" xfId="4660" xr:uid="{00000000-0005-0000-0000-0000380D0000}"/>
    <cellStyle name="Currency 5 3 5 9 2" xfId="13102" xr:uid="{3BC4E4FF-2342-4B34-A0F9-640953379934}"/>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13103" xr:uid="{856122B4-1E8B-416A-9CDB-A75F456EF37E}"/>
    <cellStyle name="Currency 5 5 11" xfId="8885" xr:uid="{F3195601-3C48-401A-9984-F53D45A87580}"/>
    <cellStyle name="Currency 5 5 2" xfId="220" xr:uid="{00000000-0005-0000-0000-00003D0D0000}"/>
    <cellStyle name="Currency 5 5 2 10" xfId="8886" xr:uid="{BE8D4A11-83CE-439C-95E2-820980DE1AC5}"/>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15663" xr:uid="{43125020-4C26-4B8C-9623-AD0C2EBAA797}"/>
    <cellStyle name="Currency 5 5 2 2 2 3" xfId="11445" xr:uid="{8FADA6D5-BB6D-44F0-BF99-0A4470C22353}"/>
    <cellStyle name="Currency 5 5 2 2 3" xfId="5076" xr:uid="{00000000-0005-0000-0000-0000410D0000}"/>
    <cellStyle name="Currency 5 5 2 2 3 2" xfId="13518" xr:uid="{FE96ACF1-FCBC-4666-A69F-B93413761242}"/>
    <cellStyle name="Currency 5 5 2 2 4" xfId="9300" xr:uid="{EC15B5B6-8CEB-48E1-AC7D-66650B19CE26}"/>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16076" xr:uid="{17640727-0B70-4E13-BA11-63F3630C1B27}"/>
    <cellStyle name="Currency 5 5 2 3 2 3" xfId="11858" xr:uid="{AE38FADC-1996-49BF-BAEE-7E6128E6D459}"/>
    <cellStyle name="Currency 5 5 2 3 3" xfId="5489" xr:uid="{00000000-0005-0000-0000-0000450D0000}"/>
    <cellStyle name="Currency 5 5 2 3 3 2" xfId="13931" xr:uid="{C280B38A-4B53-4128-BEE9-1AFA7B707A7F}"/>
    <cellStyle name="Currency 5 5 2 3 4" xfId="9713" xr:uid="{5B727CFA-450E-4E26-89B0-E13556DF170A}"/>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16489" xr:uid="{AB4BE9A5-17F1-4266-87EC-426BC7394770}"/>
    <cellStyle name="Currency 5 5 2 4 2 3" xfId="12271" xr:uid="{B41387F6-15DE-4575-8E62-105C7AF161C1}"/>
    <cellStyle name="Currency 5 5 2 4 3" xfId="5902" xr:uid="{00000000-0005-0000-0000-0000490D0000}"/>
    <cellStyle name="Currency 5 5 2 4 3 2" xfId="14344" xr:uid="{6D93C83C-33FC-43C2-BDA1-DA88914857CE}"/>
    <cellStyle name="Currency 5 5 2 4 4" xfId="10126" xr:uid="{F75F49FE-AFE3-465A-BC01-D6550BA6B2BE}"/>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16902" xr:uid="{80C6D765-3CE1-48C8-A042-3773CBE2CEBC}"/>
    <cellStyle name="Currency 5 5 2 5 2 3" xfId="12684" xr:uid="{59D6FB67-0B52-40D7-BA38-7540F3FD56C0}"/>
    <cellStyle name="Currency 5 5 2 5 3" xfId="6315" xr:uid="{00000000-0005-0000-0000-00004D0D0000}"/>
    <cellStyle name="Currency 5 5 2 5 3 2" xfId="14757" xr:uid="{FC39A706-70AB-490E-ACA3-4E25176C771E}"/>
    <cellStyle name="Currency 5 5 2 5 4" xfId="10539" xr:uid="{28002771-2A9E-42C8-BED5-480914CD3E26}"/>
    <cellStyle name="Currency 5 5 2 6" xfId="2443" xr:uid="{00000000-0005-0000-0000-00004E0D0000}"/>
    <cellStyle name="Currency 5 5 2 6 2" xfId="6728" xr:uid="{00000000-0005-0000-0000-00004F0D0000}"/>
    <cellStyle name="Currency 5 5 2 6 2 2" xfId="15170" xr:uid="{3CD3DB77-044C-4FDF-84A9-32D3A09D089C}"/>
    <cellStyle name="Currency 5 5 2 6 3" xfId="10952" xr:uid="{BD039601-942F-4BB9-B608-B40B95708311}"/>
    <cellStyle name="Currency 5 5 2 7" xfId="2740" xr:uid="{00000000-0005-0000-0000-0000500D0000}"/>
    <cellStyle name="Currency 5 5 2 8" xfId="2821" xr:uid="{00000000-0005-0000-0000-0000510D0000}"/>
    <cellStyle name="Currency 5 5 2 8 2" xfId="7045" xr:uid="{00000000-0005-0000-0000-0000520D0000}"/>
    <cellStyle name="Currency 5 5 2 8 2 2" xfId="15487" xr:uid="{14C1B1A1-B4C2-42DA-9FDF-59F3C2ADC31E}"/>
    <cellStyle name="Currency 5 5 2 8 3" xfId="11269" xr:uid="{740BAD29-8EF1-4C02-859E-173EC7A9005E}"/>
    <cellStyle name="Currency 5 5 2 9" xfId="4662" xr:uid="{00000000-0005-0000-0000-0000530D0000}"/>
    <cellStyle name="Currency 5 5 2 9 2" xfId="13104" xr:uid="{381CFCB9-49CC-49B0-9EB0-C73AC3C746F6}"/>
    <cellStyle name="Currency 5 5 3" xfId="745" xr:uid="{00000000-0005-0000-0000-0000540D0000}"/>
    <cellStyle name="Currency 5 5 3 2" xfId="2997" xr:uid="{00000000-0005-0000-0000-0000550D0000}"/>
    <cellStyle name="Currency 5 5 3 2 2" xfId="7220" xr:uid="{00000000-0005-0000-0000-0000560D0000}"/>
    <cellStyle name="Currency 5 5 3 2 2 2" xfId="15662" xr:uid="{03D12F72-1075-4A68-BA64-2B81621BE199}"/>
    <cellStyle name="Currency 5 5 3 2 3" xfId="11444" xr:uid="{44A2379B-C823-4D9E-8EC7-C341AA9802A7}"/>
    <cellStyle name="Currency 5 5 3 3" xfId="5075" xr:uid="{00000000-0005-0000-0000-0000570D0000}"/>
    <cellStyle name="Currency 5 5 3 3 2" xfId="13517" xr:uid="{43CBC007-101B-448C-917F-F6FAF8A8DC0C}"/>
    <cellStyle name="Currency 5 5 3 4" xfId="9299" xr:uid="{86CB25E9-2100-4B60-91BC-CE23C3AA43F4}"/>
    <cellStyle name="Currency 5 5 4" xfId="1179" xr:uid="{00000000-0005-0000-0000-0000580D0000}"/>
    <cellStyle name="Currency 5 5 4 2" xfId="3410" xr:uid="{00000000-0005-0000-0000-0000590D0000}"/>
    <cellStyle name="Currency 5 5 4 2 2" xfId="7633" xr:uid="{00000000-0005-0000-0000-00005A0D0000}"/>
    <cellStyle name="Currency 5 5 4 2 2 2" xfId="16075" xr:uid="{F8B40616-91E1-4450-9120-3C47DBFB47E6}"/>
    <cellStyle name="Currency 5 5 4 2 3" xfId="11857" xr:uid="{87384720-B69D-4FDB-BE69-02552F19807C}"/>
    <cellStyle name="Currency 5 5 4 3" xfId="5488" xr:uid="{00000000-0005-0000-0000-00005B0D0000}"/>
    <cellStyle name="Currency 5 5 4 3 2" xfId="13930" xr:uid="{8CFFCEC6-D6AE-4E23-A86C-E1156D3C7E16}"/>
    <cellStyle name="Currency 5 5 4 4" xfId="9712" xr:uid="{32CFF4AE-342B-44FB-AED7-EC912504BCE1}"/>
    <cellStyle name="Currency 5 5 5" xfId="1593" xr:uid="{00000000-0005-0000-0000-00005C0D0000}"/>
    <cellStyle name="Currency 5 5 5 2" xfId="3823" xr:uid="{00000000-0005-0000-0000-00005D0D0000}"/>
    <cellStyle name="Currency 5 5 5 2 2" xfId="8046" xr:uid="{00000000-0005-0000-0000-00005E0D0000}"/>
    <cellStyle name="Currency 5 5 5 2 2 2" xfId="16488" xr:uid="{41D87B9E-1060-4A6B-A051-DF7321661DDD}"/>
    <cellStyle name="Currency 5 5 5 2 3" xfId="12270" xr:uid="{DE39BBF0-65A8-4D64-9893-BC3324BF87DE}"/>
    <cellStyle name="Currency 5 5 5 3" xfId="5901" xr:uid="{00000000-0005-0000-0000-00005F0D0000}"/>
    <cellStyle name="Currency 5 5 5 3 2" xfId="14343" xr:uid="{B23079DB-0F39-4442-A657-18E8ABE0068A}"/>
    <cellStyle name="Currency 5 5 5 4" xfId="10125" xr:uid="{61D2899F-E784-4ACF-91C1-8A4BFDCE8645}"/>
    <cellStyle name="Currency 5 5 6" xfId="2007" xr:uid="{00000000-0005-0000-0000-0000600D0000}"/>
    <cellStyle name="Currency 5 5 6 2" xfId="4236" xr:uid="{00000000-0005-0000-0000-0000610D0000}"/>
    <cellStyle name="Currency 5 5 6 2 2" xfId="8459" xr:uid="{00000000-0005-0000-0000-0000620D0000}"/>
    <cellStyle name="Currency 5 5 6 2 2 2" xfId="16901" xr:uid="{CCC25E67-4669-4C53-8946-588B19F368C1}"/>
    <cellStyle name="Currency 5 5 6 2 3" xfId="12683" xr:uid="{2F52841C-00CE-46C2-BD6E-013E1E5BD94D}"/>
    <cellStyle name="Currency 5 5 6 3" xfId="6314" xr:uid="{00000000-0005-0000-0000-0000630D0000}"/>
    <cellStyle name="Currency 5 5 6 3 2" xfId="14756" xr:uid="{B194C974-8404-40B0-821C-5630C35E0FDB}"/>
    <cellStyle name="Currency 5 5 6 4" xfId="10538" xr:uid="{E4B4C11B-43C8-49B0-AE90-A5E9CBBC8596}"/>
    <cellStyle name="Currency 5 5 7" xfId="2442" xr:uid="{00000000-0005-0000-0000-0000640D0000}"/>
    <cellStyle name="Currency 5 5 7 2" xfId="6727" xr:uid="{00000000-0005-0000-0000-0000650D0000}"/>
    <cellStyle name="Currency 5 5 7 2 2" xfId="15169" xr:uid="{34FD8E47-88F0-4EBB-8648-2B4A15E5C4D4}"/>
    <cellStyle name="Currency 5 5 7 3" xfId="10951" xr:uid="{EB81A921-ABDB-44F4-B794-6BA1AC520278}"/>
    <cellStyle name="Currency 5 5 8" xfId="2739" xr:uid="{00000000-0005-0000-0000-0000660D0000}"/>
    <cellStyle name="Currency 5 5 9" xfId="2820" xr:uid="{00000000-0005-0000-0000-0000670D0000}"/>
    <cellStyle name="Currency 5 5 9 2" xfId="7044" xr:uid="{00000000-0005-0000-0000-0000680D0000}"/>
    <cellStyle name="Currency 5 5 9 2 2" xfId="15486" xr:uid="{6E4B7B7E-D019-489F-B83B-81111D3B26A5}"/>
    <cellStyle name="Currency 5 5 9 3" xfId="11268" xr:uid="{64F59B2C-5FE7-4BEF-B690-87E9B1D36168}"/>
    <cellStyle name="Currency 5 6" xfId="221" xr:uid="{00000000-0005-0000-0000-0000690D0000}"/>
    <cellStyle name="Currency 5 6 10" xfId="8887" xr:uid="{7FAC497B-DC5B-4176-B354-A49B9E269B1F}"/>
    <cellStyle name="Currency 5 6 2" xfId="747" xr:uid="{00000000-0005-0000-0000-00006A0D0000}"/>
    <cellStyle name="Currency 5 6 2 2" xfId="2999" xr:uid="{00000000-0005-0000-0000-00006B0D0000}"/>
    <cellStyle name="Currency 5 6 2 2 2" xfId="7222" xr:uid="{00000000-0005-0000-0000-00006C0D0000}"/>
    <cellStyle name="Currency 5 6 2 2 2 2" xfId="15664" xr:uid="{DFC6EC07-8670-406A-8D36-419F0FEFD354}"/>
    <cellStyle name="Currency 5 6 2 2 3" xfId="11446" xr:uid="{68C04AAB-7E39-4E3A-AF01-5690BCFE9E4F}"/>
    <cellStyle name="Currency 5 6 2 3" xfId="5077" xr:uid="{00000000-0005-0000-0000-00006D0D0000}"/>
    <cellStyle name="Currency 5 6 2 3 2" xfId="13519" xr:uid="{131465C4-ACD1-43BA-A15F-DDE668D2A5AD}"/>
    <cellStyle name="Currency 5 6 2 4" xfId="9301" xr:uid="{82D68D17-9A20-41E9-A785-94D12812AFDA}"/>
    <cellStyle name="Currency 5 6 3" xfId="1181" xr:uid="{00000000-0005-0000-0000-00006E0D0000}"/>
    <cellStyle name="Currency 5 6 3 2" xfId="3412" xr:uid="{00000000-0005-0000-0000-00006F0D0000}"/>
    <cellStyle name="Currency 5 6 3 2 2" xfId="7635" xr:uid="{00000000-0005-0000-0000-0000700D0000}"/>
    <cellStyle name="Currency 5 6 3 2 2 2" xfId="16077" xr:uid="{29528520-56F7-453E-8198-92DE12A84DB7}"/>
    <cellStyle name="Currency 5 6 3 2 3" xfId="11859" xr:uid="{A7B8ACBF-2938-41C2-A2FB-3F19BBB07F34}"/>
    <cellStyle name="Currency 5 6 3 3" xfId="5490" xr:uid="{00000000-0005-0000-0000-0000710D0000}"/>
    <cellStyle name="Currency 5 6 3 3 2" xfId="13932" xr:uid="{C78AA99B-B352-41A1-B8CA-FE21E574D6F9}"/>
    <cellStyle name="Currency 5 6 3 4" xfId="9714" xr:uid="{2CA863DF-DF86-46EE-92D6-2E10224236A7}"/>
    <cellStyle name="Currency 5 6 4" xfId="1595" xr:uid="{00000000-0005-0000-0000-0000720D0000}"/>
    <cellStyle name="Currency 5 6 4 2" xfId="3825" xr:uid="{00000000-0005-0000-0000-0000730D0000}"/>
    <cellStyle name="Currency 5 6 4 2 2" xfId="8048" xr:uid="{00000000-0005-0000-0000-0000740D0000}"/>
    <cellStyle name="Currency 5 6 4 2 2 2" xfId="16490" xr:uid="{AAB1236E-0F03-440C-AE68-091DD027C789}"/>
    <cellStyle name="Currency 5 6 4 2 3" xfId="12272" xr:uid="{95D97547-6051-4651-BA7F-5DCD29380C74}"/>
    <cellStyle name="Currency 5 6 4 3" xfId="5903" xr:uid="{00000000-0005-0000-0000-0000750D0000}"/>
    <cellStyle name="Currency 5 6 4 3 2" xfId="14345" xr:uid="{7C85E2E3-0071-40FB-8BC1-249937D1A859}"/>
    <cellStyle name="Currency 5 6 4 4" xfId="10127" xr:uid="{D03A6F8A-B4C2-4246-9ED1-541BFDE420F4}"/>
    <cellStyle name="Currency 5 6 5" xfId="2009" xr:uid="{00000000-0005-0000-0000-0000760D0000}"/>
    <cellStyle name="Currency 5 6 5 2" xfId="4238" xr:uid="{00000000-0005-0000-0000-0000770D0000}"/>
    <cellStyle name="Currency 5 6 5 2 2" xfId="8461" xr:uid="{00000000-0005-0000-0000-0000780D0000}"/>
    <cellStyle name="Currency 5 6 5 2 2 2" xfId="16903" xr:uid="{D63B91BD-B501-4E1A-B687-95FAB169C7F2}"/>
    <cellStyle name="Currency 5 6 5 2 3" xfId="12685" xr:uid="{493E0A59-C437-4CE0-9FFB-AC63967B0DFB}"/>
    <cellStyle name="Currency 5 6 5 3" xfId="6316" xr:uid="{00000000-0005-0000-0000-0000790D0000}"/>
    <cellStyle name="Currency 5 6 5 3 2" xfId="14758" xr:uid="{DBD2886C-865A-48B8-834C-1071A844198A}"/>
    <cellStyle name="Currency 5 6 5 4" xfId="10540" xr:uid="{55AF9ECA-9058-416C-8282-F7FDFF25A3F9}"/>
    <cellStyle name="Currency 5 6 6" xfId="2444" xr:uid="{00000000-0005-0000-0000-00007A0D0000}"/>
    <cellStyle name="Currency 5 6 6 2" xfId="6729" xr:uid="{00000000-0005-0000-0000-00007B0D0000}"/>
    <cellStyle name="Currency 5 6 6 2 2" xfId="15171" xr:uid="{30D34F12-8FE1-4628-B87B-6477D9234DC5}"/>
    <cellStyle name="Currency 5 6 6 3" xfId="10953" xr:uid="{9FAD86EC-632B-4CB2-8793-96B4A58DF578}"/>
    <cellStyle name="Currency 5 6 7" xfId="2741" xr:uid="{00000000-0005-0000-0000-00007C0D0000}"/>
    <cellStyle name="Currency 5 6 8" xfId="2822" xr:uid="{00000000-0005-0000-0000-00007D0D0000}"/>
    <cellStyle name="Currency 5 6 8 2" xfId="7046" xr:uid="{00000000-0005-0000-0000-00007E0D0000}"/>
    <cellStyle name="Currency 5 6 8 2 2" xfId="15488" xr:uid="{F9FC526C-1896-4EEB-9B89-BE05947DD4D0}"/>
    <cellStyle name="Currency 5 6 8 3" xfId="11270" xr:uid="{7E14D45F-C4DE-4B84-910A-F907E3BE7158}"/>
    <cellStyle name="Currency 5 6 9" xfId="4663" xr:uid="{00000000-0005-0000-0000-00007F0D0000}"/>
    <cellStyle name="Currency 5 6 9 2" xfId="13105" xr:uid="{27C5602E-C1B6-4794-8C84-5F6348E31B03}"/>
    <cellStyle name="Currency 5 7" xfId="222" xr:uid="{00000000-0005-0000-0000-0000800D0000}"/>
    <cellStyle name="Currency 5 7 10" xfId="8888" xr:uid="{94EFE729-2D8D-4091-80C3-4951FA4D4D96}"/>
    <cellStyle name="Currency 5 7 2" xfId="748" xr:uid="{00000000-0005-0000-0000-0000810D0000}"/>
    <cellStyle name="Currency 5 7 2 2" xfId="3000" xr:uid="{00000000-0005-0000-0000-0000820D0000}"/>
    <cellStyle name="Currency 5 7 2 2 2" xfId="7223" xr:uid="{00000000-0005-0000-0000-0000830D0000}"/>
    <cellStyle name="Currency 5 7 2 2 2 2" xfId="15665" xr:uid="{D17B62DE-52F5-422A-B3EE-D18CF049D829}"/>
    <cellStyle name="Currency 5 7 2 2 3" xfId="11447" xr:uid="{1656657E-6835-43EC-BAC4-1099B6B51730}"/>
    <cellStyle name="Currency 5 7 2 3" xfId="5078" xr:uid="{00000000-0005-0000-0000-0000840D0000}"/>
    <cellStyle name="Currency 5 7 2 3 2" xfId="13520" xr:uid="{A15D8C72-6372-4C60-BF14-1FF815054E3A}"/>
    <cellStyle name="Currency 5 7 2 4" xfId="9302" xr:uid="{B4FF677E-857F-4C78-BFC3-AFA66D759E98}"/>
    <cellStyle name="Currency 5 7 3" xfId="1182" xr:uid="{00000000-0005-0000-0000-0000850D0000}"/>
    <cellStyle name="Currency 5 7 3 2" xfId="3413" xr:uid="{00000000-0005-0000-0000-0000860D0000}"/>
    <cellStyle name="Currency 5 7 3 2 2" xfId="7636" xr:uid="{00000000-0005-0000-0000-0000870D0000}"/>
    <cellStyle name="Currency 5 7 3 2 2 2" xfId="16078" xr:uid="{80820557-C8ED-431B-9776-FC2000942C9B}"/>
    <cellStyle name="Currency 5 7 3 2 3" xfId="11860" xr:uid="{B97BFA49-198B-4606-BE7E-8BD6C8ED5F99}"/>
    <cellStyle name="Currency 5 7 3 3" xfId="5491" xr:uid="{00000000-0005-0000-0000-0000880D0000}"/>
    <cellStyle name="Currency 5 7 3 3 2" xfId="13933" xr:uid="{9C4FC583-EE15-4D51-B36D-6332822B4515}"/>
    <cellStyle name="Currency 5 7 3 4" xfId="9715" xr:uid="{9D8338EF-29E1-4488-8031-F669CC5847E7}"/>
    <cellStyle name="Currency 5 7 4" xfId="1596" xr:uid="{00000000-0005-0000-0000-0000890D0000}"/>
    <cellStyle name="Currency 5 7 4 2" xfId="3826" xr:uid="{00000000-0005-0000-0000-00008A0D0000}"/>
    <cellStyle name="Currency 5 7 4 2 2" xfId="8049" xr:uid="{00000000-0005-0000-0000-00008B0D0000}"/>
    <cellStyle name="Currency 5 7 4 2 2 2" xfId="16491" xr:uid="{0375F682-A912-4697-AA16-3D6F08EF2421}"/>
    <cellStyle name="Currency 5 7 4 2 3" xfId="12273" xr:uid="{4F322862-2514-4F5D-BF3E-FC481951E67B}"/>
    <cellStyle name="Currency 5 7 4 3" xfId="5904" xr:uid="{00000000-0005-0000-0000-00008C0D0000}"/>
    <cellStyle name="Currency 5 7 4 3 2" xfId="14346" xr:uid="{2ED63E9C-C8FC-4431-A1FC-C7D3B2F1A9F2}"/>
    <cellStyle name="Currency 5 7 4 4" xfId="10128" xr:uid="{47D8203E-D20D-41EC-B7A7-5A5B68995EF6}"/>
    <cellStyle name="Currency 5 7 5" xfId="2010" xr:uid="{00000000-0005-0000-0000-00008D0D0000}"/>
    <cellStyle name="Currency 5 7 5 2" xfId="4239" xr:uid="{00000000-0005-0000-0000-00008E0D0000}"/>
    <cellStyle name="Currency 5 7 5 2 2" xfId="8462" xr:uid="{00000000-0005-0000-0000-00008F0D0000}"/>
    <cellStyle name="Currency 5 7 5 2 2 2" xfId="16904" xr:uid="{7A68C17A-C303-4A3A-A329-9EE56864CD7B}"/>
    <cellStyle name="Currency 5 7 5 2 3" xfId="12686" xr:uid="{22CEC5B0-A178-44B6-87C2-2CDBB8FD0BA7}"/>
    <cellStyle name="Currency 5 7 5 3" xfId="6317" xr:uid="{00000000-0005-0000-0000-0000900D0000}"/>
    <cellStyle name="Currency 5 7 5 3 2" xfId="14759" xr:uid="{66C5126B-B748-4287-A00B-1FD11F654676}"/>
    <cellStyle name="Currency 5 7 5 4" xfId="10541" xr:uid="{4546E7FB-73F3-41F7-9396-D8D52911EF56}"/>
    <cellStyle name="Currency 5 7 6" xfId="2445" xr:uid="{00000000-0005-0000-0000-0000910D0000}"/>
    <cellStyle name="Currency 5 7 6 2" xfId="6730" xr:uid="{00000000-0005-0000-0000-0000920D0000}"/>
    <cellStyle name="Currency 5 7 6 2 2" xfId="15172" xr:uid="{4DE1A74C-76B7-49BA-B108-33AC4B9B284F}"/>
    <cellStyle name="Currency 5 7 6 3" xfId="10954" xr:uid="{DF285D60-5726-4D1D-9312-1A3A244B598F}"/>
    <cellStyle name="Currency 5 7 7" xfId="2742" xr:uid="{00000000-0005-0000-0000-0000930D0000}"/>
    <cellStyle name="Currency 5 7 8" xfId="2823" xr:uid="{00000000-0005-0000-0000-0000940D0000}"/>
    <cellStyle name="Currency 5 7 8 2" xfId="7047" xr:uid="{00000000-0005-0000-0000-0000950D0000}"/>
    <cellStyle name="Currency 5 7 8 2 2" xfId="15489" xr:uid="{41307347-7264-442F-A457-98490F1553A1}"/>
    <cellStyle name="Currency 5 7 8 3" xfId="11271" xr:uid="{48F3EEFE-9C48-4326-B8AB-D162A77E303C}"/>
    <cellStyle name="Currency 5 7 9" xfId="4664" xr:uid="{00000000-0005-0000-0000-0000960D0000}"/>
    <cellStyle name="Currency 5 7 9 2" xfId="13106" xr:uid="{D36B200C-83A2-4E16-AF78-F7CB8557BD2C}"/>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0 2 2" xfId="15173" xr:uid="{94C6B74D-6A05-400E-B1DD-0CA3348AA0AF}"/>
    <cellStyle name="Normal 12 10 3" xfId="10955" xr:uid="{04C5D13A-C33F-476A-A7B1-46E0F1D9459A}"/>
    <cellStyle name="Normal 12 11" xfId="4665" xr:uid="{00000000-0005-0000-0000-0000CC0D0000}"/>
    <cellStyle name="Normal 12 11 2" xfId="13107" xr:uid="{1B9483DE-4C8D-4920-AB31-971B75F2048C}"/>
    <cellStyle name="Normal 12 12" xfId="8889" xr:uid="{F75DD7D7-DF55-4894-AEF9-F3BC7BC9BDAB}"/>
    <cellStyle name="Normal 12 2" xfId="260" xr:uid="{00000000-0005-0000-0000-0000CD0D0000}"/>
    <cellStyle name="Normal 12 2 10" xfId="8890" xr:uid="{DC844794-51B7-4526-8C39-71A4921653FA}"/>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15669" xr:uid="{C1572306-A761-4AC5-8A1E-17DD2546C7D6}"/>
    <cellStyle name="Normal 12 2 2 2 2 2 3" xfId="11451" xr:uid="{5EA64FBC-ACFC-4E8F-AD12-2AB79831D064}"/>
    <cellStyle name="Normal 12 2 2 2 2 3" xfId="5082" xr:uid="{00000000-0005-0000-0000-0000D30D0000}"/>
    <cellStyle name="Normal 12 2 2 2 2 3 2" xfId="13524" xr:uid="{7DFD9AE1-1CAD-4EAD-A397-F5791A1D2DE5}"/>
    <cellStyle name="Normal 12 2 2 2 2 4" xfId="9306" xr:uid="{A82EC8BC-02D7-421C-9D51-C9C2630209C6}"/>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16082" xr:uid="{E10833CF-B232-4C4D-A9EB-E7E3D7FC35A3}"/>
    <cellStyle name="Normal 12 2 2 2 3 2 3" xfId="11864" xr:uid="{F4D87C89-70B3-47AC-99EB-9B0FDF7D1129}"/>
    <cellStyle name="Normal 12 2 2 2 3 3" xfId="5495" xr:uid="{00000000-0005-0000-0000-0000D70D0000}"/>
    <cellStyle name="Normal 12 2 2 2 3 3 2" xfId="13937" xr:uid="{AB797D57-1E6D-4DAD-99FD-2DBD439DC8EE}"/>
    <cellStyle name="Normal 12 2 2 2 3 4" xfId="9719" xr:uid="{C9A69271-1AE8-4815-AD1D-6929A86DA956}"/>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16495" xr:uid="{EDAC5C44-571C-4467-90A0-A3C0B541FBEA}"/>
    <cellStyle name="Normal 12 2 2 2 4 2 3" xfId="12277" xr:uid="{B45C6C32-55FB-46A0-BC23-D5C142FF6F4C}"/>
    <cellStyle name="Normal 12 2 2 2 4 3" xfId="5908" xr:uid="{00000000-0005-0000-0000-0000DB0D0000}"/>
    <cellStyle name="Normal 12 2 2 2 4 3 2" xfId="14350" xr:uid="{BAFA60F9-C140-4974-80AF-B7E40842A51F}"/>
    <cellStyle name="Normal 12 2 2 2 4 4" xfId="10132" xr:uid="{FFFAC422-CFD1-41AF-A6DF-A7536B8671AB}"/>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16908" xr:uid="{6E447880-65C9-49EB-82E4-4CBCBB5F2669}"/>
    <cellStyle name="Normal 12 2 2 2 5 2 3" xfId="12690" xr:uid="{A7824726-FE96-4835-A5E1-78F77720E8E2}"/>
    <cellStyle name="Normal 12 2 2 2 5 3" xfId="6321" xr:uid="{00000000-0005-0000-0000-0000DF0D0000}"/>
    <cellStyle name="Normal 12 2 2 2 5 3 2" xfId="14763" xr:uid="{345D11A0-5C31-4CDF-888C-E7CE0D7B9BA9}"/>
    <cellStyle name="Normal 12 2 2 2 5 4" xfId="10545" xr:uid="{B99C9F7B-B274-471B-AA98-7C5169A08399}"/>
    <cellStyle name="Normal 12 2 2 2 6" xfId="2450" xr:uid="{00000000-0005-0000-0000-0000E00D0000}"/>
    <cellStyle name="Normal 12 2 2 2 6 2" xfId="6734" xr:uid="{00000000-0005-0000-0000-0000E10D0000}"/>
    <cellStyle name="Normal 12 2 2 2 6 2 2" xfId="15176" xr:uid="{C2128CDF-D710-4369-831D-DE31E9BA5949}"/>
    <cellStyle name="Normal 12 2 2 2 6 3" xfId="10958" xr:uid="{71B9672D-3862-4F56-8A5E-A176C32B981B}"/>
    <cellStyle name="Normal 12 2 2 2 7" xfId="4668" xr:uid="{00000000-0005-0000-0000-0000E20D0000}"/>
    <cellStyle name="Normal 12 2 2 2 7 2" xfId="13110" xr:uid="{709BAF9D-893D-4DCE-98EB-A2559F89A3F8}"/>
    <cellStyle name="Normal 12 2 2 2 8" xfId="8892" xr:uid="{F8D2B328-4AA3-47B1-9B61-17AD58EB2476}"/>
    <cellStyle name="Normal 12 2 2 3" xfId="762" xr:uid="{00000000-0005-0000-0000-0000E30D0000}"/>
    <cellStyle name="Normal 12 2 2 3 2" xfId="3003" xr:uid="{00000000-0005-0000-0000-0000E40D0000}"/>
    <cellStyle name="Normal 12 2 2 3 2 2" xfId="7226" xr:uid="{00000000-0005-0000-0000-0000E50D0000}"/>
    <cellStyle name="Normal 12 2 2 3 2 2 2" xfId="15668" xr:uid="{3C04F395-8E64-4FCA-BB17-355BD46DDC39}"/>
    <cellStyle name="Normal 12 2 2 3 2 3" xfId="11450" xr:uid="{51AEC867-EDB5-454B-A234-F5EC850AC3CB}"/>
    <cellStyle name="Normal 12 2 2 3 3" xfId="5081" xr:uid="{00000000-0005-0000-0000-0000E60D0000}"/>
    <cellStyle name="Normal 12 2 2 3 3 2" xfId="13523" xr:uid="{83037F00-28E5-45FF-AE3A-690810889544}"/>
    <cellStyle name="Normal 12 2 2 3 4" xfId="9305" xr:uid="{84DC2D33-E8C9-4C8A-85C3-114896B1A563}"/>
    <cellStyle name="Normal 12 2 2 4" xfId="1185" xr:uid="{00000000-0005-0000-0000-0000E70D0000}"/>
    <cellStyle name="Normal 12 2 2 4 2" xfId="3416" xr:uid="{00000000-0005-0000-0000-0000E80D0000}"/>
    <cellStyle name="Normal 12 2 2 4 2 2" xfId="7639" xr:uid="{00000000-0005-0000-0000-0000E90D0000}"/>
    <cellStyle name="Normal 12 2 2 4 2 2 2" xfId="16081" xr:uid="{1EC71234-8272-4DCB-B637-37248204E96A}"/>
    <cellStyle name="Normal 12 2 2 4 2 3" xfId="11863" xr:uid="{0B3EBB4B-DC54-46C2-A53D-0401B27FED32}"/>
    <cellStyle name="Normal 12 2 2 4 3" xfId="5494" xr:uid="{00000000-0005-0000-0000-0000EA0D0000}"/>
    <cellStyle name="Normal 12 2 2 4 3 2" xfId="13936" xr:uid="{2CEEDCCC-6BAF-46CA-A13A-041095F4C13D}"/>
    <cellStyle name="Normal 12 2 2 4 4" xfId="9718" xr:uid="{BC98C8FA-2F63-4110-BEA2-42827C584809}"/>
    <cellStyle name="Normal 12 2 2 5" xfId="1599" xr:uid="{00000000-0005-0000-0000-0000EB0D0000}"/>
    <cellStyle name="Normal 12 2 2 5 2" xfId="3829" xr:uid="{00000000-0005-0000-0000-0000EC0D0000}"/>
    <cellStyle name="Normal 12 2 2 5 2 2" xfId="8052" xr:uid="{00000000-0005-0000-0000-0000ED0D0000}"/>
    <cellStyle name="Normal 12 2 2 5 2 2 2" xfId="16494" xr:uid="{966371E8-EF05-4910-9501-84CEC7685435}"/>
    <cellStyle name="Normal 12 2 2 5 2 3" xfId="12276" xr:uid="{702DF4E5-4151-4665-99D1-A52551EFE41C}"/>
    <cellStyle name="Normal 12 2 2 5 3" xfId="5907" xr:uid="{00000000-0005-0000-0000-0000EE0D0000}"/>
    <cellStyle name="Normal 12 2 2 5 3 2" xfId="14349" xr:uid="{C2159510-353D-45E2-B25F-AF3350DA3F88}"/>
    <cellStyle name="Normal 12 2 2 5 4" xfId="10131" xr:uid="{A83F6527-D43A-46B0-897A-2A8A3E1423D9}"/>
    <cellStyle name="Normal 12 2 2 6" xfId="2013" xr:uid="{00000000-0005-0000-0000-0000EF0D0000}"/>
    <cellStyle name="Normal 12 2 2 6 2" xfId="4242" xr:uid="{00000000-0005-0000-0000-0000F00D0000}"/>
    <cellStyle name="Normal 12 2 2 6 2 2" xfId="8465" xr:uid="{00000000-0005-0000-0000-0000F10D0000}"/>
    <cellStyle name="Normal 12 2 2 6 2 2 2" xfId="16907" xr:uid="{3243FDC7-DC3A-4378-8676-1F2B235108B6}"/>
    <cellStyle name="Normal 12 2 2 6 2 3" xfId="12689" xr:uid="{FC558069-7498-4FA1-B9F7-EA67A80F13D2}"/>
    <cellStyle name="Normal 12 2 2 6 3" xfId="6320" xr:uid="{00000000-0005-0000-0000-0000F20D0000}"/>
    <cellStyle name="Normal 12 2 2 6 3 2" xfId="14762" xr:uid="{4BC8EAC1-9142-46C1-B673-EC9ED98533F7}"/>
    <cellStyle name="Normal 12 2 2 6 4" xfId="10544" xr:uid="{8510C2AC-995E-40DB-80DC-168DB2FB752E}"/>
    <cellStyle name="Normal 12 2 2 7" xfId="2449" xr:uid="{00000000-0005-0000-0000-0000F30D0000}"/>
    <cellStyle name="Normal 12 2 2 7 2" xfId="6733" xr:uid="{00000000-0005-0000-0000-0000F40D0000}"/>
    <cellStyle name="Normal 12 2 2 7 2 2" xfId="15175" xr:uid="{14F5371C-A872-43B5-84FB-4606C7FBFF41}"/>
    <cellStyle name="Normal 12 2 2 7 3" xfId="10957" xr:uid="{22980E2B-4058-464E-8B40-FFF2566C0E59}"/>
    <cellStyle name="Normal 12 2 2 8" xfId="4667" xr:uid="{00000000-0005-0000-0000-0000F50D0000}"/>
    <cellStyle name="Normal 12 2 2 8 2" xfId="13109" xr:uid="{29DE462C-C645-4E6D-9718-27EC85AB39BC}"/>
    <cellStyle name="Normal 12 2 2 9" xfId="8891" xr:uid="{F5BA3773-2AAD-46B8-815B-0395D5FEC824}"/>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2 2 2" xfId="15670" xr:uid="{241CED30-C0C8-4D15-8AC3-74FC15CB524F}"/>
    <cellStyle name="Normal 12 2 3 2 2 3" xfId="11452" xr:uid="{130963B9-4F4D-4982-A95D-4B61604EED8D}"/>
    <cellStyle name="Normal 12 2 3 2 3" xfId="5083" xr:uid="{00000000-0005-0000-0000-0000FA0D0000}"/>
    <cellStyle name="Normal 12 2 3 2 3 2" xfId="13525" xr:uid="{0D527772-660E-4F53-B6E1-27D2F0B1CD37}"/>
    <cellStyle name="Normal 12 2 3 2 4" xfId="9307" xr:uid="{EF0FCF7B-14E0-4D54-8F3A-F60DB31DCE6A}"/>
    <cellStyle name="Normal 12 2 3 3" xfId="1187" xr:uid="{00000000-0005-0000-0000-0000FB0D0000}"/>
    <cellStyle name="Normal 12 2 3 3 2" xfId="3418" xr:uid="{00000000-0005-0000-0000-0000FC0D0000}"/>
    <cellStyle name="Normal 12 2 3 3 2 2" xfId="7641" xr:uid="{00000000-0005-0000-0000-0000FD0D0000}"/>
    <cellStyle name="Normal 12 2 3 3 2 2 2" xfId="16083" xr:uid="{8B9C09BC-1C59-4404-855B-FE60DA0C49B6}"/>
    <cellStyle name="Normal 12 2 3 3 2 3" xfId="11865" xr:uid="{EBBF0C65-3926-4BDE-BEBE-6266512B9E71}"/>
    <cellStyle name="Normal 12 2 3 3 3" xfId="5496" xr:uid="{00000000-0005-0000-0000-0000FE0D0000}"/>
    <cellStyle name="Normal 12 2 3 3 3 2" xfId="13938" xr:uid="{E9311F64-7F5D-49A4-93B6-41B914DBDBA0}"/>
    <cellStyle name="Normal 12 2 3 3 4" xfId="9720" xr:uid="{E23DC19A-A816-4D24-B050-1F73866AEC32}"/>
    <cellStyle name="Normal 12 2 3 4" xfId="1601" xr:uid="{00000000-0005-0000-0000-0000FF0D0000}"/>
    <cellStyle name="Normal 12 2 3 4 2" xfId="3831" xr:uid="{00000000-0005-0000-0000-0000000E0000}"/>
    <cellStyle name="Normal 12 2 3 4 2 2" xfId="8054" xr:uid="{00000000-0005-0000-0000-0000010E0000}"/>
    <cellStyle name="Normal 12 2 3 4 2 2 2" xfId="16496" xr:uid="{5A11941F-2769-4E29-A81E-EFC10C039EAD}"/>
    <cellStyle name="Normal 12 2 3 4 2 3" xfId="12278" xr:uid="{1D94A122-E778-4FA4-AE62-9305DC89A8D7}"/>
    <cellStyle name="Normal 12 2 3 4 3" xfId="5909" xr:uid="{00000000-0005-0000-0000-0000020E0000}"/>
    <cellStyle name="Normal 12 2 3 4 3 2" xfId="14351" xr:uid="{2DD5F766-F9C2-48AC-AAF8-64C5657DC423}"/>
    <cellStyle name="Normal 12 2 3 4 4" xfId="10133" xr:uid="{098AAF62-87AB-48C2-BBF1-2809E47BB767}"/>
    <cellStyle name="Normal 12 2 3 5" xfId="2015" xr:uid="{00000000-0005-0000-0000-0000030E0000}"/>
    <cellStyle name="Normal 12 2 3 5 2" xfId="4244" xr:uid="{00000000-0005-0000-0000-0000040E0000}"/>
    <cellStyle name="Normal 12 2 3 5 2 2" xfId="8467" xr:uid="{00000000-0005-0000-0000-0000050E0000}"/>
    <cellStyle name="Normal 12 2 3 5 2 2 2" xfId="16909" xr:uid="{FD85282B-F8EA-41BF-B2DA-B574C0E88D2F}"/>
    <cellStyle name="Normal 12 2 3 5 2 3" xfId="12691" xr:uid="{92B8CD9D-645E-4084-BCAF-650EC4FB2797}"/>
    <cellStyle name="Normal 12 2 3 5 3" xfId="6322" xr:uid="{00000000-0005-0000-0000-0000060E0000}"/>
    <cellStyle name="Normal 12 2 3 5 3 2" xfId="14764" xr:uid="{856411AE-113E-4AFB-8E37-D9B178B33566}"/>
    <cellStyle name="Normal 12 2 3 5 4" xfId="10546" xr:uid="{CE7D3E7A-E6DF-40EE-8F85-B788285CECCD}"/>
    <cellStyle name="Normal 12 2 3 6" xfId="2451" xr:uid="{00000000-0005-0000-0000-0000070E0000}"/>
    <cellStyle name="Normal 12 2 3 6 2" xfId="6735" xr:uid="{00000000-0005-0000-0000-0000080E0000}"/>
    <cellStyle name="Normal 12 2 3 6 2 2" xfId="15177" xr:uid="{692C0840-2F10-4F58-A527-80792D17CEEC}"/>
    <cellStyle name="Normal 12 2 3 6 3" xfId="10959" xr:uid="{C9AFF552-57B4-436F-ADE3-F8DA1DF36DC6}"/>
    <cellStyle name="Normal 12 2 3 7" xfId="4669" xr:uid="{00000000-0005-0000-0000-0000090E0000}"/>
    <cellStyle name="Normal 12 2 3 7 2" xfId="13111" xr:uid="{EB216D19-BD83-4A0A-9715-B5C6EE5B9EA9}"/>
    <cellStyle name="Normal 12 2 3 8" xfId="8893" xr:uid="{FA1670CE-2097-4EB2-8714-EE7B7F3918E3}"/>
    <cellStyle name="Normal 12 2 4" xfId="761" xr:uid="{00000000-0005-0000-0000-00000A0E0000}"/>
    <cellStyle name="Normal 12 2 4 2" xfId="3002" xr:uid="{00000000-0005-0000-0000-00000B0E0000}"/>
    <cellStyle name="Normal 12 2 4 2 2" xfId="7225" xr:uid="{00000000-0005-0000-0000-00000C0E0000}"/>
    <cellStyle name="Normal 12 2 4 2 2 2" xfId="15667" xr:uid="{8E5AF54C-BFB8-4FC9-8CDB-576C4FF48E63}"/>
    <cellStyle name="Normal 12 2 4 2 3" xfId="11449" xr:uid="{A2126898-64A2-40D8-89BB-1BBBF0F5F005}"/>
    <cellStyle name="Normal 12 2 4 3" xfId="5080" xr:uid="{00000000-0005-0000-0000-00000D0E0000}"/>
    <cellStyle name="Normal 12 2 4 3 2" xfId="13522" xr:uid="{15D5C310-76A3-49E9-A9BB-25840DB6F4F2}"/>
    <cellStyle name="Normal 12 2 4 4" xfId="9304" xr:uid="{7C5E868B-4C08-4411-A753-5A5725DD6D27}"/>
    <cellStyle name="Normal 12 2 5" xfId="1184" xr:uid="{00000000-0005-0000-0000-00000E0E0000}"/>
    <cellStyle name="Normal 12 2 5 2" xfId="3415" xr:uid="{00000000-0005-0000-0000-00000F0E0000}"/>
    <cellStyle name="Normal 12 2 5 2 2" xfId="7638" xr:uid="{00000000-0005-0000-0000-0000100E0000}"/>
    <cellStyle name="Normal 12 2 5 2 2 2" xfId="16080" xr:uid="{055541CE-0DCE-43F3-BBEB-8387E29AD3F0}"/>
    <cellStyle name="Normal 12 2 5 2 3" xfId="11862" xr:uid="{5635D3FB-6682-405C-9613-3AF0F78725FA}"/>
    <cellStyle name="Normal 12 2 5 3" xfId="5493" xr:uid="{00000000-0005-0000-0000-0000110E0000}"/>
    <cellStyle name="Normal 12 2 5 3 2" xfId="13935" xr:uid="{1F5C4414-9E9B-42E2-A03E-188AD3DCAD5D}"/>
    <cellStyle name="Normal 12 2 5 4" xfId="9717" xr:uid="{D07A48E2-B26F-41F1-A034-4520E7649AC5}"/>
    <cellStyle name="Normal 12 2 6" xfId="1598" xr:uid="{00000000-0005-0000-0000-0000120E0000}"/>
    <cellStyle name="Normal 12 2 6 2" xfId="3828" xr:uid="{00000000-0005-0000-0000-0000130E0000}"/>
    <cellStyle name="Normal 12 2 6 2 2" xfId="8051" xr:uid="{00000000-0005-0000-0000-0000140E0000}"/>
    <cellStyle name="Normal 12 2 6 2 2 2" xfId="16493" xr:uid="{6B22B100-D554-4AF2-9B45-833BDF82A302}"/>
    <cellStyle name="Normal 12 2 6 2 3" xfId="12275" xr:uid="{D06EFC27-7CC3-4D8A-A5C2-E6F160247704}"/>
    <cellStyle name="Normal 12 2 6 3" xfId="5906" xr:uid="{00000000-0005-0000-0000-0000150E0000}"/>
    <cellStyle name="Normal 12 2 6 3 2" xfId="14348" xr:uid="{61E3C2BF-7CF6-47C7-BD45-406A05D37A7B}"/>
    <cellStyle name="Normal 12 2 6 4" xfId="10130" xr:uid="{3A0583C1-2509-4345-9A48-5BC568557A0A}"/>
    <cellStyle name="Normal 12 2 7" xfId="2012" xr:uid="{00000000-0005-0000-0000-0000160E0000}"/>
    <cellStyle name="Normal 12 2 7 2" xfId="4241" xr:uid="{00000000-0005-0000-0000-0000170E0000}"/>
    <cellStyle name="Normal 12 2 7 2 2" xfId="8464" xr:uid="{00000000-0005-0000-0000-0000180E0000}"/>
    <cellStyle name="Normal 12 2 7 2 2 2" xfId="16906" xr:uid="{0F432A7B-ACF6-4EC9-9A08-07F8D0186835}"/>
    <cellStyle name="Normal 12 2 7 2 3" xfId="12688" xr:uid="{D6DEA8C8-2133-49B9-9A78-63AB09005702}"/>
    <cellStyle name="Normal 12 2 7 3" xfId="6319" xr:uid="{00000000-0005-0000-0000-0000190E0000}"/>
    <cellStyle name="Normal 12 2 7 3 2" xfId="14761" xr:uid="{97C24A1A-D3AE-4C43-8378-B9A4B03A53BC}"/>
    <cellStyle name="Normal 12 2 7 4" xfId="10543" xr:uid="{30C2499A-D0E9-48E6-B7E0-D0197129AFB8}"/>
    <cellStyle name="Normal 12 2 8" xfId="2448" xr:uid="{00000000-0005-0000-0000-00001A0E0000}"/>
    <cellStyle name="Normal 12 2 8 2" xfId="6732" xr:uid="{00000000-0005-0000-0000-00001B0E0000}"/>
    <cellStyle name="Normal 12 2 8 2 2" xfId="15174" xr:uid="{78FD93AC-4917-4EC3-9211-D0E6FE3207F9}"/>
    <cellStyle name="Normal 12 2 8 3" xfId="10956" xr:uid="{857C8241-83AF-4B3D-A1C5-CB54FEFB0DBB}"/>
    <cellStyle name="Normal 12 2 9" xfId="4666" xr:uid="{00000000-0005-0000-0000-00001C0E0000}"/>
    <cellStyle name="Normal 12 2 9 2" xfId="13108" xr:uid="{D4982BF7-AC4B-49CB-A43A-75E1E359526C}"/>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2 2 2" xfId="15672" xr:uid="{18E559A8-EA7E-42D0-8955-6A7899EC5C7D}"/>
    <cellStyle name="Normal 12 3 2 2 2 3" xfId="11454" xr:uid="{0DA7EF80-AE91-492A-A6BD-C40B001606A8}"/>
    <cellStyle name="Normal 12 3 2 2 3" xfId="5085" xr:uid="{00000000-0005-0000-0000-0000220E0000}"/>
    <cellStyle name="Normal 12 3 2 2 3 2" xfId="13527" xr:uid="{63563DF1-ED12-479C-95E9-773D0F73DCB3}"/>
    <cellStyle name="Normal 12 3 2 2 4" xfId="9309" xr:uid="{44637049-8703-49A1-A025-8DAE6E050EE4}"/>
    <cellStyle name="Normal 12 3 2 3" xfId="1189" xr:uid="{00000000-0005-0000-0000-0000230E0000}"/>
    <cellStyle name="Normal 12 3 2 3 2" xfId="3420" xr:uid="{00000000-0005-0000-0000-0000240E0000}"/>
    <cellStyle name="Normal 12 3 2 3 2 2" xfId="7643" xr:uid="{00000000-0005-0000-0000-0000250E0000}"/>
    <cellStyle name="Normal 12 3 2 3 2 2 2" xfId="16085" xr:uid="{970B065F-9FCB-4629-967A-F42D2C7ABFEB}"/>
    <cellStyle name="Normal 12 3 2 3 2 3" xfId="11867" xr:uid="{DF1944A7-95C2-467C-A6AD-C52129C7C913}"/>
    <cellStyle name="Normal 12 3 2 3 3" xfId="5498" xr:uid="{00000000-0005-0000-0000-0000260E0000}"/>
    <cellStyle name="Normal 12 3 2 3 3 2" xfId="13940" xr:uid="{6A27834D-1A29-4351-B3C6-C31E60847795}"/>
    <cellStyle name="Normal 12 3 2 3 4" xfId="9722" xr:uid="{90AB250F-DE3B-41C2-8D02-B53F43D8C50F}"/>
    <cellStyle name="Normal 12 3 2 4" xfId="1603" xr:uid="{00000000-0005-0000-0000-0000270E0000}"/>
    <cellStyle name="Normal 12 3 2 4 2" xfId="3833" xr:uid="{00000000-0005-0000-0000-0000280E0000}"/>
    <cellStyle name="Normal 12 3 2 4 2 2" xfId="8056" xr:uid="{00000000-0005-0000-0000-0000290E0000}"/>
    <cellStyle name="Normal 12 3 2 4 2 2 2" xfId="16498" xr:uid="{A3E78E7D-A952-4704-9A11-60AE05250883}"/>
    <cellStyle name="Normal 12 3 2 4 2 3" xfId="12280" xr:uid="{5D51AFEB-2CAB-441B-8649-7836A5FB0F0D}"/>
    <cellStyle name="Normal 12 3 2 4 3" xfId="5911" xr:uid="{00000000-0005-0000-0000-00002A0E0000}"/>
    <cellStyle name="Normal 12 3 2 4 3 2" xfId="14353" xr:uid="{B548C210-4B5B-4C75-B912-08605CB286F3}"/>
    <cellStyle name="Normal 12 3 2 4 4" xfId="10135" xr:uid="{8A5A6EF5-FD86-434E-9B0D-8012C5042D8B}"/>
    <cellStyle name="Normal 12 3 2 5" xfId="2017" xr:uid="{00000000-0005-0000-0000-00002B0E0000}"/>
    <cellStyle name="Normal 12 3 2 5 2" xfId="4246" xr:uid="{00000000-0005-0000-0000-00002C0E0000}"/>
    <cellStyle name="Normal 12 3 2 5 2 2" xfId="8469" xr:uid="{00000000-0005-0000-0000-00002D0E0000}"/>
    <cellStyle name="Normal 12 3 2 5 2 2 2" xfId="16911" xr:uid="{217C907E-6359-4B54-A221-D67FF1E137D8}"/>
    <cellStyle name="Normal 12 3 2 5 2 3" xfId="12693" xr:uid="{EE9356C2-4013-4483-8698-9F46698DACC6}"/>
    <cellStyle name="Normal 12 3 2 5 3" xfId="6324" xr:uid="{00000000-0005-0000-0000-00002E0E0000}"/>
    <cellStyle name="Normal 12 3 2 5 3 2" xfId="14766" xr:uid="{F0D0F227-6BDE-4401-8211-A39CFCAFCFF8}"/>
    <cellStyle name="Normal 12 3 2 5 4" xfId="10548" xr:uid="{28B10172-590B-4F64-BD63-1ED70C93518F}"/>
    <cellStyle name="Normal 12 3 2 6" xfId="2453" xr:uid="{00000000-0005-0000-0000-00002F0E0000}"/>
    <cellStyle name="Normal 12 3 2 6 2" xfId="6737" xr:uid="{00000000-0005-0000-0000-0000300E0000}"/>
    <cellStyle name="Normal 12 3 2 6 2 2" xfId="15179" xr:uid="{8D09BAE3-08CB-4245-B58C-A36B0E2549E0}"/>
    <cellStyle name="Normal 12 3 2 6 3" xfId="10961" xr:uid="{7C2248D1-F79E-4CD0-B098-B26A30FC7691}"/>
    <cellStyle name="Normal 12 3 2 7" xfId="4671" xr:uid="{00000000-0005-0000-0000-0000310E0000}"/>
    <cellStyle name="Normal 12 3 2 7 2" xfId="13113" xr:uid="{B9A212FE-DBFD-4CFF-900D-545BED212F46}"/>
    <cellStyle name="Normal 12 3 2 8" xfId="8895" xr:uid="{1DBDAC20-7CC0-4872-90A0-36D11B9DC7BF}"/>
    <cellStyle name="Normal 12 3 3" xfId="765" xr:uid="{00000000-0005-0000-0000-0000320E0000}"/>
    <cellStyle name="Normal 12 3 3 2" xfId="3006" xr:uid="{00000000-0005-0000-0000-0000330E0000}"/>
    <cellStyle name="Normal 12 3 3 2 2" xfId="7229" xr:uid="{00000000-0005-0000-0000-0000340E0000}"/>
    <cellStyle name="Normal 12 3 3 2 2 2" xfId="15671" xr:uid="{7D813A66-172A-4B23-A693-DE9F3A8277D8}"/>
    <cellStyle name="Normal 12 3 3 2 3" xfId="11453" xr:uid="{1BF17380-EB1A-489A-91F8-E1940F0B4082}"/>
    <cellStyle name="Normal 12 3 3 3" xfId="5084" xr:uid="{00000000-0005-0000-0000-0000350E0000}"/>
    <cellStyle name="Normal 12 3 3 3 2" xfId="13526" xr:uid="{8C1D0F43-3644-4598-97CD-1C80462DC7DE}"/>
    <cellStyle name="Normal 12 3 3 4" xfId="9308" xr:uid="{C564F387-6076-4747-B890-79645DF5A891}"/>
    <cellStyle name="Normal 12 3 4" xfId="1188" xr:uid="{00000000-0005-0000-0000-0000360E0000}"/>
    <cellStyle name="Normal 12 3 4 2" xfId="3419" xr:uid="{00000000-0005-0000-0000-0000370E0000}"/>
    <cellStyle name="Normal 12 3 4 2 2" xfId="7642" xr:uid="{00000000-0005-0000-0000-0000380E0000}"/>
    <cellStyle name="Normal 12 3 4 2 2 2" xfId="16084" xr:uid="{72E5893C-3AC7-4BF9-9878-333CC916AEBF}"/>
    <cellStyle name="Normal 12 3 4 2 3" xfId="11866" xr:uid="{EC6F7CF6-FB4A-4266-B504-B3E5C33AAE5D}"/>
    <cellStyle name="Normal 12 3 4 3" xfId="5497" xr:uid="{00000000-0005-0000-0000-0000390E0000}"/>
    <cellStyle name="Normal 12 3 4 3 2" xfId="13939" xr:uid="{362F27EC-659A-4F4F-B6E2-ECF87A08B745}"/>
    <cellStyle name="Normal 12 3 4 4" xfId="9721" xr:uid="{64EC9BE1-32FD-44FD-B555-46A1A75D148A}"/>
    <cellStyle name="Normal 12 3 5" xfId="1602" xr:uid="{00000000-0005-0000-0000-00003A0E0000}"/>
    <cellStyle name="Normal 12 3 5 2" xfId="3832" xr:uid="{00000000-0005-0000-0000-00003B0E0000}"/>
    <cellStyle name="Normal 12 3 5 2 2" xfId="8055" xr:uid="{00000000-0005-0000-0000-00003C0E0000}"/>
    <cellStyle name="Normal 12 3 5 2 2 2" xfId="16497" xr:uid="{83B4F250-BE63-4579-B773-693E95B3BCEC}"/>
    <cellStyle name="Normal 12 3 5 2 3" xfId="12279" xr:uid="{445E53D8-C89A-4237-91B5-12FA5E6C2599}"/>
    <cellStyle name="Normal 12 3 5 3" xfId="5910" xr:uid="{00000000-0005-0000-0000-00003D0E0000}"/>
    <cellStyle name="Normal 12 3 5 3 2" xfId="14352" xr:uid="{FB612B3B-15BF-462E-BF12-5FE627405636}"/>
    <cellStyle name="Normal 12 3 5 4" xfId="10134" xr:uid="{32FBC501-BA12-4A1D-8134-02D7235914D4}"/>
    <cellStyle name="Normal 12 3 6" xfId="2016" xr:uid="{00000000-0005-0000-0000-00003E0E0000}"/>
    <cellStyle name="Normal 12 3 6 2" xfId="4245" xr:uid="{00000000-0005-0000-0000-00003F0E0000}"/>
    <cellStyle name="Normal 12 3 6 2 2" xfId="8468" xr:uid="{00000000-0005-0000-0000-0000400E0000}"/>
    <cellStyle name="Normal 12 3 6 2 2 2" xfId="16910" xr:uid="{6E31B4E1-D9B9-4638-B0B9-A51368BC954C}"/>
    <cellStyle name="Normal 12 3 6 2 3" xfId="12692" xr:uid="{71F7B7A2-63D1-4CB5-99AE-20FC805385D0}"/>
    <cellStyle name="Normal 12 3 6 3" xfId="6323" xr:uid="{00000000-0005-0000-0000-0000410E0000}"/>
    <cellStyle name="Normal 12 3 6 3 2" xfId="14765" xr:uid="{ED92D2E2-DDCC-406D-8377-2937C1663CAB}"/>
    <cellStyle name="Normal 12 3 6 4" xfId="10547" xr:uid="{64FDDE23-B2D6-44BA-9D00-97FAD9DD0EC5}"/>
    <cellStyle name="Normal 12 3 7" xfId="2452" xr:uid="{00000000-0005-0000-0000-0000420E0000}"/>
    <cellStyle name="Normal 12 3 7 2" xfId="6736" xr:uid="{00000000-0005-0000-0000-0000430E0000}"/>
    <cellStyle name="Normal 12 3 7 2 2" xfId="15178" xr:uid="{DC3879A9-3567-4000-8947-A194508BC19F}"/>
    <cellStyle name="Normal 12 3 7 3" xfId="10960" xr:uid="{D934088B-7AAB-4E83-91AA-697D9E863D9F}"/>
    <cellStyle name="Normal 12 3 8" xfId="4670" xr:uid="{00000000-0005-0000-0000-0000440E0000}"/>
    <cellStyle name="Normal 12 3 8 2" xfId="13112" xr:uid="{D055B95F-3C57-4B43-AA79-2DF0C254DCBC}"/>
    <cellStyle name="Normal 12 3 9" xfId="8894" xr:uid="{C510FD57-1B7D-4933-A132-A61BA9BFB01C}"/>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2 2 2" xfId="15673" xr:uid="{1C5E526B-ED7D-487D-8FB4-82E48A939E2F}"/>
    <cellStyle name="Normal 12 4 2 2 3" xfId="11455" xr:uid="{41992F65-F3EB-4DEE-A9D1-284F5BB7F9CE}"/>
    <cellStyle name="Normal 12 4 2 3" xfId="5086" xr:uid="{00000000-0005-0000-0000-0000490E0000}"/>
    <cellStyle name="Normal 12 4 2 3 2" xfId="13528" xr:uid="{B7D093ED-7E3B-41B2-83E6-D7FA38989D7E}"/>
    <cellStyle name="Normal 12 4 2 4" xfId="9310" xr:uid="{F404EA18-A9B8-4E5F-BCC7-41DDE73C1BE8}"/>
    <cellStyle name="Normal 12 4 3" xfId="1190" xr:uid="{00000000-0005-0000-0000-00004A0E0000}"/>
    <cellStyle name="Normal 12 4 3 2" xfId="3421" xr:uid="{00000000-0005-0000-0000-00004B0E0000}"/>
    <cellStyle name="Normal 12 4 3 2 2" xfId="7644" xr:uid="{00000000-0005-0000-0000-00004C0E0000}"/>
    <cellStyle name="Normal 12 4 3 2 2 2" xfId="16086" xr:uid="{9171E494-0205-4D2B-9276-B04E3E88E8D4}"/>
    <cellStyle name="Normal 12 4 3 2 3" xfId="11868" xr:uid="{05031730-6A44-40A7-8AED-4192CADC3673}"/>
    <cellStyle name="Normal 12 4 3 3" xfId="5499" xr:uid="{00000000-0005-0000-0000-00004D0E0000}"/>
    <cellStyle name="Normal 12 4 3 3 2" xfId="13941" xr:uid="{4A5BB08B-95DD-483A-9846-9CE6E5BA2E28}"/>
    <cellStyle name="Normal 12 4 3 4" xfId="9723" xr:uid="{AD53261C-368E-42EA-A7B3-8A061DC8FCF1}"/>
    <cellStyle name="Normal 12 4 4" xfId="1604" xr:uid="{00000000-0005-0000-0000-00004E0E0000}"/>
    <cellStyle name="Normal 12 4 4 2" xfId="3834" xr:uid="{00000000-0005-0000-0000-00004F0E0000}"/>
    <cellStyle name="Normal 12 4 4 2 2" xfId="8057" xr:uid="{00000000-0005-0000-0000-0000500E0000}"/>
    <cellStyle name="Normal 12 4 4 2 2 2" xfId="16499" xr:uid="{A434B99D-A111-44BD-815B-D646589CA90C}"/>
    <cellStyle name="Normal 12 4 4 2 3" xfId="12281" xr:uid="{86442BDE-043C-4D8E-9C02-AEE14D266582}"/>
    <cellStyle name="Normal 12 4 4 3" xfId="5912" xr:uid="{00000000-0005-0000-0000-0000510E0000}"/>
    <cellStyle name="Normal 12 4 4 3 2" xfId="14354" xr:uid="{D3EEFF88-DA88-4D8C-8DB0-832884C8BF49}"/>
    <cellStyle name="Normal 12 4 4 4" xfId="10136" xr:uid="{A514E0AF-9C7B-44D4-AEF6-2088BE410CBA}"/>
    <cellStyle name="Normal 12 4 5" xfId="2018" xr:uid="{00000000-0005-0000-0000-0000520E0000}"/>
    <cellStyle name="Normal 12 4 5 2" xfId="4247" xr:uid="{00000000-0005-0000-0000-0000530E0000}"/>
    <cellStyle name="Normal 12 4 5 2 2" xfId="8470" xr:uid="{00000000-0005-0000-0000-0000540E0000}"/>
    <cellStyle name="Normal 12 4 5 2 2 2" xfId="16912" xr:uid="{82BE1788-78C2-45B9-BA8B-02F52E6CC9B3}"/>
    <cellStyle name="Normal 12 4 5 2 3" xfId="12694" xr:uid="{FBF9E3EB-941E-4CF8-886E-7F51A86E9ED1}"/>
    <cellStyle name="Normal 12 4 5 3" xfId="6325" xr:uid="{00000000-0005-0000-0000-0000550E0000}"/>
    <cellStyle name="Normal 12 4 5 3 2" xfId="14767" xr:uid="{D302757D-613D-434D-BBF0-8F463A7BC90B}"/>
    <cellStyle name="Normal 12 4 5 4" xfId="10549" xr:uid="{8BA7932F-0056-46DE-B749-587060CFB2D2}"/>
    <cellStyle name="Normal 12 4 6" xfId="2454" xr:uid="{00000000-0005-0000-0000-0000560E0000}"/>
    <cellStyle name="Normal 12 4 6 2" xfId="6738" xr:uid="{00000000-0005-0000-0000-0000570E0000}"/>
    <cellStyle name="Normal 12 4 6 2 2" xfId="15180" xr:uid="{79F1B4CD-9DFA-41D0-BFF8-FF45F5105016}"/>
    <cellStyle name="Normal 12 4 6 3" xfId="10962" xr:uid="{E66D92BC-9D83-4193-97AD-8FD9C1D151B3}"/>
    <cellStyle name="Normal 12 4 7" xfId="4672" xr:uid="{00000000-0005-0000-0000-0000580E0000}"/>
    <cellStyle name="Normal 12 4 7 2" xfId="13114" xr:uid="{A8257083-3320-42D0-A5C4-546A36D404DE}"/>
    <cellStyle name="Normal 12 4 8" xfId="8896" xr:uid="{9F16D040-654B-4E0C-9D06-2E1352DCD6F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15666" xr:uid="{06D1F2C1-378B-4551-8D9B-DC76321C5284}"/>
    <cellStyle name="Normal 12 6 2 3" xfId="11448" xr:uid="{7362D888-E9B2-4FC9-8805-F4977F9DDBF1}"/>
    <cellStyle name="Normal 12 6 3" xfId="5079" xr:uid="{00000000-0005-0000-0000-00005D0E0000}"/>
    <cellStyle name="Normal 12 6 3 2" xfId="13521" xr:uid="{71F7F725-E835-4ED2-ACC6-121F4E104C04}"/>
    <cellStyle name="Normal 12 6 4" xfId="9303" xr:uid="{02E622FC-6CCE-4008-8CDC-D4F1E92F8A66}"/>
    <cellStyle name="Normal 12 7" xfId="1183" xr:uid="{00000000-0005-0000-0000-00005E0E0000}"/>
    <cellStyle name="Normal 12 7 2" xfId="3414" xr:uid="{00000000-0005-0000-0000-00005F0E0000}"/>
    <cellStyle name="Normal 12 7 2 2" xfId="7637" xr:uid="{00000000-0005-0000-0000-0000600E0000}"/>
    <cellStyle name="Normal 12 7 2 2 2" xfId="16079" xr:uid="{DC428073-986B-43FD-A06F-0D5E6D53D297}"/>
    <cellStyle name="Normal 12 7 2 3" xfId="11861" xr:uid="{A1991987-5188-4024-8AC9-7A4A429BC0F9}"/>
    <cellStyle name="Normal 12 7 3" xfId="5492" xr:uid="{00000000-0005-0000-0000-0000610E0000}"/>
    <cellStyle name="Normal 12 7 3 2" xfId="13934" xr:uid="{457D4D09-82AC-48A8-A844-9E4655C41463}"/>
    <cellStyle name="Normal 12 7 4" xfId="9716" xr:uid="{8565D8EF-FDEF-40F3-B22F-81A657FD24FC}"/>
    <cellStyle name="Normal 12 8" xfId="1597" xr:uid="{00000000-0005-0000-0000-0000620E0000}"/>
    <cellStyle name="Normal 12 8 2" xfId="3827" xr:uid="{00000000-0005-0000-0000-0000630E0000}"/>
    <cellStyle name="Normal 12 8 2 2" xfId="8050" xr:uid="{00000000-0005-0000-0000-0000640E0000}"/>
    <cellStyle name="Normal 12 8 2 2 2" xfId="16492" xr:uid="{35045A72-9014-4DB1-8DC8-6A70A99B9AC0}"/>
    <cellStyle name="Normal 12 8 2 3" xfId="12274" xr:uid="{CD00D255-58EB-48E4-A58D-4D14973C091C}"/>
    <cellStyle name="Normal 12 8 3" xfId="5905" xr:uid="{00000000-0005-0000-0000-0000650E0000}"/>
    <cellStyle name="Normal 12 8 3 2" xfId="14347" xr:uid="{AB59F120-CA66-4B67-979B-C1751E7A4DD0}"/>
    <cellStyle name="Normal 12 8 4" xfId="10129" xr:uid="{20F1E8B4-FB95-4B71-8CEC-F6AE158F11EF}"/>
    <cellStyle name="Normal 12 9" xfId="2011" xr:uid="{00000000-0005-0000-0000-0000660E0000}"/>
    <cellStyle name="Normal 12 9 2" xfId="4240" xr:uid="{00000000-0005-0000-0000-0000670E0000}"/>
    <cellStyle name="Normal 12 9 2 2" xfId="8463" xr:uid="{00000000-0005-0000-0000-0000680E0000}"/>
    <cellStyle name="Normal 12 9 2 2 2" xfId="16905" xr:uid="{CAD55A7D-24E1-41D4-A09D-BDA23413C49B}"/>
    <cellStyle name="Normal 12 9 2 3" xfId="12687" xr:uid="{FEA40813-CD6F-41E5-8CF3-B8FED00C992C}"/>
    <cellStyle name="Normal 12 9 3" xfId="6318" xr:uid="{00000000-0005-0000-0000-0000690E0000}"/>
    <cellStyle name="Normal 12 9 3 2" xfId="14760" xr:uid="{27D10E79-4DE3-4312-A25A-8021785AF226}"/>
    <cellStyle name="Normal 12 9 4" xfId="10542" xr:uid="{00F38FD2-EB76-4CF1-8350-273E5323723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2 2 2" xfId="15674" xr:uid="{659F11C2-5D25-4715-886E-DD70F2E4D6DC}"/>
    <cellStyle name="Normal 14 2 2 3" xfId="11456" xr:uid="{37CC3CBE-600B-47F4-AB1A-937394DCECE2}"/>
    <cellStyle name="Normal 14 2 3" xfId="5087" xr:uid="{00000000-0005-0000-0000-0000700E0000}"/>
    <cellStyle name="Normal 14 2 3 2" xfId="13529" xr:uid="{4124F344-6BF6-4114-977B-F0CBD2D34D35}"/>
    <cellStyle name="Normal 14 2 4" xfId="9311" xr:uid="{7A62D912-C6F1-43D4-845F-6DC9DD43C109}"/>
    <cellStyle name="Normal 14 3" xfId="1191" xr:uid="{00000000-0005-0000-0000-0000710E0000}"/>
    <cellStyle name="Normal 14 3 2" xfId="3422" xr:uid="{00000000-0005-0000-0000-0000720E0000}"/>
    <cellStyle name="Normal 14 3 2 2" xfId="7645" xr:uid="{00000000-0005-0000-0000-0000730E0000}"/>
    <cellStyle name="Normal 14 3 2 2 2" xfId="16087" xr:uid="{C8F294C7-E03E-4BC8-BB92-98C8DE738015}"/>
    <cellStyle name="Normal 14 3 2 3" xfId="11869" xr:uid="{A360BDDB-5DCF-40B0-8598-93EE249E1DBF}"/>
    <cellStyle name="Normal 14 3 3" xfId="5500" xr:uid="{00000000-0005-0000-0000-0000740E0000}"/>
    <cellStyle name="Normal 14 3 3 2" xfId="13942" xr:uid="{690096C0-B4E8-40A7-92A3-BC1929B5C8E4}"/>
    <cellStyle name="Normal 14 3 4" xfId="9724" xr:uid="{ABFAA35E-C687-44C0-9A38-129EED5770E6}"/>
    <cellStyle name="Normal 14 4" xfId="1605" xr:uid="{00000000-0005-0000-0000-0000750E0000}"/>
    <cellStyle name="Normal 14 4 2" xfId="3835" xr:uid="{00000000-0005-0000-0000-0000760E0000}"/>
    <cellStyle name="Normal 14 4 2 2" xfId="8058" xr:uid="{00000000-0005-0000-0000-0000770E0000}"/>
    <cellStyle name="Normal 14 4 2 2 2" xfId="16500" xr:uid="{E705D531-045C-4DA9-A1B5-5C81DAB7879F}"/>
    <cellStyle name="Normal 14 4 2 3" xfId="12282" xr:uid="{015207AD-72EA-403B-8D44-1C9B44D30D1A}"/>
    <cellStyle name="Normal 14 4 3" xfId="5913" xr:uid="{00000000-0005-0000-0000-0000780E0000}"/>
    <cellStyle name="Normal 14 4 3 2" xfId="14355" xr:uid="{F905BDBB-427F-4957-B182-0D23861C7A64}"/>
    <cellStyle name="Normal 14 4 4" xfId="10137" xr:uid="{981F374A-D47B-405C-A920-ED06B787555F}"/>
    <cellStyle name="Normal 14 5" xfId="2019" xr:uid="{00000000-0005-0000-0000-0000790E0000}"/>
    <cellStyle name="Normal 14 5 2" xfId="4248" xr:uid="{00000000-0005-0000-0000-00007A0E0000}"/>
    <cellStyle name="Normal 14 5 2 2" xfId="8471" xr:uid="{00000000-0005-0000-0000-00007B0E0000}"/>
    <cellStyle name="Normal 14 5 2 2 2" xfId="16913" xr:uid="{39A0D955-B830-4FC1-A843-84B2E391CCE3}"/>
    <cellStyle name="Normal 14 5 2 3" xfId="12695" xr:uid="{3A7FD0DE-32F7-4C8F-9DFE-ED76684240C0}"/>
    <cellStyle name="Normal 14 5 3" xfId="6326" xr:uid="{00000000-0005-0000-0000-00007C0E0000}"/>
    <cellStyle name="Normal 14 5 3 2" xfId="14768" xr:uid="{B109CDF0-19E3-4887-9112-DA8CA03E7423}"/>
    <cellStyle name="Normal 14 5 4" xfId="10550" xr:uid="{4FD995BD-DF20-455A-A3F2-CCE79444B84F}"/>
    <cellStyle name="Normal 14 6" xfId="2455" xr:uid="{00000000-0005-0000-0000-00007D0E0000}"/>
    <cellStyle name="Normal 14 6 2" xfId="6739" xr:uid="{00000000-0005-0000-0000-00007E0E0000}"/>
    <cellStyle name="Normal 14 6 2 2" xfId="15181" xr:uid="{FB8A8A81-FF32-4D8D-8A64-09A41BF3D6CD}"/>
    <cellStyle name="Normal 14 6 3" xfId="10963" xr:uid="{01EDCE73-6DB6-49DC-B7A3-EEBB81DE0902}"/>
    <cellStyle name="Normal 14 7" xfId="4673" xr:uid="{00000000-0005-0000-0000-00007F0E0000}"/>
    <cellStyle name="Normal 14 7 2" xfId="13115" xr:uid="{3E9CB920-363D-463F-AB2D-6381BAFE431F}"/>
    <cellStyle name="Normal 14 8" xfId="8897" xr:uid="{0070B5F6-B50F-415D-96C3-2358D8F2F265}"/>
    <cellStyle name="Normal 15" xfId="4496" xr:uid="{00000000-0005-0000-0000-0000800E0000}"/>
    <cellStyle name="Normal 15 2" xfId="12941" xr:uid="{2403EE30-4AD5-4BAD-93CB-3F5193AB39F4}"/>
    <cellStyle name="Normal 16" xfId="4500" xr:uid="{00000000-0005-0000-0000-0000810E0000}"/>
    <cellStyle name="Normal 16 2" xfId="8716" xr:uid="{00000000-0005-0000-0000-0000820E0000}"/>
    <cellStyle name="Normal 16 2 2" xfId="17158" xr:uid="{7DB58DF1-4513-42DE-87DA-BE56C3A31032}"/>
    <cellStyle name="Normal 16 3" xfId="8719" xr:uid="{3DE1BEEB-61FA-4094-B10F-9E0444F68763}"/>
    <cellStyle name="Normal 16 3 2" xfId="8723" xr:uid="{FE0BC069-4698-40B2-814D-8E09719245E9}"/>
    <cellStyle name="Normal 16 3 2 2" xfId="8726" xr:uid="{D3E9609F-293A-4CFC-B194-1FF2F92D621D}"/>
    <cellStyle name="Normal 16 3 2 2 2" xfId="17167" xr:uid="{C52FF7B8-0EB9-4F5A-8E26-6BA9833F4A06}"/>
    <cellStyle name="Normal 16 3 2 3" xfId="17164" xr:uid="{E446EB3F-41FD-4E30-94B8-98EAD767D567}"/>
    <cellStyle name="Normal 16 3 3" xfId="17161" xr:uid="{2477B650-AACD-4DC5-82C7-81F8044BBDF7}"/>
    <cellStyle name="Normal 16 4" xfId="12944" xr:uid="{7BB0D3DB-ED20-4DA5-9DEC-30776F51700C}"/>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16914" xr:uid="{8A4B0A41-E486-43EC-8C4D-A99D1EBC199A}"/>
    <cellStyle name="Normal 2 4 2 10 2 3" xfId="12696" xr:uid="{534C57EB-1EAD-488C-916F-671BAA0F8F2D}"/>
    <cellStyle name="Normal 2 4 2 10 3" xfId="6327" xr:uid="{00000000-0005-0000-0000-0000910E0000}"/>
    <cellStyle name="Normal 2 4 2 10 3 2" xfId="14769" xr:uid="{FF0EEE7C-E56F-42D8-B7C8-34A70E02B547}"/>
    <cellStyle name="Normal 2 4 2 10 4" xfId="10551" xr:uid="{D322A49D-01E8-472D-A8A1-E165FF316086}"/>
    <cellStyle name="Normal 2 4 2 11" xfId="2456" xr:uid="{00000000-0005-0000-0000-0000920E0000}"/>
    <cellStyle name="Normal 2 4 2 11 2" xfId="6740" xr:uid="{00000000-0005-0000-0000-0000930E0000}"/>
    <cellStyle name="Normal 2 4 2 11 2 2" xfId="15182" xr:uid="{2B2C5887-D52A-4AEA-8001-393A367E5CAD}"/>
    <cellStyle name="Normal 2 4 2 11 3" xfId="10964" xr:uid="{72EEF84C-A9E8-48CA-BA76-DFB5C2035C88}"/>
    <cellStyle name="Normal 2 4 2 12" xfId="4674" xr:uid="{00000000-0005-0000-0000-0000940E0000}"/>
    <cellStyle name="Normal 2 4 2 12 2" xfId="13116" xr:uid="{5084C872-0385-4615-800B-E7382E7CD1B9}"/>
    <cellStyle name="Normal 2 4 2 13" xfId="8898" xr:uid="{A95299B0-17E1-4B71-8F79-DFB89150895C}"/>
    <cellStyle name="Normal 2 4 2 2" xfId="280" xr:uid="{00000000-0005-0000-0000-0000950E0000}"/>
    <cellStyle name="Normal 2 4 2 3" xfId="281" xr:uid="{00000000-0005-0000-0000-0000960E0000}"/>
    <cellStyle name="Normal 2 4 2 3 10" xfId="4675" xr:uid="{00000000-0005-0000-0000-0000970E0000}"/>
    <cellStyle name="Normal 2 4 2 3 10 2" xfId="13117" xr:uid="{4F3A5FDB-FEF6-479A-95CC-F37839894C89}"/>
    <cellStyle name="Normal 2 4 2 3 11" xfId="8899" xr:uid="{66BE9E71-0B6D-44B0-A654-31A1112860E8}"/>
    <cellStyle name="Normal 2 4 2 3 2" xfId="282" xr:uid="{00000000-0005-0000-0000-0000980E0000}"/>
    <cellStyle name="Normal 2 4 2 3 2 10" xfId="8900" xr:uid="{CFE27ED6-D900-449D-AF4C-F067FFA06AA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15679" xr:uid="{AD80A2CC-9D8E-4861-884D-18505B5361B0}"/>
    <cellStyle name="Normal 2 4 2 3 2 2 2 2 2 3" xfId="11461" xr:uid="{D78E1051-D5E6-4EBB-B33D-1E4A3B766711}"/>
    <cellStyle name="Normal 2 4 2 3 2 2 2 2 3" xfId="5092" xr:uid="{00000000-0005-0000-0000-00009E0E0000}"/>
    <cellStyle name="Normal 2 4 2 3 2 2 2 2 3 2" xfId="13534" xr:uid="{E3C7D29E-06B3-4819-BE92-69C1BFA4A9EF}"/>
    <cellStyle name="Normal 2 4 2 3 2 2 2 2 4" xfId="9316" xr:uid="{66FFDD06-6B80-4880-9F6E-A57C584DF8C4}"/>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16092" xr:uid="{040D82AD-2E5E-4733-A438-9B20B06EAF19}"/>
    <cellStyle name="Normal 2 4 2 3 2 2 2 3 2 3" xfId="11874" xr:uid="{11DD5E7D-43D7-404B-8772-82135D04B7AD}"/>
    <cellStyle name="Normal 2 4 2 3 2 2 2 3 3" xfId="5505" xr:uid="{00000000-0005-0000-0000-0000A20E0000}"/>
    <cellStyle name="Normal 2 4 2 3 2 2 2 3 3 2" xfId="13947" xr:uid="{404E1E87-9302-4760-80D3-071854E24D78}"/>
    <cellStyle name="Normal 2 4 2 3 2 2 2 3 4" xfId="9729" xr:uid="{CC932B2E-E707-4A10-855B-94409B3B4D3B}"/>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16505" xr:uid="{6144F33E-5719-4921-9095-5B66A3630C83}"/>
    <cellStyle name="Normal 2 4 2 3 2 2 2 4 2 3" xfId="12287" xr:uid="{16A03999-EC6F-4FD0-9511-1CD08F414B69}"/>
    <cellStyle name="Normal 2 4 2 3 2 2 2 4 3" xfId="5918" xr:uid="{00000000-0005-0000-0000-0000A60E0000}"/>
    <cellStyle name="Normal 2 4 2 3 2 2 2 4 3 2" xfId="14360" xr:uid="{A6AEA090-4625-4832-AB27-AE5024692342}"/>
    <cellStyle name="Normal 2 4 2 3 2 2 2 4 4" xfId="10142" xr:uid="{87E78D13-5BAB-4CAC-B77F-43F421871324}"/>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16918" xr:uid="{B6B395B7-F4D2-4780-AACB-084AFE2598E9}"/>
    <cellStyle name="Normal 2 4 2 3 2 2 2 5 2 3" xfId="12700" xr:uid="{9C105707-3D36-4D3E-AFC3-0081B621C6CA}"/>
    <cellStyle name="Normal 2 4 2 3 2 2 2 5 3" xfId="6331" xr:uid="{00000000-0005-0000-0000-0000AA0E0000}"/>
    <cellStyle name="Normal 2 4 2 3 2 2 2 5 3 2" xfId="14773" xr:uid="{A266366E-7A84-4554-A718-80C6D99EEF3C}"/>
    <cellStyle name="Normal 2 4 2 3 2 2 2 5 4" xfId="10555" xr:uid="{206C1F60-427A-4728-B279-F25E7A2E3634}"/>
    <cellStyle name="Normal 2 4 2 3 2 2 2 6" xfId="2460" xr:uid="{00000000-0005-0000-0000-0000AB0E0000}"/>
    <cellStyle name="Normal 2 4 2 3 2 2 2 6 2" xfId="6744" xr:uid="{00000000-0005-0000-0000-0000AC0E0000}"/>
    <cellStyle name="Normal 2 4 2 3 2 2 2 6 2 2" xfId="15186" xr:uid="{B169133F-B28D-41A7-997E-392FEB356447}"/>
    <cellStyle name="Normal 2 4 2 3 2 2 2 6 3" xfId="10968" xr:uid="{AE831710-FA34-40AD-8150-FCECCBB64B8F}"/>
    <cellStyle name="Normal 2 4 2 3 2 2 2 7" xfId="4678" xr:uid="{00000000-0005-0000-0000-0000AD0E0000}"/>
    <cellStyle name="Normal 2 4 2 3 2 2 2 7 2" xfId="13120" xr:uid="{9ACD504E-BE74-4BE3-965E-1DBE41DD3A9F}"/>
    <cellStyle name="Normal 2 4 2 3 2 2 2 8" xfId="8902" xr:uid="{64BFE098-8CD7-41DB-B881-E539DC9A3124}"/>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15678" xr:uid="{32A664BA-C234-4002-A631-AF83CA038CA2}"/>
    <cellStyle name="Normal 2 4 2 3 2 2 3 2 3" xfId="11460" xr:uid="{9FB00B66-23C1-4F6E-A3A5-C18EC367D0AC}"/>
    <cellStyle name="Normal 2 4 2 3 2 2 3 3" xfId="5091" xr:uid="{00000000-0005-0000-0000-0000B10E0000}"/>
    <cellStyle name="Normal 2 4 2 3 2 2 3 3 2" xfId="13533" xr:uid="{4E5CB4D8-6E75-440A-B1B3-65BCFA3D958E}"/>
    <cellStyle name="Normal 2 4 2 3 2 2 3 4" xfId="9315" xr:uid="{AE100FF3-9F23-4DA2-A038-A093B06B01EE}"/>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16091" xr:uid="{585BF7C1-53E5-43D5-B0DE-289165A5E14A}"/>
    <cellStyle name="Normal 2 4 2 3 2 2 4 2 3" xfId="11873" xr:uid="{DC7C9878-7118-4AE7-88BF-6D251C7F1FDA}"/>
    <cellStyle name="Normal 2 4 2 3 2 2 4 3" xfId="5504" xr:uid="{00000000-0005-0000-0000-0000B50E0000}"/>
    <cellStyle name="Normal 2 4 2 3 2 2 4 3 2" xfId="13946" xr:uid="{1CD28F49-3FB0-4030-9C0F-0FA732C88E5A}"/>
    <cellStyle name="Normal 2 4 2 3 2 2 4 4" xfId="9728" xr:uid="{9E945F07-B795-4E6B-B9CC-F1F9E18B4BDB}"/>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16504" xr:uid="{8B8E237F-0684-44B0-8026-0A40CF3B0317}"/>
    <cellStyle name="Normal 2 4 2 3 2 2 5 2 3" xfId="12286" xr:uid="{EF524295-EFCA-4A48-9013-39F6331AC3EB}"/>
    <cellStyle name="Normal 2 4 2 3 2 2 5 3" xfId="5917" xr:uid="{00000000-0005-0000-0000-0000B90E0000}"/>
    <cellStyle name="Normal 2 4 2 3 2 2 5 3 2" xfId="14359" xr:uid="{812A736B-8D69-4503-AD62-C71007B09A69}"/>
    <cellStyle name="Normal 2 4 2 3 2 2 5 4" xfId="10141" xr:uid="{1C703654-06E4-4A85-ABC1-5747474B0DFE}"/>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16917" xr:uid="{A9C309F7-80F2-4A97-A431-AF317AD730F8}"/>
    <cellStyle name="Normal 2 4 2 3 2 2 6 2 3" xfId="12699" xr:uid="{1C33B910-058C-4C65-9029-5269878D6A1F}"/>
    <cellStyle name="Normal 2 4 2 3 2 2 6 3" xfId="6330" xr:uid="{00000000-0005-0000-0000-0000BD0E0000}"/>
    <cellStyle name="Normal 2 4 2 3 2 2 6 3 2" xfId="14772" xr:uid="{F0D5FE70-915E-42F3-87A9-86124ED512EB}"/>
    <cellStyle name="Normal 2 4 2 3 2 2 6 4" xfId="10554" xr:uid="{80EC3232-C692-4292-A80C-1759AACF791F}"/>
    <cellStyle name="Normal 2 4 2 3 2 2 7" xfId="2459" xr:uid="{00000000-0005-0000-0000-0000BE0E0000}"/>
    <cellStyle name="Normal 2 4 2 3 2 2 7 2" xfId="6743" xr:uid="{00000000-0005-0000-0000-0000BF0E0000}"/>
    <cellStyle name="Normal 2 4 2 3 2 2 7 2 2" xfId="15185" xr:uid="{54B6E212-2C99-4B11-AD0C-E02979259511}"/>
    <cellStyle name="Normal 2 4 2 3 2 2 7 3" xfId="10967" xr:uid="{AF0A18BA-20AB-49FA-883D-272D65DC161F}"/>
    <cellStyle name="Normal 2 4 2 3 2 2 8" xfId="4677" xr:uid="{00000000-0005-0000-0000-0000C00E0000}"/>
    <cellStyle name="Normal 2 4 2 3 2 2 8 2" xfId="13119" xr:uid="{5628CFA1-577A-4994-9774-00BE4CF15B06}"/>
    <cellStyle name="Normal 2 4 2 3 2 2 9" xfId="8901" xr:uid="{3472839D-199F-4AAA-B0AB-209C39C3302B}"/>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15680" xr:uid="{AA7B79C2-9C9F-4B44-B487-26D36662A8F3}"/>
    <cellStyle name="Normal 2 4 2 3 2 3 2 2 3" xfId="11462" xr:uid="{BA375933-00BE-458B-A128-8D1BF4DEAB2E}"/>
    <cellStyle name="Normal 2 4 2 3 2 3 2 3" xfId="5093" xr:uid="{00000000-0005-0000-0000-0000C50E0000}"/>
    <cellStyle name="Normal 2 4 2 3 2 3 2 3 2" xfId="13535" xr:uid="{7588D9E1-5258-4E76-944B-FC8147600417}"/>
    <cellStyle name="Normal 2 4 2 3 2 3 2 4" xfId="9317" xr:uid="{E6CFB534-1BA1-46D9-B3A6-E0150E4BB569}"/>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16093" xr:uid="{D1CCD76C-C6A4-4641-9DC1-4A0312E4F8C1}"/>
    <cellStyle name="Normal 2 4 2 3 2 3 3 2 3" xfId="11875" xr:uid="{9DAFFD83-A80D-4327-B3ED-A357A1CED260}"/>
    <cellStyle name="Normal 2 4 2 3 2 3 3 3" xfId="5506" xr:uid="{00000000-0005-0000-0000-0000C90E0000}"/>
    <cellStyle name="Normal 2 4 2 3 2 3 3 3 2" xfId="13948" xr:uid="{CEBFF0E5-4B22-4503-BB2E-82752D678296}"/>
    <cellStyle name="Normal 2 4 2 3 2 3 3 4" xfId="9730" xr:uid="{88A17BBD-00D0-4BE4-97B7-D4B3A5DC60E3}"/>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16506" xr:uid="{CFE4F475-B119-4315-8647-E53BEF9F9C6A}"/>
    <cellStyle name="Normal 2 4 2 3 2 3 4 2 3" xfId="12288" xr:uid="{B36C2744-D9F0-48FD-AD56-500C2DA92EF1}"/>
    <cellStyle name="Normal 2 4 2 3 2 3 4 3" xfId="5919" xr:uid="{00000000-0005-0000-0000-0000CD0E0000}"/>
    <cellStyle name="Normal 2 4 2 3 2 3 4 3 2" xfId="14361" xr:uid="{AFC65FB2-EB5B-4830-BDA2-06519D74C75C}"/>
    <cellStyle name="Normal 2 4 2 3 2 3 4 4" xfId="10143" xr:uid="{5C3B0079-C406-4FBE-A743-0A7962C8DD43}"/>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16919" xr:uid="{D6C23097-884E-4ADD-B622-CDE7F9AB0AC6}"/>
    <cellStyle name="Normal 2 4 2 3 2 3 5 2 3" xfId="12701" xr:uid="{0330EFB0-8071-449F-9061-DD2436101309}"/>
    <cellStyle name="Normal 2 4 2 3 2 3 5 3" xfId="6332" xr:uid="{00000000-0005-0000-0000-0000D10E0000}"/>
    <cellStyle name="Normal 2 4 2 3 2 3 5 3 2" xfId="14774" xr:uid="{835B1ABD-7E34-416E-92E5-1F9146D178A1}"/>
    <cellStyle name="Normal 2 4 2 3 2 3 5 4" xfId="10556" xr:uid="{D92E44E7-784B-43A2-943F-E609BF9FEC03}"/>
    <cellStyle name="Normal 2 4 2 3 2 3 6" xfId="2461" xr:uid="{00000000-0005-0000-0000-0000D20E0000}"/>
    <cellStyle name="Normal 2 4 2 3 2 3 6 2" xfId="6745" xr:uid="{00000000-0005-0000-0000-0000D30E0000}"/>
    <cellStyle name="Normal 2 4 2 3 2 3 6 2 2" xfId="15187" xr:uid="{515BF9C7-23B2-499F-B46D-AE5F5000E1F7}"/>
    <cellStyle name="Normal 2 4 2 3 2 3 6 3" xfId="10969" xr:uid="{7DD5163C-F3E3-4A36-9A3B-C95159320E87}"/>
    <cellStyle name="Normal 2 4 2 3 2 3 7" xfId="4679" xr:uid="{00000000-0005-0000-0000-0000D40E0000}"/>
    <cellStyle name="Normal 2 4 2 3 2 3 7 2" xfId="13121" xr:uid="{C5C9B7C2-8171-46F1-AB78-DD4E07F3D54C}"/>
    <cellStyle name="Normal 2 4 2 3 2 3 8" xfId="8903" xr:uid="{3399FB6A-9B4D-49CA-878A-A43D9B4D50AD}"/>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15677" xr:uid="{4CCC9C3A-6BB7-4329-A2C8-0A6024C1E37A}"/>
    <cellStyle name="Normal 2 4 2 3 2 4 2 3" xfId="11459" xr:uid="{93EBE504-B066-465E-BCC4-AFA38956EA93}"/>
    <cellStyle name="Normal 2 4 2 3 2 4 3" xfId="5090" xr:uid="{00000000-0005-0000-0000-0000D80E0000}"/>
    <cellStyle name="Normal 2 4 2 3 2 4 3 2" xfId="13532" xr:uid="{80E77E52-0033-4859-A51B-416851F5AE13}"/>
    <cellStyle name="Normal 2 4 2 3 2 4 4" xfId="9314" xr:uid="{A73C2C77-07B9-4FF1-AFC9-E8B80FE4E7C3}"/>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16090" xr:uid="{70758FE5-A962-4A57-A4C1-366AD5458679}"/>
    <cellStyle name="Normal 2 4 2 3 2 5 2 3" xfId="11872" xr:uid="{2659BB14-139D-40A2-901A-8EE042C0346F}"/>
    <cellStyle name="Normal 2 4 2 3 2 5 3" xfId="5503" xr:uid="{00000000-0005-0000-0000-0000DC0E0000}"/>
    <cellStyle name="Normal 2 4 2 3 2 5 3 2" xfId="13945" xr:uid="{99DBD25A-9859-4639-853C-CA36FA666A74}"/>
    <cellStyle name="Normal 2 4 2 3 2 5 4" xfId="9727" xr:uid="{90549CFB-8AFF-4A18-AAC1-5AA1FE959B17}"/>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16503" xr:uid="{1E21E942-571E-45AB-8700-10DB846B3E19}"/>
    <cellStyle name="Normal 2 4 2 3 2 6 2 3" xfId="12285" xr:uid="{55B66A9F-FD18-4C29-8B0C-FEABF9E23948}"/>
    <cellStyle name="Normal 2 4 2 3 2 6 3" xfId="5916" xr:uid="{00000000-0005-0000-0000-0000E00E0000}"/>
    <cellStyle name="Normal 2 4 2 3 2 6 3 2" xfId="14358" xr:uid="{FF384611-CDFF-4D39-9D14-56D1CA6FF20B}"/>
    <cellStyle name="Normal 2 4 2 3 2 6 4" xfId="10140" xr:uid="{64C9014C-C2A6-4493-AC39-0A770172E207}"/>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16916" xr:uid="{ECC9E67E-193C-4DB3-B9F5-1FDB98FA4438}"/>
    <cellStyle name="Normal 2 4 2 3 2 7 2 3" xfId="12698" xr:uid="{C9A05EDC-4F50-4721-B517-F4982FC170E0}"/>
    <cellStyle name="Normal 2 4 2 3 2 7 3" xfId="6329" xr:uid="{00000000-0005-0000-0000-0000E40E0000}"/>
    <cellStyle name="Normal 2 4 2 3 2 7 3 2" xfId="14771" xr:uid="{C6C0FA2F-9ECA-4C29-9155-58421B576406}"/>
    <cellStyle name="Normal 2 4 2 3 2 7 4" xfId="10553" xr:uid="{F7CB3A3E-386A-4F80-84EB-4D3C7410D776}"/>
    <cellStyle name="Normal 2 4 2 3 2 8" xfId="2458" xr:uid="{00000000-0005-0000-0000-0000E50E0000}"/>
    <cellStyle name="Normal 2 4 2 3 2 8 2" xfId="6742" xr:uid="{00000000-0005-0000-0000-0000E60E0000}"/>
    <cellStyle name="Normal 2 4 2 3 2 8 2 2" xfId="15184" xr:uid="{6C042B75-52B3-4930-9F04-B08D2BA0332F}"/>
    <cellStyle name="Normal 2 4 2 3 2 8 3" xfId="10966" xr:uid="{1A0CB576-2130-48C3-BECF-FA94DD943CEF}"/>
    <cellStyle name="Normal 2 4 2 3 2 9" xfId="4676" xr:uid="{00000000-0005-0000-0000-0000E70E0000}"/>
    <cellStyle name="Normal 2 4 2 3 2 9 2" xfId="13118" xr:uid="{6DF863EC-D009-4759-BFC9-C2251D6E19C3}"/>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15682" xr:uid="{BCB6CED4-9132-4F80-BF64-ECE547D38ACF}"/>
    <cellStyle name="Normal 2 4 2 3 3 2 2 2 3" xfId="11464" xr:uid="{FE34A67B-5933-46C7-80A0-04689266B3B3}"/>
    <cellStyle name="Normal 2 4 2 3 3 2 2 3" xfId="5095" xr:uid="{00000000-0005-0000-0000-0000ED0E0000}"/>
    <cellStyle name="Normal 2 4 2 3 3 2 2 3 2" xfId="13537" xr:uid="{62E3ED6B-3452-4D91-B09A-BBDFA28C4796}"/>
    <cellStyle name="Normal 2 4 2 3 3 2 2 4" xfId="9319" xr:uid="{CF2CDC8D-9547-486C-8E93-BBC1CAA6A18A}"/>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16095" xr:uid="{B202D0DE-E82D-4C04-B144-6564D93DD7E9}"/>
    <cellStyle name="Normal 2 4 2 3 3 2 3 2 3" xfId="11877" xr:uid="{2D3E832B-49F2-4EF3-91EC-A1EB051021DA}"/>
    <cellStyle name="Normal 2 4 2 3 3 2 3 3" xfId="5508" xr:uid="{00000000-0005-0000-0000-0000F10E0000}"/>
    <cellStyle name="Normal 2 4 2 3 3 2 3 3 2" xfId="13950" xr:uid="{15DAF0AB-7BFF-4A66-8006-4BF4A8042042}"/>
    <cellStyle name="Normal 2 4 2 3 3 2 3 4" xfId="9732" xr:uid="{F0EA63D2-3DB2-4636-B789-4E97D974B7B5}"/>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16508" xr:uid="{53185D11-F309-41F4-9E90-BF79A54DC7D1}"/>
    <cellStyle name="Normal 2 4 2 3 3 2 4 2 3" xfId="12290" xr:uid="{B0BFC7F7-8217-4471-99ED-C766D34F0F9D}"/>
    <cellStyle name="Normal 2 4 2 3 3 2 4 3" xfId="5921" xr:uid="{00000000-0005-0000-0000-0000F50E0000}"/>
    <cellStyle name="Normal 2 4 2 3 3 2 4 3 2" xfId="14363" xr:uid="{B6989570-51FA-4D5C-BE56-ED735079D758}"/>
    <cellStyle name="Normal 2 4 2 3 3 2 4 4" xfId="10145" xr:uid="{6A82834B-11A3-4410-A293-5D5AC17D9B79}"/>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16921" xr:uid="{8DA3F0FF-5A17-49A9-B809-F2DA38ABBEE7}"/>
    <cellStyle name="Normal 2 4 2 3 3 2 5 2 3" xfId="12703" xr:uid="{236A6CE0-003A-401E-A4C1-BD44F5079435}"/>
    <cellStyle name="Normal 2 4 2 3 3 2 5 3" xfId="6334" xr:uid="{00000000-0005-0000-0000-0000F90E0000}"/>
    <cellStyle name="Normal 2 4 2 3 3 2 5 3 2" xfId="14776" xr:uid="{B3EE9E42-0157-4B31-8CE4-6315AA324620}"/>
    <cellStyle name="Normal 2 4 2 3 3 2 5 4" xfId="10558" xr:uid="{1DDB7664-9BD9-4716-994D-0B7DEB88ACE8}"/>
    <cellStyle name="Normal 2 4 2 3 3 2 6" xfId="2463" xr:uid="{00000000-0005-0000-0000-0000FA0E0000}"/>
    <cellStyle name="Normal 2 4 2 3 3 2 6 2" xfId="6747" xr:uid="{00000000-0005-0000-0000-0000FB0E0000}"/>
    <cellStyle name="Normal 2 4 2 3 3 2 6 2 2" xfId="15189" xr:uid="{56AF280A-7B13-444D-A7E0-626E4CBBE770}"/>
    <cellStyle name="Normal 2 4 2 3 3 2 6 3" xfId="10971" xr:uid="{61B180B0-81EB-4AD8-9D0F-3C65D721576C}"/>
    <cellStyle name="Normal 2 4 2 3 3 2 7" xfId="4681" xr:uid="{00000000-0005-0000-0000-0000FC0E0000}"/>
    <cellStyle name="Normal 2 4 2 3 3 2 7 2" xfId="13123" xr:uid="{75E0086D-3776-4BB9-BDFF-C7CE19B1A2E9}"/>
    <cellStyle name="Normal 2 4 2 3 3 2 8" xfId="8905" xr:uid="{FF5AEB31-F961-466C-AE61-9F7DB68CD4D4}"/>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15681" xr:uid="{F71D113C-858D-4B4C-B387-CF59442EA783}"/>
    <cellStyle name="Normal 2 4 2 3 3 3 2 3" xfId="11463" xr:uid="{3F1CE7A8-2421-4913-99E7-77EA726012CF}"/>
    <cellStyle name="Normal 2 4 2 3 3 3 3" xfId="5094" xr:uid="{00000000-0005-0000-0000-0000000F0000}"/>
    <cellStyle name="Normal 2 4 2 3 3 3 3 2" xfId="13536" xr:uid="{C368296B-6F87-402C-ACA6-5CB1146DD794}"/>
    <cellStyle name="Normal 2 4 2 3 3 3 4" xfId="9318" xr:uid="{C0AD1852-5163-43CC-94F0-57573F70AF1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16094" xr:uid="{19E1A1F6-1A05-4B97-9B97-8F902FF3CA39}"/>
    <cellStyle name="Normal 2 4 2 3 3 4 2 3" xfId="11876" xr:uid="{15343FD4-CE9E-4C60-BF02-1A76991EF686}"/>
    <cellStyle name="Normal 2 4 2 3 3 4 3" xfId="5507" xr:uid="{00000000-0005-0000-0000-0000040F0000}"/>
    <cellStyle name="Normal 2 4 2 3 3 4 3 2" xfId="13949" xr:uid="{F4D557BC-2F3C-4B8C-A90F-BDC82FB9026F}"/>
    <cellStyle name="Normal 2 4 2 3 3 4 4" xfId="9731" xr:uid="{27969DD6-E6C9-4DCC-A21F-D35931D9974D}"/>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16507" xr:uid="{2E74AC09-75BA-44FA-A3A8-88B897779EC1}"/>
    <cellStyle name="Normal 2 4 2 3 3 5 2 3" xfId="12289" xr:uid="{807E1F1D-CAA3-4E8F-B1AB-F1849FAC4B42}"/>
    <cellStyle name="Normal 2 4 2 3 3 5 3" xfId="5920" xr:uid="{00000000-0005-0000-0000-0000080F0000}"/>
    <cellStyle name="Normal 2 4 2 3 3 5 3 2" xfId="14362" xr:uid="{E9A76C46-9775-47A8-A283-190396481432}"/>
    <cellStyle name="Normal 2 4 2 3 3 5 4" xfId="10144" xr:uid="{2621709F-CDDE-4112-A97B-3BC436B93007}"/>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16920" xr:uid="{670005F2-F1FC-4653-BBC3-35A5D70461E7}"/>
    <cellStyle name="Normal 2 4 2 3 3 6 2 3" xfId="12702" xr:uid="{6710FAAA-FB61-418B-9343-BCCBCDC9A18B}"/>
    <cellStyle name="Normal 2 4 2 3 3 6 3" xfId="6333" xr:uid="{00000000-0005-0000-0000-00000C0F0000}"/>
    <cellStyle name="Normal 2 4 2 3 3 6 3 2" xfId="14775" xr:uid="{A8CE87A5-CD36-4DEC-860D-F4C0AB4BDD55}"/>
    <cellStyle name="Normal 2 4 2 3 3 6 4" xfId="10557" xr:uid="{958A2A61-D8A2-4016-A304-0D0058744160}"/>
    <cellStyle name="Normal 2 4 2 3 3 7" xfId="2462" xr:uid="{00000000-0005-0000-0000-00000D0F0000}"/>
    <cellStyle name="Normal 2 4 2 3 3 7 2" xfId="6746" xr:uid="{00000000-0005-0000-0000-00000E0F0000}"/>
    <cellStyle name="Normal 2 4 2 3 3 7 2 2" xfId="15188" xr:uid="{287786BC-C264-47A1-875D-7E83AEC11B36}"/>
    <cellStyle name="Normal 2 4 2 3 3 7 3" xfId="10970" xr:uid="{1ED3887F-8624-457D-99F0-E1AA182CD235}"/>
    <cellStyle name="Normal 2 4 2 3 3 8" xfId="4680" xr:uid="{00000000-0005-0000-0000-00000F0F0000}"/>
    <cellStyle name="Normal 2 4 2 3 3 8 2" xfId="13122" xr:uid="{65F27289-9331-4271-8C2E-BF3871304D93}"/>
    <cellStyle name="Normal 2 4 2 3 3 9" xfId="8904" xr:uid="{BFB82F8C-C2C9-4312-9698-CC7C1A0076A4}"/>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15683" xr:uid="{DE0CC57B-A262-495B-BB8A-D5F0F51BEBF3}"/>
    <cellStyle name="Normal 2 4 2 3 4 2 2 3" xfId="11465" xr:uid="{3C617EB2-1978-46C3-82C4-687303B9DACC}"/>
    <cellStyle name="Normal 2 4 2 3 4 2 3" xfId="5096" xr:uid="{00000000-0005-0000-0000-0000140F0000}"/>
    <cellStyle name="Normal 2 4 2 3 4 2 3 2" xfId="13538" xr:uid="{87ADDEE8-D223-44C9-9154-4BA771B36A67}"/>
    <cellStyle name="Normal 2 4 2 3 4 2 4" xfId="9320" xr:uid="{2DD5FB80-C4C6-4525-80AB-E218273FC379}"/>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16096" xr:uid="{6DAC5D5E-F4D7-4604-B2AC-656A744CA9C2}"/>
    <cellStyle name="Normal 2 4 2 3 4 3 2 3" xfId="11878" xr:uid="{51223FCB-1A2A-4449-A6EE-B7BFEBBCD65E}"/>
    <cellStyle name="Normal 2 4 2 3 4 3 3" xfId="5509" xr:uid="{00000000-0005-0000-0000-0000180F0000}"/>
    <cellStyle name="Normal 2 4 2 3 4 3 3 2" xfId="13951" xr:uid="{B3F5E7F8-217B-4916-9CB6-B3721F91CB5E}"/>
    <cellStyle name="Normal 2 4 2 3 4 3 4" xfId="9733" xr:uid="{6FEEA6CF-1AC9-494F-AAFA-F6905DBECBE5}"/>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16509" xr:uid="{40308D45-73B3-415A-B13D-89C23122919B}"/>
    <cellStyle name="Normal 2 4 2 3 4 4 2 3" xfId="12291" xr:uid="{A0B03F0B-EF83-4271-AD38-FDA8AB4457B1}"/>
    <cellStyle name="Normal 2 4 2 3 4 4 3" xfId="5922" xr:uid="{00000000-0005-0000-0000-00001C0F0000}"/>
    <cellStyle name="Normal 2 4 2 3 4 4 3 2" xfId="14364" xr:uid="{02D82DF8-560E-4F85-90F8-56E6718CF617}"/>
    <cellStyle name="Normal 2 4 2 3 4 4 4" xfId="10146" xr:uid="{5683CC67-48FF-4DC4-9EB9-CDE139158078}"/>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16922" xr:uid="{BFC78123-09C2-4B70-8541-F2B471053919}"/>
    <cellStyle name="Normal 2 4 2 3 4 5 2 3" xfId="12704" xr:uid="{15FE5DB4-BA86-4E5A-8F5F-4F39EC7F6667}"/>
    <cellStyle name="Normal 2 4 2 3 4 5 3" xfId="6335" xr:uid="{00000000-0005-0000-0000-0000200F0000}"/>
    <cellStyle name="Normal 2 4 2 3 4 5 3 2" xfId="14777" xr:uid="{0F41C781-56AF-4F4D-B8C0-5846BD49BA35}"/>
    <cellStyle name="Normal 2 4 2 3 4 5 4" xfId="10559" xr:uid="{D23701EC-91AA-4EFB-8E50-0BB4E9363DFC}"/>
    <cellStyle name="Normal 2 4 2 3 4 6" xfId="2464" xr:uid="{00000000-0005-0000-0000-0000210F0000}"/>
    <cellStyle name="Normal 2 4 2 3 4 6 2" xfId="6748" xr:uid="{00000000-0005-0000-0000-0000220F0000}"/>
    <cellStyle name="Normal 2 4 2 3 4 6 2 2" xfId="15190" xr:uid="{596FAC9D-53ED-4423-B6E6-9EE7BDC860E5}"/>
    <cellStyle name="Normal 2 4 2 3 4 6 3" xfId="10972" xr:uid="{758E22A6-94DB-4398-A060-2C56F372E4C2}"/>
    <cellStyle name="Normal 2 4 2 3 4 7" xfId="4682" xr:uid="{00000000-0005-0000-0000-0000230F0000}"/>
    <cellStyle name="Normal 2 4 2 3 4 7 2" xfId="13124" xr:uid="{2E7ADE6F-93C6-4719-A0A7-F6E24D6A21E3}"/>
    <cellStyle name="Normal 2 4 2 3 4 8" xfId="8906" xr:uid="{F1784721-B948-4804-96DD-F9532BA81E9A}"/>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15676" xr:uid="{B2CBB955-52BC-403A-A0B3-57BD6E24A90A}"/>
    <cellStyle name="Normal 2 4 2 3 5 2 3" xfId="11458" xr:uid="{E418B900-D343-4320-BD6C-4B5CAAC4A1B8}"/>
    <cellStyle name="Normal 2 4 2 3 5 3" xfId="5089" xr:uid="{00000000-0005-0000-0000-0000270F0000}"/>
    <cellStyle name="Normal 2 4 2 3 5 3 2" xfId="13531" xr:uid="{B5B90A8C-0542-4F89-86B3-1B84BE79E51F}"/>
    <cellStyle name="Normal 2 4 2 3 5 4" xfId="9313" xr:uid="{DD1A86AF-F65A-4293-BDFF-B10EF2A48ACB}"/>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16089" xr:uid="{561847EA-C5DE-4099-B650-86638E3E7D9E}"/>
    <cellStyle name="Normal 2 4 2 3 6 2 3" xfId="11871" xr:uid="{A52D366D-4EF7-482B-9E48-A6210B00B308}"/>
    <cellStyle name="Normal 2 4 2 3 6 3" xfId="5502" xr:uid="{00000000-0005-0000-0000-00002B0F0000}"/>
    <cellStyle name="Normal 2 4 2 3 6 3 2" xfId="13944" xr:uid="{B421B2B0-A923-4704-864F-301C4869AA08}"/>
    <cellStyle name="Normal 2 4 2 3 6 4" xfId="9726" xr:uid="{4F284A5D-D5D2-413A-9FD0-C1967E45DA61}"/>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16502" xr:uid="{5FEA0972-A323-4D3D-B5DC-E92E0241A5CE}"/>
    <cellStyle name="Normal 2 4 2 3 7 2 3" xfId="12284" xr:uid="{7A20F890-6E88-4B66-ACF0-83C3B846E9DF}"/>
    <cellStyle name="Normal 2 4 2 3 7 3" xfId="5915" xr:uid="{00000000-0005-0000-0000-00002F0F0000}"/>
    <cellStyle name="Normal 2 4 2 3 7 3 2" xfId="14357" xr:uid="{2169E8E3-BF0F-4DE8-BDE1-38F1612A74CF}"/>
    <cellStyle name="Normal 2 4 2 3 7 4" xfId="10139" xr:uid="{EF64F191-2849-4DE1-85E5-61D5B4D05D71}"/>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16915" xr:uid="{CF5A8936-7480-4393-9559-7DDC795F800A}"/>
    <cellStyle name="Normal 2 4 2 3 8 2 3" xfId="12697" xr:uid="{D1557C81-2E8F-4F2A-8FCA-65E50C5C08D9}"/>
    <cellStyle name="Normal 2 4 2 3 8 3" xfId="6328" xr:uid="{00000000-0005-0000-0000-0000330F0000}"/>
    <cellStyle name="Normal 2 4 2 3 8 3 2" xfId="14770" xr:uid="{F38A82D1-8918-4D06-9812-6D57F430EA7C}"/>
    <cellStyle name="Normal 2 4 2 3 8 4" xfId="10552" xr:uid="{5DE11F9D-6AFF-42F7-81D6-725D10A8EA6D}"/>
    <cellStyle name="Normal 2 4 2 3 9" xfId="2457" xr:uid="{00000000-0005-0000-0000-0000340F0000}"/>
    <cellStyle name="Normal 2 4 2 3 9 2" xfId="6741" xr:uid="{00000000-0005-0000-0000-0000350F0000}"/>
    <cellStyle name="Normal 2 4 2 3 9 2 2" xfId="15183" xr:uid="{E10EE956-7022-4D5A-834E-8A92C232823A}"/>
    <cellStyle name="Normal 2 4 2 3 9 3" xfId="10965" xr:uid="{1148EA65-9B16-41E8-A671-51F2F19EFE16}"/>
    <cellStyle name="Normal 2 4 2 4" xfId="289" xr:uid="{00000000-0005-0000-0000-0000360F0000}"/>
    <cellStyle name="Normal 2 4 2 4 10" xfId="8907" xr:uid="{80C40BBC-EED9-470E-BF3C-E4E6ED42E4FB}"/>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15686" xr:uid="{07AC80BA-34F4-4A4A-922E-CF521931A1A6}"/>
    <cellStyle name="Normal 2 4 2 4 2 2 2 2 3" xfId="11468" xr:uid="{C4E4CED8-35B0-4E2E-B7E3-91EE267BC73D}"/>
    <cellStyle name="Normal 2 4 2 4 2 2 2 3" xfId="5099" xr:uid="{00000000-0005-0000-0000-00003C0F0000}"/>
    <cellStyle name="Normal 2 4 2 4 2 2 2 3 2" xfId="13541" xr:uid="{D9587ECD-8618-4DA5-AC58-971056950974}"/>
    <cellStyle name="Normal 2 4 2 4 2 2 2 4" xfId="9323" xr:uid="{C1385E1A-7EB7-46D8-9EEB-E6378DF55DC5}"/>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16099" xr:uid="{B310CB7D-3C8B-41E0-AB92-6F5029D0FB3C}"/>
    <cellStyle name="Normal 2 4 2 4 2 2 3 2 3" xfId="11881" xr:uid="{9210CB87-6977-4E9A-A6CE-31593989AC1E}"/>
    <cellStyle name="Normal 2 4 2 4 2 2 3 3" xfId="5512" xr:uid="{00000000-0005-0000-0000-0000400F0000}"/>
    <cellStyle name="Normal 2 4 2 4 2 2 3 3 2" xfId="13954" xr:uid="{0250FD48-34F1-46FD-B603-704612728484}"/>
    <cellStyle name="Normal 2 4 2 4 2 2 3 4" xfId="9736" xr:uid="{FF52E3DA-59D0-413D-9074-AA57C97631DD}"/>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16512" xr:uid="{66A7F740-2448-40CB-A1DC-6538E94466F6}"/>
    <cellStyle name="Normal 2 4 2 4 2 2 4 2 3" xfId="12294" xr:uid="{F40E5840-A9A0-4A81-8116-720AD32205BC}"/>
    <cellStyle name="Normal 2 4 2 4 2 2 4 3" xfId="5925" xr:uid="{00000000-0005-0000-0000-0000440F0000}"/>
    <cellStyle name="Normal 2 4 2 4 2 2 4 3 2" xfId="14367" xr:uid="{43ABCD28-FBC5-4543-BA51-DDC6F3CBBF66}"/>
    <cellStyle name="Normal 2 4 2 4 2 2 4 4" xfId="10149" xr:uid="{B674E9F6-D085-43FA-8E3A-B274EFACE845}"/>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16925" xr:uid="{459E8A73-5FB0-47E5-9653-A0E591253F96}"/>
    <cellStyle name="Normal 2 4 2 4 2 2 5 2 3" xfId="12707" xr:uid="{7EAD26BE-ED96-4F05-A814-67E88360C0B3}"/>
    <cellStyle name="Normal 2 4 2 4 2 2 5 3" xfId="6338" xr:uid="{00000000-0005-0000-0000-0000480F0000}"/>
    <cellStyle name="Normal 2 4 2 4 2 2 5 3 2" xfId="14780" xr:uid="{2BEBEBA8-A471-4FF8-92C9-18730810816A}"/>
    <cellStyle name="Normal 2 4 2 4 2 2 5 4" xfId="10562" xr:uid="{32A40E16-7A84-4204-874C-5C9FDFE7812D}"/>
    <cellStyle name="Normal 2 4 2 4 2 2 6" xfId="2467" xr:uid="{00000000-0005-0000-0000-0000490F0000}"/>
    <cellStyle name="Normal 2 4 2 4 2 2 6 2" xfId="6751" xr:uid="{00000000-0005-0000-0000-00004A0F0000}"/>
    <cellStyle name="Normal 2 4 2 4 2 2 6 2 2" xfId="15193" xr:uid="{A4191D5C-07F9-4B7E-BE65-39A7594AAB11}"/>
    <cellStyle name="Normal 2 4 2 4 2 2 6 3" xfId="10975" xr:uid="{02E8F360-A643-44D4-BB37-489AED3487F7}"/>
    <cellStyle name="Normal 2 4 2 4 2 2 7" xfId="4685" xr:uid="{00000000-0005-0000-0000-00004B0F0000}"/>
    <cellStyle name="Normal 2 4 2 4 2 2 7 2" xfId="13127" xr:uid="{C4695148-B929-4B95-9ACD-1FED09BF26D1}"/>
    <cellStyle name="Normal 2 4 2 4 2 2 8" xfId="8909" xr:uid="{85AC8DD3-2662-474C-B579-94B22D43044B}"/>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15685" xr:uid="{49F9699B-AFCD-4A84-AF0F-A745263A99AD}"/>
    <cellStyle name="Normal 2 4 2 4 2 3 2 3" xfId="11467" xr:uid="{78776493-838B-463D-A280-A6AE0274A26A}"/>
    <cellStyle name="Normal 2 4 2 4 2 3 3" xfId="5098" xr:uid="{00000000-0005-0000-0000-00004F0F0000}"/>
    <cellStyle name="Normal 2 4 2 4 2 3 3 2" xfId="13540" xr:uid="{61E8B906-93BF-4B38-8CE2-C5121C0B8246}"/>
    <cellStyle name="Normal 2 4 2 4 2 3 4" xfId="9322" xr:uid="{6ADB763A-58D6-4A9C-841E-DA2E2217A354}"/>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16098" xr:uid="{C69FADAF-B821-4AF6-8A86-78AC503E0AC3}"/>
    <cellStyle name="Normal 2 4 2 4 2 4 2 3" xfId="11880" xr:uid="{4B64139F-65DC-4A53-AE54-647F5A3E036A}"/>
    <cellStyle name="Normal 2 4 2 4 2 4 3" xfId="5511" xr:uid="{00000000-0005-0000-0000-0000530F0000}"/>
    <cellStyle name="Normal 2 4 2 4 2 4 3 2" xfId="13953" xr:uid="{F461639D-D86E-4D74-A716-1CA040AF2EEC}"/>
    <cellStyle name="Normal 2 4 2 4 2 4 4" xfId="9735" xr:uid="{AB4A7A92-E23F-472F-B082-5BCB0E60F655}"/>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16511" xr:uid="{C9C86869-9AEF-41DC-BB47-9A6A3A5EF751}"/>
    <cellStyle name="Normal 2 4 2 4 2 5 2 3" xfId="12293" xr:uid="{EBD6A0AB-60D1-4DB3-B59B-B86241846957}"/>
    <cellStyle name="Normal 2 4 2 4 2 5 3" xfId="5924" xr:uid="{00000000-0005-0000-0000-0000570F0000}"/>
    <cellStyle name="Normal 2 4 2 4 2 5 3 2" xfId="14366" xr:uid="{21E4379A-440B-4797-BB82-BB5BF0E3A454}"/>
    <cellStyle name="Normal 2 4 2 4 2 5 4" xfId="10148" xr:uid="{47347433-DFEB-4782-AE43-5BF3C57BEEC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16924" xr:uid="{7D83C1A0-829C-492F-BC04-6F4E9A2E8205}"/>
    <cellStyle name="Normal 2 4 2 4 2 6 2 3" xfId="12706" xr:uid="{7E2DA098-3A22-46E0-9945-E53470907675}"/>
    <cellStyle name="Normal 2 4 2 4 2 6 3" xfId="6337" xr:uid="{00000000-0005-0000-0000-00005B0F0000}"/>
    <cellStyle name="Normal 2 4 2 4 2 6 3 2" xfId="14779" xr:uid="{9903F406-2763-4995-8E9B-9A9F824B834F}"/>
    <cellStyle name="Normal 2 4 2 4 2 6 4" xfId="10561" xr:uid="{3F408788-3EBE-4A0B-85DD-CDACEFCD5027}"/>
    <cellStyle name="Normal 2 4 2 4 2 7" xfId="2466" xr:uid="{00000000-0005-0000-0000-00005C0F0000}"/>
    <cellStyle name="Normal 2 4 2 4 2 7 2" xfId="6750" xr:uid="{00000000-0005-0000-0000-00005D0F0000}"/>
    <cellStyle name="Normal 2 4 2 4 2 7 2 2" xfId="15192" xr:uid="{5D3ECCCE-6179-44A4-9256-21F0A71A4B06}"/>
    <cellStyle name="Normal 2 4 2 4 2 7 3" xfId="10974" xr:uid="{36472D2A-A403-4422-AF51-E25F1C6C2AA3}"/>
    <cellStyle name="Normal 2 4 2 4 2 8" xfId="4684" xr:uid="{00000000-0005-0000-0000-00005E0F0000}"/>
    <cellStyle name="Normal 2 4 2 4 2 8 2" xfId="13126" xr:uid="{228D21D3-A428-405A-8B0F-84F6073625C1}"/>
    <cellStyle name="Normal 2 4 2 4 2 9" xfId="8908" xr:uid="{54EEB2F1-2A21-4F82-844E-A3828FC51783}"/>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15687" xr:uid="{82719490-838B-4009-8B91-76C9A0A2479D}"/>
    <cellStyle name="Normal 2 4 2 4 3 2 2 3" xfId="11469" xr:uid="{0C933CBD-3F0D-4E6D-9F24-257B6F8808A4}"/>
    <cellStyle name="Normal 2 4 2 4 3 2 3" xfId="5100" xr:uid="{00000000-0005-0000-0000-0000630F0000}"/>
    <cellStyle name="Normal 2 4 2 4 3 2 3 2" xfId="13542" xr:uid="{9A98A93D-000A-43A7-A732-26ADE4DEE83C}"/>
    <cellStyle name="Normal 2 4 2 4 3 2 4" xfId="9324" xr:uid="{10C9E799-B68D-4427-B783-BA4E735D70EB}"/>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16100" xr:uid="{E01184D2-FD4E-44F2-B92B-661455190728}"/>
    <cellStyle name="Normal 2 4 2 4 3 3 2 3" xfId="11882" xr:uid="{5D960541-1AEB-4633-BEED-E6ADAB9F6F30}"/>
    <cellStyle name="Normal 2 4 2 4 3 3 3" xfId="5513" xr:uid="{00000000-0005-0000-0000-0000670F0000}"/>
    <cellStyle name="Normal 2 4 2 4 3 3 3 2" xfId="13955" xr:uid="{9DED50CB-7266-4CB7-96A9-D26F0250CB6F}"/>
    <cellStyle name="Normal 2 4 2 4 3 3 4" xfId="9737" xr:uid="{64CE274B-DB76-4571-BD9B-7770FE0B11B9}"/>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16513" xr:uid="{64BFBABF-68C0-4AE0-AC67-A6A10F6902ED}"/>
    <cellStyle name="Normal 2 4 2 4 3 4 2 3" xfId="12295" xr:uid="{5AB64FEA-4A0E-4685-9276-B227E52AB5A6}"/>
    <cellStyle name="Normal 2 4 2 4 3 4 3" xfId="5926" xr:uid="{00000000-0005-0000-0000-00006B0F0000}"/>
    <cellStyle name="Normal 2 4 2 4 3 4 3 2" xfId="14368" xr:uid="{08562E8B-3918-412A-AEBE-8FAAE698B6A6}"/>
    <cellStyle name="Normal 2 4 2 4 3 4 4" xfId="10150" xr:uid="{E98E1D63-4D32-4197-A61D-8DF6DE228A09}"/>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16926" xr:uid="{665A275A-B89E-4BDD-B9F8-89F62CA2F291}"/>
    <cellStyle name="Normal 2 4 2 4 3 5 2 3" xfId="12708" xr:uid="{AFA8D3B0-972B-4FD3-B74D-ECB324E7DB2E}"/>
    <cellStyle name="Normal 2 4 2 4 3 5 3" xfId="6339" xr:uid="{00000000-0005-0000-0000-00006F0F0000}"/>
    <cellStyle name="Normal 2 4 2 4 3 5 3 2" xfId="14781" xr:uid="{1004E071-DBF7-4ED3-AB79-9C9703942270}"/>
    <cellStyle name="Normal 2 4 2 4 3 5 4" xfId="10563" xr:uid="{2AA062A3-69B6-438A-BD1C-8F19CAD5B60A}"/>
    <cellStyle name="Normal 2 4 2 4 3 6" xfId="2468" xr:uid="{00000000-0005-0000-0000-0000700F0000}"/>
    <cellStyle name="Normal 2 4 2 4 3 6 2" xfId="6752" xr:uid="{00000000-0005-0000-0000-0000710F0000}"/>
    <cellStyle name="Normal 2 4 2 4 3 6 2 2" xfId="15194" xr:uid="{C371EDEA-5A8C-478A-A5B2-8B444582900A}"/>
    <cellStyle name="Normal 2 4 2 4 3 6 3" xfId="10976" xr:uid="{6AD9086B-95A7-4E49-AC9B-11C9A6C2213B}"/>
    <cellStyle name="Normal 2 4 2 4 3 7" xfId="4686" xr:uid="{00000000-0005-0000-0000-0000720F0000}"/>
    <cellStyle name="Normal 2 4 2 4 3 7 2" xfId="13128" xr:uid="{672C867A-1418-48FE-A46E-041E71A8567A}"/>
    <cellStyle name="Normal 2 4 2 4 3 8" xfId="8910" xr:uid="{E9590FA6-DB3C-4A0C-B9A2-A3DB7A583F2A}"/>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15684" xr:uid="{F1A8E96C-6AC5-4494-82D6-88B538438E13}"/>
    <cellStyle name="Normal 2 4 2 4 4 2 3" xfId="11466" xr:uid="{A60C1491-F1CA-46FE-94AE-AD0DAE14A69F}"/>
    <cellStyle name="Normal 2 4 2 4 4 3" xfId="5097" xr:uid="{00000000-0005-0000-0000-0000760F0000}"/>
    <cellStyle name="Normal 2 4 2 4 4 3 2" xfId="13539" xr:uid="{97F46F79-007E-48F2-98F7-D7444ACB4C49}"/>
    <cellStyle name="Normal 2 4 2 4 4 4" xfId="9321" xr:uid="{E6D9AD50-840D-445C-97FE-B5D341665925}"/>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16097" xr:uid="{30CCC41B-91FC-49F0-8710-A0C474CB53A6}"/>
    <cellStyle name="Normal 2 4 2 4 5 2 3" xfId="11879" xr:uid="{A06528CA-06CB-4F85-BA31-61A0BD873697}"/>
    <cellStyle name="Normal 2 4 2 4 5 3" xfId="5510" xr:uid="{00000000-0005-0000-0000-00007A0F0000}"/>
    <cellStyle name="Normal 2 4 2 4 5 3 2" xfId="13952" xr:uid="{0167D5DD-A190-416A-8014-6D56458C3AC1}"/>
    <cellStyle name="Normal 2 4 2 4 5 4" xfId="9734" xr:uid="{83983650-6AEB-44DD-9F3F-1FA4CCFD464C}"/>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16510" xr:uid="{CC3F2D6A-ECD2-4D1B-8E7E-4846E57FEB5D}"/>
    <cellStyle name="Normal 2 4 2 4 6 2 3" xfId="12292" xr:uid="{8D3B5551-DDE8-4AE8-857E-7A0574A34B7D}"/>
    <cellStyle name="Normal 2 4 2 4 6 3" xfId="5923" xr:uid="{00000000-0005-0000-0000-00007E0F0000}"/>
    <cellStyle name="Normal 2 4 2 4 6 3 2" xfId="14365" xr:uid="{60B71849-C59E-4642-A56F-6DD41DCD533C}"/>
    <cellStyle name="Normal 2 4 2 4 6 4" xfId="10147" xr:uid="{9024BB6D-14AB-4615-8963-9B723CAA3530}"/>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16923" xr:uid="{96177F16-2DE8-4041-860D-0939090F72CC}"/>
    <cellStyle name="Normal 2 4 2 4 7 2 3" xfId="12705" xr:uid="{331614CF-BF4E-4285-88A8-3CA1CAE0903D}"/>
    <cellStyle name="Normal 2 4 2 4 7 3" xfId="6336" xr:uid="{00000000-0005-0000-0000-0000820F0000}"/>
    <cellStyle name="Normal 2 4 2 4 7 3 2" xfId="14778" xr:uid="{0952E85B-CFF7-4C64-A5A3-4A02CBBCF2BC}"/>
    <cellStyle name="Normal 2 4 2 4 7 4" xfId="10560" xr:uid="{B44949D5-9074-4CB5-A57C-BF9F677C09AB}"/>
    <cellStyle name="Normal 2 4 2 4 8" xfId="2465" xr:uid="{00000000-0005-0000-0000-0000830F0000}"/>
    <cellStyle name="Normal 2 4 2 4 8 2" xfId="6749" xr:uid="{00000000-0005-0000-0000-0000840F0000}"/>
    <cellStyle name="Normal 2 4 2 4 8 2 2" xfId="15191" xr:uid="{7B247C4F-7EF3-43D7-8C92-2F1277987AFF}"/>
    <cellStyle name="Normal 2 4 2 4 8 3" xfId="10973" xr:uid="{628B2B81-C227-40B7-BA59-BF33EAE00A3B}"/>
    <cellStyle name="Normal 2 4 2 4 9" xfId="4683" xr:uid="{00000000-0005-0000-0000-0000850F0000}"/>
    <cellStyle name="Normal 2 4 2 4 9 2" xfId="13125" xr:uid="{8DE487B1-8E1D-47F9-A694-D90C1A2EDAD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15689" xr:uid="{9D443E1F-7B18-4451-B38A-A7C5612D09ED}"/>
    <cellStyle name="Normal 2 4 2 5 2 2 2 3" xfId="11471" xr:uid="{B5BBCBE9-731A-4AB2-B6D6-FA4A40A93227}"/>
    <cellStyle name="Normal 2 4 2 5 2 2 3" xfId="5102" xr:uid="{00000000-0005-0000-0000-00008B0F0000}"/>
    <cellStyle name="Normal 2 4 2 5 2 2 3 2" xfId="13544" xr:uid="{71F94B9D-59B4-4B39-8882-C4E6845FD875}"/>
    <cellStyle name="Normal 2 4 2 5 2 2 4" xfId="9326" xr:uid="{7054AEA6-A42C-4F13-B396-B1264E501A6C}"/>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16102" xr:uid="{E8F9F872-D1AA-45D2-9C82-944E8DF35CEA}"/>
    <cellStyle name="Normal 2 4 2 5 2 3 2 3" xfId="11884" xr:uid="{0FD66F70-FD86-4550-8C30-4854DCE1755F}"/>
    <cellStyle name="Normal 2 4 2 5 2 3 3" xfId="5515" xr:uid="{00000000-0005-0000-0000-00008F0F0000}"/>
    <cellStyle name="Normal 2 4 2 5 2 3 3 2" xfId="13957" xr:uid="{650D230A-C940-4E2C-9798-C4154EC25844}"/>
    <cellStyle name="Normal 2 4 2 5 2 3 4" xfId="9739" xr:uid="{6FB45D57-5113-47C2-BA50-5C2536495BE9}"/>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16515" xr:uid="{AE376AA4-2072-4AAF-BFC7-09C3CBCA0D50}"/>
    <cellStyle name="Normal 2 4 2 5 2 4 2 3" xfId="12297" xr:uid="{BA9C3A0D-8173-4025-ADB7-6D13C56E9551}"/>
    <cellStyle name="Normal 2 4 2 5 2 4 3" xfId="5928" xr:uid="{00000000-0005-0000-0000-0000930F0000}"/>
    <cellStyle name="Normal 2 4 2 5 2 4 3 2" xfId="14370" xr:uid="{3378D582-AB3E-4381-B775-B27E9BAA015E}"/>
    <cellStyle name="Normal 2 4 2 5 2 4 4" xfId="10152" xr:uid="{74B2A5A2-7DDD-491A-A6CF-575AA8254EA6}"/>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16928" xr:uid="{04B0DC60-8F58-44C0-8E71-15FA05648AE2}"/>
    <cellStyle name="Normal 2 4 2 5 2 5 2 3" xfId="12710" xr:uid="{56A26319-46C5-4F76-8A92-5E51713E433C}"/>
    <cellStyle name="Normal 2 4 2 5 2 5 3" xfId="6341" xr:uid="{00000000-0005-0000-0000-0000970F0000}"/>
    <cellStyle name="Normal 2 4 2 5 2 5 3 2" xfId="14783" xr:uid="{06A34E9A-05E1-49B7-9383-36F969CCD928}"/>
    <cellStyle name="Normal 2 4 2 5 2 5 4" xfId="10565" xr:uid="{77BDC512-8F32-4B47-BBCE-E101A207655F}"/>
    <cellStyle name="Normal 2 4 2 5 2 6" xfId="2470" xr:uid="{00000000-0005-0000-0000-0000980F0000}"/>
    <cellStyle name="Normal 2 4 2 5 2 6 2" xfId="6754" xr:uid="{00000000-0005-0000-0000-0000990F0000}"/>
    <cellStyle name="Normal 2 4 2 5 2 6 2 2" xfId="15196" xr:uid="{19883972-86D1-4B87-B6B1-6070E1CE66DC}"/>
    <cellStyle name="Normal 2 4 2 5 2 6 3" xfId="10978" xr:uid="{702B3B03-AACA-422A-A224-2E2BC191EB64}"/>
    <cellStyle name="Normal 2 4 2 5 2 7" xfId="4688" xr:uid="{00000000-0005-0000-0000-00009A0F0000}"/>
    <cellStyle name="Normal 2 4 2 5 2 7 2" xfId="13130" xr:uid="{E35950C5-BBCB-42A8-820A-8912A4C144A4}"/>
    <cellStyle name="Normal 2 4 2 5 2 8" xfId="8912" xr:uid="{3D6BFD5F-981A-404A-B911-AAB6CB2E1A14}"/>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15688" xr:uid="{4EA9067D-1083-495D-AD12-1BCDD9DC216A}"/>
    <cellStyle name="Normal 2 4 2 5 3 2 3" xfId="11470" xr:uid="{F9159FEE-87AF-423D-A6B9-B688C4BCB41B}"/>
    <cellStyle name="Normal 2 4 2 5 3 3" xfId="5101" xr:uid="{00000000-0005-0000-0000-00009E0F0000}"/>
    <cellStyle name="Normal 2 4 2 5 3 3 2" xfId="13543" xr:uid="{CE0E92EC-2A35-4714-A3BB-53E3ED270415}"/>
    <cellStyle name="Normal 2 4 2 5 3 4" xfId="9325" xr:uid="{48D8CE11-13AD-47FE-BD3D-2F6FADD72EBF}"/>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16101" xr:uid="{64CB7FB8-60F4-4A93-9066-58905C156AB8}"/>
    <cellStyle name="Normal 2 4 2 5 4 2 3" xfId="11883" xr:uid="{54D873F0-261F-4034-BBFB-1A1A1E5ECC45}"/>
    <cellStyle name="Normal 2 4 2 5 4 3" xfId="5514" xr:uid="{00000000-0005-0000-0000-0000A20F0000}"/>
    <cellStyle name="Normal 2 4 2 5 4 3 2" xfId="13956" xr:uid="{F4A93C7C-4F6B-491E-86B1-65B570FDDA3F}"/>
    <cellStyle name="Normal 2 4 2 5 4 4" xfId="9738" xr:uid="{43C7EE23-C191-4E54-A258-600FDF9073F1}"/>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16514" xr:uid="{52D6AC7F-D818-4F6E-A6E4-84A759CDF29D}"/>
    <cellStyle name="Normal 2 4 2 5 5 2 3" xfId="12296" xr:uid="{BDE313D6-663B-4EF8-84A3-0C44D34525F1}"/>
    <cellStyle name="Normal 2 4 2 5 5 3" xfId="5927" xr:uid="{00000000-0005-0000-0000-0000A60F0000}"/>
    <cellStyle name="Normal 2 4 2 5 5 3 2" xfId="14369" xr:uid="{250BB325-7343-4343-A9DE-1FCDEC2E20B7}"/>
    <cellStyle name="Normal 2 4 2 5 5 4" xfId="10151" xr:uid="{56AB48E0-ADF6-40FC-BF72-4C7868F204EA}"/>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16927" xr:uid="{1AE81F98-83F1-49EE-A6EE-0C7BC891A813}"/>
    <cellStyle name="Normal 2 4 2 5 6 2 3" xfId="12709" xr:uid="{10033518-3116-4A26-9C8D-81E26FAED210}"/>
    <cellStyle name="Normal 2 4 2 5 6 3" xfId="6340" xr:uid="{00000000-0005-0000-0000-0000AA0F0000}"/>
    <cellStyle name="Normal 2 4 2 5 6 3 2" xfId="14782" xr:uid="{0386EE12-5417-4DD8-BE91-AB4D1F8E95A5}"/>
    <cellStyle name="Normal 2 4 2 5 6 4" xfId="10564" xr:uid="{8CBC5275-FAE6-4BC2-942C-B03234E83D6D}"/>
    <cellStyle name="Normal 2 4 2 5 7" xfId="2469" xr:uid="{00000000-0005-0000-0000-0000AB0F0000}"/>
    <cellStyle name="Normal 2 4 2 5 7 2" xfId="6753" xr:uid="{00000000-0005-0000-0000-0000AC0F0000}"/>
    <cellStyle name="Normal 2 4 2 5 7 2 2" xfId="15195" xr:uid="{AC197448-5DDC-40BE-BB9F-2EDD1DE84135}"/>
    <cellStyle name="Normal 2 4 2 5 7 3" xfId="10977" xr:uid="{EA07EE16-52E3-45B9-8BFC-A0F61846980B}"/>
    <cellStyle name="Normal 2 4 2 5 8" xfId="4687" xr:uid="{00000000-0005-0000-0000-0000AD0F0000}"/>
    <cellStyle name="Normal 2 4 2 5 8 2" xfId="13129" xr:uid="{2566DE43-9333-4628-B104-E4F110B0E734}"/>
    <cellStyle name="Normal 2 4 2 5 9" xfId="8911" xr:uid="{2325FD0E-2BFD-4F2B-AD85-B54B863B6319}"/>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15690" xr:uid="{1EE24484-6488-4695-9B7B-A0FACB73DE16}"/>
    <cellStyle name="Normal 2 4 2 6 2 2 3" xfId="11472" xr:uid="{2C0634BC-7547-4E9B-8916-A3715D430100}"/>
    <cellStyle name="Normal 2 4 2 6 2 3" xfId="5103" xr:uid="{00000000-0005-0000-0000-0000B20F0000}"/>
    <cellStyle name="Normal 2 4 2 6 2 3 2" xfId="13545" xr:uid="{3050231A-E1C7-4D4A-B5E1-02EDEB69E54C}"/>
    <cellStyle name="Normal 2 4 2 6 2 4" xfId="9327" xr:uid="{D781EDD4-B8A4-4A26-82D2-362D94CE0134}"/>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16103" xr:uid="{6D2D30E4-488B-4B4A-A2C4-3906A3DD9E05}"/>
    <cellStyle name="Normal 2 4 2 6 3 2 3" xfId="11885" xr:uid="{C1CA7011-079D-49A3-96E1-9CDC2B1A939A}"/>
    <cellStyle name="Normal 2 4 2 6 3 3" xfId="5516" xr:uid="{00000000-0005-0000-0000-0000B60F0000}"/>
    <cellStyle name="Normal 2 4 2 6 3 3 2" xfId="13958" xr:uid="{693044E4-A76A-47A1-9AF4-18C20BF7AF93}"/>
    <cellStyle name="Normal 2 4 2 6 3 4" xfId="9740" xr:uid="{A2299E05-B16C-4C70-BCA4-85BC59AC8441}"/>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16516" xr:uid="{4CE78E84-2545-42EB-A0A5-CE69815D3900}"/>
    <cellStyle name="Normal 2 4 2 6 4 2 3" xfId="12298" xr:uid="{70D7158F-607E-4F72-9AB0-489EC1A88034}"/>
    <cellStyle name="Normal 2 4 2 6 4 3" xfId="5929" xr:uid="{00000000-0005-0000-0000-0000BA0F0000}"/>
    <cellStyle name="Normal 2 4 2 6 4 3 2" xfId="14371" xr:uid="{A38BAE5C-C004-4399-8C5A-F43756EA06E3}"/>
    <cellStyle name="Normal 2 4 2 6 4 4" xfId="10153" xr:uid="{E7FA7ABF-6F4E-46B8-A486-59BE6245E061}"/>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16929" xr:uid="{D8B2E110-5F55-471A-A672-B88EB9A62F2E}"/>
    <cellStyle name="Normal 2 4 2 6 5 2 3" xfId="12711" xr:uid="{D47A37D9-0F27-4A5E-8933-0F8379904896}"/>
    <cellStyle name="Normal 2 4 2 6 5 3" xfId="6342" xr:uid="{00000000-0005-0000-0000-0000BE0F0000}"/>
    <cellStyle name="Normal 2 4 2 6 5 3 2" xfId="14784" xr:uid="{BB9DD09F-74AA-4DB2-83AF-40160434C415}"/>
    <cellStyle name="Normal 2 4 2 6 5 4" xfId="10566" xr:uid="{621994DE-D984-4201-8D03-894D754850A8}"/>
    <cellStyle name="Normal 2 4 2 6 6" xfId="2471" xr:uid="{00000000-0005-0000-0000-0000BF0F0000}"/>
    <cellStyle name="Normal 2 4 2 6 6 2" xfId="6755" xr:uid="{00000000-0005-0000-0000-0000C00F0000}"/>
    <cellStyle name="Normal 2 4 2 6 6 2 2" xfId="15197" xr:uid="{410FEB9C-9E2C-4E88-8275-5E7600A32463}"/>
    <cellStyle name="Normal 2 4 2 6 6 3" xfId="10979" xr:uid="{58DF2322-A3F6-498B-97EF-DB23AEA3094E}"/>
    <cellStyle name="Normal 2 4 2 6 7" xfId="4689" xr:uid="{00000000-0005-0000-0000-0000C10F0000}"/>
    <cellStyle name="Normal 2 4 2 6 7 2" xfId="13131" xr:uid="{27BF9778-8E71-4349-AE6F-A685D7B38526}"/>
    <cellStyle name="Normal 2 4 2 6 8" xfId="8913" xr:uid="{17DBC188-BCF5-442B-8808-EF5E63E3ADCF}"/>
    <cellStyle name="Normal 2 4 2 7" xfId="771" xr:uid="{00000000-0005-0000-0000-0000C20F0000}"/>
    <cellStyle name="Normal 2 4 2 7 2" xfId="3010" xr:uid="{00000000-0005-0000-0000-0000C30F0000}"/>
    <cellStyle name="Normal 2 4 2 7 2 2" xfId="7233" xr:uid="{00000000-0005-0000-0000-0000C40F0000}"/>
    <cellStyle name="Normal 2 4 2 7 2 2 2" xfId="15675" xr:uid="{0106A1FD-A9B0-40BD-9ED2-2F1072B56AD8}"/>
    <cellStyle name="Normal 2 4 2 7 2 3" xfId="11457" xr:uid="{78FBDC93-4660-4101-968A-128F030BB387}"/>
    <cellStyle name="Normal 2 4 2 7 3" xfId="5088" xr:uid="{00000000-0005-0000-0000-0000C50F0000}"/>
    <cellStyle name="Normal 2 4 2 7 3 2" xfId="13530" xr:uid="{8DCFFD56-89B2-4B9E-82CF-EDA77F1A5196}"/>
    <cellStyle name="Normal 2 4 2 7 4" xfId="9312" xr:uid="{C4ED6BE4-A5DA-42F4-85EB-1FB1BC1D7B76}"/>
    <cellStyle name="Normal 2 4 2 8" xfId="1193" xr:uid="{00000000-0005-0000-0000-0000C60F0000}"/>
    <cellStyle name="Normal 2 4 2 8 2" xfId="3423" xr:uid="{00000000-0005-0000-0000-0000C70F0000}"/>
    <cellStyle name="Normal 2 4 2 8 2 2" xfId="7646" xr:uid="{00000000-0005-0000-0000-0000C80F0000}"/>
    <cellStyle name="Normal 2 4 2 8 2 2 2" xfId="16088" xr:uid="{188A1581-4779-4ECD-8FB7-ED8E36547B06}"/>
    <cellStyle name="Normal 2 4 2 8 2 3" xfId="11870" xr:uid="{5D057B24-2643-429F-8DA6-86313B193480}"/>
    <cellStyle name="Normal 2 4 2 8 3" xfId="5501" xr:uid="{00000000-0005-0000-0000-0000C90F0000}"/>
    <cellStyle name="Normal 2 4 2 8 3 2" xfId="13943" xr:uid="{06FD7733-4891-406D-866D-559A8940D426}"/>
    <cellStyle name="Normal 2 4 2 8 4" xfId="9725" xr:uid="{C88A330E-754D-4CF7-A0E1-98C1250E5AE2}"/>
    <cellStyle name="Normal 2 4 2 9" xfId="1606" xr:uid="{00000000-0005-0000-0000-0000CA0F0000}"/>
    <cellStyle name="Normal 2 4 2 9 2" xfId="3836" xr:uid="{00000000-0005-0000-0000-0000CB0F0000}"/>
    <cellStyle name="Normal 2 4 2 9 2 2" xfId="8059" xr:uid="{00000000-0005-0000-0000-0000CC0F0000}"/>
    <cellStyle name="Normal 2 4 2 9 2 2 2" xfId="16501" xr:uid="{94AD7AE9-21A1-4FEF-8E50-D58A3FC991A7}"/>
    <cellStyle name="Normal 2 4 2 9 2 3" xfId="12283" xr:uid="{13BD82B5-0ACE-4E7F-B25A-617A7DA2C8DB}"/>
    <cellStyle name="Normal 2 4 2 9 3" xfId="5914" xr:uid="{00000000-0005-0000-0000-0000CD0F0000}"/>
    <cellStyle name="Normal 2 4 2 9 3 2" xfId="14356" xr:uid="{95EAEB70-25CA-4404-AC94-8C22376BE8E1}"/>
    <cellStyle name="Normal 2 4 2 9 4" xfId="10138" xr:uid="{FD3DF698-19DB-4062-A159-C956C31A83F6}"/>
    <cellStyle name="Normal 2 4 3" xfId="296" xr:uid="{00000000-0005-0000-0000-0000CE0F0000}"/>
    <cellStyle name="Normal 2 4 3 10" xfId="8914" xr:uid="{B804FB39-79D8-4930-8716-318B16D646DE}"/>
    <cellStyle name="Normal 2 4 3 2" xfId="297" xr:uid="{00000000-0005-0000-0000-0000CF0F0000}"/>
    <cellStyle name="Normal 2 4 3 3" xfId="298" xr:uid="{00000000-0005-0000-0000-0000D00F0000}"/>
    <cellStyle name="Normal 2 4 3 3 10" xfId="8915" xr:uid="{FB518DFB-70A8-4394-94EF-0FAD768A0EA9}"/>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15694" xr:uid="{ACC52378-5EAF-4718-B50B-BF67A9EEF0C0}"/>
    <cellStyle name="Normal 2 4 3 3 2 2 2 2 3" xfId="11476" xr:uid="{7FA8CD08-73D7-4D4C-9C18-3D39986F0A39}"/>
    <cellStyle name="Normal 2 4 3 3 2 2 2 3" xfId="5107" xr:uid="{00000000-0005-0000-0000-0000D60F0000}"/>
    <cellStyle name="Normal 2 4 3 3 2 2 2 3 2" xfId="13549" xr:uid="{2852BD18-0FC7-4DB2-A24F-53F78B2FF769}"/>
    <cellStyle name="Normal 2 4 3 3 2 2 2 4" xfId="9331" xr:uid="{CA8BD978-6166-4C17-BFF4-531B987D1345}"/>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16107" xr:uid="{A07DFED4-AE9A-43B3-916D-32D4CF913E70}"/>
    <cellStyle name="Normal 2 4 3 3 2 2 3 2 3" xfId="11889" xr:uid="{30E3C3AB-8ACD-48FF-839C-598B37697D7C}"/>
    <cellStyle name="Normal 2 4 3 3 2 2 3 3" xfId="5520" xr:uid="{00000000-0005-0000-0000-0000DA0F0000}"/>
    <cellStyle name="Normal 2 4 3 3 2 2 3 3 2" xfId="13962" xr:uid="{0FAD7717-1E88-4FB5-B7AD-1D5609594B90}"/>
    <cellStyle name="Normal 2 4 3 3 2 2 3 4" xfId="9744" xr:uid="{B30C369F-79BE-4768-9918-CDF302F38BD9}"/>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16520" xr:uid="{D88A02F9-1218-4BC8-B36E-D2EC005D082D}"/>
    <cellStyle name="Normal 2 4 3 3 2 2 4 2 3" xfId="12302" xr:uid="{F1F14EEA-9190-45C6-8BE1-BE21C24266FF}"/>
    <cellStyle name="Normal 2 4 3 3 2 2 4 3" xfId="5933" xr:uid="{00000000-0005-0000-0000-0000DE0F0000}"/>
    <cellStyle name="Normal 2 4 3 3 2 2 4 3 2" xfId="14375" xr:uid="{F34DACF5-6B71-449E-9197-61D9811DE81A}"/>
    <cellStyle name="Normal 2 4 3 3 2 2 4 4" xfId="10157" xr:uid="{0BB53B50-2604-4ED5-8352-17486FC759C9}"/>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16933" xr:uid="{BEC8D75F-BCB2-4B71-B4A5-DB558A916C10}"/>
    <cellStyle name="Normal 2 4 3 3 2 2 5 2 3" xfId="12715" xr:uid="{E4F5D973-6863-4F40-9524-465156C37735}"/>
    <cellStyle name="Normal 2 4 3 3 2 2 5 3" xfId="6346" xr:uid="{00000000-0005-0000-0000-0000E20F0000}"/>
    <cellStyle name="Normal 2 4 3 3 2 2 5 3 2" xfId="14788" xr:uid="{8D12AB99-3E30-43B4-B98B-3AD268B63CB8}"/>
    <cellStyle name="Normal 2 4 3 3 2 2 5 4" xfId="10570" xr:uid="{03F60378-CCA2-4647-9E3B-6FEF74777FD3}"/>
    <cellStyle name="Normal 2 4 3 3 2 2 6" xfId="2475" xr:uid="{00000000-0005-0000-0000-0000E30F0000}"/>
    <cellStyle name="Normal 2 4 3 3 2 2 6 2" xfId="6759" xr:uid="{00000000-0005-0000-0000-0000E40F0000}"/>
    <cellStyle name="Normal 2 4 3 3 2 2 6 2 2" xfId="15201" xr:uid="{7EDF47A3-A723-45CC-BEE9-4E91C1F8BA37}"/>
    <cellStyle name="Normal 2 4 3 3 2 2 6 3" xfId="10983" xr:uid="{B6B627D8-35A2-42AC-956B-8774F95720DA}"/>
    <cellStyle name="Normal 2 4 3 3 2 2 7" xfId="4693" xr:uid="{00000000-0005-0000-0000-0000E50F0000}"/>
    <cellStyle name="Normal 2 4 3 3 2 2 7 2" xfId="13135" xr:uid="{F2D66964-5278-4D4D-BBA0-998EB9A37F1C}"/>
    <cellStyle name="Normal 2 4 3 3 2 2 8" xfId="8917" xr:uid="{0C0BA81A-6DB3-45D7-A5A9-4EB737572E66}"/>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15693" xr:uid="{D7F035BC-5CFB-4CB4-B262-8D9A0237138A}"/>
    <cellStyle name="Normal 2 4 3 3 2 3 2 3" xfId="11475" xr:uid="{0D78F15F-2A71-457F-B6A8-202E03DA7FA5}"/>
    <cellStyle name="Normal 2 4 3 3 2 3 3" xfId="5106" xr:uid="{00000000-0005-0000-0000-0000E90F0000}"/>
    <cellStyle name="Normal 2 4 3 3 2 3 3 2" xfId="13548" xr:uid="{9957D991-A903-46D9-AAB9-F42D0D7020E2}"/>
    <cellStyle name="Normal 2 4 3 3 2 3 4" xfId="9330" xr:uid="{65809048-FDAF-48FB-AD92-B52D1422BB7B}"/>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16106" xr:uid="{E80320C0-0241-4F81-921F-462F1BF3F3C1}"/>
    <cellStyle name="Normal 2 4 3 3 2 4 2 3" xfId="11888" xr:uid="{487240E9-5F7A-40BA-B102-70457E2E0379}"/>
    <cellStyle name="Normal 2 4 3 3 2 4 3" xfId="5519" xr:uid="{00000000-0005-0000-0000-0000ED0F0000}"/>
    <cellStyle name="Normal 2 4 3 3 2 4 3 2" xfId="13961" xr:uid="{C6589701-1940-47FC-9FE5-3987E4C8FAED}"/>
    <cellStyle name="Normal 2 4 3 3 2 4 4" xfId="9743" xr:uid="{1C8462CD-A4CE-4057-8D56-6067698DDCFD}"/>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16519" xr:uid="{FE07209D-72E9-4191-A6EE-31BC2854B5E8}"/>
    <cellStyle name="Normal 2 4 3 3 2 5 2 3" xfId="12301" xr:uid="{8D3C3EF0-54D0-4B20-B45F-BA5D114FD14C}"/>
    <cellStyle name="Normal 2 4 3 3 2 5 3" xfId="5932" xr:uid="{00000000-0005-0000-0000-0000F10F0000}"/>
    <cellStyle name="Normal 2 4 3 3 2 5 3 2" xfId="14374" xr:uid="{9112FCC4-C828-4AB2-BC73-E903784DF4CE}"/>
    <cellStyle name="Normal 2 4 3 3 2 5 4" xfId="10156" xr:uid="{2A6A56FB-6B78-4480-ACE5-960AA7872755}"/>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16932" xr:uid="{D8F84317-EFC1-4CA7-8EA2-9F078051D565}"/>
    <cellStyle name="Normal 2 4 3 3 2 6 2 3" xfId="12714" xr:uid="{1790C153-3722-4F77-8EA5-1BDECE73D013}"/>
    <cellStyle name="Normal 2 4 3 3 2 6 3" xfId="6345" xr:uid="{00000000-0005-0000-0000-0000F50F0000}"/>
    <cellStyle name="Normal 2 4 3 3 2 6 3 2" xfId="14787" xr:uid="{E5D4FE28-20C6-4712-ACC9-CF9C9B5F0356}"/>
    <cellStyle name="Normal 2 4 3 3 2 6 4" xfId="10569" xr:uid="{B2039726-750D-4AB7-865D-A99F7A8FD2C9}"/>
    <cellStyle name="Normal 2 4 3 3 2 7" xfId="2474" xr:uid="{00000000-0005-0000-0000-0000F60F0000}"/>
    <cellStyle name="Normal 2 4 3 3 2 7 2" xfId="6758" xr:uid="{00000000-0005-0000-0000-0000F70F0000}"/>
    <cellStyle name="Normal 2 4 3 3 2 7 2 2" xfId="15200" xr:uid="{58A6D972-9B90-4D64-B575-A826444C3D46}"/>
    <cellStyle name="Normal 2 4 3 3 2 7 3" xfId="10982" xr:uid="{928FF33F-2687-431A-9C68-2D3322D85BE5}"/>
    <cellStyle name="Normal 2 4 3 3 2 8" xfId="4692" xr:uid="{00000000-0005-0000-0000-0000F80F0000}"/>
    <cellStyle name="Normal 2 4 3 3 2 8 2" xfId="13134" xr:uid="{05A602FA-FA8B-4D6E-8D7C-4E04BE0764EA}"/>
    <cellStyle name="Normal 2 4 3 3 2 9" xfId="8916" xr:uid="{3CA44D1E-F69C-4767-9B4D-33A8D17C0FD2}"/>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15695" xr:uid="{900CC01D-264A-4A3A-A667-A281BB08D966}"/>
    <cellStyle name="Normal 2 4 3 3 3 2 2 3" xfId="11477" xr:uid="{69690A73-7E35-4B80-B430-B6FEC9F8FA68}"/>
    <cellStyle name="Normal 2 4 3 3 3 2 3" xfId="5108" xr:uid="{00000000-0005-0000-0000-0000FD0F0000}"/>
    <cellStyle name="Normal 2 4 3 3 3 2 3 2" xfId="13550" xr:uid="{341574C4-C803-482C-A6BF-98213967AF49}"/>
    <cellStyle name="Normal 2 4 3 3 3 2 4" xfId="9332" xr:uid="{60E80003-812D-4D62-8683-998EB4E65F97}"/>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16108" xr:uid="{54246D35-A2B5-4167-ABC4-8992B5F227F9}"/>
    <cellStyle name="Normal 2 4 3 3 3 3 2 3" xfId="11890" xr:uid="{1CAE8438-BDAC-4EA7-AFC8-C18A46D111D9}"/>
    <cellStyle name="Normal 2 4 3 3 3 3 3" xfId="5521" xr:uid="{00000000-0005-0000-0000-000001100000}"/>
    <cellStyle name="Normal 2 4 3 3 3 3 3 2" xfId="13963" xr:uid="{F2F8FCCE-7145-4A14-8616-D55E9B5DE217}"/>
    <cellStyle name="Normal 2 4 3 3 3 3 4" xfId="9745" xr:uid="{EAB9B110-CF77-433F-B32E-9DE543926407}"/>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16521" xr:uid="{057D9270-757F-40F1-A154-9BBAEFF6584D}"/>
    <cellStyle name="Normal 2 4 3 3 3 4 2 3" xfId="12303" xr:uid="{FEB0494B-F95B-4F54-BDF5-C563FD2D0980}"/>
    <cellStyle name="Normal 2 4 3 3 3 4 3" xfId="5934" xr:uid="{00000000-0005-0000-0000-000005100000}"/>
    <cellStyle name="Normal 2 4 3 3 3 4 3 2" xfId="14376" xr:uid="{7B8AD3BA-6B6B-4FEF-99D7-FE652D849A1A}"/>
    <cellStyle name="Normal 2 4 3 3 3 4 4" xfId="10158" xr:uid="{BCD2187C-F1D9-446A-AA91-B0F403C72D97}"/>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16934" xr:uid="{5E336957-936F-42A8-8FDC-BF694E2AD887}"/>
    <cellStyle name="Normal 2 4 3 3 3 5 2 3" xfId="12716" xr:uid="{AD769D01-07D5-429F-8530-7253EAB044A3}"/>
    <cellStyle name="Normal 2 4 3 3 3 5 3" xfId="6347" xr:uid="{00000000-0005-0000-0000-000009100000}"/>
    <cellStyle name="Normal 2 4 3 3 3 5 3 2" xfId="14789" xr:uid="{55E36279-E102-4E0F-BA63-F5FA277AEA08}"/>
    <cellStyle name="Normal 2 4 3 3 3 5 4" xfId="10571" xr:uid="{99D72809-3D84-497E-A8A8-0B9FBE21A874}"/>
    <cellStyle name="Normal 2 4 3 3 3 6" xfId="2476" xr:uid="{00000000-0005-0000-0000-00000A100000}"/>
    <cellStyle name="Normal 2 4 3 3 3 6 2" xfId="6760" xr:uid="{00000000-0005-0000-0000-00000B100000}"/>
    <cellStyle name="Normal 2 4 3 3 3 6 2 2" xfId="15202" xr:uid="{A6AC4A94-58ED-4C5F-8889-3D3829C57C93}"/>
    <cellStyle name="Normal 2 4 3 3 3 6 3" xfId="10984" xr:uid="{DEF176FB-99AF-43E5-A239-32F77B932AAF}"/>
    <cellStyle name="Normal 2 4 3 3 3 7" xfId="4694" xr:uid="{00000000-0005-0000-0000-00000C100000}"/>
    <cellStyle name="Normal 2 4 3 3 3 7 2" xfId="13136" xr:uid="{C6C69403-4749-42EF-BDC6-BCD43EEDE618}"/>
    <cellStyle name="Normal 2 4 3 3 3 8" xfId="8918" xr:uid="{94AD08B9-0A44-43EE-93CD-893AC358F649}"/>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15692" xr:uid="{442498AB-32B0-42D6-BB5C-C570D25F7898}"/>
    <cellStyle name="Normal 2 4 3 3 4 2 3" xfId="11474" xr:uid="{21A770A3-77FF-4C45-B458-75FE0375AA5F}"/>
    <cellStyle name="Normal 2 4 3 3 4 3" xfId="5105" xr:uid="{00000000-0005-0000-0000-000010100000}"/>
    <cellStyle name="Normal 2 4 3 3 4 3 2" xfId="13547" xr:uid="{F0364DEB-D118-4414-9B08-DC91D1376FBD}"/>
    <cellStyle name="Normal 2 4 3 3 4 4" xfId="9329" xr:uid="{2CB83C09-29B4-48B3-ABF5-6CDCE2A0DD32}"/>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16105" xr:uid="{8C1E9042-2D0E-4B6A-9B12-2D817B93818A}"/>
    <cellStyle name="Normal 2 4 3 3 5 2 3" xfId="11887" xr:uid="{CF4D7A6D-18DC-4D11-B427-2FE8624859E6}"/>
    <cellStyle name="Normal 2 4 3 3 5 3" xfId="5518" xr:uid="{00000000-0005-0000-0000-000014100000}"/>
    <cellStyle name="Normal 2 4 3 3 5 3 2" xfId="13960" xr:uid="{89FA1065-D6F7-4615-9290-5B89ECDD345A}"/>
    <cellStyle name="Normal 2 4 3 3 5 4" xfId="9742" xr:uid="{242EB5D4-C981-4BC3-9141-25F4E84E6C35}"/>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16518" xr:uid="{25BE1929-69A5-4189-8DEB-0933B574C1B2}"/>
    <cellStyle name="Normal 2 4 3 3 6 2 3" xfId="12300" xr:uid="{772B645A-F294-4585-93C0-7C394F0C4D36}"/>
    <cellStyle name="Normal 2 4 3 3 6 3" xfId="5931" xr:uid="{00000000-0005-0000-0000-000018100000}"/>
    <cellStyle name="Normal 2 4 3 3 6 3 2" xfId="14373" xr:uid="{D87E1ECC-528B-4F68-AF58-7B9A017DFE12}"/>
    <cellStyle name="Normal 2 4 3 3 6 4" xfId="10155" xr:uid="{B07DC2B5-4DBD-4FA5-8308-F05CF2E638A3}"/>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16931" xr:uid="{F7F405D1-F538-4A73-8175-C61613909F83}"/>
    <cellStyle name="Normal 2 4 3 3 7 2 3" xfId="12713" xr:uid="{0FC078A9-60E4-4384-9C61-1CED1FCDD1DB}"/>
    <cellStyle name="Normal 2 4 3 3 7 3" xfId="6344" xr:uid="{00000000-0005-0000-0000-00001C100000}"/>
    <cellStyle name="Normal 2 4 3 3 7 3 2" xfId="14786" xr:uid="{8D431ADE-4858-44A8-9DAC-C6E7A304ACCD}"/>
    <cellStyle name="Normal 2 4 3 3 7 4" xfId="10568" xr:uid="{4AA7F4CC-18CD-4409-9054-FE5022ED5EB8}"/>
    <cellStyle name="Normal 2 4 3 3 8" xfId="2473" xr:uid="{00000000-0005-0000-0000-00001D100000}"/>
    <cellStyle name="Normal 2 4 3 3 8 2" xfId="6757" xr:uid="{00000000-0005-0000-0000-00001E100000}"/>
    <cellStyle name="Normal 2 4 3 3 8 2 2" xfId="15199" xr:uid="{28D3837E-14D2-474A-A73F-A40DD127909A}"/>
    <cellStyle name="Normal 2 4 3 3 8 3" xfId="10981" xr:uid="{691C7B51-DEDB-4A2C-8C68-CF4F3B1DD942}"/>
    <cellStyle name="Normal 2 4 3 3 9" xfId="4691" xr:uid="{00000000-0005-0000-0000-00001F100000}"/>
    <cellStyle name="Normal 2 4 3 3 9 2" xfId="13133" xr:uid="{6447BB0B-AB27-4405-B8CF-4E93C1F8305F}"/>
    <cellStyle name="Normal 2 4 3 4" xfId="787" xr:uid="{00000000-0005-0000-0000-000020100000}"/>
    <cellStyle name="Normal 2 4 3 4 2" xfId="3026" xr:uid="{00000000-0005-0000-0000-000021100000}"/>
    <cellStyle name="Normal 2 4 3 4 2 2" xfId="7249" xr:uid="{00000000-0005-0000-0000-000022100000}"/>
    <cellStyle name="Normal 2 4 3 4 2 2 2" xfId="15691" xr:uid="{4F4D1E0A-17C8-416C-A87F-BFFE940FB8A4}"/>
    <cellStyle name="Normal 2 4 3 4 2 3" xfId="11473" xr:uid="{A9716EF2-97BF-423A-9B16-F6C8BA1F476E}"/>
    <cellStyle name="Normal 2 4 3 4 3" xfId="5104" xr:uid="{00000000-0005-0000-0000-000023100000}"/>
    <cellStyle name="Normal 2 4 3 4 3 2" xfId="13546" xr:uid="{4C9FA26C-1C3E-4DE7-B023-C139D8CE2177}"/>
    <cellStyle name="Normal 2 4 3 4 4" xfId="9328" xr:uid="{FAE222EE-6416-4A03-9924-E3DAC02A14DF}"/>
    <cellStyle name="Normal 2 4 3 5" xfId="1209" xr:uid="{00000000-0005-0000-0000-000024100000}"/>
    <cellStyle name="Normal 2 4 3 5 2" xfId="3439" xr:uid="{00000000-0005-0000-0000-000025100000}"/>
    <cellStyle name="Normal 2 4 3 5 2 2" xfId="7662" xr:uid="{00000000-0005-0000-0000-000026100000}"/>
    <cellStyle name="Normal 2 4 3 5 2 2 2" xfId="16104" xr:uid="{FBC131CE-3A98-4AB4-86CB-B09A1DAD5781}"/>
    <cellStyle name="Normal 2 4 3 5 2 3" xfId="11886" xr:uid="{397B338D-E927-4D59-A517-9AD4C0387391}"/>
    <cellStyle name="Normal 2 4 3 5 3" xfId="5517" xr:uid="{00000000-0005-0000-0000-000027100000}"/>
    <cellStyle name="Normal 2 4 3 5 3 2" xfId="13959" xr:uid="{C0CF4322-938B-43E1-8D53-011A41B8F367}"/>
    <cellStyle name="Normal 2 4 3 5 4" xfId="9741" xr:uid="{AAA3B4B5-6ED8-4DE7-A1EF-41978EE59256}"/>
    <cellStyle name="Normal 2 4 3 6" xfId="1622" xr:uid="{00000000-0005-0000-0000-000028100000}"/>
    <cellStyle name="Normal 2 4 3 6 2" xfId="3852" xr:uid="{00000000-0005-0000-0000-000029100000}"/>
    <cellStyle name="Normal 2 4 3 6 2 2" xfId="8075" xr:uid="{00000000-0005-0000-0000-00002A100000}"/>
    <cellStyle name="Normal 2 4 3 6 2 2 2" xfId="16517" xr:uid="{0690D649-5B46-4C0E-8CFD-8D2DBACE6913}"/>
    <cellStyle name="Normal 2 4 3 6 2 3" xfId="12299" xr:uid="{FDC1894C-1D99-4095-9D7B-DCCACA57D882}"/>
    <cellStyle name="Normal 2 4 3 6 3" xfId="5930" xr:uid="{00000000-0005-0000-0000-00002B100000}"/>
    <cellStyle name="Normal 2 4 3 6 3 2" xfId="14372" xr:uid="{A044B7C7-0144-4750-9E02-B601BB5F1153}"/>
    <cellStyle name="Normal 2 4 3 6 4" xfId="10154" xr:uid="{ED269D2E-532C-461E-A9BD-442597263D90}"/>
    <cellStyle name="Normal 2 4 3 7" xfId="2036" xr:uid="{00000000-0005-0000-0000-00002C100000}"/>
    <cellStyle name="Normal 2 4 3 7 2" xfId="4265" xr:uid="{00000000-0005-0000-0000-00002D100000}"/>
    <cellStyle name="Normal 2 4 3 7 2 2" xfId="8488" xr:uid="{00000000-0005-0000-0000-00002E100000}"/>
    <cellStyle name="Normal 2 4 3 7 2 2 2" xfId="16930" xr:uid="{1B897D5D-9564-4877-A587-19F2EAEE9DC2}"/>
    <cellStyle name="Normal 2 4 3 7 2 3" xfId="12712" xr:uid="{5D5D65D9-8308-42D6-B3CF-79C58763C8B0}"/>
    <cellStyle name="Normal 2 4 3 7 3" xfId="6343" xr:uid="{00000000-0005-0000-0000-00002F100000}"/>
    <cellStyle name="Normal 2 4 3 7 3 2" xfId="14785" xr:uid="{BF3F9E1A-00D8-4E60-A2B2-E2B544E7CE88}"/>
    <cellStyle name="Normal 2 4 3 7 4" xfId="10567" xr:uid="{6CEFFFFF-9EE0-4E33-984A-09D19AEDF2B2}"/>
    <cellStyle name="Normal 2 4 3 8" xfId="2472" xr:uid="{00000000-0005-0000-0000-000030100000}"/>
    <cellStyle name="Normal 2 4 3 8 2" xfId="6756" xr:uid="{00000000-0005-0000-0000-000031100000}"/>
    <cellStyle name="Normal 2 4 3 8 2 2" xfId="15198" xr:uid="{A4E78CFC-42EB-4C8A-A5DF-08C3AA13CC48}"/>
    <cellStyle name="Normal 2 4 3 8 3" xfId="10980" xr:uid="{0C35EBCF-8FC7-4C17-A830-5F27568F2C51}"/>
    <cellStyle name="Normal 2 4 3 9" xfId="4690" xr:uid="{00000000-0005-0000-0000-000032100000}"/>
    <cellStyle name="Normal 2 4 3 9 2" xfId="13132" xr:uid="{811B77D0-1A51-40D5-9263-9B0A76E182E0}"/>
    <cellStyle name="Normal 2 4 4" xfId="302" xr:uid="{00000000-0005-0000-0000-000033100000}"/>
    <cellStyle name="Normal 2 4 5" xfId="303" xr:uid="{00000000-0005-0000-0000-000034100000}"/>
    <cellStyle name="Normal 2 4 5 10" xfId="4695" xr:uid="{00000000-0005-0000-0000-000035100000}"/>
    <cellStyle name="Normal 2 4 5 10 2" xfId="13137" xr:uid="{E81F08E1-65BC-4D85-863F-6065D33345C2}"/>
    <cellStyle name="Normal 2 4 5 11" xfId="8919" xr:uid="{78146830-6CA5-4DDB-8932-E523F3BF11AA}"/>
    <cellStyle name="Normal 2 4 5 2" xfId="304" xr:uid="{00000000-0005-0000-0000-000036100000}"/>
    <cellStyle name="Normal 2 4 5 2 10" xfId="8920" xr:uid="{03E9D51E-AD25-43C8-BFFA-1A7221EA4929}"/>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15699" xr:uid="{853E90EE-94F3-47E1-8A30-7E503D6C8DCE}"/>
    <cellStyle name="Normal 2 4 5 2 2 2 2 2 3" xfId="11481" xr:uid="{8C020CC1-14E1-42FE-A8F7-768340E84918}"/>
    <cellStyle name="Normal 2 4 5 2 2 2 2 3" xfId="5112" xr:uid="{00000000-0005-0000-0000-00003C100000}"/>
    <cellStyle name="Normal 2 4 5 2 2 2 2 3 2" xfId="13554" xr:uid="{34FDD996-47F8-4DF4-9EAF-3E35AEF65457}"/>
    <cellStyle name="Normal 2 4 5 2 2 2 2 4" xfId="9336" xr:uid="{FFA059CB-1EE2-465D-BAE7-AF8208681E21}"/>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16112" xr:uid="{4D9D3642-D787-4434-96A4-12F83D19CCCA}"/>
    <cellStyle name="Normal 2 4 5 2 2 2 3 2 3" xfId="11894" xr:uid="{6AF7EA9F-2F71-49B6-919E-63431D231C28}"/>
    <cellStyle name="Normal 2 4 5 2 2 2 3 3" xfId="5525" xr:uid="{00000000-0005-0000-0000-000040100000}"/>
    <cellStyle name="Normal 2 4 5 2 2 2 3 3 2" xfId="13967" xr:uid="{4BC8893D-3F6F-40A4-B05A-0303232C2EFE}"/>
    <cellStyle name="Normal 2 4 5 2 2 2 3 4" xfId="9749" xr:uid="{1400D88D-1737-47F4-A22C-9BAF63F09947}"/>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16525" xr:uid="{2A62B6ED-D0B9-4B2E-848F-02B5D3372846}"/>
    <cellStyle name="Normal 2 4 5 2 2 2 4 2 3" xfId="12307" xr:uid="{52B65451-FD46-4D3D-8754-BDE58B189C56}"/>
    <cellStyle name="Normal 2 4 5 2 2 2 4 3" xfId="5938" xr:uid="{00000000-0005-0000-0000-000044100000}"/>
    <cellStyle name="Normal 2 4 5 2 2 2 4 3 2" xfId="14380" xr:uid="{95A93E7E-1FFB-4F21-AA39-32B9C6A6D9C8}"/>
    <cellStyle name="Normal 2 4 5 2 2 2 4 4" xfId="10162" xr:uid="{1EDB24FD-177E-4F76-9E57-F1A30F5CA005}"/>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16938" xr:uid="{9F9D180F-2C32-4C9F-8A00-C8FA068D8420}"/>
    <cellStyle name="Normal 2 4 5 2 2 2 5 2 3" xfId="12720" xr:uid="{BFA037D5-86B8-4581-8727-B1C0032B2EB7}"/>
    <cellStyle name="Normal 2 4 5 2 2 2 5 3" xfId="6351" xr:uid="{00000000-0005-0000-0000-000048100000}"/>
    <cellStyle name="Normal 2 4 5 2 2 2 5 3 2" xfId="14793" xr:uid="{DE0F3ED4-0794-437E-B3FD-8DCD02FB1015}"/>
    <cellStyle name="Normal 2 4 5 2 2 2 5 4" xfId="10575" xr:uid="{B9615CB9-6CD8-49AF-ADE8-57DAFAE764AD}"/>
    <cellStyle name="Normal 2 4 5 2 2 2 6" xfId="2480" xr:uid="{00000000-0005-0000-0000-000049100000}"/>
    <cellStyle name="Normal 2 4 5 2 2 2 6 2" xfId="6764" xr:uid="{00000000-0005-0000-0000-00004A100000}"/>
    <cellStyle name="Normal 2 4 5 2 2 2 6 2 2" xfId="15206" xr:uid="{8CB4A67A-502E-49B6-9D44-CAA28489779D}"/>
    <cellStyle name="Normal 2 4 5 2 2 2 6 3" xfId="10988" xr:uid="{90197A02-0DCD-429B-9458-7D6D4C6C0686}"/>
    <cellStyle name="Normal 2 4 5 2 2 2 7" xfId="4698" xr:uid="{00000000-0005-0000-0000-00004B100000}"/>
    <cellStyle name="Normal 2 4 5 2 2 2 7 2" xfId="13140" xr:uid="{FEEE1F9C-7CBE-4109-974B-9C3231B6BE48}"/>
    <cellStyle name="Normal 2 4 5 2 2 2 8" xfId="8922" xr:uid="{E716B871-08ED-442B-9BFB-79EA0976F547}"/>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15698" xr:uid="{968580B8-2807-4DB7-B404-D9D22BD47817}"/>
    <cellStyle name="Normal 2 4 5 2 2 3 2 3" xfId="11480" xr:uid="{06B2175C-65B1-46AF-B341-9CE21BC2A997}"/>
    <cellStyle name="Normal 2 4 5 2 2 3 3" xfId="5111" xr:uid="{00000000-0005-0000-0000-00004F100000}"/>
    <cellStyle name="Normal 2 4 5 2 2 3 3 2" xfId="13553" xr:uid="{043486DC-21F4-4375-BA10-42CB187D8BAD}"/>
    <cellStyle name="Normal 2 4 5 2 2 3 4" xfId="9335" xr:uid="{B09C8B35-2D97-4F9C-A164-CFA211F916E3}"/>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16111" xr:uid="{EA6053B7-C480-4970-AE7C-1062C7112ED0}"/>
    <cellStyle name="Normal 2 4 5 2 2 4 2 3" xfId="11893" xr:uid="{BBB9E607-2127-4639-BA7B-E00B7BA82A34}"/>
    <cellStyle name="Normal 2 4 5 2 2 4 3" xfId="5524" xr:uid="{00000000-0005-0000-0000-000053100000}"/>
    <cellStyle name="Normal 2 4 5 2 2 4 3 2" xfId="13966" xr:uid="{5E6C92C4-FC0B-411E-BB5D-35516320D620}"/>
    <cellStyle name="Normal 2 4 5 2 2 4 4" xfId="9748" xr:uid="{584EAF99-302A-4E8E-810B-547D94B3DA0F}"/>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16524" xr:uid="{1977749A-AB3B-4C65-9353-A3D6BD737B2A}"/>
    <cellStyle name="Normal 2 4 5 2 2 5 2 3" xfId="12306" xr:uid="{480B99E1-1126-4295-B5F6-6716492CE834}"/>
    <cellStyle name="Normal 2 4 5 2 2 5 3" xfId="5937" xr:uid="{00000000-0005-0000-0000-000057100000}"/>
    <cellStyle name="Normal 2 4 5 2 2 5 3 2" xfId="14379" xr:uid="{BFF5DB4F-CCCD-40A2-B595-BF132B5448B3}"/>
    <cellStyle name="Normal 2 4 5 2 2 5 4" xfId="10161" xr:uid="{C37B1D28-7595-4C12-8215-C9FE6B2ACD51}"/>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16937" xr:uid="{EE5483D1-5B50-49D5-BB20-7E89ECBF70BE}"/>
    <cellStyle name="Normal 2 4 5 2 2 6 2 3" xfId="12719" xr:uid="{6AE0B231-959D-402D-AAA2-2C1BC08D6B36}"/>
    <cellStyle name="Normal 2 4 5 2 2 6 3" xfId="6350" xr:uid="{00000000-0005-0000-0000-00005B100000}"/>
    <cellStyle name="Normal 2 4 5 2 2 6 3 2" xfId="14792" xr:uid="{95699A54-90EE-404B-A5AC-84C65AAEB184}"/>
    <cellStyle name="Normal 2 4 5 2 2 6 4" xfId="10574" xr:uid="{DBF5D175-A67C-4627-A5F0-BB60F97040DF}"/>
    <cellStyle name="Normal 2 4 5 2 2 7" xfId="2479" xr:uid="{00000000-0005-0000-0000-00005C100000}"/>
    <cellStyle name="Normal 2 4 5 2 2 7 2" xfId="6763" xr:uid="{00000000-0005-0000-0000-00005D100000}"/>
    <cellStyle name="Normal 2 4 5 2 2 7 2 2" xfId="15205" xr:uid="{8C45681B-A750-44F5-9292-61176002E921}"/>
    <cellStyle name="Normal 2 4 5 2 2 7 3" xfId="10987" xr:uid="{28A8FC11-82B0-4F96-85F1-3B7EB03061EE}"/>
    <cellStyle name="Normal 2 4 5 2 2 8" xfId="4697" xr:uid="{00000000-0005-0000-0000-00005E100000}"/>
    <cellStyle name="Normal 2 4 5 2 2 8 2" xfId="13139" xr:uid="{2736BC2B-A09C-4F89-9B69-86DDF849EBC2}"/>
    <cellStyle name="Normal 2 4 5 2 2 9" xfId="8921" xr:uid="{8C0CB27E-F9D3-464F-B8B6-9A096E3CD4E4}"/>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15700" xr:uid="{6E7F695B-52B7-4037-901E-76EEF175B16B}"/>
    <cellStyle name="Normal 2 4 5 2 3 2 2 3" xfId="11482" xr:uid="{663388F4-2D05-4CBD-800D-12CF16B67CE5}"/>
    <cellStyle name="Normal 2 4 5 2 3 2 3" xfId="5113" xr:uid="{00000000-0005-0000-0000-000063100000}"/>
    <cellStyle name="Normal 2 4 5 2 3 2 3 2" xfId="13555" xr:uid="{71735A53-31A3-4905-A5EB-470FDCC1E8AF}"/>
    <cellStyle name="Normal 2 4 5 2 3 2 4" xfId="9337" xr:uid="{4AAABA69-B656-461C-87FD-C9E161D8F0E2}"/>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16113" xr:uid="{90BFAE00-F110-4D61-AA78-3FC887836529}"/>
    <cellStyle name="Normal 2 4 5 2 3 3 2 3" xfId="11895" xr:uid="{000A5432-D621-4E81-A733-BB1BAD8E98A6}"/>
    <cellStyle name="Normal 2 4 5 2 3 3 3" xfId="5526" xr:uid="{00000000-0005-0000-0000-000067100000}"/>
    <cellStyle name="Normal 2 4 5 2 3 3 3 2" xfId="13968" xr:uid="{D954003E-A917-4C38-98D4-F3AEFAB88086}"/>
    <cellStyle name="Normal 2 4 5 2 3 3 4" xfId="9750" xr:uid="{2991FC65-2AC6-4440-8A40-28FB23A0E0C9}"/>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16526" xr:uid="{9BCAB93E-9743-40C9-9943-2309F365718F}"/>
    <cellStyle name="Normal 2 4 5 2 3 4 2 3" xfId="12308" xr:uid="{05F32857-43E0-4700-B7C6-D372501D8BC4}"/>
    <cellStyle name="Normal 2 4 5 2 3 4 3" xfId="5939" xr:uid="{00000000-0005-0000-0000-00006B100000}"/>
    <cellStyle name="Normal 2 4 5 2 3 4 3 2" xfId="14381" xr:uid="{7B06009B-ABA1-44D1-9C64-543A9B55DD30}"/>
    <cellStyle name="Normal 2 4 5 2 3 4 4" xfId="10163" xr:uid="{1EE8CB07-0F6A-4E35-A4DD-B0AFAB68CD94}"/>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16939" xr:uid="{D16DB185-E701-493A-B844-52BBA94AFC4E}"/>
    <cellStyle name="Normal 2 4 5 2 3 5 2 3" xfId="12721" xr:uid="{748B4C29-0C7E-467E-B76B-71B846B73DF0}"/>
    <cellStyle name="Normal 2 4 5 2 3 5 3" xfId="6352" xr:uid="{00000000-0005-0000-0000-00006F100000}"/>
    <cellStyle name="Normal 2 4 5 2 3 5 3 2" xfId="14794" xr:uid="{3C427D95-75EF-4CA7-9D3B-D6D016AC49BB}"/>
    <cellStyle name="Normal 2 4 5 2 3 5 4" xfId="10576" xr:uid="{0DA4081C-B015-4DED-B03C-7CC8213F261E}"/>
    <cellStyle name="Normal 2 4 5 2 3 6" xfId="2481" xr:uid="{00000000-0005-0000-0000-000070100000}"/>
    <cellStyle name="Normal 2 4 5 2 3 6 2" xfId="6765" xr:uid="{00000000-0005-0000-0000-000071100000}"/>
    <cellStyle name="Normal 2 4 5 2 3 6 2 2" xfId="15207" xr:uid="{68C111A4-B4AD-4682-A928-D80FBBFC8298}"/>
    <cellStyle name="Normal 2 4 5 2 3 6 3" xfId="10989" xr:uid="{DFE95912-AED3-44B8-9435-A91E68282955}"/>
    <cellStyle name="Normal 2 4 5 2 3 7" xfId="4699" xr:uid="{00000000-0005-0000-0000-000072100000}"/>
    <cellStyle name="Normal 2 4 5 2 3 7 2" xfId="13141" xr:uid="{8E49C65B-1EC9-4C19-8AA1-2712294E91B0}"/>
    <cellStyle name="Normal 2 4 5 2 3 8" xfId="8923" xr:uid="{4DB6DF84-0F00-4580-B069-FD11947E13D4}"/>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15697" xr:uid="{7FDD7797-80DC-4596-A677-30B3524EB28B}"/>
    <cellStyle name="Normal 2 4 5 2 4 2 3" xfId="11479" xr:uid="{27E534F1-4F8A-44C4-9794-6EBF4A800008}"/>
    <cellStyle name="Normal 2 4 5 2 4 3" xfId="5110" xr:uid="{00000000-0005-0000-0000-000076100000}"/>
    <cellStyle name="Normal 2 4 5 2 4 3 2" xfId="13552" xr:uid="{CA345B65-1EFD-4292-8499-934EE32484CD}"/>
    <cellStyle name="Normal 2 4 5 2 4 4" xfId="9334" xr:uid="{F8A8821E-5751-48DB-8CF5-26CA9868CF6C}"/>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16110" xr:uid="{BE6A1A8F-041D-4748-B169-0CFD85180AB6}"/>
    <cellStyle name="Normal 2 4 5 2 5 2 3" xfId="11892" xr:uid="{FE3E3411-A666-4D4B-860D-5E86DB3FA1D4}"/>
    <cellStyle name="Normal 2 4 5 2 5 3" xfId="5523" xr:uid="{00000000-0005-0000-0000-00007A100000}"/>
    <cellStyle name="Normal 2 4 5 2 5 3 2" xfId="13965" xr:uid="{6C1A1C76-FA83-4C30-8EAF-714809B7CCC5}"/>
    <cellStyle name="Normal 2 4 5 2 5 4" xfId="9747" xr:uid="{4E80A730-808A-4F09-95C8-D0355F5BFE52}"/>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16523" xr:uid="{3A6D0911-CE55-4581-B940-C65E81FC2D5B}"/>
    <cellStyle name="Normal 2 4 5 2 6 2 3" xfId="12305" xr:uid="{43BE4613-9197-4E90-8886-7DB9CF9BB072}"/>
    <cellStyle name="Normal 2 4 5 2 6 3" xfId="5936" xr:uid="{00000000-0005-0000-0000-00007E100000}"/>
    <cellStyle name="Normal 2 4 5 2 6 3 2" xfId="14378" xr:uid="{481101E0-6549-4342-B8D5-735689066948}"/>
    <cellStyle name="Normal 2 4 5 2 6 4" xfId="10160" xr:uid="{81638C7A-D318-49AF-91D5-D0C21B841B53}"/>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16936" xr:uid="{EA69BDD7-AE04-4937-9D27-7DE8F4437435}"/>
    <cellStyle name="Normal 2 4 5 2 7 2 3" xfId="12718" xr:uid="{EFE6117F-B2D0-4184-A512-8DDE796BDFAB}"/>
    <cellStyle name="Normal 2 4 5 2 7 3" xfId="6349" xr:uid="{00000000-0005-0000-0000-000082100000}"/>
    <cellStyle name="Normal 2 4 5 2 7 3 2" xfId="14791" xr:uid="{162C2872-76BA-4068-B6D1-A30B7E9DC511}"/>
    <cellStyle name="Normal 2 4 5 2 7 4" xfId="10573" xr:uid="{521A6434-A533-41DA-98A4-76D7D9B5EA79}"/>
    <cellStyle name="Normal 2 4 5 2 8" xfId="2478" xr:uid="{00000000-0005-0000-0000-000083100000}"/>
    <cellStyle name="Normal 2 4 5 2 8 2" xfId="6762" xr:uid="{00000000-0005-0000-0000-000084100000}"/>
    <cellStyle name="Normal 2 4 5 2 8 2 2" xfId="15204" xr:uid="{C6C5B605-6CF2-45BD-93BF-083232847373}"/>
    <cellStyle name="Normal 2 4 5 2 8 3" xfId="10986" xr:uid="{F60FF3EA-DEBD-4FB1-8F97-BF7BBA148A3B}"/>
    <cellStyle name="Normal 2 4 5 2 9" xfId="4696" xr:uid="{00000000-0005-0000-0000-000085100000}"/>
    <cellStyle name="Normal 2 4 5 2 9 2" xfId="13138" xr:uid="{0320F04A-771B-4A05-965D-7EE3AF584B83}"/>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15702" xr:uid="{5C3B5DDC-7BC2-4050-9106-2FE9455D931B}"/>
    <cellStyle name="Normal 2 4 5 3 2 2 2 3" xfId="11484" xr:uid="{6CBBAC76-7200-48DA-B04C-D5E42D700A38}"/>
    <cellStyle name="Normal 2 4 5 3 2 2 3" xfId="5115" xr:uid="{00000000-0005-0000-0000-00008B100000}"/>
    <cellStyle name="Normal 2 4 5 3 2 2 3 2" xfId="13557" xr:uid="{6B327693-9CB0-4DCE-B370-5D01C9976AA9}"/>
    <cellStyle name="Normal 2 4 5 3 2 2 4" xfId="9339" xr:uid="{E0F13E4D-B7C2-4031-BDAD-6B5B35470122}"/>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16115" xr:uid="{5771755F-E904-4AB6-873F-A3C8285EE4F9}"/>
    <cellStyle name="Normal 2 4 5 3 2 3 2 3" xfId="11897" xr:uid="{19D5B482-1822-4F11-86F7-9E9BB0E2082E}"/>
    <cellStyle name="Normal 2 4 5 3 2 3 3" xfId="5528" xr:uid="{00000000-0005-0000-0000-00008F100000}"/>
    <cellStyle name="Normal 2 4 5 3 2 3 3 2" xfId="13970" xr:uid="{5DBE3ED8-CFA8-4341-91DD-62A608390919}"/>
    <cellStyle name="Normal 2 4 5 3 2 3 4" xfId="9752" xr:uid="{F041F909-3E31-4F06-AE0E-37E5BFA94F44}"/>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16528" xr:uid="{912C1874-486A-463C-BE75-0F2DC55099D2}"/>
    <cellStyle name="Normal 2 4 5 3 2 4 2 3" xfId="12310" xr:uid="{B3A2E63F-A0CA-49EB-8C00-95DB658C8945}"/>
    <cellStyle name="Normal 2 4 5 3 2 4 3" xfId="5941" xr:uid="{00000000-0005-0000-0000-000093100000}"/>
    <cellStyle name="Normal 2 4 5 3 2 4 3 2" xfId="14383" xr:uid="{51BB93EF-68FF-4667-B980-E3B048D062BC}"/>
    <cellStyle name="Normal 2 4 5 3 2 4 4" xfId="10165" xr:uid="{842B6505-FDEB-4F1F-B40E-1F54FB2E4988}"/>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16941" xr:uid="{90F99D85-BB89-41BC-972B-FDA5EDB5E8C7}"/>
    <cellStyle name="Normal 2 4 5 3 2 5 2 3" xfId="12723" xr:uid="{6CECCF00-DBE1-4CFD-AE48-6DDBE2B6A71E}"/>
    <cellStyle name="Normal 2 4 5 3 2 5 3" xfId="6354" xr:uid="{00000000-0005-0000-0000-000097100000}"/>
    <cellStyle name="Normal 2 4 5 3 2 5 3 2" xfId="14796" xr:uid="{87B3887F-AD8E-4DF1-9B11-BD113ACF4D32}"/>
    <cellStyle name="Normal 2 4 5 3 2 5 4" xfId="10578" xr:uid="{BC396120-2D4A-4386-9E5C-F834BEB27259}"/>
    <cellStyle name="Normal 2 4 5 3 2 6" xfId="2483" xr:uid="{00000000-0005-0000-0000-000098100000}"/>
    <cellStyle name="Normal 2 4 5 3 2 6 2" xfId="6767" xr:uid="{00000000-0005-0000-0000-000099100000}"/>
    <cellStyle name="Normal 2 4 5 3 2 6 2 2" xfId="15209" xr:uid="{581572DE-3941-4848-A998-8D1258046360}"/>
    <cellStyle name="Normal 2 4 5 3 2 6 3" xfId="10991" xr:uid="{C5110D2F-D116-4E26-A674-BF616CD0A6A4}"/>
    <cellStyle name="Normal 2 4 5 3 2 7" xfId="4701" xr:uid="{00000000-0005-0000-0000-00009A100000}"/>
    <cellStyle name="Normal 2 4 5 3 2 7 2" xfId="13143" xr:uid="{A09EB554-2EA4-4B5F-A87E-6F3ED4C087FD}"/>
    <cellStyle name="Normal 2 4 5 3 2 8" xfId="8925" xr:uid="{71862C1E-796B-4F2C-9213-114EE583B15F}"/>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15701" xr:uid="{0B72C82C-A9D5-4267-923A-8032ED017602}"/>
    <cellStyle name="Normal 2 4 5 3 3 2 3" xfId="11483" xr:uid="{BF70C604-0FEB-4B5A-8305-FF36021CFD8A}"/>
    <cellStyle name="Normal 2 4 5 3 3 3" xfId="5114" xr:uid="{00000000-0005-0000-0000-00009E100000}"/>
    <cellStyle name="Normal 2 4 5 3 3 3 2" xfId="13556" xr:uid="{73E1F3BC-1981-4B56-9413-ECB59CEEA693}"/>
    <cellStyle name="Normal 2 4 5 3 3 4" xfId="9338" xr:uid="{4D610599-050C-4073-8E6D-575380FFA246}"/>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16114" xr:uid="{AE2E9A79-813D-4905-BAC0-B1DB4E54D148}"/>
    <cellStyle name="Normal 2 4 5 3 4 2 3" xfId="11896" xr:uid="{2269DB36-4B9E-489E-9A04-90B1E1BFB306}"/>
    <cellStyle name="Normal 2 4 5 3 4 3" xfId="5527" xr:uid="{00000000-0005-0000-0000-0000A2100000}"/>
    <cellStyle name="Normal 2 4 5 3 4 3 2" xfId="13969" xr:uid="{0CC3D60E-B32A-40D3-A8E9-6E90C1FD1E3D}"/>
    <cellStyle name="Normal 2 4 5 3 4 4" xfId="9751" xr:uid="{A53DEDED-F37A-449D-9884-6140A87170CE}"/>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16527" xr:uid="{0B82AA7E-18BC-403E-91BA-76CEAAF19113}"/>
    <cellStyle name="Normal 2 4 5 3 5 2 3" xfId="12309" xr:uid="{069560BE-0228-4ED0-8240-A137A08B24A1}"/>
    <cellStyle name="Normal 2 4 5 3 5 3" xfId="5940" xr:uid="{00000000-0005-0000-0000-0000A6100000}"/>
    <cellStyle name="Normal 2 4 5 3 5 3 2" xfId="14382" xr:uid="{53E0B79C-44D3-45EF-98F7-481D91A194C7}"/>
    <cellStyle name="Normal 2 4 5 3 5 4" xfId="10164" xr:uid="{C3F7ADEF-5546-414E-B18E-CD6C8CCBC5C7}"/>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16940" xr:uid="{B8CD3296-9F01-4C4E-98CA-C2247F6FA6BC}"/>
    <cellStyle name="Normal 2 4 5 3 6 2 3" xfId="12722" xr:uid="{ED77D04C-30F9-432C-ADBE-9A21FA46E3AF}"/>
    <cellStyle name="Normal 2 4 5 3 6 3" xfId="6353" xr:uid="{00000000-0005-0000-0000-0000AA100000}"/>
    <cellStyle name="Normal 2 4 5 3 6 3 2" xfId="14795" xr:uid="{C5516A83-48FE-4745-B736-A4C1289A061A}"/>
    <cellStyle name="Normal 2 4 5 3 6 4" xfId="10577" xr:uid="{A7D7FFEB-108D-4572-8CCA-38C957F97473}"/>
    <cellStyle name="Normal 2 4 5 3 7" xfId="2482" xr:uid="{00000000-0005-0000-0000-0000AB100000}"/>
    <cellStyle name="Normal 2 4 5 3 7 2" xfId="6766" xr:uid="{00000000-0005-0000-0000-0000AC100000}"/>
    <cellStyle name="Normal 2 4 5 3 7 2 2" xfId="15208" xr:uid="{F088C087-D131-4F42-B51C-1C1D970D416C}"/>
    <cellStyle name="Normal 2 4 5 3 7 3" xfId="10990" xr:uid="{E136855C-40D7-44F1-9869-23B90E32317C}"/>
    <cellStyle name="Normal 2 4 5 3 8" xfId="4700" xr:uid="{00000000-0005-0000-0000-0000AD100000}"/>
    <cellStyle name="Normal 2 4 5 3 8 2" xfId="13142" xr:uid="{4F118CE3-3796-48CB-B11F-B9AD05D3852D}"/>
    <cellStyle name="Normal 2 4 5 3 9" xfId="8924" xr:uid="{CACF5900-5E5D-4098-909E-C8EA90AC1767}"/>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15703" xr:uid="{9538F051-DFE6-4B96-8ACD-61E46F1EA2A8}"/>
    <cellStyle name="Normal 2 4 5 4 2 2 3" xfId="11485" xr:uid="{6B3BB511-546C-4FEE-8E37-DE2B8B77723C}"/>
    <cellStyle name="Normal 2 4 5 4 2 3" xfId="5116" xr:uid="{00000000-0005-0000-0000-0000B2100000}"/>
    <cellStyle name="Normal 2 4 5 4 2 3 2" xfId="13558" xr:uid="{DF8A652A-E01C-4841-A406-8D1B26CC29A1}"/>
    <cellStyle name="Normal 2 4 5 4 2 4" xfId="9340" xr:uid="{5608F9CA-EB32-49B6-AC59-551EADD81C64}"/>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16116" xr:uid="{ED4ED2F0-CA22-4F38-A0BC-A8DD03B9708F}"/>
    <cellStyle name="Normal 2 4 5 4 3 2 3" xfId="11898" xr:uid="{6CF1F20B-C6F2-4E6F-872B-4A4DF64EFA3D}"/>
    <cellStyle name="Normal 2 4 5 4 3 3" xfId="5529" xr:uid="{00000000-0005-0000-0000-0000B6100000}"/>
    <cellStyle name="Normal 2 4 5 4 3 3 2" xfId="13971" xr:uid="{A50A65DD-0E70-49CD-9985-1BA020B2B36A}"/>
    <cellStyle name="Normal 2 4 5 4 3 4" xfId="9753" xr:uid="{9E05A92C-AF67-487B-AAE4-B0843A18F904}"/>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16529" xr:uid="{0BF7DD91-0589-4DDB-ACEE-9DAEAC2AFE49}"/>
    <cellStyle name="Normal 2 4 5 4 4 2 3" xfId="12311" xr:uid="{C7EEA899-69AA-4D32-89F5-7D96E4BC2E16}"/>
    <cellStyle name="Normal 2 4 5 4 4 3" xfId="5942" xr:uid="{00000000-0005-0000-0000-0000BA100000}"/>
    <cellStyle name="Normal 2 4 5 4 4 3 2" xfId="14384" xr:uid="{146EFE03-35A1-40BD-A77B-744D042F618C}"/>
    <cellStyle name="Normal 2 4 5 4 4 4" xfId="10166" xr:uid="{00CE7A5C-4DC8-4064-A1F1-D044CFAD9C8A}"/>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16942" xr:uid="{C652083A-205C-4589-81C4-10FC99080A46}"/>
    <cellStyle name="Normal 2 4 5 4 5 2 3" xfId="12724" xr:uid="{BBF2D918-0EAA-4B02-A677-53693855E360}"/>
    <cellStyle name="Normal 2 4 5 4 5 3" xfId="6355" xr:uid="{00000000-0005-0000-0000-0000BE100000}"/>
    <cellStyle name="Normal 2 4 5 4 5 3 2" xfId="14797" xr:uid="{307419C3-7AF1-4C18-B540-FD65B6EF76DD}"/>
    <cellStyle name="Normal 2 4 5 4 5 4" xfId="10579" xr:uid="{898BAC39-1333-47E9-A146-7AE5E205B867}"/>
    <cellStyle name="Normal 2 4 5 4 6" xfId="2484" xr:uid="{00000000-0005-0000-0000-0000BF100000}"/>
    <cellStyle name="Normal 2 4 5 4 6 2" xfId="6768" xr:uid="{00000000-0005-0000-0000-0000C0100000}"/>
    <cellStyle name="Normal 2 4 5 4 6 2 2" xfId="15210" xr:uid="{BE38F790-3892-4E63-BFE3-9A756184E0E1}"/>
    <cellStyle name="Normal 2 4 5 4 6 3" xfId="10992" xr:uid="{D695993A-741D-4495-9CA0-82602A368840}"/>
    <cellStyle name="Normal 2 4 5 4 7" xfId="4702" xr:uid="{00000000-0005-0000-0000-0000C1100000}"/>
    <cellStyle name="Normal 2 4 5 4 7 2" xfId="13144" xr:uid="{ECE4D343-0898-4FA0-826C-C1420F866C99}"/>
    <cellStyle name="Normal 2 4 5 4 8" xfId="8926" xr:uid="{C3E41A83-5E07-4BC5-BEC0-5913B07F69C6}"/>
    <cellStyle name="Normal 2 4 5 5" xfId="792" xr:uid="{00000000-0005-0000-0000-0000C2100000}"/>
    <cellStyle name="Normal 2 4 5 5 2" xfId="3031" xr:uid="{00000000-0005-0000-0000-0000C3100000}"/>
    <cellStyle name="Normal 2 4 5 5 2 2" xfId="7254" xr:uid="{00000000-0005-0000-0000-0000C4100000}"/>
    <cellStyle name="Normal 2 4 5 5 2 2 2" xfId="15696" xr:uid="{817E6982-BD9A-4E3F-86CC-B62B8B2992C0}"/>
    <cellStyle name="Normal 2 4 5 5 2 3" xfId="11478" xr:uid="{6AD34BDE-6710-4E0B-B787-C26A27DFC404}"/>
    <cellStyle name="Normal 2 4 5 5 3" xfId="5109" xr:uid="{00000000-0005-0000-0000-0000C5100000}"/>
    <cellStyle name="Normal 2 4 5 5 3 2" xfId="13551" xr:uid="{EB6B18D1-5002-42C6-8C80-0EDE7DB07387}"/>
    <cellStyle name="Normal 2 4 5 5 4" xfId="9333" xr:uid="{8F76FD89-73DF-44B4-9F68-EA465418759B}"/>
    <cellStyle name="Normal 2 4 5 6" xfId="1214" xr:uid="{00000000-0005-0000-0000-0000C6100000}"/>
    <cellStyle name="Normal 2 4 5 6 2" xfId="3444" xr:uid="{00000000-0005-0000-0000-0000C7100000}"/>
    <cellStyle name="Normal 2 4 5 6 2 2" xfId="7667" xr:uid="{00000000-0005-0000-0000-0000C8100000}"/>
    <cellStyle name="Normal 2 4 5 6 2 2 2" xfId="16109" xr:uid="{FBBF0202-8A4B-44CD-858D-2EB2E1BF27EC}"/>
    <cellStyle name="Normal 2 4 5 6 2 3" xfId="11891" xr:uid="{F2582574-1C95-49E2-BCF4-FA74D88F7D94}"/>
    <cellStyle name="Normal 2 4 5 6 3" xfId="5522" xr:uid="{00000000-0005-0000-0000-0000C9100000}"/>
    <cellStyle name="Normal 2 4 5 6 3 2" xfId="13964" xr:uid="{B6321C55-1848-4221-9BEE-0A91ED5A19E5}"/>
    <cellStyle name="Normal 2 4 5 6 4" xfId="9746" xr:uid="{29A91EFD-EB60-4D69-A608-E48D83EE8BDC}"/>
    <cellStyle name="Normal 2 4 5 7" xfId="1627" xr:uid="{00000000-0005-0000-0000-0000CA100000}"/>
    <cellStyle name="Normal 2 4 5 7 2" xfId="3857" xr:uid="{00000000-0005-0000-0000-0000CB100000}"/>
    <cellStyle name="Normal 2 4 5 7 2 2" xfId="8080" xr:uid="{00000000-0005-0000-0000-0000CC100000}"/>
    <cellStyle name="Normal 2 4 5 7 2 2 2" xfId="16522" xr:uid="{762A44E0-72C8-4910-9FB4-AB75F9D0EDEF}"/>
    <cellStyle name="Normal 2 4 5 7 2 3" xfId="12304" xr:uid="{DEA20216-3361-4645-A086-20521373FE79}"/>
    <cellStyle name="Normal 2 4 5 7 3" xfId="5935" xr:uid="{00000000-0005-0000-0000-0000CD100000}"/>
    <cellStyle name="Normal 2 4 5 7 3 2" xfId="14377" xr:uid="{7354AF6F-FDC0-4E75-9092-3E49CDF4FCF0}"/>
    <cellStyle name="Normal 2 4 5 7 4" xfId="10159" xr:uid="{938F819E-F045-4781-9047-15AE12FA5731}"/>
    <cellStyle name="Normal 2 4 5 8" xfId="2041" xr:uid="{00000000-0005-0000-0000-0000CE100000}"/>
    <cellStyle name="Normal 2 4 5 8 2" xfId="4270" xr:uid="{00000000-0005-0000-0000-0000CF100000}"/>
    <cellStyle name="Normal 2 4 5 8 2 2" xfId="8493" xr:uid="{00000000-0005-0000-0000-0000D0100000}"/>
    <cellStyle name="Normal 2 4 5 8 2 2 2" xfId="16935" xr:uid="{AB2C3BA1-DC94-4A1C-BA59-0195A9B22FAC}"/>
    <cellStyle name="Normal 2 4 5 8 2 3" xfId="12717" xr:uid="{504E6C09-7478-4081-BB36-9F42B1D1602D}"/>
    <cellStyle name="Normal 2 4 5 8 3" xfId="6348" xr:uid="{00000000-0005-0000-0000-0000D1100000}"/>
    <cellStyle name="Normal 2 4 5 8 3 2" xfId="14790" xr:uid="{7375218D-CF59-4D8D-908B-31E6AAF3941A}"/>
    <cellStyle name="Normal 2 4 5 8 4" xfId="10572" xr:uid="{CDBC3CBE-5587-417B-BAAD-A625037C5DE4}"/>
    <cellStyle name="Normal 2 4 5 9" xfId="2477" xr:uid="{00000000-0005-0000-0000-0000D2100000}"/>
    <cellStyle name="Normal 2 4 5 9 2" xfId="6761" xr:uid="{00000000-0005-0000-0000-0000D3100000}"/>
    <cellStyle name="Normal 2 4 5 9 2 2" xfId="15203" xr:uid="{71440207-3A21-416C-B625-8165FAB50D4F}"/>
    <cellStyle name="Normal 2 4 5 9 3" xfId="10985" xr:uid="{162F4C1D-5EB4-4003-97BA-AA3C5EBB9204}"/>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15705" xr:uid="{733CAF80-3E63-4BFD-8DC4-46E2429AAC27}"/>
    <cellStyle name="Normal 2 4 7 2 2 2 3" xfId="11487" xr:uid="{608C3276-F2F2-4E02-9E7F-26118DD049C6}"/>
    <cellStyle name="Normal 2 4 7 2 2 3" xfId="5118" xr:uid="{00000000-0005-0000-0000-0000DA100000}"/>
    <cellStyle name="Normal 2 4 7 2 2 3 2" xfId="13560" xr:uid="{2A365A82-ECA5-45DE-952F-7849F3574764}"/>
    <cellStyle name="Normal 2 4 7 2 2 4" xfId="9342" xr:uid="{E704F2BB-C218-4304-8923-466C3476720E}"/>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16118" xr:uid="{476C4DF6-F671-4F1B-94B3-FFDF9792EF45}"/>
    <cellStyle name="Normal 2 4 7 2 3 2 3" xfId="11900" xr:uid="{D246E925-70C9-4A1E-ABE4-6ECC1B4D0590}"/>
    <cellStyle name="Normal 2 4 7 2 3 3" xfId="5531" xr:uid="{00000000-0005-0000-0000-0000DE100000}"/>
    <cellStyle name="Normal 2 4 7 2 3 3 2" xfId="13973" xr:uid="{31E264BE-B369-49FC-AEAF-CABCD1E93330}"/>
    <cellStyle name="Normal 2 4 7 2 3 4" xfId="9755" xr:uid="{44A861EA-0F4B-4BEA-AC2C-97959A7BA417}"/>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16531" xr:uid="{F2A7C72A-C1F0-4348-A29F-14A3BC488932}"/>
    <cellStyle name="Normal 2 4 7 2 4 2 3" xfId="12313" xr:uid="{E8A8D7FA-BA24-44ED-B8A8-C4316A932374}"/>
    <cellStyle name="Normal 2 4 7 2 4 3" xfId="5944" xr:uid="{00000000-0005-0000-0000-0000E2100000}"/>
    <cellStyle name="Normal 2 4 7 2 4 3 2" xfId="14386" xr:uid="{0FCFE6B5-B0B3-4641-AE64-716B06ABAA5E}"/>
    <cellStyle name="Normal 2 4 7 2 4 4" xfId="10168" xr:uid="{FA52B3EF-21D1-4EA5-ACA0-7D6840BB4420}"/>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16944" xr:uid="{E6C187A8-2313-4E09-B693-3FE6DE79B29D}"/>
    <cellStyle name="Normal 2 4 7 2 5 2 3" xfId="12726" xr:uid="{EE884FF3-8C3B-443B-BA00-A6867FAE264A}"/>
    <cellStyle name="Normal 2 4 7 2 5 3" xfId="6357" xr:uid="{00000000-0005-0000-0000-0000E6100000}"/>
    <cellStyle name="Normal 2 4 7 2 5 3 2" xfId="14799" xr:uid="{A8C99BC7-3343-4E06-A17B-D142ECDDA97A}"/>
    <cellStyle name="Normal 2 4 7 2 5 4" xfId="10581" xr:uid="{68361AA3-5D27-4047-95BB-B4F87099806C}"/>
    <cellStyle name="Normal 2 4 7 2 6" xfId="2486" xr:uid="{00000000-0005-0000-0000-0000E7100000}"/>
    <cellStyle name="Normal 2 4 7 2 6 2" xfId="6770" xr:uid="{00000000-0005-0000-0000-0000E8100000}"/>
    <cellStyle name="Normal 2 4 7 2 6 2 2" xfId="15212" xr:uid="{8A59EBE2-ED1F-4D8A-93B1-1D6793016A40}"/>
    <cellStyle name="Normal 2 4 7 2 6 3" xfId="10994" xr:uid="{0912943E-D494-41E1-A3DA-A7AE7367DEE1}"/>
    <cellStyle name="Normal 2 4 7 2 7" xfId="4704" xr:uid="{00000000-0005-0000-0000-0000E9100000}"/>
    <cellStyle name="Normal 2 4 7 2 7 2" xfId="13146" xr:uid="{544233D2-BF64-40C8-A877-49CDB82E5B8C}"/>
    <cellStyle name="Normal 2 4 7 2 8" xfId="8928" xr:uid="{FA1E05BD-D13E-46D7-A909-74B1F8BC2E4A}"/>
    <cellStyle name="Normal 2 4 7 3" xfId="800" xr:uid="{00000000-0005-0000-0000-0000EA100000}"/>
    <cellStyle name="Normal 2 4 7 3 2" xfId="3039" xr:uid="{00000000-0005-0000-0000-0000EB100000}"/>
    <cellStyle name="Normal 2 4 7 3 2 2" xfId="7262" xr:uid="{00000000-0005-0000-0000-0000EC100000}"/>
    <cellStyle name="Normal 2 4 7 3 2 2 2" xfId="15704" xr:uid="{F534C6C5-D0C9-4238-87BC-96ACC9B92EFC}"/>
    <cellStyle name="Normal 2 4 7 3 2 3" xfId="11486" xr:uid="{AAA64359-D793-49C1-A238-3C7BC401B2A6}"/>
    <cellStyle name="Normal 2 4 7 3 3" xfId="5117" xr:uid="{00000000-0005-0000-0000-0000ED100000}"/>
    <cellStyle name="Normal 2 4 7 3 3 2" xfId="13559" xr:uid="{06D1F628-3C17-45E7-BA01-45EC28E6FE25}"/>
    <cellStyle name="Normal 2 4 7 3 4" xfId="9341" xr:uid="{AC6A2109-994F-4D95-858D-4CCB4A83DDB9}"/>
    <cellStyle name="Normal 2 4 7 4" xfId="1222" xr:uid="{00000000-0005-0000-0000-0000EE100000}"/>
    <cellStyle name="Normal 2 4 7 4 2" xfId="3452" xr:uid="{00000000-0005-0000-0000-0000EF100000}"/>
    <cellStyle name="Normal 2 4 7 4 2 2" xfId="7675" xr:uid="{00000000-0005-0000-0000-0000F0100000}"/>
    <cellStyle name="Normal 2 4 7 4 2 2 2" xfId="16117" xr:uid="{2A3F42C2-E5E0-46C4-A723-93A24EFAF0DE}"/>
    <cellStyle name="Normal 2 4 7 4 2 3" xfId="11899" xr:uid="{DBAC453F-7DC7-433B-8896-EAF93CBC86BD}"/>
    <cellStyle name="Normal 2 4 7 4 3" xfId="5530" xr:uid="{00000000-0005-0000-0000-0000F1100000}"/>
    <cellStyle name="Normal 2 4 7 4 3 2" xfId="13972" xr:uid="{37FB90D6-2455-4715-A8F4-8DE900F0F51A}"/>
    <cellStyle name="Normal 2 4 7 4 4" xfId="9754" xr:uid="{5F7432D0-F994-4D85-87A8-79C81B92DF5D}"/>
    <cellStyle name="Normal 2 4 7 5" xfId="1635" xr:uid="{00000000-0005-0000-0000-0000F2100000}"/>
    <cellStyle name="Normal 2 4 7 5 2" xfId="3865" xr:uid="{00000000-0005-0000-0000-0000F3100000}"/>
    <cellStyle name="Normal 2 4 7 5 2 2" xfId="8088" xr:uid="{00000000-0005-0000-0000-0000F4100000}"/>
    <cellStyle name="Normal 2 4 7 5 2 2 2" xfId="16530" xr:uid="{01C24D74-662F-4567-8EBF-0D6176800C0C}"/>
    <cellStyle name="Normal 2 4 7 5 2 3" xfId="12312" xr:uid="{E6C0BAF7-9F4F-4897-B33C-D511724212A7}"/>
    <cellStyle name="Normal 2 4 7 5 3" xfId="5943" xr:uid="{00000000-0005-0000-0000-0000F5100000}"/>
    <cellStyle name="Normal 2 4 7 5 3 2" xfId="14385" xr:uid="{D8326E17-78DD-43E6-AEC8-3ED11C94C630}"/>
    <cellStyle name="Normal 2 4 7 5 4" xfId="10167" xr:uid="{A258B439-288A-470F-9FA8-7A858E33D4D3}"/>
    <cellStyle name="Normal 2 4 7 6" xfId="2049" xr:uid="{00000000-0005-0000-0000-0000F6100000}"/>
    <cellStyle name="Normal 2 4 7 6 2" xfId="4278" xr:uid="{00000000-0005-0000-0000-0000F7100000}"/>
    <cellStyle name="Normal 2 4 7 6 2 2" xfId="8501" xr:uid="{00000000-0005-0000-0000-0000F8100000}"/>
    <cellStyle name="Normal 2 4 7 6 2 2 2" xfId="16943" xr:uid="{FD5105C0-C4C5-4EE2-86D6-20C1D79378A4}"/>
    <cellStyle name="Normal 2 4 7 6 2 3" xfId="12725" xr:uid="{5DE61DD3-CACA-44E2-8602-0840871880EA}"/>
    <cellStyle name="Normal 2 4 7 6 3" xfId="6356" xr:uid="{00000000-0005-0000-0000-0000F9100000}"/>
    <cellStyle name="Normal 2 4 7 6 3 2" xfId="14798" xr:uid="{DF72CB35-8D8F-4403-A76B-CA2FD2316B68}"/>
    <cellStyle name="Normal 2 4 7 6 4" xfId="10580" xr:uid="{E4B163C8-0A96-4F01-AEC3-18EE77BE8F34}"/>
    <cellStyle name="Normal 2 4 7 7" xfId="2485" xr:uid="{00000000-0005-0000-0000-0000FA100000}"/>
    <cellStyle name="Normal 2 4 7 7 2" xfId="6769" xr:uid="{00000000-0005-0000-0000-0000FB100000}"/>
    <cellStyle name="Normal 2 4 7 7 2 2" xfId="15211" xr:uid="{56BA5E6C-8792-4734-935A-17CEC8BECA94}"/>
    <cellStyle name="Normal 2 4 7 7 3" xfId="10993" xr:uid="{8F65D245-E465-414F-ABDD-8EA4C775852B}"/>
    <cellStyle name="Normal 2 4 7 8" xfId="4703" xr:uid="{00000000-0005-0000-0000-0000FC100000}"/>
    <cellStyle name="Normal 2 4 7 8 2" xfId="13145" xr:uid="{DB7C82EE-04DE-4F10-8CE6-CE29F5415B0C}"/>
    <cellStyle name="Normal 2 4 7 9" xfId="8927" xr:uid="{382FA981-C53B-4130-86CA-FDE7DEA624AA}"/>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2 2 2" xfId="15706" xr:uid="{55B089D8-35DB-4CDC-915F-9CE125C96FCF}"/>
    <cellStyle name="Normal 2 4 8 2 2 3" xfId="11488" xr:uid="{E0FBD203-3555-4E4A-A4D9-7824E59F9F90}"/>
    <cellStyle name="Normal 2 4 8 2 3" xfId="5119" xr:uid="{00000000-0005-0000-0000-000001110000}"/>
    <cellStyle name="Normal 2 4 8 2 3 2" xfId="13561" xr:uid="{18596394-A12A-49A1-8943-BDFB0884B45A}"/>
    <cellStyle name="Normal 2 4 8 2 4" xfId="9343" xr:uid="{A5673962-7C7E-45F2-A830-A47BF96B2E55}"/>
    <cellStyle name="Normal 2 4 8 3" xfId="1224" xr:uid="{00000000-0005-0000-0000-000002110000}"/>
    <cellStyle name="Normal 2 4 8 3 2" xfId="3454" xr:uid="{00000000-0005-0000-0000-000003110000}"/>
    <cellStyle name="Normal 2 4 8 3 2 2" xfId="7677" xr:uid="{00000000-0005-0000-0000-000004110000}"/>
    <cellStyle name="Normal 2 4 8 3 2 2 2" xfId="16119" xr:uid="{36915069-60DA-4CFE-AB57-EE5B216980AC}"/>
    <cellStyle name="Normal 2 4 8 3 2 3" xfId="11901" xr:uid="{E3F621AE-EC74-4783-A226-EFE73CA8D8A8}"/>
    <cellStyle name="Normal 2 4 8 3 3" xfId="5532" xr:uid="{00000000-0005-0000-0000-000005110000}"/>
    <cellStyle name="Normal 2 4 8 3 3 2" xfId="13974" xr:uid="{24DD9715-E692-44DC-9857-B6C7D4691B7D}"/>
    <cellStyle name="Normal 2 4 8 3 4" xfId="9756" xr:uid="{8981AD71-7338-459D-BBDA-9F03E79F2010}"/>
    <cellStyle name="Normal 2 4 8 4" xfId="1637" xr:uid="{00000000-0005-0000-0000-000006110000}"/>
    <cellStyle name="Normal 2 4 8 4 2" xfId="3867" xr:uid="{00000000-0005-0000-0000-000007110000}"/>
    <cellStyle name="Normal 2 4 8 4 2 2" xfId="8090" xr:uid="{00000000-0005-0000-0000-000008110000}"/>
    <cellStyle name="Normal 2 4 8 4 2 2 2" xfId="16532" xr:uid="{9A442CB3-DBE5-44E5-9C63-F6B490E35C56}"/>
    <cellStyle name="Normal 2 4 8 4 2 3" xfId="12314" xr:uid="{46B80A7A-61A5-4669-9AD0-C326201B880C}"/>
    <cellStyle name="Normal 2 4 8 4 3" xfId="5945" xr:uid="{00000000-0005-0000-0000-000009110000}"/>
    <cellStyle name="Normal 2 4 8 4 3 2" xfId="14387" xr:uid="{2F311075-A83E-414F-897A-DCFE1A81C056}"/>
    <cellStyle name="Normal 2 4 8 4 4" xfId="10169" xr:uid="{450C1B5D-039C-4A59-8BCA-7A4211926ACD}"/>
    <cellStyle name="Normal 2 4 8 5" xfId="2051" xr:uid="{00000000-0005-0000-0000-00000A110000}"/>
    <cellStyle name="Normal 2 4 8 5 2" xfId="4280" xr:uid="{00000000-0005-0000-0000-00000B110000}"/>
    <cellStyle name="Normal 2 4 8 5 2 2" xfId="8503" xr:uid="{00000000-0005-0000-0000-00000C110000}"/>
    <cellStyle name="Normal 2 4 8 5 2 2 2" xfId="16945" xr:uid="{3EF4738F-DD75-41A3-9137-B390131E7106}"/>
    <cellStyle name="Normal 2 4 8 5 2 3" xfId="12727" xr:uid="{EA68C1F8-181C-4351-A9DA-C9BB64A3FB2E}"/>
    <cellStyle name="Normal 2 4 8 5 3" xfId="6358" xr:uid="{00000000-0005-0000-0000-00000D110000}"/>
    <cellStyle name="Normal 2 4 8 5 3 2" xfId="14800" xr:uid="{76BF79CD-904C-4D0A-8563-476F6E1CA8A5}"/>
    <cellStyle name="Normal 2 4 8 5 4" xfId="10582" xr:uid="{BDF689A5-5EFE-46B0-A509-1E709ED22463}"/>
    <cellStyle name="Normal 2 4 8 6" xfId="2487" xr:uid="{00000000-0005-0000-0000-00000E110000}"/>
    <cellStyle name="Normal 2 4 8 6 2" xfId="6771" xr:uid="{00000000-0005-0000-0000-00000F110000}"/>
    <cellStyle name="Normal 2 4 8 6 2 2" xfId="15213" xr:uid="{9F557512-9DFE-4732-BEFE-8F206E35ADD1}"/>
    <cellStyle name="Normal 2 4 8 6 3" xfId="10995" xr:uid="{2AFF358C-C74A-4C98-A8FF-419C7BE2F25F}"/>
    <cellStyle name="Normal 2 4 8 7" xfId="4705" xr:uid="{00000000-0005-0000-0000-000010110000}"/>
    <cellStyle name="Normal 2 4 8 7 2" xfId="13147" xr:uid="{7F3BADED-5A4D-4ADD-8E6D-E5055A43C56E}"/>
    <cellStyle name="Normal 2 4 8 8" xfId="8929" xr:uid="{16765B21-176F-4592-8F15-0D2F95D39875}"/>
    <cellStyle name="Normal 2 5" xfId="315" xr:uid="{00000000-0005-0000-0000-000011110000}"/>
    <cellStyle name="Normal 2 5 10" xfId="4706" xr:uid="{00000000-0005-0000-0000-000012110000}"/>
    <cellStyle name="Normal 2 5 10 2" xfId="13148" xr:uid="{2B0A6056-48D1-4566-A758-BC37C0B71B14}"/>
    <cellStyle name="Normal 2 5 11" xfId="8930" xr:uid="{2E27DD33-4171-433B-ACC4-40BC4F0C8E45}"/>
    <cellStyle name="Normal 2 5 2" xfId="316" xr:uid="{00000000-0005-0000-0000-000013110000}"/>
    <cellStyle name="Normal 2 5 3" xfId="317" xr:uid="{00000000-0005-0000-0000-000014110000}"/>
    <cellStyle name="Normal 2 5 4" xfId="318" xr:uid="{00000000-0005-0000-0000-000015110000}"/>
    <cellStyle name="Normal 2 5 4 10" xfId="8931" xr:uid="{C955C0A4-CB04-4819-8417-95404E6A4816}"/>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15710" xr:uid="{858BE48E-098A-4E20-BB62-4795508810B0}"/>
    <cellStyle name="Normal 2 5 4 2 2 2 2 3" xfId="11492" xr:uid="{331F8036-B2F1-47C7-AB46-53D880115A8D}"/>
    <cellStyle name="Normal 2 5 4 2 2 2 3" xfId="5123" xr:uid="{00000000-0005-0000-0000-00001B110000}"/>
    <cellStyle name="Normal 2 5 4 2 2 2 3 2" xfId="13565" xr:uid="{DFFDADC2-253A-4897-B034-EF9D62A61146}"/>
    <cellStyle name="Normal 2 5 4 2 2 2 4" xfId="9347" xr:uid="{BDEE8D66-A1B0-46F7-A4BC-01BA71545FF7}"/>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16123" xr:uid="{C0822137-F572-475E-A4A1-DBCDB322A0AE}"/>
    <cellStyle name="Normal 2 5 4 2 2 3 2 3" xfId="11905" xr:uid="{5691C5D6-B7C3-4BDC-A25D-5BFD1AB6BE1E}"/>
    <cellStyle name="Normal 2 5 4 2 2 3 3" xfId="5536" xr:uid="{00000000-0005-0000-0000-00001F110000}"/>
    <cellStyle name="Normal 2 5 4 2 2 3 3 2" xfId="13978" xr:uid="{988407AB-08D8-4381-8A7F-42D7A4CDB799}"/>
    <cellStyle name="Normal 2 5 4 2 2 3 4" xfId="9760" xr:uid="{C17D0BC5-39CC-4D7B-A7C4-AC8E070838E8}"/>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16536" xr:uid="{E5F47848-DAA5-4A6D-BE48-D49AB12F6803}"/>
    <cellStyle name="Normal 2 5 4 2 2 4 2 3" xfId="12318" xr:uid="{CEA99462-57CE-44F2-9600-190AEF127088}"/>
    <cellStyle name="Normal 2 5 4 2 2 4 3" xfId="5949" xr:uid="{00000000-0005-0000-0000-000023110000}"/>
    <cellStyle name="Normal 2 5 4 2 2 4 3 2" xfId="14391" xr:uid="{456A9FF5-B65E-43ED-BC60-544DD783C05F}"/>
    <cellStyle name="Normal 2 5 4 2 2 4 4" xfId="10173" xr:uid="{A0A20AAF-1F75-4E1E-B382-583D3EAE3CC6}"/>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16949" xr:uid="{914C666A-BE64-48D2-8CBB-9E1CAD04FC17}"/>
    <cellStyle name="Normal 2 5 4 2 2 5 2 3" xfId="12731" xr:uid="{F2DE7909-097B-4449-BEB2-79359C3C1E83}"/>
    <cellStyle name="Normal 2 5 4 2 2 5 3" xfId="6362" xr:uid="{00000000-0005-0000-0000-000027110000}"/>
    <cellStyle name="Normal 2 5 4 2 2 5 3 2" xfId="14804" xr:uid="{C251C52B-E966-47B6-A685-2C0EDBC38291}"/>
    <cellStyle name="Normal 2 5 4 2 2 5 4" xfId="10586" xr:uid="{AC20ABF2-181E-4F27-A121-508F050F3672}"/>
    <cellStyle name="Normal 2 5 4 2 2 6" xfId="2491" xr:uid="{00000000-0005-0000-0000-000028110000}"/>
    <cellStyle name="Normal 2 5 4 2 2 6 2" xfId="6775" xr:uid="{00000000-0005-0000-0000-000029110000}"/>
    <cellStyle name="Normal 2 5 4 2 2 6 2 2" xfId="15217" xr:uid="{2E8462F5-585A-462F-8A0A-CE8B65E25531}"/>
    <cellStyle name="Normal 2 5 4 2 2 6 3" xfId="10999" xr:uid="{D322C351-6D7A-407B-AE57-82E7D63B631C}"/>
    <cellStyle name="Normal 2 5 4 2 2 7" xfId="4709" xr:uid="{00000000-0005-0000-0000-00002A110000}"/>
    <cellStyle name="Normal 2 5 4 2 2 7 2" xfId="13151" xr:uid="{27ECFEF7-93D8-4AC2-B862-93B100175C82}"/>
    <cellStyle name="Normal 2 5 4 2 2 8" xfId="8933" xr:uid="{64200BF5-F8C7-4B80-9B43-9458542CD929}"/>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15709" xr:uid="{2402FEFB-E85C-4A6E-8ED7-ABFA5D0A632B}"/>
    <cellStyle name="Normal 2 5 4 2 3 2 3" xfId="11491" xr:uid="{2B4F3642-BB45-43A1-A26F-8134BE0C1E4A}"/>
    <cellStyle name="Normal 2 5 4 2 3 3" xfId="5122" xr:uid="{00000000-0005-0000-0000-00002E110000}"/>
    <cellStyle name="Normal 2 5 4 2 3 3 2" xfId="13564" xr:uid="{9758DE5F-E3B1-4C7A-A570-9AE3F3821B84}"/>
    <cellStyle name="Normal 2 5 4 2 3 4" xfId="9346" xr:uid="{310191DA-C0BC-43C5-9B8C-57544A9415F3}"/>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16122" xr:uid="{32C1C9FE-45F5-4203-9060-64220123FABF}"/>
    <cellStyle name="Normal 2 5 4 2 4 2 3" xfId="11904" xr:uid="{9CEEE6F3-DC3C-422D-89BC-29A0DFEBE528}"/>
    <cellStyle name="Normal 2 5 4 2 4 3" xfId="5535" xr:uid="{00000000-0005-0000-0000-000032110000}"/>
    <cellStyle name="Normal 2 5 4 2 4 3 2" xfId="13977" xr:uid="{636812D0-CC1F-4B07-8361-32BF1153DB99}"/>
    <cellStyle name="Normal 2 5 4 2 4 4" xfId="9759" xr:uid="{D1663824-9AD6-49FB-AE01-C6CA2A1F60FC}"/>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16535" xr:uid="{0C40AE84-64E9-4642-BF9E-579CC51DF04B}"/>
    <cellStyle name="Normal 2 5 4 2 5 2 3" xfId="12317" xr:uid="{1A85A6B4-AC87-473B-A047-9E1BE84964E3}"/>
    <cellStyle name="Normal 2 5 4 2 5 3" xfId="5948" xr:uid="{00000000-0005-0000-0000-000036110000}"/>
    <cellStyle name="Normal 2 5 4 2 5 3 2" xfId="14390" xr:uid="{04CB5F8E-3BA3-43BF-B79E-71FA240BE36D}"/>
    <cellStyle name="Normal 2 5 4 2 5 4" xfId="10172" xr:uid="{FE5BEFFE-B091-4EF6-80A1-D8F68931D8F2}"/>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16948" xr:uid="{8DE301F4-83EA-4FC9-A21C-3267AC9DD0E1}"/>
    <cellStyle name="Normal 2 5 4 2 6 2 3" xfId="12730" xr:uid="{EAE05241-AE52-4A9A-9B4B-89E68E6A0AD6}"/>
    <cellStyle name="Normal 2 5 4 2 6 3" xfId="6361" xr:uid="{00000000-0005-0000-0000-00003A110000}"/>
    <cellStyle name="Normal 2 5 4 2 6 3 2" xfId="14803" xr:uid="{2CF7172C-3FBB-4D09-BCB5-E0AF6DE37418}"/>
    <cellStyle name="Normal 2 5 4 2 6 4" xfId="10585" xr:uid="{5FA44997-76D2-4746-9593-2FFC315128C9}"/>
    <cellStyle name="Normal 2 5 4 2 7" xfId="2490" xr:uid="{00000000-0005-0000-0000-00003B110000}"/>
    <cellStyle name="Normal 2 5 4 2 7 2" xfId="6774" xr:uid="{00000000-0005-0000-0000-00003C110000}"/>
    <cellStyle name="Normal 2 5 4 2 7 2 2" xfId="15216" xr:uid="{D05901BE-158E-4062-AD15-DF12B85EF709}"/>
    <cellStyle name="Normal 2 5 4 2 7 3" xfId="10998" xr:uid="{06959897-D52A-4AB8-9F14-B6B7BC77D5FB}"/>
    <cellStyle name="Normal 2 5 4 2 8" xfId="4708" xr:uid="{00000000-0005-0000-0000-00003D110000}"/>
    <cellStyle name="Normal 2 5 4 2 8 2" xfId="13150" xr:uid="{C2751065-FB93-4961-96A9-FAC0D9BFD424}"/>
    <cellStyle name="Normal 2 5 4 2 9" xfId="8932" xr:uid="{B7DF8286-60AA-47AE-A814-224C277D2123}"/>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15711" xr:uid="{BEF590C8-78C8-418D-A281-F074714F5F3D}"/>
    <cellStyle name="Normal 2 5 4 3 2 2 3" xfId="11493" xr:uid="{9E53AA0E-E631-49F3-89B0-8B91E3973259}"/>
    <cellStyle name="Normal 2 5 4 3 2 3" xfId="5124" xr:uid="{00000000-0005-0000-0000-000042110000}"/>
    <cellStyle name="Normal 2 5 4 3 2 3 2" xfId="13566" xr:uid="{84836562-A8B6-48CD-B58B-11C6A47190D0}"/>
    <cellStyle name="Normal 2 5 4 3 2 4" xfId="9348" xr:uid="{B26C0001-D32D-4656-A29A-52C85925BEE7}"/>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16124" xr:uid="{A3AA2EB6-D9D7-4D8C-A0B5-44F8968BE2D7}"/>
    <cellStyle name="Normal 2 5 4 3 3 2 3" xfId="11906" xr:uid="{1F931CED-C33C-4766-A6C5-9112F15F7358}"/>
    <cellStyle name="Normal 2 5 4 3 3 3" xfId="5537" xr:uid="{00000000-0005-0000-0000-000046110000}"/>
    <cellStyle name="Normal 2 5 4 3 3 3 2" xfId="13979" xr:uid="{D655C7DE-07A6-4836-A04F-9F70C1477FFA}"/>
    <cellStyle name="Normal 2 5 4 3 3 4" xfId="9761" xr:uid="{3BF0A9FE-4DB3-4C7B-A319-0BFB914C1461}"/>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16537" xr:uid="{FC25AB68-EBE7-4CDB-B819-474933C8115F}"/>
    <cellStyle name="Normal 2 5 4 3 4 2 3" xfId="12319" xr:uid="{030062AF-9F0B-4F8C-90BC-CE1B9894B610}"/>
    <cellStyle name="Normal 2 5 4 3 4 3" xfId="5950" xr:uid="{00000000-0005-0000-0000-00004A110000}"/>
    <cellStyle name="Normal 2 5 4 3 4 3 2" xfId="14392" xr:uid="{96DEA78A-B172-4FFD-A27F-146835ACAD51}"/>
    <cellStyle name="Normal 2 5 4 3 4 4" xfId="10174" xr:uid="{B03B0970-28A7-4499-97CB-B7D306DC8302}"/>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16950" xr:uid="{CE01CA18-DE26-4F69-B892-FF1C0D353982}"/>
    <cellStyle name="Normal 2 5 4 3 5 2 3" xfId="12732" xr:uid="{60B974F1-F160-45B0-8CB0-88F45603B7DF}"/>
    <cellStyle name="Normal 2 5 4 3 5 3" xfId="6363" xr:uid="{00000000-0005-0000-0000-00004E110000}"/>
    <cellStyle name="Normal 2 5 4 3 5 3 2" xfId="14805" xr:uid="{5F8F0A24-E544-4653-8DC7-91AB74B950BD}"/>
    <cellStyle name="Normal 2 5 4 3 5 4" xfId="10587" xr:uid="{A061511F-1B0D-4414-99D9-5A3ECCA60864}"/>
    <cellStyle name="Normal 2 5 4 3 6" xfId="2492" xr:uid="{00000000-0005-0000-0000-00004F110000}"/>
    <cellStyle name="Normal 2 5 4 3 6 2" xfId="6776" xr:uid="{00000000-0005-0000-0000-000050110000}"/>
    <cellStyle name="Normal 2 5 4 3 6 2 2" xfId="15218" xr:uid="{4150606D-CDA8-4503-87AF-A02B6DE94BF9}"/>
    <cellStyle name="Normal 2 5 4 3 6 3" xfId="11000" xr:uid="{27759F6F-BA6A-4CF6-B012-1E12B98ADC70}"/>
    <cellStyle name="Normal 2 5 4 3 7" xfId="4710" xr:uid="{00000000-0005-0000-0000-000051110000}"/>
    <cellStyle name="Normal 2 5 4 3 7 2" xfId="13152" xr:uid="{37D9E4F1-0D5C-4289-A708-305D81BF9557}"/>
    <cellStyle name="Normal 2 5 4 3 8" xfId="8934" xr:uid="{CAD0DE78-16E7-4A8F-9FE7-0030509A10C3}"/>
    <cellStyle name="Normal 2 5 4 4" xfId="804" xr:uid="{00000000-0005-0000-0000-000052110000}"/>
    <cellStyle name="Normal 2 5 4 4 2" xfId="3043" xr:uid="{00000000-0005-0000-0000-000053110000}"/>
    <cellStyle name="Normal 2 5 4 4 2 2" xfId="7266" xr:uid="{00000000-0005-0000-0000-000054110000}"/>
    <cellStyle name="Normal 2 5 4 4 2 2 2" xfId="15708" xr:uid="{01EFA170-82FD-4B8B-85A9-00DBF2E02030}"/>
    <cellStyle name="Normal 2 5 4 4 2 3" xfId="11490" xr:uid="{25199FB5-AB57-4E98-A1F8-A3094B337F70}"/>
    <cellStyle name="Normal 2 5 4 4 3" xfId="5121" xr:uid="{00000000-0005-0000-0000-000055110000}"/>
    <cellStyle name="Normal 2 5 4 4 3 2" xfId="13563" xr:uid="{D55D1178-9061-460C-8C7A-483BCF62D9F3}"/>
    <cellStyle name="Normal 2 5 4 4 4" xfId="9345" xr:uid="{77DCB08F-9427-41C3-A9F9-C68ED5A151A7}"/>
    <cellStyle name="Normal 2 5 4 5" xfId="1226" xr:uid="{00000000-0005-0000-0000-000056110000}"/>
    <cellStyle name="Normal 2 5 4 5 2" xfId="3456" xr:uid="{00000000-0005-0000-0000-000057110000}"/>
    <cellStyle name="Normal 2 5 4 5 2 2" xfId="7679" xr:uid="{00000000-0005-0000-0000-000058110000}"/>
    <cellStyle name="Normal 2 5 4 5 2 2 2" xfId="16121" xr:uid="{FCEF5326-0077-4BA3-8B30-C685F72AFAE9}"/>
    <cellStyle name="Normal 2 5 4 5 2 3" xfId="11903" xr:uid="{F9C640EA-3055-428E-A8BE-A4E8EE9935CA}"/>
    <cellStyle name="Normal 2 5 4 5 3" xfId="5534" xr:uid="{00000000-0005-0000-0000-000059110000}"/>
    <cellStyle name="Normal 2 5 4 5 3 2" xfId="13976" xr:uid="{0917576C-9A43-4D52-90FF-0137E49654CC}"/>
    <cellStyle name="Normal 2 5 4 5 4" xfId="9758" xr:uid="{20A8DB1C-A679-4881-9274-1252995C4706}"/>
    <cellStyle name="Normal 2 5 4 6" xfId="1639" xr:uid="{00000000-0005-0000-0000-00005A110000}"/>
    <cellStyle name="Normal 2 5 4 6 2" xfId="3869" xr:uid="{00000000-0005-0000-0000-00005B110000}"/>
    <cellStyle name="Normal 2 5 4 6 2 2" xfId="8092" xr:uid="{00000000-0005-0000-0000-00005C110000}"/>
    <cellStyle name="Normal 2 5 4 6 2 2 2" xfId="16534" xr:uid="{507CE3EF-6B77-4A2B-B16A-CB89CD9C3B2F}"/>
    <cellStyle name="Normal 2 5 4 6 2 3" xfId="12316" xr:uid="{850E6E1A-4884-48CE-8404-9FF734A35FC3}"/>
    <cellStyle name="Normal 2 5 4 6 3" xfId="5947" xr:uid="{00000000-0005-0000-0000-00005D110000}"/>
    <cellStyle name="Normal 2 5 4 6 3 2" xfId="14389" xr:uid="{4BA24D3E-67BA-4A5C-B37A-C75E9731CF48}"/>
    <cellStyle name="Normal 2 5 4 6 4" xfId="10171" xr:uid="{FEC10BFC-D99E-4D80-BE78-7F5D6541DA04}"/>
    <cellStyle name="Normal 2 5 4 7" xfId="2053" xr:uid="{00000000-0005-0000-0000-00005E110000}"/>
    <cellStyle name="Normal 2 5 4 7 2" xfId="4282" xr:uid="{00000000-0005-0000-0000-00005F110000}"/>
    <cellStyle name="Normal 2 5 4 7 2 2" xfId="8505" xr:uid="{00000000-0005-0000-0000-000060110000}"/>
    <cellStyle name="Normal 2 5 4 7 2 2 2" xfId="16947" xr:uid="{2449AB37-418E-48BD-80C2-96BBAF60F09A}"/>
    <cellStyle name="Normal 2 5 4 7 2 3" xfId="12729" xr:uid="{9445F0A9-7105-4E92-95DB-CA40ADC75120}"/>
    <cellStyle name="Normal 2 5 4 7 3" xfId="6360" xr:uid="{00000000-0005-0000-0000-000061110000}"/>
    <cellStyle name="Normal 2 5 4 7 3 2" xfId="14802" xr:uid="{4B06DE50-C0EA-4A55-A8A8-F497459A97D0}"/>
    <cellStyle name="Normal 2 5 4 7 4" xfId="10584" xr:uid="{925E6A33-6C24-49FC-B324-10D5C3360057}"/>
    <cellStyle name="Normal 2 5 4 8" xfId="2489" xr:uid="{00000000-0005-0000-0000-000062110000}"/>
    <cellStyle name="Normal 2 5 4 8 2" xfId="6773" xr:uid="{00000000-0005-0000-0000-000063110000}"/>
    <cellStyle name="Normal 2 5 4 8 2 2" xfId="15215" xr:uid="{09EB0F5C-6C8D-41AC-9C7F-62F2A80CD910}"/>
    <cellStyle name="Normal 2 5 4 8 3" xfId="10997" xr:uid="{68DF1E79-611D-46DD-8E3C-8DDD1A16D66E}"/>
    <cellStyle name="Normal 2 5 4 9" xfId="4707" xr:uid="{00000000-0005-0000-0000-000064110000}"/>
    <cellStyle name="Normal 2 5 4 9 2" xfId="13149" xr:uid="{10071659-F79F-42D2-85BE-6BD2DA0FDA98}"/>
    <cellStyle name="Normal 2 5 5" xfId="803" xr:uid="{00000000-0005-0000-0000-000065110000}"/>
    <cellStyle name="Normal 2 5 5 2" xfId="3042" xr:uid="{00000000-0005-0000-0000-000066110000}"/>
    <cellStyle name="Normal 2 5 5 2 2" xfId="7265" xr:uid="{00000000-0005-0000-0000-000067110000}"/>
    <cellStyle name="Normal 2 5 5 2 2 2" xfId="15707" xr:uid="{DC0C6BA2-BB97-4858-BCEE-4134FDC4161F}"/>
    <cellStyle name="Normal 2 5 5 2 3" xfId="11489" xr:uid="{549DC3B8-A8CE-4C16-BFDB-9DCFBBFECC86}"/>
    <cellStyle name="Normal 2 5 5 3" xfId="5120" xr:uid="{00000000-0005-0000-0000-000068110000}"/>
    <cellStyle name="Normal 2 5 5 3 2" xfId="13562" xr:uid="{6C99815A-E1F8-425C-A31D-B7955FD22430}"/>
    <cellStyle name="Normal 2 5 5 4" xfId="9344" xr:uid="{BAE02FFF-8A3F-41E1-952F-FF6A40FF94B5}"/>
    <cellStyle name="Normal 2 5 6" xfId="1225" xr:uid="{00000000-0005-0000-0000-000069110000}"/>
    <cellStyle name="Normal 2 5 6 2" xfId="3455" xr:uid="{00000000-0005-0000-0000-00006A110000}"/>
    <cellStyle name="Normal 2 5 6 2 2" xfId="7678" xr:uid="{00000000-0005-0000-0000-00006B110000}"/>
    <cellStyle name="Normal 2 5 6 2 2 2" xfId="16120" xr:uid="{D282ADE4-E977-419F-81EE-EFD7B4E87830}"/>
    <cellStyle name="Normal 2 5 6 2 3" xfId="11902" xr:uid="{5C30C66E-81C1-4AA3-B58C-B8E96B1CD926}"/>
    <cellStyle name="Normal 2 5 6 3" xfId="5533" xr:uid="{00000000-0005-0000-0000-00006C110000}"/>
    <cellStyle name="Normal 2 5 6 3 2" xfId="13975" xr:uid="{3E34415E-A2E0-4E73-94B9-7E173356E932}"/>
    <cellStyle name="Normal 2 5 6 4" xfId="9757" xr:uid="{203756ED-6322-480F-937D-4F94DA48B479}"/>
    <cellStyle name="Normal 2 5 7" xfId="1638" xr:uid="{00000000-0005-0000-0000-00006D110000}"/>
    <cellStyle name="Normal 2 5 7 2" xfId="3868" xr:uid="{00000000-0005-0000-0000-00006E110000}"/>
    <cellStyle name="Normal 2 5 7 2 2" xfId="8091" xr:uid="{00000000-0005-0000-0000-00006F110000}"/>
    <cellStyle name="Normal 2 5 7 2 2 2" xfId="16533" xr:uid="{8A7A22C9-9000-4F19-8844-1722D6A8883B}"/>
    <cellStyle name="Normal 2 5 7 2 3" xfId="12315" xr:uid="{71EE4C41-BC5E-4355-B595-BD032E24401F}"/>
    <cellStyle name="Normal 2 5 7 3" xfId="5946" xr:uid="{00000000-0005-0000-0000-000070110000}"/>
    <cellStyle name="Normal 2 5 7 3 2" xfId="14388" xr:uid="{F9F179FF-794F-4AC4-A444-1810054509DA}"/>
    <cellStyle name="Normal 2 5 7 4" xfId="10170" xr:uid="{7268604E-65CE-4850-BED4-57557CA3D3CE}"/>
    <cellStyle name="Normal 2 5 8" xfId="2052" xr:uid="{00000000-0005-0000-0000-000071110000}"/>
    <cellStyle name="Normal 2 5 8 2" xfId="4281" xr:uid="{00000000-0005-0000-0000-000072110000}"/>
    <cellStyle name="Normal 2 5 8 2 2" xfId="8504" xr:uid="{00000000-0005-0000-0000-000073110000}"/>
    <cellStyle name="Normal 2 5 8 2 2 2" xfId="16946" xr:uid="{43067403-F28B-4E1F-90C5-6A0F4D029C44}"/>
    <cellStyle name="Normal 2 5 8 2 3" xfId="12728" xr:uid="{BA7A97D6-CEBD-422B-B664-9A2F40393E53}"/>
    <cellStyle name="Normal 2 5 8 3" xfId="6359" xr:uid="{00000000-0005-0000-0000-000074110000}"/>
    <cellStyle name="Normal 2 5 8 3 2" xfId="14801" xr:uid="{7776DBDD-988A-4C35-B4BB-7F70CA801204}"/>
    <cellStyle name="Normal 2 5 8 4" xfId="10583" xr:uid="{E1AAAEAA-9E47-44D1-BC45-7DA4BE7084D7}"/>
    <cellStyle name="Normal 2 5 9" xfId="2488" xr:uid="{00000000-0005-0000-0000-000075110000}"/>
    <cellStyle name="Normal 2 5 9 2" xfId="6772" xr:uid="{00000000-0005-0000-0000-000076110000}"/>
    <cellStyle name="Normal 2 5 9 2 2" xfId="15214" xr:uid="{42FAE389-B48D-4254-A856-F23CA80638FB}"/>
    <cellStyle name="Normal 2 5 9 3" xfId="10996" xr:uid="{DFC679FB-08CC-4263-AFA1-1C889F45F26F}"/>
    <cellStyle name="Normal 2 6" xfId="322" xr:uid="{00000000-0005-0000-0000-000077110000}"/>
    <cellStyle name="Normal 2 7" xfId="769" xr:uid="{00000000-0005-0000-0000-000078110000}"/>
    <cellStyle name="Normal 2 8" xfId="4495" xr:uid="{00000000-0005-0000-0000-000079110000}"/>
    <cellStyle name="Normal 2 8 2" xfId="12940" xr:uid="{EEB999EE-E611-4B91-9947-C8C9EA8C762A}"/>
    <cellStyle name="Normal 3" xfId="323" xr:uid="{00000000-0005-0000-0000-00007A110000}"/>
    <cellStyle name="Normal 3 2" xfId="324" xr:uid="{00000000-0005-0000-0000-00007B110000}"/>
    <cellStyle name="Normal 3 2 10" xfId="8935" xr:uid="{E9D657CF-7A10-4D13-9959-3230B4685340}"/>
    <cellStyle name="Normal 3 2 2" xfId="325" xr:uid="{00000000-0005-0000-0000-00007C110000}"/>
    <cellStyle name="Normal 3 2 2 2" xfId="810" xr:uid="{00000000-0005-0000-0000-00007D110000}"/>
    <cellStyle name="Normal 3 2 3" xfId="326" xr:uid="{00000000-0005-0000-0000-00007E110000}"/>
    <cellStyle name="Normal 3 2 3 10" xfId="8936" xr:uid="{69DD87BD-7280-4D1B-BE6A-F8AC28547C15}"/>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15715" xr:uid="{4986AD2C-874E-4545-9F05-C4955C7ECE66}"/>
    <cellStyle name="Normal 3 2 3 2 2 2 2 3" xfId="11497" xr:uid="{70DE942A-EE84-49D2-8953-DB2858B727CE}"/>
    <cellStyle name="Normal 3 2 3 2 2 2 3" xfId="5128" xr:uid="{00000000-0005-0000-0000-000084110000}"/>
    <cellStyle name="Normal 3 2 3 2 2 2 3 2" xfId="13570" xr:uid="{52C4384E-7AD2-44ED-B428-13776C81473A}"/>
    <cellStyle name="Normal 3 2 3 2 2 2 4" xfId="9352" xr:uid="{0C4CF293-BD3B-4F9B-983F-E92E2FDC6C5D}"/>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16128" xr:uid="{25244CDB-A07D-4D73-961C-7918348E7E21}"/>
    <cellStyle name="Normal 3 2 3 2 2 3 2 3" xfId="11910" xr:uid="{5D5B0768-025F-401F-BD9E-D7AB33BABE0F}"/>
    <cellStyle name="Normal 3 2 3 2 2 3 3" xfId="5541" xr:uid="{00000000-0005-0000-0000-000088110000}"/>
    <cellStyle name="Normal 3 2 3 2 2 3 3 2" xfId="13983" xr:uid="{8C36C5DF-B5CC-4D07-8801-18F285729136}"/>
    <cellStyle name="Normal 3 2 3 2 2 3 4" xfId="9765" xr:uid="{8DB2AAA0-57EB-4519-BF3E-786F41DA0AAF}"/>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16541" xr:uid="{38840C85-63CE-42DF-AB08-F9E5555194EE}"/>
    <cellStyle name="Normal 3 2 3 2 2 4 2 3" xfId="12323" xr:uid="{2B984951-A73D-427B-A75D-7292E6BDA745}"/>
    <cellStyle name="Normal 3 2 3 2 2 4 3" xfId="5954" xr:uid="{00000000-0005-0000-0000-00008C110000}"/>
    <cellStyle name="Normal 3 2 3 2 2 4 3 2" xfId="14396" xr:uid="{D976888C-3FB7-4660-87FE-3D3A749D5576}"/>
    <cellStyle name="Normal 3 2 3 2 2 4 4" xfId="10178" xr:uid="{297E8008-964C-474A-BB05-6A130E3A4AF1}"/>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16954" xr:uid="{B46C1B3D-A7CF-426A-945E-692C8C6AC29C}"/>
    <cellStyle name="Normal 3 2 3 2 2 5 2 3" xfId="12736" xr:uid="{E45C674F-C9BE-400B-BF0E-D40D1DF2AE0A}"/>
    <cellStyle name="Normal 3 2 3 2 2 5 3" xfId="6367" xr:uid="{00000000-0005-0000-0000-000090110000}"/>
    <cellStyle name="Normal 3 2 3 2 2 5 3 2" xfId="14809" xr:uid="{1555D876-27CA-4BAC-9156-093AB8FB54C4}"/>
    <cellStyle name="Normal 3 2 3 2 2 5 4" xfId="10591" xr:uid="{803245DC-F9ED-43AF-9B65-0307553F2855}"/>
    <cellStyle name="Normal 3 2 3 2 2 6" xfId="2496" xr:uid="{00000000-0005-0000-0000-000091110000}"/>
    <cellStyle name="Normal 3 2 3 2 2 6 2" xfId="6780" xr:uid="{00000000-0005-0000-0000-000092110000}"/>
    <cellStyle name="Normal 3 2 3 2 2 6 2 2" xfId="15222" xr:uid="{433AAB91-AFF2-4118-A9D2-29121B956AD9}"/>
    <cellStyle name="Normal 3 2 3 2 2 6 3" xfId="11004" xr:uid="{CF153B38-2467-414A-A9D7-9B1423B5F264}"/>
    <cellStyle name="Normal 3 2 3 2 2 7" xfId="4714" xr:uid="{00000000-0005-0000-0000-000093110000}"/>
    <cellStyle name="Normal 3 2 3 2 2 7 2" xfId="13156" xr:uid="{359F7B1B-0756-40CC-B6DA-AA46EB443ADA}"/>
    <cellStyle name="Normal 3 2 3 2 2 8" xfId="8938" xr:uid="{D959C2B1-1173-4E9F-9786-E1C8C9DE30A6}"/>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15714" xr:uid="{BE0DA5CB-102A-4FFE-BDEC-2F93A1A32483}"/>
    <cellStyle name="Normal 3 2 3 2 3 2 3" xfId="11496" xr:uid="{BBF8BDF4-3585-47D4-B167-55AE2ADB3370}"/>
    <cellStyle name="Normal 3 2 3 2 3 3" xfId="5127" xr:uid="{00000000-0005-0000-0000-000097110000}"/>
    <cellStyle name="Normal 3 2 3 2 3 3 2" xfId="13569" xr:uid="{632A60E9-033E-4274-A5E9-017B2FF1BD2A}"/>
    <cellStyle name="Normal 3 2 3 2 3 4" xfId="9351" xr:uid="{EA89B5E1-E748-4CCE-A227-8A657FDFB414}"/>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16127" xr:uid="{D78FD0E6-DD1B-46F3-B591-B6FBD3A9CFB3}"/>
    <cellStyle name="Normal 3 2 3 2 4 2 3" xfId="11909" xr:uid="{2D494F2C-8D12-40B8-A71E-20B4CE764EA8}"/>
    <cellStyle name="Normal 3 2 3 2 4 3" xfId="5540" xr:uid="{00000000-0005-0000-0000-00009B110000}"/>
    <cellStyle name="Normal 3 2 3 2 4 3 2" xfId="13982" xr:uid="{248B9F4C-F77F-41BA-ABCE-6A1BCC8343CB}"/>
    <cellStyle name="Normal 3 2 3 2 4 4" xfId="9764" xr:uid="{45AEEB65-C52F-4872-AA9B-4D5DA8C3C165}"/>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16540" xr:uid="{7D77E8E8-1B27-4859-B495-395C7DA16A87}"/>
    <cellStyle name="Normal 3 2 3 2 5 2 3" xfId="12322" xr:uid="{472682CD-45B1-47FB-8AE5-A7F9482C2445}"/>
    <cellStyle name="Normal 3 2 3 2 5 3" xfId="5953" xr:uid="{00000000-0005-0000-0000-00009F110000}"/>
    <cellStyle name="Normal 3 2 3 2 5 3 2" xfId="14395" xr:uid="{A355FABF-5A1B-4A13-A4AB-D76A5A2872ED}"/>
    <cellStyle name="Normal 3 2 3 2 5 4" xfId="10177" xr:uid="{7F5BC902-7894-4408-8DFF-E21BEF67FE66}"/>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16953" xr:uid="{C17FAA76-A99F-4BE3-B052-A8C59796CAAC}"/>
    <cellStyle name="Normal 3 2 3 2 6 2 3" xfId="12735" xr:uid="{AC5C84B7-E0E4-46A9-A74B-4C108F6FB9ED}"/>
    <cellStyle name="Normal 3 2 3 2 6 3" xfId="6366" xr:uid="{00000000-0005-0000-0000-0000A3110000}"/>
    <cellStyle name="Normal 3 2 3 2 6 3 2" xfId="14808" xr:uid="{E8B2AA37-B875-40B1-8097-3D73ED752BD3}"/>
    <cellStyle name="Normal 3 2 3 2 6 4" xfId="10590" xr:uid="{CFD90166-B332-4506-A5EA-08B51FAAE571}"/>
    <cellStyle name="Normal 3 2 3 2 7" xfId="2495" xr:uid="{00000000-0005-0000-0000-0000A4110000}"/>
    <cellStyle name="Normal 3 2 3 2 7 2" xfId="6779" xr:uid="{00000000-0005-0000-0000-0000A5110000}"/>
    <cellStyle name="Normal 3 2 3 2 7 2 2" xfId="15221" xr:uid="{A2A4EF9C-2F6E-4CF5-9A71-061B64DD370E}"/>
    <cellStyle name="Normal 3 2 3 2 7 3" xfId="11003" xr:uid="{213F2DC4-1751-41F5-BE24-6D3261572886}"/>
    <cellStyle name="Normal 3 2 3 2 8" xfId="4713" xr:uid="{00000000-0005-0000-0000-0000A6110000}"/>
    <cellStyle name="Normal 3 2 3 2 8 2" xfId="13155" xr:uid="{F4F2ACF1-6F4C-451B-BD67-BF7514F92BFD}"/>
    <cellStyle name="Normal 3 2 3 2 9" xfId="8937" xr:uid="{FCD8A9D8-3DB9-4786-BF0A-EFB684AE4F1A}"/>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15716" xr:uid="{0FC0BF3C-8311-4BE0-928F-B5EE7841BC60}"/>
    <cellStyle name="Normal 3 2 3 3 2 2 3" xfId="11498" xr:uid="{C1D50305-C3B6-41AE-B048-34B21D1BFDED}"/>
    <cellStyle name="Normal 3 2 3 3 2 3" xfId="5129" xr:uid="{00000000-0005-0000-0000-0000AB110000}"/>
    <cellStyle name="Normal 3 2 3 3 2 3 2" xfId="13571" xr:uid="{09D4A00B-242B-4420-8DBD-C4F491063326}"/>
    <cellStyle name="Normal 3 2 3 3 2 4" xfId="9353" xr:uid="{54E2DEEC-1224-4431-A4D3-9E2979F9AE40}"/>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16129" xr:uid="{2EBEBDD3-2D6D-4009-8F23-9F842B0A56D5}"/>
    <cellStyle name="Normal 3 2 3 3 3 2 3" xfId="11911" xr:uid="{2A9BB115-3BBC-4FEF-B6B4-F51CB6207913}"/>
    <cellStyle name="Normal 3 2 3 3 3 3" xfId="5542" xr:uid="{00000000-0005-0000-0000-0000AF110000}"/>
    <cellStyle name="Normal 3 2 3 3 3 3 2" xfId="13984" xr:uid="{7255E3EB-8E67-48EB-84B1-BC3789DAB53E}"/>
    <cellStyle name="Normal 3 2 3 3 3 4" xfId="9766" xr:uid="{02C28219-BF35-4FF7-AA67-18E6725F066A}"/>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16542" xr:uid="{F8DA9B30-306C-4A88-B30E-A4B3A88F543E}"/>
    <cellStyle name="Normal 3 2 3 3 4 2 3" xfId="12324" xr:uid="{CE42993C-8F41-484C-BA18-DE095C6B5C6A}"/>
    <cellStyle name="Normal 3 2 3 3 4 3" xfId="5955" xr:uid="{00000000-0005-0000-0000-0000B3110000}"/>
    <cellStyle name="Normal 3 2 3 3 4 3 2" xfId="14397" xr:uid="{A6313F61-8A19-4B1E-A3A8-E3F0A93B9FA1}"/>
    <cellStyle name="Normal 3 2 3 3 4 4" xfId="10179" xr:uid="{0AE1266F-4802-4C0D-AECC-D3231F9FD01B}"/>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16955" xr:uid="{9DF94159-802B-4E11-BDED-3AD323BE81C3}"/>
    <cellStyle name="Normal 3 2 3 3 5 2 3" xfId="12737" xr:uid="{90BD9105-F07B-48F0-91F3-582A5723C3AB}"/>
    <cellStyle name="Normal 3 2 3 3 5 3" xfId="6368" xr:uid="{00000000-0005-0000-0000-0000B7110000}"/>
    <cellStyle name="Normal 3 2 3 3 5 3 2" xfId="14810" xr:uid="{B42A3A24-901A-4F54-B62D-5F0B8966CF90}"/>
    <cellStyle name="Normal 3 2 3 3 5 4" xfId="10592" xr:uid="{E6E119B0-D000-42A0-893E-E84F903CE9FD}"/>
    <cellStyle name="Normal 3 2 3 3 6" xfId="2497" xr:uid="{00000000-0005-0000-0000-0000B8110000}"/>
    <cellStyle name="Normal 3 2 3 3 6 2" xfId="6781" xr:uid="{00000000-0005-0000-0000-0000B9110000}"/>
    <cellStyle name="Normal 3 2 3 3 6 2 2" xfId="15223" xr:uid="{B47EE232-DEAA-4D77-A58A-E7C4E10A49F3}"/>
    <cellStyle name="Normal 3 2 3 3 6 3" xfId="11005" xr:uid="{89E38551-9115-419D-B321-CFB30C9BDE37}"/>
    <cellStyle name="Normal 3 2 3 3 7" xfId="4715" xr:uid="{00000000-0005-0000-0000-0000BA110000}"/>
    <cellStyle name="Normal 3 2 3 3 7 2" xfId="13157" xr:uid="{EEF5DB54-87DD-4CE4-9DB3-4E77151B801A}"/>
    <cellStyle name="Normal 3 2 3 3 8" xfId="8939" xr:uid="{E18BC356-DAA0-40AD-9D12-563F8D9E5D17}"/>
    <cellStyle name="Normal 3 2 3 4" xfId="811" xr:uid="{00000000-0005-0000-0000-0000BB110000}"/>
    <cellStyle name="Normal 3 2 3 4 2" xfId="3048" xr:uid="{00000000-0005-0000-0000-0000BC110000}"/>
    <cellStyle name="Normal 3 2 3 4 2 2" xfId="7271" xr:uid="{00000000-0005-0000-0000-0000BD110000}"/>
    <cellStyle name="Normal 3 2 3 4 2 2 2" xfId="15713" xr:uid="{DF62F2A0-1D80-48B5-A27F-9F2DA6A81A9E}"/>
    <cellStyle name="Normal 3 2 3 4 2 3" xfId="11495" xr:uid="{95C8D2BF-FE53-4E27-A9F8-8BC050B546F6}"/>
    <cellStyle name="Normal 3 2 3 4 3" xfId="5126" xr:uid="{00000000-0005-0000-0000-0000BE110000}"/>
    <cellStyle name="Normal 3 2 3 4 3 2" xfId="13568" xr:uid="{53E6F7F4-6346-4A2B-BC13-DD121E731C7C}"/>
    <cellStyle name="Normal 3 2 3 4 4" xfId="9350" xr:uid="{D225DF25-F2BB-41BE-B353-E729C75D14BC}"/>
    <cellStyle name="Normal 3 2 3 5" xfId="1231" xr:uid="{00000000-0005-0000-0000-0000BF110000}"/>
    <cellStyle name="Normal 3 2 3 5 2" xfId="3461" xr:uid="{00000000-0005-0000-0000-0000C0110000}"/>
    <cellStyle name="Normal 3 2 3 5 2 2" xfId="7684" xr:uid="{00000000-0005-0000-0000-0000C1110000}"/>
    <cellStyle name="Normal 3 2 3 5 2 2 2" xfId="16126" xr:uid="{812FEF36-3328-46A2-85DA-F2FB6DA8CEDE}"/>
    <cellStyle name="Normal 3 2 3 5 2 3" xfId="11908" xr:uid="{5AB05081-0D2E-4332-9A06-8BCAB9AB90B1}"/>
    <cellStyle name="Normal 3 2 3 5 3" xfId="5539" xr:uid="{00000000-0005-0000-0000-0000C2110000}"/>
    <cellStyle name="Normal 3 2 3 5 3 2" xfId="13981" xr:uid="{6B62AA8D-5575-4523-B613-935AAA1839FF}"/>
    <cellStyle name="Normal 3 2 3 5 4" xfId="9763" xr:uid="{3EF6D2B8-5F5D-47E4-BB48-D142C653FEDD}"/>
    <cellStyle name="Normal 3 2 3 6" xfId="1644" xr:uid="{00000000-0005-0000-0000-0000C3110000}"/>
    <cellStyle name="Normal 3 2 3 6 2" xfId="3874" xr:uid="{00000000-0005-0000-0000-0000C4110000}"/>
    <cellStyle name="Normal 3 2 3 6 2 2" xfId="8097" xr:uid="{00000000-0005-0000-0000-0000C5110000}"/>
    <cellStyle name="Normal 3 2 3 6 2 2 2" xfId="16539" xr:uid="{25258453-F3BF-4696-9511-4F645904F75F}"/>
    <cellStyle name="Normal 3 2 3 6 2 3" xfId="12321" xr:uid="{51CD57EA-6114-4D28-A3D1-E413D5AE7FAC}"/>
    <cellStyle name="Normal 3 2 3 6 3" xfId="5952" xr:uid="{00000000-0005-0000-0000-0000C6110000}"/>
    <cellStyle name="Normal 3 2 3 6 3 2" xfId="14394" xr:uid="{7462ABE1-F581-4760-A74D-23F2055A7C7B}"/>
    <cellStyle name="Normal 3 2 3 6 4" xfId="10176" xr:uid="{99928895-622D-4EAD-B26A-0BCDD4F08310}"/>
    <cellStyle name="Normal 3 2 3 7" xfId="2058" xr:uid="{00000000-0005-0000-0000-0000C7110000}"/>
    <cellStyle name="Normal 3 2 3 7 2" xfId="4287" xr:uid="{00000000-0005-0000-0000-0000C8110000}"/>
    <cellStyle name="Normal 3 2 3 7 2 2" xfId="8510" xr:uid="{00000000-0005-0000-0000-0000C9110000}"/>
    <cellStyle name="Normal 3 2 3 7 2 2 2" xfId="16952" xr:uid="{547B15A5-580C-4AD6-83E5-89F87953790E}"/>
    <cellStyle name="Normal 3 2 3 7 2 3" xfId="12734" xr:uid="{566D78FF-03D6-44F2-9B34-2B95D963A3A2}"/>
    <cellStyle name="Normal 3 2 3 7 3" xfId="6365" xr:uid="{00000000-0005-0000-0000-0000CA110000}"/>
    <cellStyle name="Normal 3 2 3 7 3 2" xfId="14807" xr:uid="{52135583-753E-48C6-A8BA-D130185F475C}"/>
    <cellStyle name="Normal 3 2 3 7 4" xfId="10589" xr:uid="{36453ADE-DE0A-44D2-B6B4-5B5B47B741EC}"/>
    <cellStyle name="Normal 3 2 3 8" xfId="2494" xr:uid="{00000000-0005-0000-0000-0000CB110000}"/>
    <cellStyle name="Normal 3 2 3 8 2" xfId="6778" xr:uid="{00000000-0005-0000-0000-0000CC110000}"/>
    <cellStyle name="Normal 3 2 3 8 2 2" xfId="15220" xr:uid="{96E817BE-FD60-469F-ADA8-EA9B93FA9234}"/>
    <cellStyle name="Normal 3 2 3 8 3" xfId="11002" xr:uid="{6A57017C-1623-438E-ACD5-EED8DD41DF42}"/>
    <cellStyle name="Normal 3 2 3 9" xfId="4712" xr:uid="{00000000-0005-0000-0000-0000CD110000}"/>
    <cellStyle name="Normal 3 2 3 9 2" xfId="13154" xr:uid="{02641550-ACB1-4AB6-BC9F-B24CEBE5C798}"/>
    <cellStyle name="Normal 3 2 4" xfId="809" xr:uid="{00000000-0005-0000-0000-0000CE110000}"/>
    <cellStyle name="Normal 3 2 4 2" xfId="3047" xr:uid="{00000000-0005-0000-0000-0000CF110000}"/>
    <cellStyle name="Normal 3 2 4 2 2" xfId="7270" xr:uid="{00000000-0005-0000-0000-0000D0110000}"/>
    <cellStyle name="Normal 3 2 4 2 2 2" xfId="15712" xr:uid="{A25998FF-D9B6-43F7-AC8F-05D37F453A32}"/>
    <cellStyle name="Normal 3 2 4 2 3" xfId="11494" xr:uid="{B7EA5AE3-4FEF-48D5-8972-B531FB07FF27}"/>
    <cellStyle name="Normal 3 2 4 3" xfId="5125" xr:uid="{00000000-0005-0000-0000-0000D1110000}"/>
    <cellStyle name="Normal 3 2 4 3 2" xfId="13567" xr:uid="{BCDC1F07-AD4A-4058-97D2-B7F7F96A383C}"/>
    <cellStyle name="Normal 3 2 4 4" xfId="9349" xr:uid="{AB0371D0-1C3A-404A-82C5-66D7F54C682E}"/>
    <cellStyle name="Normal 3 2 5" xfId="1230" xr:uid="{00000000-0005-0000-0000-0000D2110000}"/>
    <cellStyle name="Normal 3 2 5 2" xfId="3460" xr:uid="{00000000-0005-0000-0000-0000D3110000}"/>
    <cellStyle name="Normal 3 2 5 2 2" xfId="7683" xr:uid="{00000000-0005-0000-0000-0000D4110000}"/>
    <cellStyle name="Normal 3 2 5 2 2 2" xfId="16125" xr:uid="{6B152A74-B836-40E7-8F74-AFBEB6693156}"/>
    <cellStyle name="Normal 3 2 5 2 3" xfId="11907" xr:uid="{10727AE7-FE7D-4679-B577-472F62EF5403}"/>
    <cellStyle name="Normal 3 2 5 3" xfId="5538" xr:uid="{00000000-0005-0000-0000-0000D5110000}"/>
    <cellStyle name="Normal 3 2 5 3 2" xfId="13980" xr:uid="{7AE98F59-7BDE-46D8-BBCB-E6DF90043B39}"/>
    <cellStyle name="Normal 3 2 5 4" xfId="9762" xr:uid="{D5345ECC-E82A-4A68-B3A5-7A030D8E0D67}"/>
    <cellStyle name="Normal 3 2 6" xfId="1643" xr:uid="{00000000-0005-0000-0000-0000D6110000}"/>
    <cellStyle name="Normal 3 2 6 2" xfId="3873" xr:uid="{00000000-0005-0000-0000-0000D7110000}"/>
    <cellStyle name="Normal 3 2 6 2 2" xfId="8096" xr:uid="{00000000-0005-0000-0000-0000D8110000}"/>
    <cellStyle name="Normal 3 2 6 2 2 2" xfId="16538" xr:uid="{8959B107-5574-4B10-971F-E398526A9576}"/>
    <cellStyle name="Normal 3 2 6 2 3" xfId="12320" xr:uid="{C181E090-F3D8-4352-8D24-A35C5D74947A}"/>
    <cellStyle name="Normal 3 2 6 3" xfId="5951" xr:uid="{00000000-0005-0000-0000-0000D9110000}"/>
    <cellStyle name="Normal 3 2 6 3 2" xfId="14393" xr:uid="{C1F4EE12-C979-4DBA-9683-A49DB3C108CD}"/>
    <cellStyle name="Normal 3 2 6 4" xfId="10175" xr:uid="{F080E600-8EA7-4708-9F8D-A61ADA0F39D7}"/>
    <cellStyle name="Normal 3 2 7" xfId="2057" xr:uid="{00000000-0005-0000-0000-0000DA110000}"/>
    <cellStyle name="Normal 3 2 7 2" xfId="4286" xr:uid="{00000000-0005-0000-0000-0000DB110000}"/>
    <cellStyle name="Normal 3 2 7 2 2" xfId="8509" xr:uid="{00000000-0005-0000-0000-0000DC110000}"/>
    <cellStyle name="Normal 3 2 7 2 2 2" xfId="16951" xr:uid="{AFB1A03F-2493-4692-9ACC-21D0E78CBA12}"/>
    <cellStyle name="Normal 3 2 7 2 3" xfId="12733" xr:uid="{DD11C099-B614-4A91-B1A4-4F1756698E6D}"/>
    <cellStyle name="Normal 3 2 7 3" xfId="6364" xr:uid="{00000000-0005-0000-0000-0000DD110000}"/>
    <cellStyle name="Normal 3 2 7 3 2" xfId="14806" xr:uid="{72BA02AF-A03C-4C73-8C83-795466EB8F54}"/>
    <cellStyle name="Normal 3 2 7 4" xfId="10588" xr:uid="{4C123B3B-1879-41F3-8F9B-E051782FD465}"/>
    <cellStyle name="Normal 3 2 8" xfId="2493" xr:uid="{00000000-0005-0000-0000-0000DE110000}"/>
    <cellStyle name="Normal 3 2 8 2" xfId="6777" xr:uid="{00000000-0005-0000-0000-0000DF110000}"/>
    <cellStyle name="Normal 3 2 8 2 2" xfId="15219" xr:uid="{C6368BF1-DCC5-4751-BE52-8289CFB9A705}"/>
    <cellStyle name="Normal 3 2 8 3" xfId="11001" xr:uid="{25F45B91-B8EF-4AC2-B3B6-7044CB6687D2}"/>
    <cellStyle name="Normal 3 2 9" xfId="4711" xr:uid="{00000000-0005-0000-0000-0000E0110000}"/>
    <cellStyle name="Normal 3 2 9 2" xfId="13153" xr:uid="{489B1A5D-C1AD-4ADA-9022-C23E447DDEB4}"/>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0" xr:uid="{0DD53890-48AF-4052-B891-D5BB955ED665}"/>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16956" xr:uid="{0B7953D0-377D-4774-AAD2-CF3DC66EF632}"/>
    <cellStyle name="Normal 4 2 2 10 2 3" xfId="12738" xr:uid="{F7E830FA-7891-453B-B4E9-AEDD3637FCCC}"/>
    <cellStyle name="Normal 4 2 2 10 3" xfId="6369" xr:uid="{00000000-0005-0000-0000-0000ED110000}"/>
    <cellStyle name="Normal 4 2 2 10 3 2" xfId="14811" xr:uid="{7E74DFB2-E128-451E-9131-6B89AE271876}"/>
    <cellStyle name="Normal 4 2 2 10 4" xfId="10593" xr:uid="{3AF86890-A3A6-4041-842F-EF83531ABD30}"/>
    <cellStyle name="Normal 4 2 2 11" xfId="2498" xr:uid="{00000000-0005-0000-0000-0000EE110000}"/>
    <cellStyle name="Normal 4 2 2 11 2" xfId="6782" xr:uid="{00000000-0005-0000-0000-0000EF110000}"/>
    <cellStyle name="Normal 4 2 2 11 2 2" xfId="15224" xr:uid="{1AD07DCD-A6B3-4716-9938-D3F62A745468}"/>
    <cellStyle name="Normal 4 2 2 11 3" xfId="11006" xr:uid="{21AFF460-7B6B-43C6-ACCE-35A15C433A11}"/>
    <cellStyle name="Normal 4 2 2 12" xfId="4717" xr:uid="{00000000-0005-0000-0000-0000F0110000}"/>
    <cellStyle name="Normal 4 2 2 12 2" xfId="13159" xr:uid="{AED408EA-993E-40FE-9AAC-BC12BD46C30A}"/>
    <cellStyle name="Normal 4 2 2 13" xfId="8941" xr:uid="{5B525F2B-0CD6-4474-B749-3ADF6BAB0D98}"/>
    <cellStyle name="Normal 4 2 2 2" xfId="338" xr:uid="{00000000-0005-0000-0000-0000F1110000}"/>
    <cellStyle name="Normal 4 2 2 3" xfId="339" xr:uid="{00000000-0005-0000-0000-0000F2110000}"/>
    <cellStyle name="Normal 4 2 2 3 10" xfId="4718" xr:uid="{00000000-0005-0000-0000-0000F3110000}"/>
    <cellStyle name="Normal 4 2 2 3 10 2" xfId="13160" xr:uid="{EA6F38BE-C80B-4778-848F-DCC125FED5B9}"/>
    <cellStyle name="Normal 4 2 2 3 11" xfId="8942" xr:uid="{E7438F5F-0AE2-41BA-ABC9-136E5FA623AC}"/>
    <cellStyle name="Normal 4 2 2 3 2" xfId="340" xr:uid="{00000000-0005-0000-0000-0000F4110000}"/>
    <cellStyle name="Normal 4 2 2 3 2 10" xfId="8943" xr:uid="{AC01241D-C781-4A5D-92B0-B42C12F291B2}"/>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15721" xr:uid="{30723C66-2ED2-42A2-B36C-55B96DD28E95}"/>
    <cellStyle name="Normal 4 2 2 3 2 2 2 2 2 3" xfId="11503" xr:uid="{CF943751-1EFA-41E8-92DB-FCF71BF7F4AE}"/>
    <cellStyle name="Normal 4 2 2 3 2 2 2 2 3" xfId="5134" xr:uid="{00000000-0005-0000-0000-0000FA110000}"/>
    <cellStyle name="Normal 4 2 2 3 2 2 2 2 3 2" xfId="13576" xr:uid="{43AAB3F1-A705-42CC-9AEB-361617B7E61D}"/>
    <cellStyle name="Normal 4 2 2 3 2 2 2 2 4" xfId="9358" xr:uid="{2E4E659E-96A8-41C6-8FF7-97967B7FB7E6}"/>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16134" xr:uid="{595FA766-33E1-4F8D-AF85-A44D57F28280}"/>
    <cellStyle name="Normal 4 2 2 3 2 2 2 3 2 3" xfId="11916" xr:uid="{F73ECFC7-BE12-45D6-AD73-63F71FC6F2C8}"/>
    <cellStyle name="Normal 4 2 2 3 2 2 2 3 3" xfId="5547" xr:uid="{00000000-0005-0000-0000-0000FE110000}"/>
    <cellStyle name="Normal 4 2 2 3 2 2 2 3 3 2" xfId="13989" xr:uid="{346278EA-F0A5-437B-9DE4-D8D7696A90C8}"/>
    <cellStyle name="Normal 4 2 2 3 2 2 2 3 4" xfId="9771" xr:uid="{15417D73-BC2E-4649-82BC-7D7A782A00EA}"/>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16547" xr:uid="{4D60BE81-1859-49D0-BA73-3B6990DDABE0}"/>
    <cellStyle name="Normal 4 2 2 3 2 2 2 4 2 3" xfId="12329" xr:uid="{68514940-A078-471A-8234-4685BA842E48}"/>
    <cellStyle name="Normal 4 2 2 3 2 2 2 4 3" xfId="5960" xr:uid="{00000000-0005-0000-0000-000002120000}"/>
    <cellStyle name="Normal 4 2 2 3 2 2 2 4 3 2" xfId="14402" xr:uid="{6D04EDAB-B17B-4A05-A0B9-B44B111A55EE}"/>
    <cellStyle name="Normal 4 2 2 3 2 2 2 4 4" xfId="10184" xr:uid="{13306A19-C98B-4867-A805-914817BC14D2}"/>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16960" xr:uid="{5A8A4F0D-15F1-4B85-B925-9C9C0D180895}"/>
    <cellStyle name="Normal 4 2 2 3 2 2 2 5 2 3" xfId="12742" xr:uid="{7436A53B-C28B-408E-9601-D318A47A79E5}"/>
    <cellStyle name="Normal 4 2 2 3 2 2 2 5 3" xfId="6373" xr:uid="{00000000-0005-0000-0000-000006120000}"/>
    <cellStyle name="Normal 4 2 2 3 2 2 2 5 3 2" xfId="14815" xr:uid="{252FF5E3-988F-40A6-8F97-6A9A37C8F41D}"/>
    <cellStyle name="Normal 4 2 2 3 2 2 2 5 4" xfId="10597" xr:uid="{02E083AD-666F-43F3-8D52-CEF18B53378F}"/>
    <cellStyle name="Normal 4 2 2 3 2 2 2 6" xfId="2502" xr:uid="{00000000-0005-0000-0000-000007120000}"/>
    <cellStyle name="Normal 4 2 2 3 2 2 2 6 2" xfId="6786" xr:uid="{00000000-0005-0000-0000-000008120000}"/>
    <cellStyle name="Normal 4 2 2 3 2 2 2 6 2 2" xfId="15228" xr:uid="{7B5FC25D-FC44-4EBF-97D1-DCDFBE5D8B46}"/>
    <cellStyle name="Normal 4 2 2 3 2 2 2 6 3" xfId="11010" xr:uid="{DB71890C-A502-438A-9A27-9951FF047413}"/>
    <cellStyle name="Normal 4 2 2 3 2 2 2 7" xfId="4721" xr:uid="{00000000-0005-0000-0000-000009120000}"/>
    <cellStyle name="Normal 4 2 2 3 2 2 2 7 2" xfId="13163" xr:uid="{D5D92890-1E44-4DC3-9904-7223EE4883FE}"/>
    <cellStyle name="Normal 4 2 2 3 2 2 2 8" xfId="8945" xr:uid="{02E7AF9A-0655-416A-AC5D-92B330C4D4B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15720" xr:uid="{9B02D147-6544-4495-9107-49B885F10377}"/>
    <cellStyle name="Normal 4 2 2 3 2 2 3 2 3" xfId="11502" xr:uid="{A6EE3362-3407-4137-BA8B-38DE9D232531}"/>
    <cellStyle name="Normal 4 2 2 3 2 2 3 3" xfId="5133" xr:uid="{00000000-0005-0000-0000-00000D120000}"/>
    <cellStyle name="Normal 4 2 2 3 2 2 3 3 2" xfId="13575" xr:uid="{9D24A102-A946-47F2-A1E8-8A77677C56CB}"/>
    <cellStyle name="Normal 4 2 2 3 2 2 3 4" xfId="9357" xr:uid="{DCA96EAD-CBB0-45E9-ADA9-C3A376EC024B}"/>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16133" xr:uid="{72AE17A7-29CE-4076-9CA4-19F25EFC8787}"/>
    <cellStyle name="Normal 4 2 2 3 2 2 4 2 3" xfId="11915" xr:uid="{713B6F1E-1621-40AA-910C-5BFD696265A9}"/>
    <cellStyle name="Normal 4 2 2 3 2 2 4 3" xfId="5546" xr:uid="{00000000-0005-0000-0000-000011120000}"/>
    <cellStyle name="Normal 4 2 2 3 2 2 4 3 2" xfId="13988" xr:uid="{40F2AE0C-342D-40EC-9374-A06FDE3E2753}"/>
    <cellStyle name="Normal 4 2 2 3 2 2 4 4" xfId="9770" xr:uid="{A72EF161-9E52-4166-969E-2FAACD81D24A}"/>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16546" xr:uid="{E3F4E9F3-32CC-4CF2-8A94-E4D5B708A802}"/>
    <cellStyle name="Normal 4 2 2 3 2 2 5 2 3" xfId="12328" xr:uid="{38AE1382-531B-4292-B0B2-9358888B5BC3}"/>
    <cellStyle name="Normal 4 2 2 3 2 2 5 3" xfId="5959" xr:uid="{00000000-0005-0000-0000-000015120000}"/>
    <cellStyle name="Normal 4 2 2 3 2 2 5 3 2" xfId="14401" xr:uid="{57FFC3CF-E716-4610-92D1-2F870B73D126}"/>
    <cellStyle name="Normal 4 2 2 3 2 2 5 4" xfId="10183" xr:uid="{81C93BCC-278A-47CE-9587-BBB6BDDFF288}"/>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16959" xr:uid="{4D76C16A-5112-4FEE-8371-42A9EC058AEC}"/>
    <cellStyle name="Normal 4 2 2 3 2 2 6 2 3" xfId="12741" xr:uid="{3009F4E1-D2F1-4D38-A698-A60677AB7B57}"/>
    <cellStyle name="Normal 4 2 2 3 2 2 6 3" xfId="6372" xr:uid="{00000000-0005-0000-0000-000019120000}"/>
    <cellStyle name="Normal 4 2 2 3 2 2 6 3 2" xfId="14814" xr:uid="{2508FA4D-2214-4890-A4C8-32E7274FAD76}"/>
    <cellStyle name="Normal 4 2 2 3 2 2 6 4" xfId="10596" xr:uid="{208E7907-F86D-4EEE-A7B9-8F87F6E1D0CB}"/>
    <cellStyle name="Normal 4 2 2 3 2 2 7" xfId="2501" xr:uid="{00000000-0005-0000-0000-00001A120000}"/>
    <cellStyle name="Normal 4 2 2 3 2 2 7 2" xfId="6785" xr:uid="{00000000-0005-0000-0000-00001B120000}"/>
    <cellStyle name="Normal 4 2 2 3 2 2 7 2 2" xfId="15227" xr:uid="{F3EE74DE-5BFD-47D7-B59F-88D20E7442FD}"/>
    <cellStyle name="Normal 4 2 2 3 2 2 7 3" xfId="11009" xr:uid="{33ED7B08-32DF-493F-848E-9D4A95E933F2}"/>
    <cellStyle name="Normal 4 2 2 3 2 2 8" xfId="4720" xr:uid="{00000000-0005-0000-0000-00001C120000}"/>
    <cellStyle name="Normal 4 2 2 3 2 2 8 2" xfId="13162" xr:uid="{8A8C9299-610B-4C95-834F-E3BCC5B20D03}"/>
    <cellStyle name="Normal 4 2 2 3 2 2 9" xfId="8944" xr:uid="{B15F01C9-4FCB-4E84-AE47-4280B148994C}"/>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15722" xr:uid="{0477431C-2B80-4B1E-8955-C390AEA7004B}"/>
    <cellStyle name="Normal 4 2 2 3 2 3 2 2 3" xfId="11504" xr:uid="{4E154B7B-F992-45DB-B98D-01348EB4CB79}"/>
    <cellStyle name="Normal 4 2 2 3 2 3 2 3" xfId="5135" xr:uid="{00000000-0005-0000-0000-000021120000}"/>
    <cellStyle name="Normal 4 2 2 3 2 3 2 3 2" xfId="13577" xr:uid="{D839B9F0-B8CE-4D67-8326-79DDB1509483}"/>
    <cellStyle name="Normal 4 2 2 3 2 3 2 4" xfId="9359" xr:uid="{AE093E9C-556C-4E4A-836B-F2AE1DACD744}"/>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16135" xr:uid="{E42A7E1C-5DF3-4EE1-8659-F4F4BF5F9411}"/>
    <cellStyle name="Normal 4 2 2 3 2 3 3 2 3" xfId="11917" xr:uid="{ECFE0649-6073-4F82-8C7A-DD38650446A3}"/>
    <cellStyle name="Normal 4 2 2 3 2 3 3 3" xfId="5548" xr:uid="{00000000-0005-0000-0000-000025120000}"/>
    <cellStyle name="Normal 4 2 2 3 2 3 3 3 2" xfId="13990" xr:uid="{E8E28248-F81C-4EC4-92D0-47CACB65E919}"/>
    <cellStyle name="Normal 4 2 2 3 2 3 3 4" xfId="9772" xr:uid="{693F4117-90E4-40B1-A816-996640CBCAC2}"/>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16548" xr:uid="{353E4893-B50E-4B78-A3EC-C9B5D8FC1643}"/>
    <cellStyle name="Normal 4 2 2 3 2 3 4 2 3" xfId="12330" xr:uid="{20DD54F5-AEE5-400C-A47A-527B7FDAB682}"/>
    <cellStyle name="Normal 4 2 2 3 2 3 4 3" xfId="5961" xr:uid="{00000000-0005-0000-0000-000029120000}"/>
    <cellStyle name="Normal 4 2 2 3 2 3 4 3 2" xfId="14403" xr:uid="{2808ADFC-8D8D-4920-82D4-C4DCBD396ECC}"/>
    <cellStyle name="Normal 4 2 2 3 2 3 4 4" xfId="10185" xr:uid="{EE4562AA-9043-4ADB-A628-614EC622ECFA}"/>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16961" xr:uid="{99BC4D28-2B69-46B9-B9FE-D53D7C1D04AD}"/>
    <cellStyle name="Normal 4 2 2 3 2 3 5 2 3" xfId="12743" xr:uid="{E3BFA042-AEA5-471D-A663-B56722155A4B}"/>
    <cellStyle name="Normal 4 2 2 3 2 3 5 3" xfId="6374" xr:uid="{00000000-0005-0000-0000-00002D120000}"/>
    <cellStyle name="Normal 4 2 2 3 2 3 5 3 2" xfId="14816" xr:uid="{EE9F3018-C8C5-4297-951D-BDAB0F6D9A8B}"/>
    <cellStyle name="Normal 4 2 2 3 2 3 5 4" xfId="10598" xr:uid="{5310054C-B8F7-49E6-AEF8-F8C0DDC9D54E}"/>
    <cellStyle name="Normal 4 2 2 3 2 3 6" xfId="2503" xr:uid="{00000000-0005-0000-0000-00002E120000}"/>
    <cellStyle name="Normal 4 2 2 3 2 3 6 2" xfId="6787" xr:uid="{00000000-0005-0000-0000-00002F120000}"/>
    <cellStyle name="Normal 4 2 2 3 2 3 6 2 2" xfId="15229" xr:uid="{7DEB8122-D30B-4E1F-9051-FB341624DF94}"/>
    <cellStyle name="Normal 4 2 2 3 2 3 6 3" xfId="11011" xr:uid="{0BF8B504-6382-4922-98A6-731D3A056F75}"/>
    <cellStyle name="Normal 4 2 2 3 2 3 7" xfId="4722" xr:uid="{00000000-0005-0000-0000-000030120000}"/>
    <cellStyle name="Normal 4 2 2 3 2 3 7 2" xfId="13164" xr:uid="{6B449053-D3CD-48D8-8ECF-DB86518BD9E0}"/>
    <cellStyle name="Normal 4 2 2 3 2 3 8" xfId="8946" xr:uid="{13D6F0E3-31C6-47E5-8865-FC39688D6EA2}"/>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15719" xr:uid="{DD1F8879-D763-4A67-8A60-64F2E8EA219E}"/>
    <cellStyle name="Normal 4 2 2 3 2 4 2 3" xfId="11501" xr:uid="{77FC3023-986B-41CF-BE4D-480AFE1EA42C}"/>
    <cellStyle name="Normal 4 2 2 3 2 4 3" xfId="5132" xr:uid="{00000000-0005-0000-0000-000034120000}"/>
    <cellStyle name="Normal 4 2 2 3 2 4 3 2" xfId="13574" xr:uid="{162DEBAC-6C16-4FE7-8AF2-6470F9EA6818}"/>
    <cellStyle name="Normal 4 2 2 3 2 4 4" xfId="9356" xr:uid="{D2C4FD77-EB4D-4E89-9095-B84DC3DEC99B}"/>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16132" xr:uid="{EC980D30-D811-410C-B4DD-F8C3783DB0EA}"/>
    <cellStyle name="Normal 4 2 2 3 2 5 2 3" xfId="11914" xr:uid="{B2324999-A1BB-4EA7-B7CF-E1E55C0F35BC}"/>
    <cellStyle name="Normal 4 2 2 3 2 5 3" xfId="5545" xr:uid="{00000000-0005-0000-0000-000038120000}"/>
    <cellStyle name="Normal 4 2 2 3 2 5 3 2" xfId="13987" xr:uid="{BE17F7D9-662A-4CB1-8FBA-305B065E4573}"/>
    <cellStyle name="Normal 4 2 2 3 2 5 4" xfId="9769" xr:uid="{94F8A48B-94A5-43BB-ABD2-8F7F250AFE1F}"/>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16545" xr:uid="{4D0E8C49-AFDE-4839-9EB4-08829D818D34}"/>
    <cellStyle name="Normal 4 2 2 3 2 6 2 3" xfId="12327" xr:uid="{A79B64EC-5873-4F36-8CDC-BA1C08CE21F1}"/>
    <cellStyle name="Normal 4 2 2 3 2 6 3" xfId="5958" xr:uid="{00000000-0005-0000-0000-00003C120000}"/>
    <cellStyle name="Normal 4 2 2 3 2 6 3 2" xfId="14400" xr:uid="{D824A425-477F-4352-A5BB-5CFA62A6784C}"/>
    <cellStyle name="Normal 4 2 2 3 2 6 4" xfId="10182" xr:uid="{BF5A8215-8C83-46AB-A395-203A7823455B}"/>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16958" xr:uid="{600BBCC8-DC7C-4A74-B738-C325261B09DD}"/>
    <cellStyle name="Normal 4 2 2 3 2 7 2 3" xfId="12740" xr:uid="{2EFAA7EF-6313-4751-836E-84272B408EC6}"/>
    <cellStyle name="Normal 4 2 2 3 2 7 3" xfId="6371" xr:uid="{00000000-0005-0000-0000-000040120000}"/>
    <cellStyle name="Normal 4 2 2 3 2 7 3 2" xfId="14813" xr:uid="{0BCD480F-3862-44E5-AAF9-949518186E10}"/>
    <cellStyle name="Normal 4 2 2 3 2 7 4" xfId="10595" xr:uid="{E0A3D607-D2C4-4B84-9F30-514BB2283B37}"/>
    <cellStyle name="Normal 4 2 2 3 2 8" xfId="2500" xr:uid="{00000000-0005-0000-0000-000041120000}"/>
    <cellStyle name="Normal 4 2 2 3 2 8 2" xfId="6784" xr:uid="{00000000-0005-0000-0000-000042120000}"/>
    <cellStyle name="Normal 4 2 2 3 2 8 2 2" xfId="15226" xr:uid="{EF2BBDDF-F17D-438B-9F5C-589450F2F6FA}"/>
    <cellStyle name="Normal 4 2 2 3 2 8 3" xfId="11008" xr:uid="{E38A292C-E1E1-4BEC-8B58-4CF89404BCAC}"/>
    <cellStyle name="Normal 4 2 2 3 2 9" xfId="4719" xr:uid="{00000000-0005-0000-0000-000043120000}"/>
    <cellStyle name="Normal 4 2 2 3 2 9 2" xfId="13161" xr:uid="{841BA83F-8FD8-4764-B77B-D382F8F5665F}"/>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15724" xr:uid="{E8DDBDDE-069B-4172-8034-8CD52D419183}"/>
    <cellStyle name="Normal 4 2 2 3 3 2 2 2 3" xfId="11506" xr:uid="{34F5FF7A-16E8-4518-AA5F-D084F95D7807}"/>
    <cellStyle name="Normal 4 2 2 3 3 2 2 3" xfId="5137" xr:uid="{00000000-0005-0000-0000-000049120000}"/>
    <cellStyle name="Normal 4 2 2 3 3 2 2 3 2" xfId="13579" xr:uid="{57C9D72A-70A3-488E-A660-E4C8305BAF85}"/>
    <cellStyle name="Normal 4 2 2 3 3 2 2 4" xfId="9361" xr:uid="{9DF30851-6453-48E5-8AD8-3888A9D62834}"/>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16137" xr:uid="{105D47AC-EE2C-46EF-9994-84A6DB1FFDCC}"/>
    <cellStyle name="Normal 4 2 2 3 3 2 3 2 3" xfId="11919" xr:uid="{0C18552B-032B-4832-A92D-DD4C84E4BBF7}"/>
    <cellStyle name="Normal 4 2 2 3 3 2 3 3" xfId="5550" xr:uid="{00000000-0005-0000-0000-00004D120000}"/>
    <cellStyle name="Normal 4 2 2 3 3 2 3 3 2" xfId="13992" xr:uid="{31AA085D-3770-4E22-AEBC-2B24AB17A75B}"/>
    <cellStyle name="Normal 4 2 2 3 3 2 3 4" xfId="9774" xr:uid="{F808EB03-FD8F-4E56-ADC0-D3F59DC43325}"/>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16550" xr:uid="{15C26E9A-8223-427F-8088-256BC945A423}"/>
    <cellStyle name="Normal 4 2 2 3 3 2 4 2 3" xfId="12332" xr:uid="{F913E0F5-394B-46A2-AED9-2A9C31AE46D3}"/>
    <cellStyle name="Normal 4 2 2 3 3 2 4 3" xfId="5963" xr:uid="{00000000-0005-0000-0000-000051120000}"/>
    <cellStyle name="Normal 4 2 2 3 3 2 4 3 2" xfId="14405" xr:uid="{4FC5AF2B-F6F3-439A-93A6-724170BDE6DD}"/>
    <cellStyle name="Normal 4 2 2 3 3 2 4 4" xfId="10187" xr:uid="{0FD20A92-F7BD-4DF8-B2E3-61678A827E2D}"/>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16963" xr:uid="{930702B6-FE53-4268-8F47-4C44EC0CE6A7}"/>
    <cellStyle name="Normal 4 2 2 3 3 2 5 2 3" xfId="12745" xr:uid="{575FDA93-DDB5-4FF5-9905-34B9325ACF0C}"/>
    <cellStyle name="Normal 4 2 2 3 3 2 5 3" xfId="6376" xr:uid="{00000000-0005-0000-0000-000055120000}"/>
    <cellStyle name="Normal 4 2 2 3 3 2 5 3 2" xfId="14818" xr:uid="{EE912EC3-850E-42C5-8B71-838134E7CE05}"/>
    <cellStyle name="Normal 4 2 2 3 3 2 5 4" xfId="10600" xr:uid="{685CAC8E-4F24-4976-A8E5-4DCB4F613EE9}"/>
    <cellStyle name="Normal 4 2 2 3 3 2 6" xfId="2505" xr:uid="{00000000-0005-0000-0000-000056120000}"/>
    <cellStyle name="Normal 4 2 2 3 3 2 6 2" xfId="6789" xr:uid="{00000000-0005-0000-0000-000057120000}"/>
    <cellStyle name="Normal 4 2 2 3 3 2 6 2 2" xfId="15231" xr:uid="{8D402F45-E779-4684-A7D6-25A5ECFA8A9C}"/>
    <cellStyle name="Normal 4 2 2 3 3 2 6 3" xfId="11013" xr:uid="{A840E1E9-E25E-44D6-9AE5-2B7163E3CE49}"/>
    <cellStyle name="Normal 4 2 2 3 3 2 7" xfId="4724" xr:uid="{00000000-0005-0000-0000-000058120000}"/>
    <cellStyle name="Normal 4 2 2 3 3 2 7 2" xfId="13166" xr:uid="{41E1E508-315B-4EDB-9453-94EE3465592E}"/>
    <cellStyle name="Normal 4 2 2 3 3 2 8" xfId="8948" xr:uid="{946641E1-9C49-4D0B-8636-02D920FE1DAF}"/>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15723" xr:uid="{54C6402D-77FA-47D3-9A88-7D7A262D5D8C}"/>
    <cellStyle name="Normal 4 2 2 3 3 3 2 3" xfId="11505" xr:uid="{4373E963-3467-48E4-A876-1E475C4AB876}"/>
    <cellStyle name="Normal 4 2 2 3 3 3 3" xfId="5136" xr:uid="{00000000-0005-0000-0000-00005C120000}"/>
    <cellStyle name="Normal 4 2 2 3 3 3 3 2" xfId="13578" xr:uid="{3779017D-FF27-4A41-AF0E-08EBBD3911CF}"/>
    <cellStyle name="Normal 4 2 2 3 3 3 4" xfId="9360" xr:uid="{A396380B-8BAD-456E-8512-815656A943B4}"/>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16136" xr:uid="{4CAA795C-90FA-4DF1-AE78-E8FCEE8B3B09}"/>
    <cellStyle name="Normal 4 2 2 3 3 4 2 3" xfId="11918" xr:uid="{88D5E7BB-B097-4682-AD49-DF772E9A3D8D}"/>
    <cellStyle name="Normal 4 2 2 3 3 4 3" xfId="5549" xr:uid="{00000000-0005-0000-0000-000060120000}"/>
    <cellStyle name="Normal 4 2 2 3 3 4 3 2" xfId="13991" xr:uid="{5DBC5E00-8D66-4A85-B5B7-8461BEC19588}"/>
    <cellStyle name="Normal 4 2 2 3 3 4 4" xfId="9773" xr:uid="{784C1B6C-A120-468F-9DFB-E6B3E2CC8756}"/>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16549" xr:uid="{082DEF43-D505-4DAF-B6C9-1C55FDE7A910}"/>
    <cellStyle name="Normal 4 2 2 3 3 5 2 3" xfId="12331" xr:uid="{B4773527-D12D-48A8-85D7-D625D3A5CC1B}"/>
    <cellStyle name="Normal 4 2 2 3 3 5 3" xfId="5962" xr:uid="{00000000-0005-0000-0000-000064120000}"/>
    <cellStyle name="Normal 4 2 2 3 3 5 3 2" xfId="14404" xr:uid="{34FA59C8-3A2B-46F2-BF37-CB377CD0A046}"/>
    <cellStyle name="Normal 4 2 2 3 3 5 4" xfId="10186" xr:uid="{E3BE15A8-0A07-4925-9131-244145BFB844}"/>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16962" xr:uid="{A7886A5F-4B74-4DD8-A6D7-80DB88A20957}"/>
    <cellStyle name="Normal 4 2 2 3 3 6 2 3" xfId="12744" xr:uid="{1BD3DAC8-A786-4875-97D5-15335A9EB4A2}"/>
    <cellStyle name="Normal 4 2 2 3 3 6 3" xfId="6375" xr:uid="{00000000-0005-0000-0000-000068120000}"/>
    <cellStyle name="Normal 4 2 2 3 3 6 3 2" xfId="14817" xr:uid="{08CCB2F3-7BD1-4B34-86A8-3711B434D571}"/>
    <cellStyle name="Normal 4 2 2 3 3 6 4" xfId="10599" xr:uid="{BC0625C8-C2A8-462E-A730-6393BA0BBB1B}"/>
    <cellStyle name="Normal 4 2 2 3 3 7" xfId="2504" xr:uid="{00000000-0005-0000-0000-000069120000}"/>
    <cellStyle name="Normal 4 2 2 3 3 7 2" xfId="6788" xr:uid="{00000000-0005-0000-0000-00006A120000}"/>
    <cellStyle name="Normal 4 2 2 3 3 7 2 2" xfId="15230" xr:uid="{9B634894-715F-4C7D-9B08-45D8C2ED9808}"/>
    <cellStyle name="Normal 4 2 2 3 3 7 3" xfId="11012" xr:uid="{DA8FC4D7-C0A6-4210-9E46-BEC85FB4C43A}"/>
    <cellStyle name="Normal 4 2 2 3 3 8" xfId="4723" xr:uid="{00000000-0005-0000-0000-00006B120000}"/>
    <cellStyle name="Normal 4 2 2 3 3 8 2" xfId="13165" xr:uid="{F4880DBC-350B-4B68-AA44-688D311DA338}"/>
    <cellStyle name="Normal 4 2 2 3 3 9" xfId="8947" xr:uid="{2A0860EA-FAFA-4EC8-B75F-F62740901478}"/>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15725" xr:uid="{8A7AFC1D-23FD-4C5A-9BEF-6138241D6E74}"/>
    <cellStyle name="Normal 4 2 2 3 4 2 2 3" xfId="11507" xr:uid="{A6CC33F6-CA33-42AE-BB84-C534620CAB4B}"/>
    <cellStyle name="Normal 4 2 2 3 4 2 3" xfId="5138" xr:uid="{00000000-0005-0000-0000-000070120000}"/>
    <cellStyle name="Normal 4 2 2 3 4 2 3 2" xfId="13580" xr:uid="{D12EBF0D-BF34-48F1-943D-56CC60AC0874}"/>
    <cellStyle name="Normal 4 2 2 3 4 2 4" xfId="9362" xr:uid="{1676972B-BCDB-407C-8DA0-4C8F4825760A}"/>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16138" xr:uid="{1B4E08ED-1BF7-445E-8B69-7BFED2EC7054}"/>
    <cellStyle name="Normal 4 2 2 3 4 3 2 3" xfId="11920" xr:uid="{52F950CD-8EBB-4FF0-A4A6-40433D21A51B}"/>
    <cellStyle name="Normal 4 2 2 3 4 3 3" xfId="5551" xr:uid="{00000000-0005-0000-0000-000074120000}"/>
    <cellStyle name="Normal 4 2 2 3 4 3 3 2" xfId="13993" xr:uid="{8CCD6172-BCE8-478F-BAEF-1C0BD4E80E6B}"/>
    <cellStyle name="Normal 4 2 2 3 4 3 4" xfId="9775" xr:uid="{D14B8C6F-1B73-4312-B979-CD70E911286F}"/>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16551" xr:uid="{1545CA9A-728B-4508-A6DE-45AFF7C48219}"/>
    <cellStyle name="Normal 4 2 2 3 4 4 2 3" xfId="12333" xr:uid="{2029E68C-6021-496C-B5B5-A60FF8D011AB}"/>
    <cellStyle name="Normal 4 2 2 3 4 4 3" xfId="5964" xr:uid="{00000000-0005-0000-0000-000078120000}"/>
    <cellStyle name="Normal 4 2 2 3 4 4 3 2" xfId="14406" xr:uid="{A76E4C81-A957-4B46-9D74-FB8A99DF661A}"/>
    <cellStyle name="Normal 4 2 2 3 4 4 4" xfId="10188" xr:uid="{3C7E535F-640C-4CE0-8E08-A9DB6BCBD07C}"/>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16964" xr:uid="{B04FFB46-6A67-457F-BB49-D93A094DD71D}"/>
    <cellStyle name="Normal 4 2 2 3 4 5 2 3" xfId="12746" xr:uid="{90013DFB-EF7E-4240-9606-920EFBDBF5BA}"/>
    <cellStyle name="Normal 4 2 2 3 4 5 3" xfId="6377" xr:uid="{00000000-0005-0000-0000-00007C120000}"/>
    <cellStyle name="Normal 4 2 2 3 4 5 3 2" xfId="14819" xr:uid="{59120B0B-4006-4AED-9408-5DE0B70906D4}"/>
    <cellStyle name="Normal 4 2 2 3 4 5 4" xfId="10601" xr:uid="{EE8FB7BF-1231-4C7D-8FCA-87742EDB9A53}"/>
    <cellStyle name="Normal 4 2 2 3 4 6" xfId="2506" xr:uid="{00000000-0005-0000-0000-00007D120000}"/>
    <cellStyle name="Normal 4 2 2 3 4 6 2" xfId="6790" xr:uid="{00000000-0005-0000-0000-00007E120000}"/>
    <cellStyle name="Normal 4 2 2 3 4 6 2 2" xfId="15232" xr:uid="{48438B6A-7AA4-4200-877A-2BEBFA9D4A10}"/>
    <cellStyle name="Normal 4 2 2 3 4 6 3" xfId="11014" xr:uid="{96B6C728-F06A-4ABD-9182-39651539AAD3}"/>
    <cellStyle name="Normal 4 2 2 3 4 7" xfId="4725" xr:uid="{00000000-0005-0000-0000-00007F120000}"/>
    <cellStyle name="Normal 4 2 2 3 4 7 2" xfId="13167" xr:uid="{0D2B8571-EFD0-4836-BB73-C00CB6CBBE42}"/>
    <cellStyle name="Normal 4 2 2 3 4 8" xfId="8949" xr:uid="{0D66FCA8-A21D-43D1-9E70-CA77FDD970F6}"/>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15718" xr:uid="{D2154DAB-2514-4F62-9821-57B59F08B059}"/>
    <cellStyle name="Normal 4 2 2 3 5 2 3" xfId="11500" xr:uid="{A7C21B4B-6B2A-4498-84C0-ECF04E53303C}"/>
    <cellStyle name="Normal 4 2 2 3 5 3" xfId="5131" xr:uid="{00000000-0005-0000-0000-000083120000}"/>
    <cellStyle name="Normal 4 2 2 3 5 3 2" xfId="13573" xr:uid="{90A03625-4B12-4B09-9413-4EBD1F9DCAD4}"/>
    <cellStyle name="Normal 4 2 2 3 5 4" xfId="9355" xr:uid="{0C1A6293-468B-497F-A228-0C2B344AD003}"/>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16131" xr:uid="{BEB3AFE6-16F5-4D8F-8E25-17376DE775B9}"/>
    <cellStyle name="Normal 4 2 2 3 6 2 3" xfId="11913" xr:uid="{1E169187-5D8D-40EC-B544-EFB625CDA491}"/>
    <cellStyle name="Normal 4 2 2 3 6 3" xfId="5544" xr:uid="{00000000-0005-0000-0000-000087120000}"/>
    <cellStyle name="Normal 4 2 2 3 6 3 2" xfId="13986" xr:uid="{83C724A1-3C68-4B62-898E-92AE6CBBF395}"/>
    <cellStyle name="Normal 4 2 2 3 6 4" xfId="9768" xr:uid="{C35A788E-35FC-4A5F-983F-DBCF4CFBEF00}"/>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16544" xr:uid="{AC7D18F2-9EE2-41A6-843D-6CD53E0CF899}"/>
    <cellStyle name="Normal 4 2 2 3 7 2 3" xfId="12326" xr:uid="{315C3CAB-A1C9-45CE-886F-686F68A0764F}"/>
    <cellStyle name="Normal 4 2 2 3 7 3" xfId="5957" xr:uid="{00000000-0005-0000-0000-00008B120000}"/>
    <cellStyle name="Normal 4 2 2 3 7 3 2" xfId="14399" xr:uid="{15AE3CF1-EA70-479D-B35F-BAB8AC4B59AD}"/>
    <cellStyle name="Normal 4 2 2 3 7 4" xfId="10181" xr:uid="{D4B4A868-10DD-47F1-8EC2-46D484145220}"/>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16957" xr:uid="{49A59D4D-89A1-42C1-930C-8005A7153DAD}"/>
    <cellStyle name="Normal 4 2 2 3 8 2 3" xfId="12739" xr:uid="{3BA65383-5C6D-414F-B85E-0464D52AF022}"/>
    <cellStyle name="Normal 4 2 2 3 8 3" xfId="6370" xr:uid="{00000000-0005-0000-0000-00008F120000}"/>
    <cellStyle name="Normal 4 2 2 3 8 3 2" xfId="14812" xr:uid="{657DFCF5-34C9-481D-9D54-6A36D6A0A6AE}"/>
    <cellStyle name="Normal 4 2 2 3 8 4" xfId="10594" xr:uid="{9B19387A-AF12-427D-B67E-E62A07CCE0F5}"/>
    <cellStyle name="Normal 4 2 2 3 9" xfId="2499" xr:uid="{00000000-0005-0000-0000-000090120000}"/>
    <cellStyle name="Normal 4 2 2 3 9 2" xfId="6783" xr:uid="{00000000-0005-0000-0000-000091120000}"/>
    <cellStyle name="Normal 4 2 2 3 9 2 2" xfId="15225" xr:uid="{18594079-ADD9-41D1-9999-5018191B0A24}"/>
    <cellStyle name="Normal 4 2 2 3 9 3" xfId="11007" xr:uid="{5EA73855-BCFD-4CA8-B22D-B17E9901FCBE}"/>
    <cellStyle name="Normal 4 2 2 4" xfId="347" xr:uid="{00000000-0005-0000-0000-000092120000}"/>
    <cellStyle name="Normal 4 2 2 4 10" xfId="8950" xr:uid="{E3D5A394-5E02-44AF-A926-593D5EE05D09}"/>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15728" xr:uid="{FBBA2A07-3499-413F-B025-E03FBD3189B5}"/>
    <cellStyle name="Normal 4 2 2 4 2 2 2 2 3" xfId="11510" xr:uid="{1DE641F2-C441-4629-BA44-1C10B3E03BAE}"/>
    <cellStyle name="Normal 4 2 2 4 2 2 2 3" xfId="5141" xr:uid="{00000000-0005-0000-0000-000098120000}"/>
    <cellStyle name="Normal 4 2 2 4 2 2 2 3 2" xfId="13583" xr:uid="{E3412182-AA09-4A17-B376-1C7D3056962A}"/>
    <cellStyle name="Normal 4 2 2 4 2 2 2 4" xfId="9365" xr:uid="{F7E1938C-D1BD-4A0F-B0E8-B9EC4CC20845}"/>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16141" xr:uid="{CECB23E8-3CAF-4F5F-AECD-6EFE50A9F581}"/>
    <cellStyle name="Normal 4 2 2 4 2 2 3 2 3" xfId="11923" xr:uid="{93364D10-1C5F-4425-A5A3-BEA6E28A80B8}"/>
    <cellStyle name="Normal 4 2 2 4 2 2 3 3" xfId="5554" xr:uid="{00000000-0005-0000-0000-00009C120000}"/>
    <cellStyle name="Normal 4 2 2 4 2 2 3 3 2" xfId="13996" xr:uid="{C5700034-D07A-466E-923A-4F30F9F1C258}"/>
    <cellStyle name="Normal 4 2 2 4 2 2 3 4" xfId="9778" xr:uid="{9D791D3C-1CFE-4885-8B47-793328D4FE3A}"/>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16554" xr:uid="{8DA1832D-FC87-4094-B74A-5E404BE2D2E7}"/>
    <cellStyle name="Normal 4 2 2 4 2 2 4 2 3" xfId="12336" xr:uid="{C9854843-1ED0-465B-8C4A-11BD76B00CE3}"/>
    <cellStyle name="Normal 4 2 2 4 2 2 4 3" xfId="5967" xr:uid="{00000000-0005-0000-0000-0000A0120000}"/>
    <cellStyle name="Normal 4 2 2 4 2 2 4 3 2" xfId="14409" xr:uid="{E63EF9D1-A041-4261-9207-E3F3243FEBE8}"/>
    <cellStyle name="Normal 4 2 2 4 2 2 4 4" xfId="10191" xr:uid="{9490DB78-F367-40AD-8A20-6FDE8F908A86}"/>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16967" xr:uid="{D4F5D9DC-816F-4FC6-A8E6-B7C9397B1C7B}"/>
    <cellStyle name="Normal 4 2 2 4 2 2 5 2 3" xfId="12749" xr:uid="{76276417-41F1-4FAA-BCAA-FFAAD0E936B3}"/>
    <cellStyle name="Normal 4 2 2 4 2 2 5 3" xfId="6380" xr:uid="{00000000-0005-0000-0000-0000A4120000}"/>
    <cellStyle name="Normal 4 2 2 4 2 2 5 3 2" xfId="14822" xr:uid="{C11E7BDE-6189-44A5-8FF5-E7E595600620}"/>
    <cellStyle name="Normal 4 2 2 4 2 2 5 4" xfId="10604" xr:uid="{830EE9F5-6902-4D7C-A15F-854789EAC888}"/>
    <cellStyle name="Normal 4 2 2 4 2 2 6" xfId="2509" xr:uid="{00000000-0005-0000-0000-0000A5120000}"/>
    <cellStyle name="Normal 4 2 2 4 2 2 6 2" xfId="6793" xr:uid="{00000000-0005-0000-0000-0000A6120000}"/>
    <cellStyle name="Normal 4 2 2 4 2 2 6 2 2" xfId="15235" xr:uid="{461852A9-B816-4E28-8277-82DF27E0E95D}"/>
    <cellStyle name="Normal 4 2 2 4 2 2 6 3" xfId="11017" xr:uid="{0218B91A-A9E7-41DA-9DC1-FC39CB347B43}"/>
    <cellStyle name="Normal 4 2 2 4 2 2 7" xfId="4728" xr:uid="{00000000-0005-0000-0000-0000A7120000}"/>
    <cellStyle name="Normal 4 2 2 4 2 2 7 2" xfId="13170" xr:uid="{AC8F967C-3D3A-4647-BD0C-B33E1CEA414B}"/>
    <cellStyle name="Normal 4 2 2 4 2 2 8" xfId="8952" xr:uid="{4DFE35C6-A6BC-411D-A8B6-A5F676684B23}"/>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15727" xr:uid="{D2D5AC7F-F08E-4F88-BE64-CFE92F69B0C4}"/>
    <cellStyle name="Normal 4 2 2 4 2 3 2 3" xfId="11509" xr:uid="{9E4E1AA3-E7F4-4C1D-9F5A-65E938E931C6}"/>
    <cellStyle name="Normal 4 2 2 4 2 3 3" xfId="5140" xr:uid="{00000000-0005-0000-0000-0000AB120000}"/>
    <cellStyle name="Normal 4 2 2 4 2 3 3 2" xfId="13582" xr:uid="{D252C486-A789-4279-A2E5-D998CA169A4F}"/>
    <cellStyle name="Normal 4 2 2 4 2 3 4" xfId="9364" xr:uid="{6C479988-7C60-4D52-92E3-370F827ADFCB}"/>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16140" xr:uid="{29793F83-458B-4970-9278-A062A4D5B4F9}"/>
    <cellStyle name="Normal 4 2 2 4 2 4 2 3" xfId="11922" xr:uid="{3FC46325-A687-44E7-A037-65E998AC4276}"/>
    <cellStyle name="Normal 4 2 2 4 2 4 3" xfId="5553" xr:uid="{00000000-0005-0000-0000-0000AF120000}"/>
    <cellStyle name="Normal 4 2 2 4 2 4 3 2" xfId="13995" xr:uid="{26C72F9B-2EB7-4C44-BE78-8B386F94F12D}"/>
    <cellStyle name="Normal 4 2 2 4 2 4 4" xfId="9777" xr:uid="{7D10A94B-92DA-4CC4-9CB1-3D991FD132E4}"/>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16553" xr:uid="{8E5AD5FE-E6FC-4122-B633-8D3FE8908A35}"/>
    <cellStyle name="Normal 4 2 2 4 2 5 2 3" xfId="12335" xr:uid="{AD74DF14-1E2E-4ED6-8111-06D6C7677F43}"/>
    <cellStyle name="Normal 4 2 2 4 2 5 3" xfId="5966" xr:uid="{00000000-0005-0000-0000-0000B3120000}"/>
    <cellStyle name="Normal 4 2 2 4 2 5 3 2" xfId="14408" xr:uid="{F078DCC4-5C06-424C-972B-9C3517E7B67C}"/>
    <cellStyle name="Normal 4 2 2 4 2 5 4" xfId="10190" xr:uid="{67E0EEBC-58AC-46BE-AF9B-50A624F8E76E}"/>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16966" xr:uid="{4DD50700-D907-43CC-94F3-8465F89AF2A6}"/>
    <cellStyle name="Normal 4 2 2 4 2 6 2 3" xfId="12748" xr:uid="{3DD9A5BE-4F0F-4EBE-8481-A7F1F2CD4E94}"/>
    <cellStyle name="Normal 4 2 2 4 2 6 3" xfId="6379" xr:uid="{00000000-0005-0000-0000-0000B7120000}"/>
    <cellStyle name="Normal 4 2 2 4 2 6 3 2" xfId="14821" xr:uid="{7FFC0BF7-71E9-4460-8E7A-E2245CCAE183}"/>
    <cellStyle name="Normal 4 2 2 4 2 6 4" xfId="10603" xr:uid="{6E818D19-99AC-465B-94E0-0FD2C03A89E5}"/>
    <cellStyle name="Normal 4 2 2 4 2 7" xfId="2508" xr:uid="{00000000-0005-0000-0000-0000B8120000}"/>
    <cellStyle name="Normal 4 2 2 4 2 7 2" xfId="6792" xr:uid="{00000000-0005-0000-0000-0000B9120000}"/>
    <cellStyle name="Normal 4 2 2 4 2 7 2 2" xfId="15234" xr:uid="{BC7EA13B-E4CA-4E50-974F-EF4CEC48EC2D}"/>
    <cellStyle name="Normal 4 2 2 4 2 7 3" xfId="11016" xr:uid="{1808F759-89CF-4054-A156-B4C30B9B7D52}"/>
    <cellStyle name="Normal 4 2 2 4 2 8" xfId="4727" xr:uid="{00000000-0005-0000-0000-0000BA120000}"/>
    <cellStyle name="Normal 4 2 2 4 2 8 2" xfId="13169" xr:uid="{2A3E286F-6149-47E9-9FE9-40D07515C8ED}"/>
    <cellStyle name="Normal 4 2 2 4 2 9" xfId="8951" xr:uid="{F42CE4C7-5A2A-47BF-ABCA-05E40E49E75C}"/>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15729" xr:uid="{8D95F5BE-E42A-4424-BB6C-189DA04656E8}"/>
    <cellStyle name="Normal 4 2 2 4 3 2 2 3" xfId="11511" xr:uid="{0A359E7B-CB3C-4C98-A364-F65F18011786}"/>
    <cellStyle name="Normal 4 2 2 4 3 2 3" xfId="5142" xr:uid="{00000000-0005-0000-0000-0000BF120000}"/>
    <cellStyle name="Normal 4 2 2 4 3 2 3 2" xfId="13584" xr:uid="{0CCF6736-0E68-4F73-9F37-E055AD5DFA29}"/>
    <cellStyle name="Normal 4 2 2 4 3 2 4" xfId="9366" xr:uid="{6C73A7F8-AC0E-4707-9351-9610C14D06FC}"/>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16142" xr:uid="{8FE5AC3B-2F9B-47BD-8898-15B15B7CF088}"/>
    <cellStyle name="Normal 4 2 2 4 3 3 2 3" xfId="11924" xr:uid="{12A889EF-1588-4833-935C-6F9E542BB4D4}"/>
    <cellStyle name="Normal 4 2 2 4 3 3 3" xfId="5555" xr:uid="{00000000-0005-0000-0000-0000C3120000}"/>
    <cellStyle name="Normal 4 2 2 4 3 3 3 2" xfId="13997" xr:uid="{B6BD2DDA-077A-475F-8173-2CA56F673BCD}"/>
    <cellStyle name="Normal 4 2 2 4 3 3 4" xfId="9779" xr:uid="{56BC5C26-A4A9-42D5-A3F4-251416FEA0B2}"/>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16555" xr:uid="{71BD367F-6D53-46E1-A7C3-4744AA4DFACF}"/>
    <cellStyle name="Normal 4 2 2 4 3 4 2 3" xfId="12337" xr:uid="{5DBD744A-732B-41D4-B078-8C4CD7D1D9BE}"/>
    <cellStyle name="Normal 4 2 2 4 3 4 3" xfId="5968" xr:uid="{00000000-0005-0000-0000-0000C7120000}"/>
    <cellStyle name="Normal 4 2 2 4 3 4 3 2" xfId="14410" xr:uid="{9DC9A145-BB5C-41FA-A903-2FCE36E3607F}"/>
    <cellStyle name="Normal 4 2 2 4 3 4 4" xfId="10192" xr:uid="{F295827E-D746-464B-8A09-0A6030289109}"/>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16968" xr:uid="{C5D1B65D-75CE-42D2-8E6C-39B12AE49B03}"/>
    <cellStyle name="Normal 4 2 2 4 3 5 2 3" xfId="12750" xr:uid="{9DB261BD-411B-46F7-AD36-FD6E2C15AFDF}"/>
    <cellStyle name="Normal 4 2 2 4 3 5 3" xfId="6381" xr:uid="{00000000-0005-0000-0000-0000CB120000}"/>
    <cellStyle name="Normal 4 2 2 4 3 5 3 2" xfId="14823" xr:uid="{8647E7CC-4EDE-4C69-AACD-37C0FC01A130}"/>
    <cellStyle name="Normal 4 2 2 4 3 5 4" xfId="10605" xr:uid="{31032682-C7D6-488A-9604-6DDAD5105596}"/>
    <cellStyle name="Normal 4 2 2 4 3 6" xfId="2510" xr:uid="{00000000-0005-0000-0000-0000CC120000}"/>
    <cellStyle name="Normal 4 2 2 4 3 6 2" xfId="6794" xr:uid="{00000000-0005-0000-0000-0000CD120000}"/>
    <cellStyle name="Normal 4 2 2 4 3 6 2 2" xfId="15236" xr:uid="{D5E0DA20-9460-467A-9272-3C26B460CE6C}"/>
    <cellStyle name="Normal 4 2 2 4 3 6 3" xfId="11018" xr:uid="{44DB012B-1314-47D2-A3DD-79A81B22C830}"/>
    <cellStyle name="Normal 4 2 2 4 3 7" xfId="4729" xr:uid="{00000000-0005-0000-0000-0000CE120000}"/>
    <cellStyle name="Normal 4 2 2 4 3 7 2" xfId="13171" xr:uid="{9EBF621E-DE5D-4CC7-B983-21CDAA40B4EB}"/>
    <cellStyle name="Normal 4 2 2 4 3 8" xfId="8953" xr:uid="{C6E00225-E90B-4898-A54B-D777765D38E9}"/>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15726" xr:uid="{B6F04980-55D3-4DF3-A493-BD2E650A9FAE}"/>
    <cellStyle name="Normal 4 2 2 4 4 2 3" xfId="11508" xr:uid="{CA817891-3034-4B49-B4D9-D6E8AD6E2921}"/>
    <cellStyle name="Normal 4 2 2 4 4 3" xfId="5139" xr:uid="{00000000-0005-0000-0000-0000D2120000}"/>
    <cellStyle name="Normal 4 2 2 4 4 3 2" xfId="13581" xr:uid="{9309B852-2FAF-458B-B8A6-ADF19F122A93}"/>
    <cellStyle name="Normal 4 2 2 4 4 4" xfId="9363" xr:uid="{E8E18B44-B433-4745-99B3-F47FD60A7DF8}"/>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16139" xr:uid="{BAB3720F-9759-437A-B551-35A385EAA4A4}"/>
    <cellStyle name="Normal 4 2 2 4 5 2 3" xfId="11921" xr:uid="{4EC48796-5C2F-4258-A749-2771BA495277}"/>
    <cellStyle name="Normal 4 2 2 4 5 3" xfId="5552" xr:uid="{00000000-0005-0000-0000-0000D6120000}"/>
    <cellStyle name="Normal 4 2 2 4 5 3 2" xfId="13994" xr:uid="{7FDDD727-DA62-4EA5-9AE5-6EF4E194115F}"/>
    <cellStyle name="Normal 4 2 2 4 5 4" xfId="9776" xr:uid="{FF18D97D-0B2F-467E-85D7-3FC20E08496C}"/>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16552" xr:uid="{4E126614-D6B6-47D1-B17F-DF3A8B63C369}"/>
    <cellStyle name="Normal 4 2 2 4 6 2 3" xfId="12334" xr:uid="{2F7D2F92-686F-4B8E-9845-7E1B44D2C869}"/>
    <cellStyle name="Normal 4 2 2 4 6 3" xfId="5965" xr:uid="{00000000-0005-0000-0000-0000DA120000}"/>
    <cellStyle name="Normal 4 2 2 4 6 3 2" xfId="14407" xr:uid="{9D83A439-C524-47C9-A97C-258C750F58B5}"/>
    <cellStyle name="Normal 4 2 2 4 6 4" xfId="10189" xr:uid="{87FAD401-9DAD-4DDA-9916-373527163A98}"/>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16965" xr:uid="{C9E0EF37-D94A-4C25-851C-B461A14C43DC}"/>
    <cellStyle name="Normal 4 2 2 4 7 2 3" xfId="12747" xr:uid="{B4D681AA-EFB0-423B-8AAA-00A2D80AA505}"/>
    <cellStyle name="Normal 4 2 2 4 7 3" xfId="6378" xr:uid="{00000000-0005-0000-0000-0000DE120000}"/>
    <cellStyle name="Normal 4 2 2 4 7 3 2" xfId="14820" xr:uid="{427D140E-8C7D-4BD3-AC8C-712E43D73D78}"/>
    <cellStyle name="Normal 4 2 2 4 7 4" xfId="10602" xr:uid="{D09F3098-1971-40A2-815C-A83811BD1A54}"/>
    <cellStyle name="Normal 4 2 2 4 8" xfId="2507" xr:uid="{00000000-0005-0000-0000-0000DF120000}"/>
    <cellStyle name="Normal 4 2 2 4 8 2" xfId="6791" xr:uid="{00000000-0005-0000-0000-0000E0120000}"/>
    <cellStyle name="Normal 4 2 2 4 8 2 2" xfId="15233" xr:uid="{F3A67F44-01D0-42C9-A521-A2C10F579ECF}"/>
    <cellStyle name="Normal 4 2 2 4 8 3" xfId="11015" xr:uid="{E3583105-F30A-4452-84CB-15D38BED802D}"/>
    <cellStyle name="Normal 4 2 2 4 9" xfId="4726" xr:uid="{00000000-0005-0000-0000-0000E1120000}"/>
    <cellStyle name="Normal 4 2 2 4 9 2" xfId="13168" xr:uid="{079AE199-AC4F-4453-AB11-7CF50B0FF209}"/>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15731" xr:uid="{35C46531-56C2-405E-9C8E-E41B9188B7A0}"/>
    <cellStyle name="Normal 4 2 2 5 2 2 2 3" xfId="11513" xr:uid="{00648E05-7818-445B-9334-0F3AB5852E9A}"/>
    <cellStyle name="Normal 4 2 2 5 2 2 3" xfId="5144" xr:uid="{00000000-0005-0000-0000-0000E7120000}"/>
    <cellStyle name="Normal 4 2 2 5 2 2 3 2" xfId="13586" xr:uid="{B898D44A-0FAA-4684-B7B4-7AD04E3BDD29}"/>
    <cellStyle name="Normal 4 2 2 5 2 2 4" xfId="9368" xr:uid="{C332B223-CA7A-4765-AA1C-53C724C9EDD5}"/>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16144" xr:uid="{15069A28-2D89-4671-BF4F-37CCAA32D53B}"/>
    <cellStyle name="Normal 4 2 2 5 2 3 2 3" xfId="11926" xr:uid="{72CD8929-8357-4A8F-B5D3-9D7EDB148D85}"/>
    <cellStyle name="Normal 4 2 2 5 2 3 3" xfId="5557" xr:uid="{00000000-0005-0000-0000-0000EB120000}"/>
    <cellStyle name="Normal 4 2 2 5 2 3 3 2" xfId="13999" xr:uid="{883BB00E-730A-43F4-9F88-B0B5C4CABA7A}"/>
    <cellStyle name="Normal 4 2 2 5 2 3 4" xfId="9781" xr:uid="{A5B8A217-068F-4136-8E60-B26F81BBE74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16557" xr:uid="{FB312142-B538-4076-A9BD-39E75ADA274A}"/>
    <cellStyle name="Normal 4 2 2 5 2 4 2 3" xfId="12339" xr:uid="{A8E20E0F-03CE-4C89-AF91-077E59C38D0E}"/>
    <cellStyle name="Normal 4 2 2 5 2 4 3" xfId="5970" xr:uid="{00000000-0005-0000-0000-0000EF120000}"/>
    <cellStyle name="Normal 4 2 2 5 2 4 3 2" xfId="14412" xr:uid="{BEE3284A-EDEF-468E-AE96-94676AE9B5C0}"/>
    <cellStyle name="Normal 4 2 2 5 2 4 4" xfId="10194" xr:uid="{44B8E58B-6C99-4FC6-BD9F-10D449B6BEED}"/>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16970" xr:uid="{307C8B11-0955-4415-8E0B-ED166AB0EA3C}"/>
    <cellStyle name="Normal 4 2 2 5 2 5 2 3" xfId="12752" xr:uid="{180A1C46-84F9-403B-84AB-11048898F937}"/>
    <cellStyle name="Normal 4 2 2 5 2 5 3" xfId="6383" xr:uid="{00000000-0005-0000-0000-0000F3120000}"/>
    <cellStyle name="Normal 4 2 2 5 2 5 3 2" xfId="14825" xr:uid="{5B07557D-4E06-4616-8C78-13BBB76BBF40}"/>
    <cellStyle name="Normal 4 2 2 5 2 5 4" xfId="10607" xr:uid="{96C89247-9613-4675-A5AE-FEE1A70C76E0}"/>
    <cellStyle name="Normal 4 2 2 5 2 6" xfId="2512" xr:uid="{00000000-0005-0000-0000-0000F4120000}"/>
    <cellStyle name="Normal 4 2 2 5 2 6 2" xfId="6796" xr:uid="{00000000-0005-0000-0000-0000F5120000}"/>
    <cellStyle name="Normal 4 2 2 5 2 6 2 2" xfId="15238" xr:uid="{7FC0C111-0AD4-403F-9010-A69E7CF71B6C}"/>
    <cellStyle name="Normal 4 2 2 5 2 6 3" xfId="11020" xr:uid="{7A324F7E-28DC-4F7F-AF41-EB0C3C825B22}"/>
    <cellStyle name="Normal 4 2 2 5 2 7" xfId="4731" xr:uid="{00000000-0005-0000-0000-0000F6120000}"/>
    <cellStyle name="Normal 4 2 2 5 2 7 2" xfId="13173" xr:uid="{1F69C48A-B030-4385-AD05-1CB82C5E1B9A}"/>
    <cellStyle name="Normal 4 2 2 5 2 8" xfId="8955" xr:uid="{3FE119F3-03D6-4C67-B2EC-15B3CBC896C4}"/>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15730" xr:uid="{9D95FCF2-9CC7-4A36-9476-BBDA0A248F71}"/>
    <cellStyle name="Normal 4 2 2 5 3 2 3" xfId="11512" xr:uid="{0B592D04-38CD-4678-B4B2-D5731A186728}"/>
    <cellStyle name="Normal 4 2 2 5 3 3" xfId="5143" xr:uid="{00000000-0005-0000-0000-0000FA120000}"/>
    <cellStyle name="Normal 4 2 2 5 3 3 2" xfId="13585" xr:uid="{E19050EC-A2A1-4279-95FF-1A6FC5A6DE5B}"/>
    <cellStyle name="Normal 4 2 2 5 3 4" xfId="9367" xr:uid="{91FE2AB1-8CA7-48D7-9B2E-B48E7D8441C1}"/>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16143" xr:uid="{2DA6FE0B-7F8E-4C2F-916E-65A6846D48C2}"/>
    <cellStyle name="Normal 4 2 2 5 4 2 3" xfId="11925" xr:uid="{7559B583-184F-4F4E-A9E1-E50F0A2B6BDB}"/>
    <cellStyle name="Normal 4 2 2 5 4 3" xfId="5556" xr:uid="{00000000-0005-0000-0000-0000FE120000}"/>
    <cellStyle name="Normal 4 2 2 5 4 3 2" xfId="13998" xr:uid="{D1B4F30F-B6DB-4C44-B40C-6221FF1DAA94}"/>
    <cellStyle name="Normal 4 2 2 5 4 4" xfId="9780" xr:uid="{94D51354-B810-4B3C-A730-C238E84F4192}"/>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16556" xr:uid="{BC09591D-697D-43FD-AE5E-FDE29BBCE248}"/>
    <cellStyle name="Normal 4 2 2 5 5 2 3" xfId="12338" xr:uid="{BC4ED907-8EF3-405F-8ACA-DC7E03EE3634}"/>
    <cellStyle name="Normal 4 2 2 5 5 3" xfId="5969" xr:uid="{00000000-0005-0000-0000-000002130000}"/>
    <cellStyle name="Normal 4 2 2 5 5 3 2" xfId="14411" xr:uid="{92BFE09B-1201-4797-9E7A-715C4C3D7E45}"/>
    <cellStyle name="Normal 4 2 2 5 5 4" xfId="10193" xr:uid="{AB15B50F-792D-4095-B987-9589E601F20A}"/>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16969" xr:uid="{0225C591-6DA1-4597-B904-02A43B5E1857}"/>
    <cellStyle name="Normal 4 2 2 5 6 2 3" xfId="12751" xr:uid="{719D01DF-CD2D-4B9B-9E64-8D9900619368}"/>
    <cellStyle name="Normal 4 2 2 5 6 3" xfId="6382" xr:uid="{00000000-0005-0000-0000-000006130000}"/>
    <cellStyle name="Normal 4 2 2 5 6 3 2" xfId="14824" xr:uid="{42C7FB37-92FD-4127-924A-6A4C688DFCA4}"/>
    <cellStyle name="Normal 4 2 2 5 6 4" xfId="10606" xr:uid="{671567AF-E63B-47FD-8522-54DD4E536BF2}"/>
    <cellStyle name="Normal 4 2 2 5 7" xfId="2511" xr:uid="{00000000-0005-0000-0000-000007130000}"/>
    <cellStyle name="Normal 4 2 2 5 7 2" xfId="6795" xr:uid="{00000000-0005-0000-0000-000008130000}"/>
    <cellStyle name="Normal 4 2 2 5 7 2 2" xfId="15237" xr:uid="{87399938-1957-44B6-AA08-1B4985F91C60}"/>
    <cellStyle name="Normal 4 2 2 5 7 3" xfId="11019" xr:uid="{8C3DC265-2A71-4BE1-8192-0FC673A6DC2B}"/>
    <cellStyle name="Normal 4 2 2 5 8" xfId="4730" xr:uid="{00000000-0005-0000-0000-000009130000}"/>
    <cellStyle name="Normal 4 2 2 5 8 2" xfId="13172" xr:uid="{787DCD87-2C6A-45FA-8A3D-E19BD4E33FED}"/>
    <cellStyle name="Normal 4 2 2 5 9" xfId="8954" xr:uid="{05F0D856-516C-44B9-A456-0CFC376809EF}"/>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15732" xr:uid="{263526FC-A51E-4AB9-89ED-207BB4CDEF54}"/>
    <cellStyle name="Normal 4 2 2 6 2 2 3" xfId="11514" xr:uid="{16E84B96-F343-4278-A38A-8369887AC7A3}"/>
    <cellStyle name="Normal 4 2 2 6 2 3" xfId="5145" xr:uid="{00000000-0005-0000-0000-00000E130000}"/>
    <cellStyle name="Normal 4 2 2 6 2 3 2" xfId="13587" xr:uid="{BABD112C-E343-41BC-B974-8B5B1111E949}"/>
    <cellStyle name="Normal 4 2 2 6 2 4" xfId="9369" xr:uid="{0A970EE7-0CCF-4A37-A7E9-3BA2A864143A}"/>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16145" xr:uid="{25DD46EB-D61A-4F8D-998A-59023C846DC6}"/>
    <cellStyle name="Normal 4 2 2 6 3 2 3" xfId="11927" xr:uid="{47BA26ED-5A0B-4C65-A629-68657A892932}"/>
    <cellStyle name="Normal 4 2 2 6 3 3" xfId="5558" xr:uid="{00000000-0005-0000-0000-000012130000}"/>
    <cellStyle name="Normal 4 2 2 6 3 3 2" xfId="14000" xr:uid="{9B899CF3-22DE-44F9-A34E-63188E1A9D10}"/>
    <cellStyle name="Normal 4 2 2 6 3 4" xfId="9782" xr:uid="{17B04749-45AB-4927-B023-CD44D2A15839}"/>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16558" xr:uid="{65617586-A001-448F-A8BA-1460BA48C501}"/>
    <cellStyle name="Normal 4 2 2 6 4 2 3" xfId="12340" xr:uid="{2B8B9B20-1CAF-46AC-86AA-E0A611BC23A6}"/>
    <cellStyle name="Normal 4 2 2 6 4 3" xfId="5971" xr:uid="{00000000-0005-0000-0000-000016130000}"/>
    <cellStyle name="Normal 4 2 2 6 4 3 2" xfId="14413" xr:uid="{1BCA0D08-6535-44BB-8701-FC29124F6BF4}"/>
    <cellStyle name="Normal 4 2 2 6 4 4" xfId="10195" xr:uid="{55A9D1E1-82B6-4990-8927-E358ECC85036}"/>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16971" xr:uid="{803E7229-E2EB-4C14-942E-BA31FB942F45}"/>
    <cellStyle name="Normal 4 2 2 6 5 2 3" xfId="12753" xr:uid="{A7CA562D-D7EE-4362-A595-0E83568E7D41}"/>
    <cellStyle name="Normal 4 2 2 6 5 3" xfId="6384" xr:uid="{00000000-0005-0000-0000-00001A130000}"/>
    <cellStyle name="Normal 4 2 2 6 5 3 2" xfId="14826" xr:uid="{3935FBBB-6D8C-49D6-911F-6AD66126C578}"/>
    <cellStyle name="Normal 4 2 2 6 5 4" xfId="10608" xr:uid="{38B34A6A-B139-47C6-A8D5-BD185F3AEADB}"/>
    <cellStyle name="Normal 4 2 2 6 6" xfId="2513" xr:uid="{00000000-0005-0000-0000-00001B130000}"/>
    <cellStyle name="Normal 4 2 2 6 6 2" xfId="6797" xr:uid="{00000000-0005-0000-0000-00001C130000}"/>
    <cellStyle name="Normal 4 2 2 6 6 2 2" xfId="15239" xr:uid="{B69F980F-62A2-45A3-B74A-F4F0F4AD8C15}"/>
    <cellStyle name="Normal 4 2 2 6 6 3" xfId="11021" xr:uid="{4FEB39CA-E29D-4017-9C5D-067627E36113}"/>
    <cellStyle name="Normal 4 2 2 6 7" xfId="4732" xr:uid="{00000000-0005-0000-0000-00001D130000}"/>
    <cellStyle name="Normal 4 2 2 6 7 2" xfId="13174" xr:uid="{1838EF32-301D-4C97-BD83-BDE7650F45C2}"/>
    <cellStyle name="Normal 4 2 2 6 8" xfId="8956" xr:uid="{D6F57938-90E1-4FBC-A2AD-6C5C830769A7}"/>
    <cellStyle name="Normal 4 2 2 7" xfId="815" xr:uid="{00000000-0005-0000-0000-00001E130000}"/>
    <cellStyle name="Normal 4 2 2 7 2" xfId="3052" xr:uid="{00000000-0005-0000-0000-00001F130000}"/>
    <cellStyle name="Normal 4 2 2 7 2 2" xfId="7275" xr:uid="{00000000-0005-0000-0000-000020130000}"/>
    <cellStyle name="Normal 4 2 2 7 2 2 2" xfId="15717" xr:uid="{01103704-9CF9-4637-8FD3-A048B7BB40DA}"/>
    <cellStyle name="Normal 4 2 2 7 2 3" xfId="11499" xr:uid="{AB094F0C-3C08-4BB4-BD08-6E500FE4C8FA}"/>
    <cellStyle name="Normal 4 2 2 7 3" xfId="5130" xr:uid="{00000000-0005-0000-0000-000021130000}"/>
    <cellStyle name="Normal 4 2 2 7 3 2" xfId="13572" xr:uid="{81A9D87D-351E-4EBB-8603-3B2BBD749D73}"/>
    <cellStyle name="Normal 4 2 2 7 4" xfId="9354" xr:uid="{33F3A0F0-D61B-4EAD-8CDE-A6655EF9886A}"/>
    <cellStyle name="Normal 4 2 2 8" xfId="1235" xr:uid="{00000000-0005-0000-0000-000022130000}"/>
    <cellStyle name="Normal 4 2 2 8 2" xfId="3465" xr:uid="{00000000-0005-0000-0000-000023130000}"/>
    <cellStyle name="Normal 4 2 2 8 2 2" xfId="7688" xr:uid="{00000000-0005-0000-0000-000024130000}"/>
    <cellStyle name="Normal 4 2 2 8 2 2 2" xfId="16130" xr:uid="{34E518D8-5623-4117-86D4-B1E765186EF9}"/>
    <cellStyle name="Normal 4 2 2 8 2 3" xfId="11912" xr:uid="{C2394AFC-53CC-4DF5-83DD-C68911A9BD83}"/>
    <cellStyle name="Normal 4 2 2 8 3" xfId="5543" xr:uid="{00000000-0005-0000-0000-000025130000}"/>
    <cellStyle name="Normal 4 2 2 8 3 2" xfId="13985" xr:uid="{6BAB8E0B-A1BB-4CA4-BB72-40280871AF02}"/>
    <cellStyle name="Normal 4 2 2 8 4" xfId="9767" xr:uid="{12F98683-1A54-4A04-9432-0C1865D81E2A}"/>
    <cellStyle name="Normal 4 2 2 9" xfId="1648" xr:uid="{00000000-0005-0000-0000-000026130000}"/>
    <cellStyle name="Normal 4 2 2 9 2" xfId="3878" xr:uid="{00000000-0005-0000-0000-000027130000}"/>
    <cellStyle name="Normal 4 2 2 9 2 2" xfId="8101" xr:uid="{00000000-0005-0000-0000-000028130000}"/>
    <cellStyle name="Normal 4 2 2 9 2 2 2" xfId="16543" xr:uid="{193C88B2-B73F-4F64-928A-DA7701B1F2E7}"/>
    <cellStyle name="Normal 4 2 2 9 2 3" xfId="12325" xr:uid="{7D53E5FD-A093-4753-B912-56323D0B97D8}"/>
    <cellStyle name="Normal 4 2 2 9 3" xfId="5956" xr:uid="{00000000-0005-0000-0000-000029130000}"/>
    <cellStyle name="Normal 4 2 2 9 3 2" xfId="14398" xr:uid="{93135A5D-8437-4064-8BAF-2340F057242F}"/>
    <cellStyle name="Normal 4 2 2 9 4" xfId="10180" xr:uid="{D929BBAE-4677-4D15-AF2C-E05C9200ACC4}"/>
    <cellStyle name="Normal 4 2 3" xfId="354" xr:uid="{00000000-0005-0000-0000-00002A130000}"/>
    <cellStyle name="Normal 4 2 4" xfId="355" xr:uid="{00000000-0005-0000-0000-00002B130000}"/>
    <cellStyle name="Normal 4 2 4 10" xfId="4733" xr:uid="{00000000-0005-0000-0000-00002C130000}"/>
    <cellStyle name="Normal 4 2 4 10 2" xfId="13175" xr:uid="{37D1318A-3A4B-4345-9832-A468CF12AD16}"/>
    <cellStyle name="Normal 4 2 4 11" xfId="8957" xr:uid="{090DD595-68B5-42C5-ACE7-770F7DCEFA8A}"/>
    <cellStyle name="Normal 4 2 4 2" xfId="356" xr:uid="{00000000-0005-0000-0000-00002D130000}"/>
    <cellStyle name="Normal 4 2 4 2 10" xfId="8958" xr:uid="{D1981C51-2F56-427E-9EAE-F2E8D64880A6}"/>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15736" xr:uid="{80A59D2B-3DA2-41C6-9BA8-C8568D8A312D}"/>
    <cellStyle name="Normal 4 2 4 2 2 2 2 2 3" xfId="11518" xr:uid="{77349560-F326-49FA-BC22-1B69C0660E10}"/>
    <cellStyle name="Normal 4 2 4 2 2 2 2 3" xfId="5149" xr:uid="{00000000-0005-0000-0000-000033130000}"/>
    <cellStyle name="Normal 4 2 4 2 2 2 2 3 2" xfId="13591" xr:uid="{4996F7C0-E765-4A29-9B63-E210537A61E5}"/>
    <cellStyle name="Normal 4 2 4 2 2 2 2 4" xfId="9373" xr:uid="{6D86AD2E-A313-4169-976E-41A69EA9708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16149" xr:uid="{1624E82A-8D38-41D6-B5DA-8651D8E32F7B}"/>
    <cellStyle name="Normal 4 2 4 2 2 2 3 2 3" xfId="11931" xr:uid="{22134E64-44D7-4355-BC8C-0029AD4EEB34}"/>
    <cellStyle name="Normal 4 2 4 2 2 2 3 3" xfId="5562" xr:uid="{00000000-0005-0000-0000-000037130000}"/>
    <cellStyle name="Normal 4 2 4 2 2 2 3 3 2" xfId="14004" xr:uid="{3B3EF0A3-B423-4C47-B2D1-EBBD2637C45E}"/>
    <cellStyle name="Normal 4 2 4 2 2 2 3 4" xfId="9786" xr:uid="{0086A7F4-84E6-4D2F-9F3F-A6E95F121F54}"/>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16562" xr:uid="{2CF980BE-0FFD-48A3-98D0-EA84C8E2946D}"/>
    <cellStyle name="Normal 4 2 4 2 2 2 4 2 3" xfId="12344" xr:uid="{671C70CC-8CBE-4BB7-84D4-889036BE00D0}"/>
    <cellStyle name="Normal 4 2 4 2 2 2 4 3" xfId="5975" xr:uid="{00000000-0005-0000-0000-00003B130000}"/>
    <cellStyle name="Normal 4 2 4 2 2 2 4 3 2" xfId="14417" xr:uid="{FE3441A4-1438-410F-B1C6-1AADF00080DC}"/>
    <cellStyle name="Normal 4 2 4 2 2 2 4 4" xfId="10199" xr:uid="{9868B248-0A65-4629-BE76-5E984E68156F}"/>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16975" xr:uid="{8407A93C-BE14-4F46-9CD4-AC5D84D07EA5}"/>
    <cellStyle name="Normal 4 2 4 2 2 2 5 2 3" xfId="12757" xr:uid="{80DFFAF1-6C1B-4FE7-B9F6-74A2459D57CA}"/>
    <cellStyle name="Normal 4 2 4 2 2 2 5 3" xfId="6388" xr:uid="{00000000-0005-0000-0000-00003F130000}"/>
    <cellStyle name="Normal 4 2 4 2 2 2 5 3 2" xfId="14830" xr:uid="{145C0928-E621-4412-8EB2-D97FBFC6936C}"/>
    <cellStyle name="Normal 4 2 4 2 2 2 5 4" xfId="10612" xr:uid="{1E4B4CCD-9708-4B2A-976C-69D7B9BDE7D3}"/>
    <cellStyle name="Normal 4 2 4 2 2 2 6" xfId="2517" xr:uid="{00000000-0005-0000-0000-000040130000}"/>
    <cellStyle name="Normal 4 2 4 2 2 2 6 2" xfId="6801" xr:uid="{00000000-0005-0000-0000-000041130000}"/>
    <cellStyle name="Normal 4 2 4 2 2 2 6 2 2" xfId="15243" xr:uid="{03867440-1662-4A45-8517-18575543B1C3}"/>
    <cellStyle name="Normal 4 2 4 2 2 2 6 3" xfId="11025" xr:uid="{EA3044B2-D427-4A9F-A887-72BF7A41C29C}"/>
    <cellStyle name="Normal 4 2 4 2 2 2 7" xfId="4736" xr:uid="{00000000-0005-0000-0000-000042130000}"/>
    <cellStyle name="Normal 4 2 4 2 2 2 7 2" xfId="13178" xr:uid="{2522610E-7981-4C53-943F-1967B730E40A}"/>
    <cellStyle name="Normal 4 2 4 2 2 2 8" xfId="8960" xr:uid="{53E3E884-4B85-4A28-BCCD-9D0F299299DA}"/>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15735" xr:uid="{9B87B067-1DA6-498C-BF22-4EDE09D85F83}"/>
    <cellStyle name="Normal 4 2 4 2 2 3 2 3" xfId="11517" xr:uid="{8B1E0098-B5DD-4170-8614-047EC1FBC2EA}"/>
    <cellStyle name="Normal 4 2 4 2 2 3 3" xfId="5148" xr:uid="{00000000-0005-0000-0000-000046130000}"/>
    <cellStyle name="Normal 4 2 4 2 2 3 3 2" xfId="13590" xr:uid="{15D1B31D-F26F-4819-95FA-A836C47461F2}"/>
    <cellStyle name="Normal 4 2 4 2 2 3 4" xfId="9372" xr:uid="{3AD44074-3E35-4444-ABDE-D4C2EB648362}"/>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16148" xr:uid="{47C80D75-F91F-46F7-A98B-E1F480743A26}"/>
    <cellStyle name="Normal 4 2 4 2 2 4 2 3" xfId="11930" xr:uid="{C0F3624A-7A18-43A5-9663-915D289576C4}"/>
    <cellStyle name="Normal 4 2 4 2 2 4 3" xfId="5561" xr:uid="{00000000-0005-0000-0000-00004A130000}"/>
    <cellStyle name="Normal 4 2 4 2 2 4 3 2" xfId="14003" xr:uid="{8BA04C94-9633-4A38-B075-1FA8E885E08F}"/>
    <cellStyle name="Normal 4 2 4 2 2 4 4" xfId="9785" xr:uid="{C367EC32-19F4-4242-9C3A-3B37CA633CA7}"/>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16561" xr:uid="{504AF0C1-8C2A-40D2-AF8A-311B885F4947}"/>
    <cellStyle name="Normal 4 2 4 2 2 5 2 3" xfId="12343" xr:uid="{C3378F80-FCA8-4D02-8031-61E4C2C64729}"/>
    <cellStyle name="Normal 4 2 4 2 2 5 3" xfId="5974" xr:uid="{00000000-0005-0000-0000-00004E130000}"/>
    <cellStyle name="Normal 4 2 4 2 2 5 3 2" xfId="14416" xr:uid="{29B0561E-A19C-4A6A-8154-3953E8955CAF}"/>
    <cellStyle name="Normal 4 2 4 2 2 5 4" xfId="10198" xr:uid="{B0F23063-E72B-4BAD-B13F-2320C07DC866}"/>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16974" xr:uid="{7736511E-62B8-4368-B4D9-977F25B17E54}"/>
    <cellStyle name="Normal 4 2 4 2 2 6 2 3" xfId="12756" xr:uid="{09629D08-4E15-4391-8661-BF447DBF2989}"/>
    <cellStyle name="Normal 4 2 4 2 2 6 3" xfId="6387" xr:uid="{00000000-0005-0000-0000-000052130000}"/>
    <cellStyle name="Normal 4 2 4 2 2 6 3 2" xfId="14829" xr:uid="{709A7B6F-BECE-41C6-A892-15244F539949}"/>
    <cellStyle name="Normal 4 2 4 2 2 6 4" xfId="10611" xr:uid="{707C122E-3257-4869-B7A2-0E04E0B26B2F}"/>
    <cellStyle name="Normal 4 2 4 2 2 7" xfId="2516" xr:uid="{00000000-0005-0000-0000-000053130000}"/>
    <cellStyle name="Normal 4 2 4 2 2 7 2" xfId="6800" xr:uid="{00000000-0005-0000-0000-000054130000}"/>
    <cellStyle name="Normal 4 2 4 2 2 7 2 2" xfId="15242" xr:uid="{EB85A0CF-CA12-4F5D-9988-89FAF2388B10}"/>
    <cellStyle name="Normal 4 2 4 2 2 7 3" xfId="11024" xr:uid="{3D1CC73E-BFF1-45BB-84F2-22E072D70ED1}"/>
    <cellStyle name="Normal 4 2 4 2 2 8" xfId="4735" xr:uid="{00000000-0005-0000-0000-000055130000}"/>
    <cellStyle name="Normal 4 2 4 2 2 8 2" xfId="13177" xr:uid="{08A32AB4-B40E-45BE-8243-95084E00C9BC}"/>
    <cellStyle name="Normal 4 2 4 2 2 9" xfId="8959" xr:uid="{39939E49-92E5-4978-98CE-6FE2D0CE23B6}"/>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15737" xr:uid="{0CABE4E2-2B88-45A4-8F9A-DE6C612B4354}"/>
    <cellStyle name="Normal 4 2 4 2 3 2 2 3" xfId="11519" xr:uid="{29AB0B91-8E75-42E2-A492-21AE55D0B1F5}"/>
    <cellStyle name="Normal 4 2 4 2 3 2 3" xfId="5150" xr:uid="{00000000-0005-0000-0000-00005A130000}"/>
    <cellStyle name="Normal 4 2 4 2 3 2 3 2" xfId="13592" xr:uid="{D0070FF1-34B1-4C66-ABE9-ADE93631F6BE}"/>
    <cellStyle name="Normal 4 2 4 2 3 2 4" xfId="9374" xr:uid="{DBA6E7F8-C8C0-4B2C-B6D3-969CDD3534B1}"/>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16150" xr:uid="{A24AF60B-4995-465C-A0CC-995446392E36}"/>
    <cellStyle name="Normal 4 2 4 2 3 3 2 3" xfId="11932" xr:uid="{B72D7372-4AB0-44ED-B302-8A07F59A6EFC}"/>
    <cellStyle name="Normal 4 2 4 2 3 3 3" xfId="5563" xr:uid="{00000000-0005-0000-0000-00005E130000}"/>
    <cellStyle name="Normal 4 2 4 2 3 3 3 2" xfId="14005" xr:uid="{02654168-BA1A-420A-9B09-2D85F8B2377C}"/>
    <cellStyle name="Normal 4 2 4 2 3 3 4" xfId="9787" xr:uid="{699B3179-32AF-426C-B97E-720F71DC83F9}"/>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16563" xr:uid="{D0CAADF5-F5F9-442C-ADE8-434EEC146499}"/>
    <cellStyle name="Normal 4 2 4 2 3 4 2 3" xfId="12345" xr:uid="{75CA32A9-2B60-46D8-A032-90EE29E2B1F4}"/>
    <cellStyle name="Normal 4 2 4 2 3 4 3" xfId="5976" xr:uid="{00000000-0005-0000-0000-000062130000}"/>
    <cellStyle name="Normal 4 2 4 2 3 4 3 2" xfId="14418" xr:uid="{620E8F3A-DB9E-474E-A7FE-CA764FAE1CED}"/>
    <cellStyle name="Normal 4 2 4 2 3 4 4" xfId="10200" xr:uid="{F3C9DD1C-AD5E-4FDB-8FA6-C3F2BF302315}"/>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16976" xr:uid="{F2E32904-9B91-45FD-88D3-3F9FAF84A8C4}"/>
    <cellStyle name="Normal 4 2 4 2 3 5 2 3" xfId="12758" xr:uid="{06F14AA1-3A69-4334-8B51-2BD0523FAA2B}"/>
    <cellStyle name="Normal 4 2 4 2 3 5 3" xfId="6389" xr:uid="{00000000-0005-0000-0000-000066130000}"/>
    <cellStyle name="Normal 4 2 4 2 3 5 3 2" xfId="14831" xr:uid="{029BDD20-686E-4C88-AF5A-37962EEF4627}"/>
    <cellStyle name="Normal 4 2 4 2 3 5 4" xfId="10613" xr:uid="{8BEF20D4-EB25-4EDC-BCB1-487915095ACF}"/>
    <cellStyle name="Normal 4 2 4 2 3 6" xfId="2518" xr:uid="{00000000-0005-0000-0000-000067130000}"/>
    <cellStyle name="Normal 4 2 4 2 3 6 2" xfId="6802" xr:uid="{00000000-0005-0000-0000-000068130000}"/>
    <cellStyle name="Normal 4 2 4 2 3 6 2 2" xfId="15244" xr:uid="{10B7F173-CBFB-4F0E-A97B-8651E75130C8}"/>
    <cellStyle name="Normal 4 2 4 2 3 6 3" xfId="11026" xr:uid="{282573EA-E384-4DC5-9EF7-2B5D22C5E5A1}"/>
    <cellStyle name="Normal 4 2 4 2 3 7" xfId="4737" xr:uid="{00000000-0005-0000-0000-000069130000}"/>
    <cellStyle name="Normal 4 2 4 2 3 7 2" xfId="13179" xr:uid="{2566E1AD-2340-40A5-B169-B2BA193D7B34}"/>
    <cellStyle name="Normal 4 2 4 2 3 8" xfId="8961" xr:uid="{C0B55C30-F5CB-4F8A-94B5-CCC5E93CA454}"/>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15734" xr:uid="{77274B6B-C385-48BD-BE78-8039F70F0283}"/>
    <cellStyle name="Normal 4 2 4 2 4 2 3" xfId="11516" xr:uid="{66D5EC68-6CE1-422D-AC67-1F12386C8F62}"/>
    <cellStyle name="Normal 4 2 4 2 4 3" xfId="5147" xr:uid="{00000000-0005-0000-0000-00006D130000}"/>
    <cellStyle name="Normal 4 2 4 2 4 3 2" xfId="13589" xr:uid="{80E7948E-C9E7-4034-B021-C7917ABC32C6}"/>
    <cellStyle name="Normal 4 2 4 2 4 4" xfId="9371" xr:uid="{E59584BF-5C54-4767-AB37-7AE2BFF44967}"/>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16147" xr:uid="{D47BD8B3-B69A-4D85-B405-1B026D1AE35F}"/>
    <cellStyle name="Normal 4 2 4 2 5 2 3" xfId="11929" xr:uid="{0B51D649-0B6F-41B1-895C-DF6CEB5A0ADC}"/>
    <cellStyle name="Normal 4 2 4 2 5 3" xfId="5560" xr:uid="{00000000-0005-0000-0000-000071130000}"/>
    <cellStyle name="Normal 4 2 4 2 5 3 2" xfId="14002" xr:uid="{48980070-76B8-4381-91D3-612CF8606D8D}"/>
    <cellStyle name="Normal 4 2 4 2 5 4" xfId="9784" xr:uid="{9D9C1F1D-FF7F-428B-AF6C-987EA92553AC}"/>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16560" xr:uid="{F225EF36-46FF-45DC-A0C2-5FAC1CE32C21}"/>
    <cellStyle name="Normal 4 2 4 2 6 2 3" xfId="12342" xr:uid="{C2DEDDED-5BEF-4FE1-9BF0-39410A220457}"/>
    <cellStyle name="Normal 4 2 4 2 6 3" xfId="5973" xr:uid="{00000000-0005-0000-0000-000075130000}"/>
    <cellStyle name="Normal 4 2 4 2 6 3 2" xfId="14415" xr:uid="{EC7747AC-3065-4E48-BF0A-BCD8300ACA50}"/>
    <cellStyle name="Normal 4 2 4 2 6 4" xfId="10197" xr:uid="{805FFE23-9CD1-45BF-AE37-5B8CDE0E0B02}"/>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16973" xr:uid="{3A31A846-8234-4E74-AB0B-BD8B24071E09}"/>
    <cellStyle name="Normal 4 2 4 2 7 2 3" xfId="12755" xr:uid="{4905784B-4286-4BDB-8F95-CE0FB9D366C5}"/>
    <cellStyle name="Normal 4 2 4 2 7 3" xfId="6386" xr:uid="{00000000-0005-0000-0000-000079130000}"/>
    <cellStyle name="Normal 4 2 4 2 7 3 2" xfId="14828" xr:uid="{E397C943-2733-4C46-8EE4-9DE681D27254}"/>
    <cellStyle name="Normal 4 2 4 2 7 4" xfId="10610" xr:uid="{D1EC292F-4FFF-4A97-9815-C412FE9D7075}"/>
    <cellStyle name="Normal 4 2 4 2 8" xfId="2515" xr:uid="{00000000-0005-0000-0000-00007A130000}"/>
    <cellStyle name="Normal 4 2 4 2 8 2" xfId="6799" xr:uid="{00000000-0005-0000-0000-00007B130000}"/>
    <cellStyle name="Normal 4 2 4 2 8 2 2" xfId="15241" xr:uid="{A6065BC9-03B5-4877-9451-CD8B2404445C}"/>
    <cellStyle name="Normal 4 2 4 2 8 3" xfId="11023" xr:uid="{303C2CA1-8E16-426F-BA0E-A8166BFCE410}"/>
    <cellStyle name="Normal 4 2 4 2 9" xfId="4734" xr:uid="{00000000-0005-0000-0000-00007C130000}"/>
    <cellStyle name="Normal 4 2 4 2 9 2" xfId="13176" xr:uid="{DBEB2485-7B4D-417B-AAFF-B35C1171E29D}"/>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15739" xr:uid="{3FFB445C-0650-4521-AF69-C1B0BA2F2759}"/>
    <cellStyle name="Normal 4 2 4 3 2 2 2 3" xfId="11521" xr:uid="{E0BC4B67-AD8C-40D0-8D46-45A04FB41C8B}"/>
    <cellStyle name="Normal 4 2 4 3 2 2 3" xfId="5152" xr:uid="{00000000-0005-0000-0000-000082130000}"/>
    <cellStyle name="Normal 4 2 4 3 2 2 3 2" xfId="13594" xr:uid="{09D1FBBC-CD7F-4D95-9E2A-0317034876E7}"/>
    <cellStyle name="Normal 4 2 4 3 2 2 4" xfId="9376" xr:uid="{1B2F36F7-2F4A-4D23-86A6-E6B79B6FDC17}"/>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16152" xr:uid="{CAD05D73-D896-427C-8448-7128F0B38C0E}"/>
    <cellStyle name="Normal 4 2 4 3 2 3 2 3" xfId="11934" xr:uid="{ADC656E6-0B53-4EFC-A43A-B066698814DD}"/>
    <cellStyle name="Normal 4 2 4 3 2 3 3" xfId="5565" xr:uid="{00000000-0005-0000-0000-000086130000}"/>
    <cellStyle name="Normal 4 2 4 3 2 3 3 2" xfId="14007" xr:uid="{F6F66B94-EFEE-4279-ABF9-B932F8EE9C7B}"/>
    <cellStyle name="Normal 4 2 4 3 2 3 4" xfId="9789" xr:uid="{354DC18A-B0F9-4BC6-97F2-8C62A98F569D}"/>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16565" xr:uid="{F2A05C05-4F74-4319-8D97-F9B5C7A465F8}"/>
    <cellStyle name="Normal 4 2 4 3 2 4 2 3" xfId="12347" xr:uid="{FCFF726C-868B-43C0-BD77-5CCDD5C7C5EA}"/>
    <cellStyle name="Normal 4 2 4 3 2 4 3" xfId="5978" xr:uid="{00000000-0005-0000-0000-00008A130000}"/>
    <cellStyle name="Normal 4 2 4 3 2 4 3 2" xfId="14420" xr:uid="{8EE10689-39ED-4B5F-AB7B-DC4B43CB2A9C}"/>
    <cellStyle name="Normal 4 2 4 3 2 4 4" xfId="10202" xr:uid="{2B4B40D9-C90D-4836-963E-B79F1EEB8C5A}"/>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16978" xr:uid="{25F55869-0186-40C8-BEE5-E4E516B08952}"/>
    <cellStyle name="Normal 4 2 4 3 2 5 2 3" xfId="12760" xr:uid="{D6F99085-E378-4D8B-BA44-9D82ECCD45CB}"/>
    <cellStyle name="Normal 4 2 4 3 2 5 3" xfId="6391" xr:uid="{00000000-0005-0000-0000-00008E130000}"/>
    <cellStyle name="Normal 4 2 4 3 2 5 3 2" xfId="14833" xr:uid="{8F2D138A-EA18-4836-B429-12699120E54B}"/>
    <cellStyle name="Normal 4 2 4 3 2 5 4" xfId="10615" xr:uid="{C5A77D89-79A2-495F-A841-0CDE2F321A8D}"/>
    <cellStyle name="Normal 4 2 4 3 2 6" xfId="2520" xr:uid="{00000000-0005-0000-0000-00008F130000}"/>
    <cellStyle name="Normal 4 2 4 3 2 6 2" xfId="6804" xr:uid="{00000000-0005-0000-0000-000090130000}"/>
    <cellStyle name="Normal 4 2 4 3 2 6 2 2" xfId="15246" xr:uid="{CFB15F2D-DC91-42C4-A223-50B3053B50C0}"/>
    <cellStyle name="Normal 4 2 4 3 2 6 3" xfId="11028" xr:uid="{116079D9-E723-4D63-A79F-13BF7304A851}"/>
    <cellStyle name="Normal 4 2 4 3 2 7" xfId="4739" xr:uid="{00000000-0005-0000-0000-000091130000}"/>
    <cellStyle name="Normal 4 2 4 3 2 7 2" xfId="13181" xr:uid="{913FB1F9-08CC-40DF-AAE0-15CDA9D19853}"/>
    <cellStyle name="Normal 4 2 4 3 2 8" xfId="8963" xr:uid="{7E039883-4FEA-4891-AACD-DE5CFFD4F3F1}"/>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15738" xr:uid="{581CBEFA-1C6A-4ABD-A5C9-45717EB9D1FF}"/>
    <cellStyle name="Normal 4 2 4 3 3 2 3" xfId="11520" xr:uid="{AAEF2A31-CB2E-499D-99F1-A4606B01B944}"/>
    <cellStyle name="Normal 4 2 4 3 3 3" xfId="5151" xr:uid="{00000000-0005-0000-0000-000095130000}"/>
    <cellStyle name="Normal 4 2 4 3 3 3 2" xfId="13593" xr:uid="{42F85D9A-E372-4955-91E7-66B53A4BA051}"/>
    <cellStyle name="Normal 4 2 4 3 3 4" xfId="9375" xr:uid="{E19C89FF-DE3E-4712-8EBC-F8AE44558D21}"/>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16151" xr:uid="{4C47878C-91F5-455E-8329-4FE46FA23613}"/>
    <cellStyle name="Normal 4 2 4 3 4 2 3" xfId="11933" xr:uid="{41DEBC1B-1F23-4562-9E1C-71E81BC308DB}"/>
    <cellStyle name="Normal 4 2 4 3 4 3" xfId="5564" xr:uid="{00000000-0005-0000-0000-000099130000}"/>
    <cellStyle name="Normal 4 2 4 3 4 3 2" xfId="14006" xr:uid="{5E2AC263-AEDF-4753-8850-DB41D070A4AA}"/>
    <cellStyle name="Normal 4 2 4 3 4 4" xfId="9788" xr:uid="{8757F3A1-F695-4126-907D-ADC1FF9D2796}"/>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16564" xr:uid="{54B69E2F-6746-4110-9C7F-F284F77FAA3A}"/>
    <cellStyle name="Normal 4 2 4 3 5 2 3" xfId="12346" xr:uid="{F220AB6A-E17B-45F8-9619-502BB243A771}"/>
    <cellStyle name="Normal 4 2 4 3 5 3" xfId="5977" xr:uid="{00000000-0005-0000-0000-00009D130000}"/>
    <cellStyle name="Normal 4 2 4 3 5 3 2" xfId="14419" xr:uid="{6B3CA4B2-DEA3-4439-8881-4D0D276D06BA}"/>
    <cellStyle name="Normal 4 2 4 3 5 4" xfId="10201" xr:uid="{6F1E0994-AC7B-43E1-A1E1-AABDDA67ADB9}"/>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16977" xr:uid="{68A317B2-CF94-463B-B5EF-9267BF2530C3}"/>
    <cellStyle name="Normal 4 2 4 3 6 2 3" xfId="12759" xr:uid="{E676DEF9-8962-4254-A5A6-EACB8DA7B0D8}"/>
    <cellStyle name="Normal 4 2 4 3 6 3" xfId="6390" xr:uid="{00000000-0005-0000-0000-0000A1130000}"/>
    <cellStyle name="Normal 4 2 4 3 6 3 2" xfId="14832" xr:uid="{B0F2FEAB-65BD-4EB8-AA7D-78B461B48D60}"/>
    <cellStyle name="Normal 4 2 4 3 6 4" xfId="10614" xr:uid="{B0083E76-81FE-4D39-8109-9AD762DAFD6A}"/>
    <cellStyle name="Normal 4 2 4 3 7" xfId="2519" xr:uid="{00000000-0005-0000-0000-0000A2130000}"/>
    <cellStyle name="Normal 4 2 4 3 7 2" xfId="6803" xr:uid="{00000000-0005-0000-0000-0000A3130000}"/>
    <cellStyle name="Normal 4 2 4 3 7 2 2" xfId="15245" xr:uid="{C5CB77B1-8ECA-4F25-BDDF-ABA44EC98105}"/>
    <cellStyle name="Normal 4 2 4 3 7 3" xfId="11027" xr:uid="{06E9DC80-522A-4799-97E0-5B443B482CDB}"/>
    <cellStyle name="Normal 4 2 4 3 8" xfId="4738" xr:uid="{00000000-0005-0000-0000-0000A4130000}"/>
    <cellStyle name="Normal 4 2 4 3 8 2" xfId="13180" xr:uid="{9CA75196-E7D6-4E4B-985C-16B6019BA031}"/>
    <cellStyle name="Normal 4 2 4 3 9" xfId="8962" xr:uid="{2E7BA9BB-AC85-418B-8380-AF55B8CD11EF}"/>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15740" xr:uid="{50B545E9-992A-4E85-A0F2-161B3CE0E469}"/>
    <cellStyle name="Normal 4 2 4 4 2 2 3" xfId="11522" xr:uid="{EB372D55-11E4-43DA-8F53-286EACE8BA94}"/>
    <cellStyle name="Normal 4 2 4 4 2 3" xfId="5153" xr:uid="{00000000-0005-0000-0000-0000A9130000}"/>
    <cellStyle name="Normal 4 2 4 4 2 3 2" xfId="13595" xr:uid="{7F87E4BC-1599-4FD0-A267-9DF0718D4238}"/>
    <cellStyle name="Normal 4 2 4 4 2 4" xfId="9377" xr:uid="{E69728E4-0AB0-4DC4-9AAD-ECE078EA577B}"/>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16153" xr:uid="{4C3BA630-FE87-4DF5-B675-C067467FEA33}"/>
    <cellStyle name="Normal 4 2 4 4 3 2 3" xfId="11935" xr:uid="{E93B7812-6515-44B7-990E-8C3A7BB9BA82}"/>
    <cellStyle name="Normal 4 2 4 4 3 3" xfId="5566" xr:uid="{00000000-0005-0000-0000-0000AD130000}"/>
    <cellStyle name="Normal 4 2 4 4 3 3 2" xfId="14008" xr:uid="{6F06E93C-C0E7-4419-BCBA-8CAA98F2D176}"/>
    <cellStyle name="Normal 4 2 4 4 3 4" xfId="9790" xr:uid="{718D1602-9101-4A2C-91C1-E42241B489D8}"/>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16566" xr:uid="{E8A38925-F138-4F4D-A31B-9DA5F1C249E3}"/>
    <cellStyle name="Normal 4 2 4 4 4 2 3" xfId="12348" xr:uid="{C00E5BD8-8545-4958-BDFE-E67E990DB997}"/>
    <cellStyle name="Normal 4 2 4 4 4 3" xfId="5979" xr:uid="{00000000-0005-0000-0000-0000B1130000}"/>
    <cellStyle name="Normal 4 2 4 4 4 3 2" xfId="14421" xr:uid="{BF107CE5-AE9F-4DB7-A54E-615B64FA8509}"/>
    <cellStyle name="Normal 4 2 4 4 4 4" xfId="10203" xr:uid="{B8C19137-E2F2-4040-BC59-D5BA7C908E35}"/>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16979" xr:uid="{A4824517-B653-4712-93EE-6264F4ADC55E}"/>
    <cellStyle name="Normal 4 2 4 4 5 2 3" xfId="12761" xr:uid="{8510D20E-4164-472C-A53B-DD9861D79106}"/>
    <cellStyle name="Normal 4 2 4 4 5 3" xfId="6392" xr:uid="{00000000-0005-0000-0000-0000B5130000}"/>
    <cellStyle name="Normal 4 2 4 4 5 3 2" xfId="14834" xr:uid="{5BD9BAB9-EE5B-4C72-8922-9269DE432A61}"/>
    <cellStyle name="Normal 4 2 4 4 5 4" xfId="10616" xr:uid="{35BB131B-DA8F-4E46-BDF0-E8E70B1A36CB}"/>
    <cellStyle name="Normal 4 2 4 4 6" xfId="2521" xr:uid="{00000000-0005-0000-0000-0000B6130000}"/>
    <cellStyle name="Normal 4 2 4 4 6 2" xfId="6805" xr:uid="{00000000-0005-0000-0000-0000B7130000}"/>
    <cellStyle name="Normal 4 2 4 4 6 2 2" xfId="15247" xr:uid="{FF80703D-3203-4CA1-B652-C92DFC229530}"/>
    <cellStyle name="Normal 4 2 4 4 6 3" xfId="11029" xr:uid="{50F75037-316B-4C2F-882E-7A586A224050}"/>
    <cellStyle name="Normal 4 2 4 4 7" xfId="4740" xr:uid="{00000000-0005-0000-0000-0000B8130000}"/>
    <cellStyle name="Normal 4 2 4 4 7 2" xfId="13182" xr:uid="{9E272C95-D92E-4D67-8946-6D4B849B3B6F}"/>
    <cellStyle name="Normal 4 2 4 4 8" xfId="8964" xr:uid="{46464B73-C861-4BB7-B871-3D94B8ED11EC}"/>
    <cellStyle name="Normal 4 2 4 5" xfId="831" xr:uid="{00000000-0005-0000-0000-0000B9130000}"/>
    <cellStyle name="Normal 4 2 4 5 2" xfId="3068" xr:uid="{00000000-0005-0000-0000-0000BA130000}"/>
    <cellStyle name="Normal 4 2 4 5 2 2" xfId="7291" xr:uid="{00000000-0005-0000-0000-0000BB130000}"/>
    <cellStyle name="Normal 4 2 4 5 2 2 2" xfId="15733" xr:uid="{889E2794-4D6E-4F30-A07E-1EF56538A599}"/>
    <cellStyle name="Normal 4 2 4 5 2 3" xfId="11515" xr:uid="{7FC7ECE9-8B6F-4470-A4E8-95DBBB319D1F}"/>
    <cellStyle name="Normal 4 2 4 5 3" xfId="5146" xr:uid="{00000000-0005-0000-0000-0000BC130000}"/>
    <cellStyle name="Normal 4 2 4 5 3 2" xfId="13588" xr:uid="{E24CD2DB-D69B-40FD-876E-37719B98E741}"/>
    <cellStyle name="Normal 4 2 4 5 4" xfId="9370" xr:uid="{69ABD926-04FF-4F65-83A6-12375FFAF843}"/>
    <cellStyle name="Normal 4 2 4 6" xfId="1251" xr:uid="{00000000-0005-0000-0000-0000BD130000}"/>
    <cellStyle name="Normal 4 2 4 6 2" xfId="3481" xr:uid="{00000000-0005-0000-0000-0000BE130000}"/>
    <cellStyle name="Normal 4 2 4 6 2 2" xfId="7704" xr:uid="{00000000-0005-0000-0000-0000BF130000}"/>
    <cellStyle name="Normal 4 2 4 6 2 2 2" xfId="16146" xr:uid="{42A77C89-0095-47B0-A9FA-94FC8978C77E}"/>
    <cellStyle name="Normal 4 2 4 6 2 3" xfId="11928" xr:uid="{6205C25F-7017-4062-9CA3-43E7008C5306}"/>
    <cellStyle name="Normal 4 2 4 6 3" xfId="5559" xr:uid="{00000000-0005-0000-0000-0000C0130000}"/>
    <cellStyle name="Normal 4 2 4 6 3 2" xfId="14001" xr:uid="{87AFE38E-2462-48A0-990E-8373DD04BEFC}"/>
    <cellStyle name="Normal 4 2 4 6 4" xfId="9783" xr:uid="{225CC456-DC84-486C-8DCC-2E8E49181E77}"/>
    <cellStyle name="Normal 4 2 4 7" xfId="1664" xr:uid="{00000000-0005-0000-0000-0000C1130000}"/>
    <cellStyle name="Normal 4 2 4 7 2" xfId="3894" xr:uid="{00000000-0005-0000-0000-0000C2130000}"/>
    <cellStyle name="Normal 4 2 4 7 2 2" xfId="8117" xr:uid="{00000000-0005-0000-0000-0000C3130000}"/>
    <cellStyle name="Normal 4 2 4 7 2 2 2" xfId="16559" xr:uid="{95778F65-1293-4FA2-8AAC-7EB1E33A7F47}"/>
    <cellStyle name="Normal 4 2 4 7 2 3" xfId="12341" xr:uid="{F2743BD5-3FC2-4797-8095-049B835B1C60}"/>
    <cellStyle name="Normal 4 2 4 7 3" xfId="5972" xr:uid="{00000000-0005-0000-0000-0000C4130000}"/>
    <cellStyle name="Normal 4 2 4 7 3 2" xfId="14414" xr:uid="{4CFCAB3C-C522-4AB1-AC80-5E6E3BD509B2}"/>
    <cellStyle name="Normal 4 2 4 7 4" xfId="10196" xr:uid="{67B41A19-79C4-43AC-980B-55678DFFD71C}"/>
    <cellStyle name="Normal 4 2 4 8" xfId="2078" xr:uid="{00000000-0005-0000-0000-0000C5130000}"/>
    <cellStyle name="Normal 4 2 4 8 2" xfId="4307" xr:uid="{00000000-0005-0000-0000-0000C6130000}"/>
    <cellStyle name="Normal 4 2 4 8 2 2" xfId="8530" xr:uid="{00000000-0005-0000-0000-0000C7130000}"/>
    <cellStyle name="Normal 4 2 4 8 2 2 2" xfId="16972" xr:uid="{49256BEB-9D20-4354-AA8A-D414E98FCFF1}"/>
    <cellStyle name="Normal 4 2 4 8 2 3" xfId="12754" xr:uid="{AC2E79A6-4B13-4B14-AAC5-6AF13E127A12}"/>
    <cellStyle name="Normal 4 2 4 8 3" xfId="6385" xr:uid="{00000000-0005-0000-0000-0000C8130000}"/>
    <cellStyle name="Normal 4 2 4 8 3 2" xfId="14827" xr:uid="{65ED52F7-A62F-48C7-B434-9C8D5F032818}"/>
    <cellStyle name="Normal 4 2 4 8 4" xfId="10609" xr:uid="{DFF442BF-E8B1-48B1-ACB1-DFDB63594D10}"/>
    <cellStyle name="Normal 4 2 4 9" xfId="2514" xr:uid="{00000000-0005-0000-0000-0000C9130000}"/>
    <cellStyle name="Normal 4 2 4 9 2" xfId="6798" xr:uid="{00000000-0005-0000-0000-0000CA130000}"/>
    <cellStyle name="Normal 4 2 4 9 2 2" xfId="15240" xr:uid="{0EC5DE4C-4D33-4253-8C5B-85B1D7E3D040}"/>
    <cellStyle name="Normal 4 2 4 9 3" xfId="11022" xr:uid="{3228BC5A-ED92-4C83-955B-6437613B64E7}"/>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15742" xr:uid="{73480707-8A50-4F8F-A1E0-F7C24BDDE241}"/>
    <cellStyle name="Normal 4 2 5 2 2 2 3" xfId="11524" xr:uid="{C7F49EE4-379A-463C-BC54-BD1D8069EC47}"/>
    <cellStyle name="Normal 4 2 5 2 2 3" xfId="5155" xr:uid="{00000000-0005-0000-0000-0000D0130000}"/>
    <cellStyle name="Normal 4 2 5 2 2 3 2" xfId="13597" xr:uid="{15647001-5108-426C-8EFF-ACF64ABE5B20}"/>
    <cellStyle name="Normal 4 2 5 2 2 4" xfId="9379" xr:uid="{7BCCC513-BA83-4096-9AF3-CA48C46746C7}"/>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16155" xr:uid="{65324648-9F30-49BC-847F-F986208344B9}"/>
    <cellStyle name="Normal 4 2 5 2 3 2 3" xfId="11937" xr:uid="{3D9F9C6B-B1A3-4F2F-81B1-E06389F02085}"/>
    <cellStyle name="Normal 4 2 5 2 3 3" xfId="5568" xr:uid="{00000000-0005-0000-0000-0000D4130000}"/>
    <cellStyle name="Normal 4 2 5 2 3 3 2" xfId="14010" xr:uid="{B65CE531-E753-4BCB-B4F7-8CDD1AA4F043}"/>
    <cellStyle name="Normal 4 2 5 2 3 4" xfId="9792" xr:uid="{0911D6E8-F56A-4459-A00D-390ECF7D579B}"/>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16568" xr:uid="{9E6864BE-2233-4A47-8646-0D0E5677457A}"/>
    <cellStyle name="Normal 4 2 5 2 4 2 3" xfId="12350" xr:uid="{376F14BC-5EB7-4463-886D-55FEE1E6AAE1}"/>
    <cellStyle name="Normal 4 2 5 2 4 3" xfId="5981" xr:uid="{00000000-0005-0000-0000-0000D8130000}"/>
    <cellStyle name="Normal 4 2 5 2 4 3 2" xfId="14423" xr:uid="{06EE2A02-D665-403D-BB0E-1EF650C8D2F3}"/>
    <cellStyle name="Normal 4 2 5 2 4 4" xfId="10205" xr:uid="{A1EA0971-7D5B-4AA6-96AB-C2F70B15C2E9}"/>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16981" xr:uid="{9CEA3F1C-B3C9-4BD6-AEC2-82D9F32E783A}"/>
    <cellStyle name="Normal 4 2 5 2 5 2 3" xfId="12763" xr:uid="{A24B3954-764E-44ED-9483-083179F6B356}"/>
    <cellStyle name="Normal 4 2 5 2 5 3" xfId="6394" xr:uid="{00000000-0005-0000-0000-0000DC130000}"/>
    <cellStyle name="Normal 4 2 5 2 5 3 2" xfId="14836" xr:uid="{C70CC277-CCA3-4594-8A85-2BD05B4325A1}"/>
    <cellStyle name="Normal 4 2 5 2 5 4" xfId="10618" xr:uid="{F2F8A494-1360-4548-85F0-334C7C289E33}"/>
    <cellStyle name="Normal 4 2 5 2 6" xfId="2523" xr:uid="{00000000-0005-0000-0000-0000DD130000}"/>
    <cellStyle name="Normal 4 2 5 2 6 2" xfId="6807" xr:uid="{00000000-0005-0000-0000-0000DE130000}"/>
    <cellStyle name="Normal 4 2 5 2 6 2 2" xfId="15249" xr:uid="{0111E962-8DDE-475D-AF2D-DDB0492CF424}"/>
    <cellStyle name="Normal 4 2 5 2 6 3" xfId="11031" xr:uid="{853EE065-4F1F-42C4-B283-8B8E04AEE1FB}"/>
    <cellStyle name="Normal 4 2 5 2 7" xfId="4742" xr:uid="{00000000-0005-0000-0000-0000DF130000}"/>
    <cellStyle name="Normal 4 2 5 2 7 2" xfId="13184" xr:uid="{6AFCE177-6577-46EE-B451-12CD9D892C61}"/>
    <cellStyle name="Normal 4 2 5 2 8" xfId="8966" xr:uid="{2334877F-1A95-4CC6-B3E5-2DD0381CF848}"/>
    <cellStyle name="Normal 4 2 5 3" xfId="839" xr:uid="{00000000-0005-0000-0000-0000E0130000}"/>
    <cellStyle name="Normal 4 2 5 3 2" xfId="3076" xr:uid="{00000000-0005-0000-0000-0000E1130000}"/>
    <cellStyle name="Normal 4 2 5 3 2 2" xfId="7299" xr:uid="{00000000-0005-0000-0000-0000E2130000}"/>
    <cellStyle name="Normal 4 2 5 3 2 2 2" xfId="15741" xr:uid="{68523B91-16C4-43C3-A3E2-6505DDC791DC}"/>
    <cellStyle name="Normal 4 2 5 3 2 3" xfId="11523" xr:uid="{ADDAF2CD-B5A4-444B-A0EC-0E3619D73B80}"/>
    <cellStyle name="Normal 4 2 5 3 3" xfId="5154" xr:uid="{00000000-0005-0000-0000-0000E3130000}"/>
    <cellStyle name="Normal 4 2 5 3 3 2" xfId="13596" xr:uid="{538D8D15-008B-4DC5-99FD-F99DD2B940D3}"/>
    <cellStyle name="Normal 4 2 5 3 4" xfId="9378" xr:uid="{E72B2F7D-8DAF-41C0-9ACE-A212F71DE4AC}"/>
    <cellStyle name="Normal 4 2 5 4" xfId="1259" xr:uid="{00000000-0005-0000-0000-0000E4130000}"/>
    <cellStyle name="Normal 4 2 5 4 2" xfId="3489" xr:uid="{00000000-0005-0000-0000-0000E5130000}"/>
    <cellStyle name="Normal 4 2 5 4 2 2" xfId="7712" xr:uid="{00000000-0005-0000-0000-0000E6130000}"/>
    <cellStyle name="Normal 4 2 5 4 2 2 2" xfId="16154" xr:uid="{06DB42E7-0C6B-4445-8097-4B0D4F25BED2}"/>
    <cellStyle name="Normal 4 2 5 4 2 3" xfId="11936" xr:uid="{DAB8A4AE-660F-41E1-8104-711D44ECFC74}"/>
    <cellStyle name="Normal 4 2 5 4 3" xfId="5567" xr:uid="{00000000-0005-0000-0000-0000E7130000}"/>
    <cellStyle name="Normal 4 2 5 4 3 2" xfId="14009" xr:uid="{F220C006-A243-4DFF-8C23-FE785D7EA263}"/>
    <cellStyle name="Normal 4 2 5 4 4" xfId="9791" xr:uid="{1DE0F620-67A8-4E63-B2E9-50556BD8F5F7}"/>
    <cellStyle name="Normal 4 2 5 5" xfId="1672" xr:uid="{00000000-0005-0000-0000-0000E8130000}"/>
    <cellStyle name="Normal 4 2 5 5 2" xfId="3902" xr:uid="{00000000-0005-0000-0000-0000E9130000}"/>
    <cellStyle name="Normal 4 2 5 5 2 2" xfId="8125" xr:uid="{00000000-0005-0000-0000-0000EA130000}"/>
    <cellStyle name="Normal 4 2 5 5 2 2 2" xfId="16567" xr:uid="{5A6AB1EC-2296-48C4-BB15-7A6A2BEE6ECA}"/>
    <cellStyle name="Normal 4 2 5 5 2 3" xfId="12349" xr:uid="{328BE5BD-1099-4381-B4B9-03DE47E42A28}"/>
    <cellStyle name="Normal 4 2 5 5 3" xfId="5980" xr:uid="{00000000-0005-0000-0000-0000EB130000}"/>
    <cellStyle name="Normal 4 2 5 5 3 2" xfId="14422" xr:uid="{D9F54B46-A624-4B09-8D4E-89D5D881D8D2}"/>
    <cellStyle name="Normal 4 2 5 5 4" xfId="10204" xr:uid="{90685A18-DDD8-4991-A15B-4383B65064F3}"/>
    <cellStyle name="Normal 4 2 5 6" xfId="2086" xr:uid="{00000000-0005-0000-0000-0000EC130000}"/>
    <cellStyle name="Normal 4 2 5 6 2" xfId="4315" xr:uid="{00000000-0005-0000-0000-0000ED130000}"/>
    <cellStyle name="Normal 4 2 5 6 2 2" xfId="8538" xr:uid="{00000000-0005-0000-0000-0000EE130000}"/>
    <cellStyle name="Normal 4 2 5 6 2 2 2" xfId="16980" xr:uid="{6D76E8C9-B17C-402E-BFFB-7CD9C3AB82E3}"/>
    <cellStyle name="Normal 4 2 5 6 2 3" xfId="12762" xr:uid="{BA3F2BF8-81B1-400A-A748-7A4C2C1F38F1}"/>
    <cellStyle name="Normal 4 2 5 6 3" xfId="6393" xr:uid="{00000000-0005-0000-0000-0000EF130000}"/>
    <cellStyle name="Normal 4 2 5 6 3 2" xfId="14835" xr:uid="{D9E9190F-E415-4E00-B59A-44658780B3E4}"/>
    <cellStyle name="Normal 4 2 5 6 4" xfId="10617" xr:uid="{E8FFC7EE-59BF-48FA-AF30-320B78B018CA}"/>
    <cellStyle name="Normal 4 2 5 7" xfId="2522" xr:uid="{00000000-0005-0000-0000-0000F0130000}"/>
    <cellStyle name="Normal 4 2 5 7 2" xfId="6806" xr:uid="{00000000-0005-0000-0000-0000F1130000}"/>
    <cellStyle name="Normal 4 2 5 7 2 2" xfId="15248" xr:uid="{75569062-3F7A-4DB8-B3A5-2BACEF6B7B76}"/>
    <cellStyle name="Normal 4 2 5 7 3" xfId="11030" xr:uid="{3539F685-2E91-412F-B4E2-AEF73954B76F}"/>
    <cellStyle name="Normal 4 2 5 8" xfId="4741" xr:uid="{00000000-0005-0000-0000-0000F2130000}"/>
    <cellStyle name="Normal 4 2 5 8 2" xfId="13183" xr:uid="{39693E1B-E156-440C-919B-1E9DDECC7140}"/>
    <cellStyle name="Normal 4 2 5 9" xfId="8965" xr:uid="{A8F08101-AFE2-4696-8506-C78B88813CCD}"/>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2 2 2" xfId="15743" xr:uid="{A2838AB6-D567-480F-8CD5-7FEB4E3A91CC}"/>
    <cellStyle name="Normal 4 2 6 2 2 3" xfId="11525" xr:uid="{7C304DDF-1EA9-474C-A74E-80E69D8373F9}"/>
    <cellStyle name="Normal 4 2 6 2 3" xfId="5156" xr:uid="{00000000-0005-0000-0000-0000F7130000}"/>
    <cellStyle name="Normal 4 2 6 2 3 2" xfId="13598" xr:uid="{6A0EA979-EAE7-4ABA-99BB-17CC7C2D193E}"/>
    <cellStyle name="Normal 4 2 6 2 4" xfId="9380" xr:uid="{662847F2-03D9-44E4-AB7B-4AF73B8DA3B0}"/>
    <cellStyle name="Normal 4 2 6 3" xfId="1261" xr:uid="{00000000-0005-0000-0000-0000F8130000}"/>
    <cellStyle name="Normal 4 2 6 3 2" xfId="3491" xr:uid="{00000000-0005-0000-0000-0000F9130000}"/>
    <cellStyle name="Normal 4 2 6 3 2 2" xfId="7714" xr:uid="{00000000-0005-0000-0000-0000FA130000}"/>
    <cellStyle name="Normal 4 2 6 3 2 2 2" xfId="16156" xr:uid="{5D46A486-BFD2-4F99-A2DC-CF5EDCD64EE3}"/>
    <cellStyle name="Normal 4 2 6 3 2 3" xfId="11938" xr:uid="{E8DF2D7C-6338-4EE4-AC0A-25FC1C451A6C}"/>
    <cellStyle name="Normal 4 2 6 3 3" xfId="5569" xr:uid="{00000000-0005-0000-0000-0000FB130000}"/>
    <cellStyle name="Normal 4 2 6 3 3 2" xfId="14011" xr:uid="{58AE19D6-7743-42DD-893D-18ED0C0B0A27}"/>
    <cellStyle name="Normal 4 2 6 3 4" xfId="9793" xr:uid="{08B25F22-0263-45F2-B8EF-55ECAA549240}"/>
    <cellStyle name="Normal 4 2 6 4" xfId="1674" xr:uid="{00000000-0005-0000-0000-0000FC130000}"/>
    <cellStyle name="Normal 4 2 6 4 2" xfId="3904" xr:uid="{00000000-0005-0000-0000-0000FD130000}"/>
    <cellStyle name="Normal 4 2 6 4 2 2" xfId="8127" xr:uid="{00000000-0005-0000-0000-0000FE130000}"/>
    <cellStyle name="Normal 4 2 6 4 2 2 2" xfId="16569" xr:uid="{D8C34D9D-CDBF-49E7-B66C-90355F5A67E5}"/>
    <cellStyle name="Normal 4 2 6 4 2 3" xfId="12351" xr:uid="{321DBE71-6C33-46BA-9131-3D49D21E4CF6}"/>
    <cellStyle name="Normal 4 2 6 4 3" xfId="5982" xr:uid="{00000000-0005-0000-0000-0000FF130000}"/>
    <cellStyle name="Normal 4 2 6 4 3 2" xfId="14424" xr:uid="{EA99054E-9A06-4E09-AEA3-090CBF406397}"/>
    <cellStyle name="Normal 4 2 6 4 4" xfId="10206" xr:uid="{0B68F289-980A-4A01-9C9E-8E288C281890}"/>
    <cellStyle name="Normal 4 2 6 5" xfId="2088" xr:uid="{00000000-0005-0000-0000-000000140000}"/>
    <cellStyle name="Normal 4 2 6 5 2" xfId="4317" xr:uid="{00000000-0005-0000-0000-000001140000}"/>
    <cellStyle name="Normal 4 2 6 5 2 2" xfId="8540" xr:uid="{00000000-0005-0000-0000-000002140000}"/>
    <cellStyle name="Normal 4 2 6 5 2 2 2" xfId="16982" xr:uid="{F494BF87-EC4A-4ADF-AF37-350586EB1B6C}"/>
    <cellStyle name="Normal 4 2 6 5 2 3" xfId="12764" xr:uid="{ECBF1F93-295D-4067-93CA-1DF332633F0F}"/>
    <cellStyle name="Normal 4 2 6 5 3" xfId="6395" xr:uid="{00000000-0005-0000-0000-000003140000}"/>
    <cellStyle name="Normal 4 2 6 5 3 2" xfId="14837" xr:uid="{57785A85-F187-4DC0-A318-CB80CA75F1DC}"/>
    <cellStyle name="Normal 4 2 6 5 4" xfId="10619" xr:uid="{9765DF7B-5684-4509-B186-6F9FEE6C8608}"/>
    <cellStyle name="Normal 4 2 6 6" xfId="2524" xr:uid="{00000000-0005-0000-0000-000004140000}"/>
    <cellStyle name="Normal 4 2 6 6 2" xfId="6808" xr:uid="{00000000-0005-0000-0000-000005140000}"/>
    <cellStyle name="Normal 4 2 6 6 2 2" xfId="15250" xr:uid="{D9660C56-9660-4C92-AA50-F9C95B834103}"/>
    <cellStyle name="Normal 4 2 6 6 3" xfId="11032" xr:uid="{013311DA-7221-48F5-8789-0C24A6E57B5F}"/>
    <cellStyle name="Normal 4 2 6 7" xfId="4743" xr:uid="{00000000-0005-0000-0000-000006140000}"/>
    <cellStyle name="Normal 4 2 6 7 2" xfId="13185" xr:uid="{E284B556-6116-42AD-BEE9-3E48CBC09455}"/>
    <cellStyle name="Normal 4 2 6 8" xfId="8967" xr:uid="{8FA2E66A-5C08-462B-B865-48893EE00C54}"/>
    <cellStyle name="Normal 4 3" xfId="366" xr:uid="{00000000-0005-0000-0000-000007140000}"/>
    <cellStyle name="Normal 4 3 10" xfId="8968" xr:uid="{27042BB4-9846-467F-B973-B500F7EB6AC9}"/>
    <cellStyle name="Normal 4 3 2" xfId="367" xr:uid="{00000000-0005-0000-0000-000008140000}"/>
    <cellStyle name="Normal 4 3 2 2" xfId="368" xr:uid="{00000000-0005-0000-0000-000009140000}"/>
    <cellStyle name="Normal 4 3 2 2 2" xfId="369" xr:uid="{00000000-0005-0000-0000-00000A140000}"/>
    <cellStyle name="Normal 4 3 2 2 2 10" xfId="8969" xr:uid="{0D843FF0-13BC-488C-8ACE-34664E8ECB8C}"/>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15747" xr:uid="{CABE73CD-D42A-4F57-8E4A-477BE7C9E4C9}"/>
    <cellStyle name="Normal 4 3 2 2 2 2 2 2 2 3" xfId="11529" xr:uid="{94D9EE80-4A9F-430A-B429-5DF265262570}"/>
    <cellStyle name="Normal 4 3 2 2 2 2 2 2 3" xfId="5160" xr:uid="{00000000-0005-0000-0000-000010140000}"/>
    <cellStyle name="Normal 4 3 2 2 2 2 2 2 3 2" xfId="13602" xr:uid="{D6399CBA-DF19-4F9C-B97E-E3E1BE5E4C8B}"/>
    <cellStyle name="Normal 4 3 2 2 2 2 2 2 4" xfId="9384" xr:uid="{C463D419-21E3-4E0D-9D16-14FCF3D24619}"/>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16160" xr:uid="{26451F95-9885-47F8-87F0-53A4CD9D3525}"/>
    <cellStyle name="Normal 4 3 2 2 2 2 2 3 2 3" xfId="11942" xr:uid="{BE5A4DE0-2894-4DEB-9BBC-84CC9ED0C60A}"/>
    <cellStyle name="Normal 4 3 2 2 2 2 2 3 3" xfId="5573" xr:uid="{00000000-0005-0000-0000-000014140000}"/>
    <cellStyle name="Normal 4 3 2 2 2 2 2 3 3 2" xfId="14015" xr:uid="{66DD5AF7-0186-4D33-8F26-59900A66FDCE}"/>
    <cellStyle name="Normal 4 3 2 2 2 2 2 3 4" xfId="9797" xr:uid="{07064C57-EC70-45CE-A26C-2EB95F1D6DD7}"/>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16573" xr:uid="{F65E459F-85C5-4E02-899A-64350B5EF604}"/>
    <cellStyle name="Normal 4 3 2 2 2 2 2 4 2 3" xfId="12355" xr:uid="{A8158647-3698-45A4-82D8-A6B4A475526D}"/>
    <cellStyle name="Normal 4 3 2 2 2 2 2 4 3" xfId="5986" xr:uid="{00000000-0005-0000-0000-000018140000}"/>
    <cellStyle name="Normal 4 3 2 2 2 2 2 4 3 2" xfId="14428" xr:uid="{0EB8F9A6-CF87-42DE-9E27-711C46CA1846}"/>
    <cellStyle name="Normal 4 3 2 2 2 2 2 4 4" xfId="10210" xr:uid="{1FD6BB67-AF8A-4D4A-A32E-931B1B7C653B}"/>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16986" xr:uid="{A76DEB6E-59E5-4F57-B48C-AB9E8B74959D}"/>
    <cellStyle name="Normal 4 3 2 2 2 2 2 5 2 3" xfId="12768" xr:uid="{10353BA7-25C6-44B2-9867-5D396C402D9C}"/>
    <cellStyle name="Normal 4 3 2 2 2 2 2 5 3" xfId="6399" xr:uid="{00000000-0005-0000-0000-00001C140000}"/>
    <cellStyle name="Normal 4 3 2 2 2 2 2 5 3 2" xfId="14841" xr:uid="{EE6F6C93-D53C-4A28-823B-9EA8955A8D62}"/>
    <cellStyle name="Normal 4 3 2 2 2 2 2 5 4" xfId="10623" xr:uid="{A6EB1CEB-1DEB-492B-BB77-593218756D2A}"/>
    <cellStyle name="Normal 4 3 2 2 2 2 2 6" xfId="2528" xr:uid="{00000000-0005-0000-0000-00001D140000}"/>
    <cellStyle name="Normal 4 3 2 2 2 2 2 6 2" xfId="6812" xr:uid="{00000000-0005-0000-0000-00001E140000}"/>
    <cellStyle name="Normal 4 3 2 2 2 2 2 6 2 2" xfId="15254" xr:uid="{316AAB18-1836-4C6E-93D4-5998C6F7C535}"/>
    <cellStyle name="Normal 4 3 2 2 2 2 2 6 3" xfId="11036" xr:uid="{9F459472-F5A7-4B83-9E0B-80ED00457C57}"/>
    <cellStyle name="Normal 4 3 2 2 2 2 2 7" xfId="4747" xr:uid="{00000000-0005-0000-0000-00001F140000}"/>
    <cellStyle name="Normal 4 3 2 2 2 2 2 7 2" xfId="13189" xr:uid="{6D220194-1F73-4A6A-851C-D7A60E3F7640}"/>
    <cellStyle name="Normal 4 3 2 2 2 2 2 8" xfId="8971" xr:uid="{F0DB2455-3B02-48CE-8DE9-07F4C1E85823}"/>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15746" xr:uid="{BEA83553-7EE7-464E-ABA0-6C27EE78B30E}"/>
    <cellStyle name="Normal 4 3 2 2 2 2 3 2 3" xfId="11528" xr:uid="{C197B036-A61F-4109-8C42-D522DB227133}"/>
    <cellStyle name="Normal 4 3 2 2 2 2 3 3" xfId="5159" xr:uid="{00000000-0005-0000-0000-000023140000}"/>
    <cellStyle name="Normal 4 3 2 2 2 2 3 3 2" xfId="13601" xr:uid="{022FF496-0BB8-412B-9586-6E501B18B6D3}"/>
    <cellStyle name="Normal 4 3 2 2 2 2 3 4" xfId="9383" xr:uid="{1DA12674-7226-441B-8A05-ABE089E613B2}"/>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16159" xr:uid="{7EB0C086-2EE7-473E-9EF9-8B09196FA767}"/>
    <cellStyle name="Normal 4 3 2 2 2 2 4 2 3" xfId="11941" xr:uid="{D11650E5-9BA7-43F9-883F-F2CF9FBE1CEB}"/>
    <cellStyle name="Normal 4 3 2 2 2 2 4 3" xfId="5572" xr:uid="{00000000-0005-0000-0000-000027140000}"/>
    <cellStyle name="Normal 4 3 2 2 2 2 4 3 2" xfId="14014" xr:uid="{30F38A5C-F17D-4DF0-BB4D-191EE36BC08E}"/>
    <cellStyle name="Normal 4 3 2 2 2 2 4 4" xfId="9796" xr:uid="{09468FB9-195B-4B2B-82AE-128A620D8B23}"/>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16572" xr:uid="{9E3AD63F-4053-4767-9C84-D98551AFCF12}"/>
    <cellStyle name="Normal 4 3 2 2 2 2 5 2 3" xfId="12354" xr:uid="{21E9AD11-16E5-4227-B817-7C3CC38506CC}"/>
    <cellStyle name="Normal 4 3 2 2 2 2 5 3" xfId="5985" xr:uid="{00000000-0005-0000-0000-00002B140000}"/>
    <cellStyle name="Normal 4 3 2 2 2 2 5 3 2" xfId="14427" xr:uid="{5DA5A25C-E05C-43C7-AC07-8241F0DCDCB2}"/>
    <cellStyle name="Normal 4 3 2 2 2 2 5 4" xfId="10209" xr:uid="{B7F1E422-6ABF-4BDC-B3F0-5361E0B1B5FA}"/>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16985" xr:uid="{A3A56CFE-DCCD-40F9-A7CB-FC98FCBE525A}"/>
    <cellStyle name="Normal 4 3 2 2 2 2 6 2 3" xfId="12767" xr:uid="{1B83742F-154F-4582-991F-DFC65508F81E}"/>
    <cellStyle name="Normal 4 3 2 2 2 2 6 3" xfId="6398" xr:uid="{00000000-0005-0000-0000-00002F140000}"/>
    <cellStyle name="Normal 4 3 2 2 2 2 6 3 2" xfId="14840" xr:uid="{2D84FF58-FCE0-414D-B0D4-7E0B1567470F}"/>
    <cellStyle name="Normal 4 3 2 2 2 2 6 4" xfId="10622" xr:uid="{02D1CCFC-28E4-4358-AB64-5F05AD884710}"/>
    <cellStyle name="Normal 4 3 2 2 2 2 7" xfId="2527" xr:uid="{00000000-0005-0000-0000-000030140000}"/>
    <cellStyle name="Normal 4 3 2 2 2 2 7 2" xfId="6811" xr:uid="{00000000-0005-0000-0000-000031140000}"/>
    <cellStyle name="Normal 4 3 2 2 2 2 7 2 2" xfId="15253" xr:uid="{93CF4577-8C61-4119-B2B7-3D4252B12942}"/>
    <cellStyle name="Normal 4 3 2 2 2 2 7 3" xfId="11035" xr:uid="{054130C9-56DC-448D-9830-961EE758D34F}"/>
    <cellStyle name="Normal 4 3 2 2 2 2 8" xfId="4746" xr:uid="{00000000-0005-0000-0000-000032140000}"/>
    <cellStyle name="Normal 4 3 2 2 2 2 8 2" xfId="13188" xr:uid="{CD923BC6-0B28-49CB-B376-F7321489021F}"/>
    <cellStyle name="Normal 4 3 2 2 2 2 9" xfId="8970" xr:uid="{1CC5F5C4-0FBB-4448-8BDC-D1B356D36294}"/>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15748" xr:uid="{E7D8EC43-AA02-4321-B5C8-C11FEEE17736}"/>
    <cellStyle name="Normal 4 3 2 2 2 3 2 2 3" xfId="11530" xr:uid="{7F5FB056-FAA3-4DB5-A792-2E7D85F3DBFF}"/>
    <cellStyle name="Normal 4 3 2 2 2 3 2 3" xfId="5161" xr:uid="{00000000-0005-0000-0000-000037140000}"/>
    <cellStyle name="Normal 4 3 2 2 2 3 2 3 2" xfId="13603" xr:uid="{EEAE5888-A207-4B2F-B221-ACEEE41E1B8B}"/>
    <cellStyle name="Normal 4 3 2 2 2 3 2 4" xfId="9385" xr:uid="{64FF07FD-3DE5-4432-B358-1890579D3BD8}"/>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16161" xr:uid="{1702FBA6-779D-4CCC-AFD9-FB9E4F9FD6E8}"/>
    <cellStyle name="Normal 4 3 2 2 2 3 3 2 3" xfId="11943" xr:uid="{1768BF76-B724-4265-BDD6-5A74C70FCD1F}"/>
    <cellStyle name="Normal 4 3 2 2 2 3 3 3" xfId="5574" xr:uid="{00000000-0005-0000-0000-00003B140000}"/>
    <cellStyle name="Normal 4 3 2 2 2 3 3 3 2" xfId="14016" xr:uid="{AB0A3903-2EE6-4E43-A5B3-3949FA3CB708}"/>
    <cellStyle name="Normal 4 3 2 2 2 3 3 4" xfId="9798" xr:uid="{47335B6B-4E9E-4CBB-99ED-757C947E01B5}"/>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16574" xr:uid="{C25E0BC7-C8AE-49EA-9B41-474689D1FC35}"/>
    <cellStyle name="Normal 4 3 2 2 2 3 4 2 3" xfId="12356" xr:uid="{D8C2A3C3-35CD-4B8F-97BE-0640452A0D8F}"/>
    <cellStyle name="Normal 4 3 2 2 2 3 4 3" xfId="5987" xr:uid="{00000000-0005-0000-0000-00003F140000}"/>
    <cellStyle name="Normal 4 3 2 2 2 3 4 3 2" xfId="14429" xr:uid="{B3F4AF9E-6956-4F98-A206-50A5BFFAA741}"/>
    <cellStyle name="Normal 4 3 2 2 2 3 4 4" xfId="10211" xr:uid="{EE6294B9-2302-44C1-96A7-58458AB260A9}"/>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16987" xr:uid="{6E448769-70B1-4AC7-9035-144C4D88F819}"/>
    <cellStyle name="Normal 4 3 2 2 2 3 5 2 3" xfId="12769" xr:uid="{8FE16565-E7AC-4F6B-B090-8BA09F9CB510}"/>
    <cellStyle name="Normal 4 3 2 2 2 3 5 3" xfId="6400" xr:uid="{00000000-0005-0000-0000-000043140000}"/>
    <cellStyle name="Normal 4 3 2 2 2 3 5 3 2" xfId="14842" xr:uid="{D101C150-1224-4F04-9CE4-13402AEE85C1}"/>
    <cellStyle name="Normal 4 3 2 2 2 3 5 4" xfId="10624" xr:uid="{F4853717-CB68-4FAA-896C-A037E9607802}"/>
    <cellStyle name="Normal 4 3 2 2 2 3 6" xfId="2529" xr:uid="{00000000-0005-0000-0000-000044140000}"/>
    <cellStyle name="Normal 4 3 2 2 2 3 6 2" xfId="6813" xr:uid="{00000000-0005-0000-0000-000045140000}"/>
    <cellStyle name="Normal 4 3 2 2 2 3 6 2 2" xfId="15255" xr:uid="{425F8622-C9BB-4339-8641-A0C7406B56B6}"/>
    <cellStyle name="Normal 4 3 2 2 2 3 6 3" xfId="11037" xr:uid="{A9622674-A2E9-4600-83F1-5A50C7479AB0}"/>
    <cellStyle name="Normal 4 3 2 2 2 3 7" xfId="4748" xr:uid="{00000000-0005-0000-0000-000046140000}"/>
    <cellStyle name="Normal 4 3 2 2 2 3 7 2" xfId="13190" xr:uid="{6360F132-3AA0-4077-80F6-805E263917C4}"/>
    <cellStyle name="Normal 4 3 2 2 2 3 8" xfId="8972" xr:uid="{CC4AA12A-4530-4BAD-9CDB-758FCA068297}"/>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15745" xr:uid="{514A2DFF-79A4-4B62-8790-53A1CCAFDFE4}"/>
    <cellStyle name="Normal 4 3 2 2 2 4 2 3" xfId="11527" xr:uid="{402FE666-7F10-434D-9D86-97191A0961EA}"/>
    <cellStyle name="Normal 4 3 2 2 2 4 3" xfId="5158" xr:uid="{00000000-0005-0000-0000-00004A140000}"/>
    <cellStyle name="Normal 4 3 2 2 2 4 3 2" xfId="13600" xr:uid="{AD03E4F8-9167-4701-B7E4-F52C34035FE0}"/>
    <cellStyle name="Normal 4 3 2 2 2 4 4" xfId="9382" xr:uid="{9646384F-66EB-4AA8-9CF4-C4E3D3E95C89}"/>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16158" xr:uid="{9F889814-6074-4E2C-A75C-54E4488A1CE0}"/>
    <cellStyle name="Normal 4 3 2 2 2 5 2 3" xfId="11940" xr:uid="{134873F8-0BD7-4481-BDBA-8BD11EE79AFD}"/>
    <cellStyle name="Normal 4 3 2 2 2 5 3" xfId="5571" xr:uid="{00000000-0005-0000-0000-00004E140000}"/>
    <cellStyle name="Normal 4 3 2 2 2 5 3 2" xfId="14013" xr:uid="{BCCBF190-C723-47BD-8CE3-BB63093EB893}"/>
    <cellStyle name="Normal 4 3 2 2 2 5 4" xfId="9795" xr:uid="{3F46DC36-E894-4D4C-AAD1-D06E9C5B8906}"/>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16571" xr:uid="{7B3C026B-E259-4C49-BFC5-4F3F1FEE4BA2}"/>
    <cellStyle name="Normal 4 3 2 2 2 6 2 3" xfId="12353" xr:uid="{0D4C124D-1D71-4017-B25F-F27E27042CE5}"/>
    <cellStyle name="Normal 4 3 2 2 2 6 3" xfId="5984" xr:uid="{00000000-0005-0000-0000-000052140000}"/>
    <cellStyle name="Normal 4 3 2 2 2 6 3 2" xfId="14426" xr:uid="{D6760C69-649B-436C-8C16-A5D41FF38C20}"/>
    <cellStyle name="Normal 4 3 2 2 2 6 4" xfId="10208" xr:uid="{0C1C9B9B-03BE-45B7-AA16-6E51B7246BA7}"/>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16984" xr:uid="{F534CDD8-32FD-4D8C-9359-4FC2EFE016D2}"/>
    <cellStyle name="Normal 4 3 2 2 2 7 2 3" xfId="12766" xr:uid="{AD65078E-D9F8-4564-A3F1-3B54D07F86DC}"/>
    <cellStyle name="Normal 4 3 2 2 2 7 3" xfId="6397" xr:uid="{00000000-0005-0000-0000-000056140000}"/>
    <cellStyle name="Normal 4 3 2 2 2 7 3 2" xfId="14839" xr:uid="{43894573-2243-40D9-AB50-579D11DFC32F}"/>
    <cellStyle name="Normal 4 3 2 2 2 7 4" xfId="10621" xr:uid="{8DE6E784-61AB-4855-95E4-1061691E6A69}"/>
    <cellStyle name="Normal 4 3 2 2 2 8" xfId="2526" xr:uid="{00000000-0005-0000-0000-000057140000}"/>
    <cellStyle name="Normal 4 3 2 2 2 8 2" xfId="6810" xr:uid="{00000000-0005-0000-0000-000058140000}"/>
    <cellStyle name="Normal 4 3 2 2 2 8 2 2" xfId="15252" xr:uid="{E567C859-0610-4CE9-A428-9D40751D8F30}"/>
    <cellStyle name="Normal 4 3 2 2 2 8 3" xfId="11034" xr:uid="{26D2A118-E640-41CA-B1A5-447588CD63C8}"/>
    <cellStyle name="Normal 4 3 2 2 2 9" xfId="4745" xr:uid="{00000000-0005-0000-0000-000059140000}"/>
    <cellStyle name="Normal 4 3 2 2 2 9 2" xfId="13187" xr:uid="{AD3B7C23-0373-4317-B621-90137C235AB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3" xr:uid="{CAE6E36D-B497-4A75-A280-A14509BF2663}"/>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15751" xr:uid="{F3F45451-F959-467C-93F0-E141EA1C197D}"/>
    <cellStyle name="Normal 4 3 3 2 2 2 2 3" xfId="11533" xr:uid="{33DE8D0C-A954-4F94-A95B-61EA65FD33D9}"/>
    <cellStyle name="Normal 4 3 3 2 2 2 3" xfId="5164" xr:uid="{00000000-0005-0000-0000-000063140000}"/>
    <cellStyle name="Normal 4 3 3 2 2 2 3 2" xfId="13606" xr:uid="{C560788B-5CBF-40EB-A726-572B0E61E60D}"/>
    <cellStyle name="Normal 4 3 3 2 2 2 4" xfId="9388" xr:uid="{F5358B99-70F9-4583-B398-5DB21C0A9294}"/>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16164" xr:uid="{BA0BB52B-B5C5-479B-BA5E-3C1D7E1DA80C}"/>
    <cellStyle name="Normal 4 3 3 2 2 3 2 3" xfId="11946" xr:uid="{2C5F543C-56D0-4CAA-BC31-99B3B069EDB1}"/>
    <cellStyle name="Normal 4 3 3 2 2 3 3" xfId="5577" xr:uid="{00000000-0005-0000-0000-000067140000}"/>
    <cellStyle name="Normal 4 3 3 2 2 3 3 2" xfId="14019" xr:uid="{ACA73839-136B-47DF-B2DD-DF8B6AC4D6D7}"/>
    <cellStyle name="Normal 4 3 3 2 2 3 4" xfId="9801" xr:uid="{2296EF9A-CCD4-418C-ACE9-0C13862EBED9}"/>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16577" xr:uid="{86AF2919-FCF5-4B0B-BB41-01AAC6086970}"/>
    <cellStyle name="Normal 4 3 3 2 2 4 2 3" xfId="12359" xr:uid="{4C2743C8-0828-4577-A3D8-80352D5F7DC8}"/>
    <cellStyle name="Normal 4 3 3 2 2 4 3" xfId="5990" xr:uid="{00000000-0005-0000-0000-00006B140000}"/>
    <cellStyle name="Normal 4 3 3 2 2 4 3 2" xfId="14432" xr:uid="{430BD48C-36A0-41BE-A6B7-51C110B2AE02}"/>
    <cellStyle name="Normal 4 3 3 2 2 4 4" xfId="10214" xr:uid="{BBE5016D-EBC2-4F19-ABC4-B2341D18B06D}"/>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16990" xr:uid="{2890D129-A755-4094-A41D-883B02667520}"/>
    <cellStyle name="Normal 4 3 3 2 2 5 2 3" xfId="12772" xr:uid="{011D88D4-4211-4D01-B96D-4CE18E0D38B2}"/>
    <cellStyle name="Normal 4 3 3 2 2 5 3" xfId="6403" xr:uid="{00000000-0005-0000-0000-00006F140000}"/>
    <cellStyle name="Normal 4 3 3 2 2 5 3 2" xfId="14845" xr:uid="{6320AFDB-0967-4824-AB27-109396FBD22C}"/>
    <cellStyle name="Normal 4 3 3 2 2 5 4" xfId="10627" xr:uid="{20FB0794-1550-48DA-A1BE-AE545FB46DC4}"/>
    <cellStyle name="Normal 4 3 3 2 2 6" xfId="2532" xr:uid="{00000000-0005-0000-0000-000070140000}"/>
    <cellStyle name="Normal 4 3 3 2 2 6 2" xfId="6816" xr:uid="{00000000-0005-0000-0000-000071140000}"/>
    <cellStyle name="Normal 4 3 3 2 2 6 2 2" xfId="15258" xr:uid="{6BB7585A-279A-434A-AEFB-E6EDB15609A3}"/>
    <cellStyle name="Normal 4 3 3 2 2 6 3" xfId="11040" xr:uid="{223C9D0A-1298-4937-AE3D-D0BCFC92C0EE}"/>
    <cellStyle name="Normal 4 3 3 2 2 7" xfId="4751" xr:uid="{00000000-0005-0000-0000-000072140000}"/>
    <cellStyle name="Normal 4 3 3 2 2 7 2" xfId="13193" xr:uid="{AF596E7B-74CF-433B-B3F8-52A29863E9C8}"/>
    <cellStyle name="Normal 4 3 3 2 2 8" xfId="8975" xr:uid="{BD0E3BD7-D6F9-4604-AB35-B4E512347EC9}"/>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15750" xr:uid="{01F9C715-36DC-41E6-85BD-9ADE9F62F5F0}"/>
    <cellStyle name="Normal 4 3 3 2 3 2 3" xfId="11532" xr:uid="{C5AC7804-3A05-443F-A732-9D220A79947B}"/>
    <cellStyle name="Normal 4 3 3 2 3 3" xfId="5163" xr:uid="{00000000-0005-0000-0000-000076140000}"/>
    <cellStyle name="Normal 4 3 3 2 3 3 2" xfId="13605" xr:uid="{F8292D3C-159E-4545-B6BA-3D44D139E20C}"/>
    <cellStyle name="Normal 4 3 3 2 3 4" xfId="9387" xr:uid="{ADA8D6E2-DFAF-48D6-BAEF-438604F6ACCE}"/>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16163" xr:uid="{6C50C9C7-A399-4D49-84FE-D463172484C5}"/>
    <cellStyle name="Normal 4 3 3 2 4 2 3" xfId="11945" xr:uid="{00D77308-32C8-4F39-9C85-487D2333B48D}"/>
    <cellStyle name="Normal 4 3 3 2 4 3" xfId="5576" xr:uid="{00000000-0005-0000-0000-00007A140000}"/>
    <cellStyle name="Normal 4 3 3 2 4 3 2" xfId="14018" xr:uid="{9A4B32F1-E883-459B-9EF7-DC6853644C8F}"/>
    <cellStyle name="Normal 4 3 3 2 4 4" xfId="9800" xr:uid="{A0BEB226-6A42-4484-A7FC-0A50319B4D90}"/>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16576" xr:uid="{808D443B-E89C-4792-BDF3-8A747038FBB0}"/>
    <cellStyle name="Normal 4 3 3 2 5 2 3" xfId="12358" xr:uid="{A8ADA5C7-A58E-4319-A46F-82E70D680DCD}"/>
    <cellStyle name="Normal 4 3 3 2 5 3" xfId="5989" xr:uid="{00000000-0005-0000-0000-00007E140000}"/>
    <cellStyle name="Normal 4 3 3 2 5 3 2" xfId="14431" xr:uid="{962B0614-8177-448B-AB7F-C8F060CAEEB6}"/>
    <cellStyle name="Normal 4 3 3 2 5 4" xfId="10213" xr:uid="{6557391E-EC73-40CD-8A9C-F0CE25CFFCDB}"/>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16989" xr:uid="{69CA8199-389D-4F3F-84F3-41F392DA48C8}"/>
    <cellStyle name="Normal 4 3 3 2 6 2 3" xfId="12771" xr:uid="{AA5165B4-5966-4980-B442-10F9FD2C3347}"/>
    <cellStyle name="Normal 4 3 3 2 6 3" xfId="6402" xr:uid="{00000000-0005-0000-0000-000082140000}"/>
    <cellStyle name="Normal 4 3 3 2 6 3 2" xfId="14844" xr:uid="{2DBC1A94-95BC-48A8-9662-65D4F26A1FA1}"/>
    <cellStyle name="Normal 4 3 3 2 6 4" xfId="10626" xr:uid="{E8540B93-C2DB-458F-9BC5-D1352886A17B}"/>
    <cellStyle name="Normal 4 3 3 2 7" xfId="2531" xr:uid="{00000000-0005-0000-0000-000083140000}"/>
    <cellStyle name="Normal 4 3 3 2 7 2" xfId="6815" xr:uid="{00000000-0005-0000-0000-000084140000}"/>
    <cellStyle name="Normal 4 3 3 2 7 2 2" xfId="15257" xr:uid="{025A7A3D-8D7D-4A97-8565-5C97F5E73398}"/>
    <cellStyle name="Normal 4 3 3 2 7 3" xfId="11039" xr:uid="{5C973084-6B38-4E85-B594-789B999DBEAF}"/>
    <cellStyle name="Normal 4 3 3 2 8" xfId="4750" xr:uid="{00000000-0005-0000-0000-000085140000}"/>
    <cellStyle name="Normal 4 3 3 2 8 2" xfId="13192" xr:uid="{40BF85D4-A96A-4C80-836B-922D15DF81A9}"/>
    <cellStyle name="Normal 4 3 3 2 9" xfId="8974" xr:uid="{F31AD791-6806-4130-BF81-17C1A7F5E16C}"/>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15752" xr:uid="{7B839EDC-BC04-4AAF-954B-3E11E4672E10}"/>
    <cellStyle name="Normal 4 3 3 3 2 2 3" xfId="11534" xr:uid="{51970F5E-95EF-467A-BFF3-5B0594B9440D}"/>
    <cellStyle name="Normal 4 3 3 3 2 3" xfId="5165" xr:uid="{00000000-0005-0000-0000-00008A140000}"/>
    <cellStyle name="Normal 4 3 3 3 2 3 2" xfId="13607" xr:uid="{5D787E76-879A-4538-981E-A92F436020FF}"/>
    <cellStyle name="Normal 4 3 3 3 2 4" xfId="9389" xr:uid="{7E456404-3D2D-467C-A3BC-BE3E290B5853}"/>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16165" xr:uid="{C0EC8D4D-7889-4659-A3F9-9697D7311CE5}"/>
    <cellStyle name="Normal 4 3 3 3 3 2 3" xfId="11947" xr:uid="{2E8346ED-996B-4528-BD30-D01112C081F9}"/>
    <cellStyle name="Normal 4 3 3 3 3 3" xfId="5578" xr:uid="{00000000-0005-0000-0000-00008E140000}"/>
    <cellStyle name="Normal 4 3 3 3 3 3 2" xfId="14020" xr:uid="{2521D525-B164-49BE-B578-AC0DC7F3D7B7}"/>
    <cellStyle name="Normal 4 3 3 3 3 4" xfId="9802" xr:uid="{E65FA472-C5F1-4C7F-BB3D-ABD979AF3F3F}"/>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16578" xr:uid="{AFC95CD8-EC91-4E05-A1A7-EB9D44DEFB89}"/>
    <cellStyle name="Normal 4 3 3 3 4 2 3" xfId="12360" xr:uid="{AA5EF59C-AE61-4AC3-883E-2350FB88635A}"/>
    <cellStyle name="Normal 4 3 3 3 4 3" xfId="5991" xr:uid="{00000000-0005-0000-0000-000092140000}"/>
    <cellStyle name="Normal 4 3 3 3 4 3 2" xfId="14433" xr:uid="{045CF150-6B8F-454D-A882-85DDA8D8D11C}"/>
    <cellStyle name="Normal 4 3 3 3 4 4" xfId="10215" xr:uid="{35402BDD-4905-4BB0-8305-1A48B9DCF466}"/>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16991" xr:uid="{CC8B4B6E-9D1A-4665-A680-FBA39C00D984}"/>
    <cellStyle name="Normal 4 3 3 3 5 2 3" xfId="12773" xr:uid="{0F092453-0C87-4561-853E-352D8E7370D7}"/>
    <cellStyle name="Normal 4 3 3 3 5 3" xfId="6404" xr:uid="{00000000-0005-0000-0000-000096140000}"/>
    <cellStyle name="Normal 4 3 3 3 5 3 2" xfId="14846" xr:uid="{7FFC49BB-301D-4D56-B339-8B320D75A310}"/>
    <cellStyle name="Normal 4 3 3 3 5 4" xfId="10628" xr:uid="{217F8C61-B764-4A3E-A04F-79D3153125BC}"/>
    <cellStyle name="Normal 4 3 3 3 6" xfId="2533" xr:uid="{00000000-0005-0000-0000-000097140000}"/>
    <cellStyle name="Normal 4 3 3 3 6 2" xfId="6817" xr:uid="{00000000-0005-0000-0000-000098140000}"/>
    <cellStyle name="Normal 4 3 3 3 6 2 2" xfId="15259" xr:uid="{5398079C-F9DA-40B0-8093-62EDAAAFEEBC}"/>
    <cellStyle name="Normal 4 3 3 3 6 3" xfId="11041" xr:uid="{A68EA05A-A242-464E-97BB-AF3052174368}"/>
    <cellStyle name="Normal 4 3 3 3 7" xfId="4752" xr:uid="{00000000-0005-0000-0000-000099140000}"/>
    <cellStyle name="Normal 4 3 3 3 7 2" xfId="13194" xr:uid="{82ECF946-B9BF-4BB5-9756-F03CC4956783}"/>
    <cellStyle name="Normal 4 3 3 3 8" xfId="8976" xr:uid="{573DD191-3416-4DEC-BF2C-1FAE93CB95F7}"/>
    <cellStyle name="Normal 4 3 3 4" xfId="849" xr:uid="{00000000-0005-0000-0000-00009A140000}"/>
    <cellStyle name="Normal 4 3 3 4 2" xfId="3084" xr:uid="{00000000-0005-0000-0000-00009B140000}"/>
    <cellStyle name="Normal 4 3 3 4 2 2" xfId="7307" xr:uid="{00000000-0005-0000-0000-00009C140000}"/>
    <cellStyle name="Normal 4 3 3 4 2 2 2" xfId="15749" xr:uid="{A7B492A0-DC49-4657-B81E-B0ED9790FFB4}"/>
    <cellStyle name="Normal 4 3 3 4 2 3" xfId="11531" xr:uid="{369A5074-82C4-47FA-80A3-AA119BA7770A}"/>
    <cellStyle name="Normal 4 3 3 4 3" xfId="5162" xr:uid="{00000000-0005-0000-0000-00009D140000}"/>
    <cellStyle name="Normal 4 3 3 4 3 2" xfId="13604" xr:uid="{3E33F891-E5E2-4FF4-9485-B91834AACC17}"/>
    <cellStyle name="Normal 4 3 3 4 4" xfId="9386" xr:uid="{A3E194AC-4873-4FF8-B136-DB05D73C2D67}"/>
    <cellStyle name="Normal 4 3 3 5" xfId="1267" xr:uid="{00000000-0005-0000-0000-00009E140000}"/>
    <cellStyle name="Normal 4 3 3 5 2" xfId="3497" xr:uid="{00000000-0005-0000-0000-00009F140000}"/>
    <cellStyle name="Normal 4 3 3 5 2 2" xfId="7720" xr:uid="{00000000-0005-0000-0000-0000A0140000}"/>
    <cellStyle name="Normal 4 3 3 5 2 2 2" xfId="16162" xr:uid="{21FC689D-3A66-4634-8626-C6DFA77BF6F8}"/>
    <cellStyle name="Normal 4 3 3 5 2 3" xfId="11944" xr:uid="{AC2623ED-B0C4-43ED-96D7-29518A379813}"/>
    <cellStyle name="Normal 4 3 3 5 3" xfId="5575" xr:uid="{00000000-0005-0000-0000-0000A1140000}"/>
    <cellStyle name="Normal 4 3 3 5 3 2" xfId="14017" xr:uid="{790402E5-2F19-49A5-9C59-5141D423CC0D}"/>
    <cellStyle name="Normal 4 3 3 5 4" xfId="9799" xr:uid="{4C7BC8D3-EF5B-4727-AAB5-439C139C2508}"/>
    <cellStyle name="Normal 4 3 3 6" xfId="1680" xr:uid="{00000000-0005-0000-0000-0000A2140000}"/>
    <cellStyle name="Normal 4 3 3 6 2" xfId="3910" xr:uid="{00000000-0005-0000-0000-0000A3140000}"/>
    <cellStyle name="Normal 4 3 3 6 2 2" xfId="8133" xr:uid="{00000000-0005-0000-0000-0000A4140000}"/>
    <cellStyle name="Normal 4 3 3 6 2 2 2" xfId="16575" xr:uid="{07718AE6-B2F3-4545-9169-301511CE7D66}"/>
    <cellStyle name="Normal 4 3 3 6 2 3" xfId="12357" xr:uid="{6F8D60AA-D4A4-44AC-A347-A1E3352ACB64}"/>
    <cellStyle name="Normal 4 3 3 6 3" xfId="5988" xr:uid="{00000000-0005-0000-0000-0000A5140000}"/>
    <cellStyle name="Normal 4 3 3 6 3 2" xfId="14430" xr:uid="{4D04AB48-C352-4B7C-967A-DDC32D5ED10B}"/>
    <cellStyle name="Normal 4 3 3 6 4" xfId="10212" xr:uid="{DFBB08A9-DA04-4D34-9536-18F1E87CCF89}"/>
    <cellStyle name="Normal 4 3 3 7" xfId="2094" xr:uid="{00000000-0005-0000-0000-0000A6140000}"/>
    <cellStyle name="Normal 4 3 3 7 2" xfId="4323" xr:uid="{00000000-0005-0000-0000-0000A7140000}"/>
    <cellStyle name="Normal 4 3 3 7 2 2" xfId="8546" xr:uid="{00000000-0005-0000-0000-0000A8140000}"/>
    <cellStyle name="Normal 4 3 3 7 2 2 2" xfId="16988" xr:uid="{A9AE04DD-6748-433D-848D-0D8A3B19F4A9}"/>
    <cellStyle name="Normal 4 3 3 7 2 3" xfId="12770" xr:uid="{E9CCEE6F-A9E3-46AC-A2FB-60A4A46F4EAF}"/>
    <cellStyle name="Normal 4 3 3 7 3" xfId="6401" xr:uid="{00000000-0005-0000-0000-0000A9140000}"/>
    <cellStyle name="Normal 4 3 3 7 3 2" xfId="14843" xr:uid="{E586BDAB-9CE8-42A0-BE99-AB58B3ABFAAA}"/>
    <cellStyle name="Normal 4 3 3 7 4" xfId="10625" xr:uid="{0222104F-160A-4EED-A3A5-28286D671AB0}"/>
    <cellStyle name="Normal 4 3 3 8" xfId="2530" xr:uid="{00000000-0005-0000-0000-0000AA140000}"/>
    <cellStyle name="Normal 4 3 3 8 2" xfId="6814" xr:uid="{00000000-0005-0000-0000-0000AB140000}"/>
    <cellStyle name="Normal 4 3 3 8 2 2" xfId="15256" xr:uid="{527F603E-67A0-42D4-A980-C9E06B5B4A1C}"/>
    <cellStyle name="Normal 4 3 3 8 3" xfId="11038" xr:uid="{D86C3F24-EF81-4EE6-8FEA-56D854CDF877}"/>
    <cellStyle name="Normal 4 3 3 9" xfId="4749" xr:uid="{00000000-0005-0000-0000-0000AC140000}"/>
    <cellStyle name="Normal 4 3 3 9 2" xfId="13191" xr:uid="{A81734F0-9E05-4C29-B170-6514E3BCE13F}"/>
    <cellStyle name="Normal 4 3 4" xfId="842" xr:uid="{00000000-0005-0000-0000-0000AD140000}"/>
    <cellStyle name="Normal 4 3 4 2" xfId="3079" xr:uid="{00000000-0005-0000-0000-0000AE140000}"/>
    <cellStyle name="Normal 4 3 4 2 2" xfId="7302" xr:uid="{00000000-0005-0000-0000-0000AF140000}"/>
    <cellStyle name="Normal 4 3 4 2 2 2" xfId="15744" xr:uid="{56C20E6E-A548-44C7-ACD6-75BB63918F9E}"/>
    <cellStyle name="Normal 4 3 4 2 3" xfId="11526" xr:uid="{6E2C4390-F761-4E01-930F-634A0E80BE8E}"/>
    <cellStyle name="Normal 4 3 4 3" xfId="5157" xr:uid="{00000000-0005-0000-0000-0000B0140000}"/>
    <cellStyle name="Normal 4 3 4 3 2" xfId="13599" xr:uid="{91A19F0E-59DD-4276-9B49-EB389658CA98}"/>
    <cellStyle name="Normal 4 3 4 4" xfId="9381" xr:uid="{D9517379-1BA2-4AA0-8D78-0FF50BD2FD98}"/>
    <cellStyle name="Normal 4 3 5" xfId="1262" xr:uid="{00000000-0005-0000-0000-0000B1140000}"/>
    <cellStyle name="Normal 4 3 5 2" xfId="3492" xr:uid="{00000000-0005-0000-0000-0000B2140000}"/>
    <cellStyle name="Normal 4 3 5 2 2" xfId="7715" xr:uid="{00000000-0005-0000-0000-0000B3140000}"/>
    <cellStyle name="Normal 4 3 5 2 2 2" xfId="16157" xr:uid="{C5DCDD28-8704-423C-BC4F-44CDA8389FCF}"/>
    <cellStyle name="Normal 4 3 5 2 3" xfId="11939" xr:uid="{46647EC7-8605-4B61-87E8-D213EC77A3C9}"/>
    <cellStyle name="Normal 4 3 5 3" xfId="5570" xr:uid="{00000000-0005-0000-0000-0000B4140000}"/>
    <cellStyle name="Normal 4 3 5 3 2" xfId="14012" xr:uid="{B464F467-F1C0-4052-8A9B-9A02B30F44FA}"/>
    <cellStyle name="Normal 4 3 5 4" xfId="9794" xr:uid="{7CF06A79-D5E5-4433-9113-7E7A83A3498A}"/>
    <cellStyle name="Normal 4 3 6" xfId="1675" xr:uid="{00000000-0005-0000-0000-0000B5140000}"/>
    <cellStyle name="Normal 4 3 6 2" xfId="3905" xr:uid="{00000000-0005-0000-0000-0000B6140000}"/>
    <cellStyle name="Normal 4 3 6 2 2" xfId="8128" xr:uid="{00000000-0005-0000-0000-0000B7140000}"/>
    <cellStyle name="Normal 4 3 6 2 2 2" xfId="16570" xr:uid="{AE98193D-BFDF-4862-BFD3-2F46BD5E7F6A}"/>
    <cellStyle name="Normal 4 3 6 2 3" xfId="12352" xr:uid="{E25FBBE6-603B-49E0-9A06-C875793DFA0A}"/>
    <cellStyle name="Normal 4 3 6 3" xfId="5983" xr:uid="{00000000-0005-0000-0000-0000B8140000}"/>
    <cellStyle name="Normal 4 3 6 3 2" xfId="14425" xr:uid="{0C181337-46E8-491F-BA3A-FBD8E79B28C8}"/>
    <cellStyle name="Normal 4 3 6 4" xfId="10207" xr:uid="{96DC8E12-C6D8-4283-B6EB-0BAE1E1A2F29}"/>
    <cellStyle name="Normal 4 3 7" xfId="2089" xr:uid="{00000000-0005-0000-0000-0000B9140000}"/>
    <cellStyle name="Normal 4 3 7 2" xfId="4318" xr:uid="{00000000-0005-0000-0000-0000BA140000}"/>
    <cellStyle name="Normal 4 3 7 2 2" xfId="8541" xr:uid="{00000000-0005-0000-0000-0000BB140000}"/>
    <cellStyle name="Normal 4 3 7 2 2 2" xfId="16983" xr:uid="{331508EE-6077-4CD4-A95F-4C47CFB9012B}"/>
    <cellStyle name="Normal 4 3 7 2 3" xfId="12765" xr:uid="{E87148DC-3DF3-47E1-8E77-467BEB9201D9}"/>
    <cellStyle name="Normal 4 3 7 3" xfId="6396" xr:uid="{00000000-0005-0000-0000-0000BC140000}"/>
    <cellStyle name="Normal 4 3 7 3 2" xfId="14838" xr:uid="{8F11925D-F82C-4CC0-9719-1E7F7C8F1ECD}"/>
    <cellStyle name="Normal 4 3 7 4" xfId="10620" xr:uid="{6F5E8C68-0916-4E6A-96EB-154C89753165}"/>
    <cellStyle name="Normal 4 3 8" xfId="2525" xr:uid="{00000000-0005-0000-0000-0000BD140000}"/>
    <cellStyle name="Normal 4 3 8 2" xfId="6809" xr:uid="{00000000-0005-0000-0000-0000BE140000}"/>
    <cellStyle name="Normal 4 3 8 2 2" xfId="15251" xr:uid="{9C509C96-68FD-4E14-978B-86F20A562FD4}"/>
    <cellStyle name="Normal 4 3 8 3" xfId="11033" xr:uid="{44FE44A8-5684-45D4-B6E8-F826C05D2B7A}"/>
    <cellStyle name="Normal 4 3 9" xfId="4744" xr:uid="{00000000-0005-0000-0000-0000BF140000}"/>
    <cellStyle name="Normal 4 3 9 2" xfId="13186" xr:uid="{11109103-A0A3-4C05-91B8-4470919C4467}"/>
    <cellStyle name="Normal 4 4" xfId="378" xr:uid="{00000000-0005-0000-0000-0000C0140000}"/>
    <cellStyle name="Normal 4 4 10" xfId="2534" xr:uid="{00000000-0005-0000-0000-0000C1140000}"/>
    <cellStyle name="Normal 4 4 10 2" xfId="6818" xr:uid="{00000000-0005-0000-0000-0000C2140000}"/>
    <cellStyle name="Normal 4 4 10 2 2" xfId="15260" xr:uid="{348C4AB1-23BE-4CF2-A2B0-FB64FFAA9B29}"/>
    <cellStyle name="Normal 4 4 10 3" xfId="11042" xr:uid="{6D8D2262-80FA-4870-B1CF-7784587754B1}"/>
    <cellStyle name="Normal 4 4 11" xfId="4753" xr:uid="{00000000-0005-0000-0000-0000C3140000}"/>
    <cellStyle name="Normal 4 4 11 2" xfId="13195" xr:uid="{D292A1B7-4B46-469E-A038-C157AF2C0C67}"/>
    <cellStyle name="Normal 4 4 12" xfId="8977" xr:uid="{A52EE6D5-8A98-40E5-B9D3-8CABEFD8D64D}"/>
    <cellStyle name="Normal 4 4 2" xfId="379" xr:uid="{00000000-0005-0000-0000-0000C4140000}"/>
    <cellStyle name="Normal 4 4 2 10" xfId="4754" xr:uid="{00000000-0005-0000-0000-0000C5140000}"/>
    <cellStyle name="Normal 4 4 2 10 2" xfId="13196" xr:uid="{E3DDC570-B327-4767-9F32-D11558FC76D4}"/>
    <cellStyle name="Normal 4 4 2 11" xfId="8978" xr:uid="{DD9D9C59-F506-4536-B93F-C8ACE7145250}"/>
    <cellStyle name="Normal 4 4 2 2" xfId="380" xr:uid="{00000000-0005-0000-0000-0000C6140000}"/>
    <cellStyle name="Normal 4 4 2 2 10" xfId="8979" xr:uid="{5DFED291-9871-4307-AF41-46D533D78962}"/>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15757" xr:uid="{FC4165B1-FFCB-4249-8512-4B3F682AE407}"/>
    <cellStyle name="Normal 4 4 2 2 2 2 2 2 3" xfId="11539" xr:uid="{73D09B7C-8C02-4238-B555-A56EDC582155}"/>
    <cellStyle name="Normal 4 4 2 2 2 2 2 3" xfId="5170" xr:uid="{00000000-0005-0000-0000-0000CC140000}"/>
    <cellStyle name="Normal 4 4 2 2 2 2 2 3 2" xfId="13612" xr:uid="{FC25FEE4-0052-42B3-9A10-F88FDE39747B}"/>
    <cellStyle name="Normal 4 4 2 2 2 2 2 4" xfId="9394" xr:uid="{85A9FE97-B479-402B-9D1F-8640CE0016F3}"/>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16170" xr:uid="{6613ADC5-5C3E-4E8C-831A-526D32E51B52}"/>
    <cellStyle name="Normal 4 4 2 2 2 2 3 2 3" xfId="11952" xr:uid="{F4834B3B-2930-4F34-BEFC-1E47D3610628}"/>
    <cellStyle name="Normal 4 4 2 2 2 2 3 3" xfId="5583" xr:uid="{00000000-0005-0000-0000-0000D0140000}"/>
    <cellStyle name="Normal 4 4 2 2 2 2 3 3 2" xfId="14025" xr:uid="{78E28E30-FD1F-40B1-8434-54F49F8C2DC1}"/>
    <cellStyle name="Normal 4 4 2 2 2 2 3 4" xfId="9807" xr:uid="{0C94F933-247D-43E2-A844-1B5D071C3244}"/>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16583" xr:uid="{9AD5D99C-B26F-4427-AC92-5855E822074A}"/>
    <cellStyle name="Normal 4 4 2 2 2 2 4 2 3" xfId="12365" xr:uid="{8157EDD2-C0C0-4C4F-9536-9413FFCA570E}"/>
    <cellStyle name="Normal 4 4 2 2 2 2 4 3" xfId="5996" xr:uid="{00000000-0005-0000-0000-0000D4140000}"/>
    <cellStyle name="Normal 4 4 2 2 2 2 4 3 2" xfId="14438" xr:uid="{A0DDBDAE-7EA4-4406-B39F-4481DB0A71F8}"/>
    <cellStyle name="Normal 4 4 2 2 2 2 4 4" xfId="10220" xr:uid="{C8E1A490-8073-48E0-BB29-FA6476EF4287}"/>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16996" xr:uid="{CC50018F-19E2-45B5-BEDA-0608EC4C3FF7}"/>
    <cellStyle name="Normal 4 4 2 2 2 2 5 2 3" xfId="12778" xr:uid="{3B1D6B5D-750B-4ED7-AB32-6E79508C07DE}"/>
    <cellStyle name="Normal 4 4 2 2 2 2 5 3" xfId="6409" xr:uid="{00000000-0005-0000-0000-0000D8140000}"/>
    <cellStyle name="Normal 4 4 2 2 2 2 5 3 2" xfId="14851" xr:uid="{83110FB3-87C6-4C13-9BE9-9C3C016120AC}"/>
    <cellStyle name="Normal 4 4 2 2 2 2 5 4" xfId="10633" xr:uid="{B3438AB9-B0E0-4C07-B2B8-EA822DA0693B}"/>
    <cellStyle name="Normal 4 4 2 2 2 2 6" xfId="2538" xr:uid="{00000000-0005-0000-0000-0000D9140000}"/>
    <cellStyle name="Normal 4 4 2 2 2 2 6 2" xfId="6822" xr:uid="{00000000-0005-0000-0000-0000DA140000}"/>
    <cellStyle name="Normal 4 4 2 2 2 2 6 2 2" xfId="15264" xr:uid="{A1B03BE3-9C7A-4FBB-ADF8-B68F9FF4C72D}"/>
    <cellStyle name="Normal 4 4 2 2 2 2 6 3" xfId="11046" xr:uid="{531B2C36-C17B-470F-9413-AE9035130BFF}"/>
    <cellStyle name="Normal 4 4 2 2 2 2 7" xfId="4757" xr:uid="{00000000-0005-0000-0000-0000DB140000}"/>
    <cellStyle name="Normal 4 4 2 2 2 2 7 2" xfId="13199" xr:uid="{BD195190-13D0-41BE-915B-E9F73DC81E37}"/>
    <cellStyle name="Normal 4 4 2 2 2 2 8" xfId="8981" xr:uid="{99119C3D-304F-47D5-9928-3DEF3301329D}"/>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15756" xr:uid="{7671A38B-8B69-4630-B62F-577EB70AAE32}"/>
    <cellStyle name="Normal 4 4 2 2 2 3 2 3" xfId="11538" xr:uid="{6AED55B8-FFEE-4670-8658-24C37F862FB9}"/>
    <cellStyle name="Normal 4 4 2 2 2 3 3" xfId="5169" xr:uid="{00000000-0005-0000-0000-0000DF140000}"/>
    <cellStyle name="Normal 4 4 2 2 2 3 3 2" xfId="13611" xr:uid="{40F53F66-D04B-4D1F-A1F1-46FF6087D09F}"/>
    <cellStyle name="Normal 4 4 2 2 2 3 4" xfId="9393" xr:uid="{730238F9-709A-49C6-80CC-DCA3E9C9A0D3}"/>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16169" xr:uid="{10F5574C-C887-4F74-93FB-8B52835E2EC4}"/>
    <cellStyle name="Normal 4 4 2 2 2 4 2 3" xfId="11951" xr:uid="{636CB1BA-9A3D-40C0-A26B-9BD1DE86CE61}"/>
    <cellStyle name="Normal 4 4 2 2 2 4 3" xfId="5582" xr:uid="{00000000-0005-0000-0000-0000E3140000}"/>
    <cellStyle name="Normal 4 4 2 2 2 4 3 2" xfId="14024" xr:uid="{40F0FE61-1BB9-4A07-A80C-B105B6F66D90}"/>
    <cellStyle name="Normal 4 4 2 2 2 4 4" xfId="9806" xr:uid="{283A7DC9-D7E0-4B37-BEC9-AEC75017E786}"/>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16582" xr:uid="{40610EF8-87EA-4BAA-880F-26F6565459BB}"/>
    <cellStyle name="Normal 4 4 2 2 2 5 2 3" xfId="12364" xr:uid="{EC8B34CE-164E-4534-B282-09A0EFC006E0}"/>
    <cellStyle name="Normal 4 4 2 2 2 5 3" xfId="5995" xr:uid="{00000000-0005-0000-0000-0000E7140000}"/>
    <cellStyle name="Normal 4 4 2 2 2 5 3 2" xfId="14437" xr:uid="{E14A2F24-F69F-40E3-A67C-F5840484163B}"/>
    <cellStyle name="Normal 4 4 2 2 2 5 4" xfId="10219" xr:uid="{6ADF7A42-04A9-4481-988D-A5571479C41D}"/>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16995" xr:uid="{7CB0E995-2346-462D-BE84-EFE5639F9625}"/>
    <cellStyle name="Normal 4 4 2 2 2 6 2 3" xfId="12777" xr:uid="{77F0B841-29BD-419C-93FB-A6FEB86D41FA}"/>
    <cellStyle name="Normal 4 4 2 2 2 6 3" xfId="6408" xr:uid="{00000000-0005-0000-0000-0000EB140000}"/>
    <cellStyle name="Normal 4 4 2 2 2 6 3 2" xfId="14850" xr:uid="{FFA24821-73EB-4492-A7D6-4737D7CF7EC0}"/>
    <cellStyle name="Normal 4 4 2 2 2 6 4" xfId="10632" xr:uid="{F3BB0F0D-BBEE-49E7-A882-61790A1F0BFE}"/>
    <cellStyle name="Normal 4 4 2 2 2 7" xfId="2537" xr:uid="{00000000-0005-0000-0000-0000EC140000}"/>
    <cellStyle name="Normal 4 4 2 2 2 7 2" xfId="6821" xr:uid="{00000000-0005-0000-0000-0000ED140000}"/>
    <cellStyle name="Normal 4 4 2 2 2 7 2 2" xfId="15263" xr:uid="{6AA2DFAF-E065-417E-8E87-62307F639856}"/>
    <cellStyle name="Normal 4 4 2 2 2 7 3" xfId="11045" xr:uid="{F3ECA9D9-FD92-40CA-8F90-80A400E80D50}"/>
    <cellStyle name="Normal 4 4 2 2 2 8" xfId="4756" xr:uid="{00000000-0005-0000-0000-0000EE140000}"/>
    <cellStyle name="Normal 4 4 2 2 2 8 2" xfId="13198" xr:uid="{42C1848C-813B-4A0A-A701-EBD915BF9E32}"/>
    <cellStyle name="Normal 4 4 2 2 2 9" xfId="8980" xr:uid="{AB59AA82-7E48-4FF6-B4AE-7F027108BB26}"/>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15758" xr:uid="{0155B9D8-290E-4224-81B3-82434B8ED3BF}"/>
    <cellStyle name="Normal 4 4 2 2 3 2 2 3" xfId="11540" xr:uid="{CF889FEA-BA29-4C39-9CF9-0BFAE52CD583}"/>
    <cellStyle name="Normal 4 4 2 2 3 2 3" xfId="5171" xr:uid="{00000000-0005-0000-0000-0000F3140000}"/>
    <cellStyle name="Normal 4 4 2 2 3 2 3 2" xfId="13613" xr:uid="{B601963D-5ED8-485F-B236-2A2A3CC3267C}"/>
    <cellStyle name="Normal 4 4 2 2 3 2 4" xfId="9395" xr:uid="{4FD05819-4078-4A0A-8CF0-AF9E59CEB555}"/>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16171" xr:uid="{7EBD8FEB-3270-4717-A62F-A8F2B3F2F9C7}"/>
    <cellStyle name="Normal 4 4 2 2 3 3 2 3" xfId="11953" xr:uid="{202152F5-27CF-4D75-85FC-EBEE92BDB527}"/>
    <cellStyle name="Normal 4 4 2 2 3 3 3" xfId="5584" xr:uid="{00000000-0005-0000-0000-0000F7140000}"/>
    <cellStyle name="Normal 4 4 2 2 3 3 3 2" xfId="14026" xr:uid="{5EBB1077-EDE9-4DA4-B254-CED6DC8D415A}"/>
    <cellStyle name="Normal 4 4 2 2 3 3 4" xfId="9808" xr:uid="{E623A4FE-D739-4C44-86F7-245890399F33}"/>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16584" xr:uid="{12EFE376-E459-4033-9F15-C7A88438FD0C}"/>
    <cellStyle name="Normal 4 4 2 2 3 4 2 3" xfId="12366" xr:uid="{ED34C081-0E78-4629-8342-6B8EC0F02D18}"/>
    <cellStyle name="Normal 4 4 2 2 3 4 3" xfId="5997" xr:uid="{00000000-0005-0000-0000-0000FB140000}"/>
    <cellStyle name="Normal 4 4 2 2 3 4 3 2" xfId="14439" xr:uid="{70051EB8-84DC-49EF-8817-A31E726E8D1D}"/>
    <cellStyle name="Normal 4 4 2 2 3 4 4" xfId="10221" xr:uid="{2FE34DDE-C7CE-426C-8E54-0F8B7EE64A8C}"/>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16997" xr:uid="{FA81F616-E1E1-46ED-A83A-9038C9D05F94}"/>
    <cellStyle name="Normal 4 4 2 2 3 5 2 3" xfId="12779" xr:uid="{2298244C-9A11-471F-BEBE-E41FA1DC4DE7}"/>
    <cellStyle name="Normal 4 4 2 2 3 5 3" xfId="6410" xr:uid="{00000000-0005-0000-0000-0000FF140000}"/>
    <cellStyle name="Normal 4 4 2 2 3 5 3 2" xfId="14852" xr:uid="{6532CC64-946D-406C-A1B8-6168DB246782}"/>
    <cellStyle name="Normal 4 4 2 2 3 5 4" xfId="10634" xr:uid="{58B0C54A-3890-4A02-A502-70CB59D1C412}"/>
    <cellStyle name="Normal 4 4 2 2 3 6" xfId="2539" xr:uid="{00000000-0005-0000-0000-000000150000}"/>
    <cellStyle name="Normal 4 4 2 2 3 6 2" xfId="6823" xr:uid="{00000000-0005-0000-0000-000001150000}"/>
    <cellStyle name="Normal 4 4 2 2 3 6 2 2" xfId="15265" xr:uid="{B1851498-792B-4E1C-8892-DF8470EF957C}"/>
    <cellStyle name="Normal 4 4 2 2 3 6 3" xfId="11047" xr:uid="{1DC50054-5A4E-4D16-B1E5-862AC43DF505}"/>
    <cellStyle name="Normal 4 4 2 2 3 7" xfId="4758" xr:uid="{00000000-0005-0000-0000-000002150000}"/>
    <cellStyle name="Normal 4 4 2 2 3 7 2" xfId="13200" xr:uid="{F76DE491-B21A-4066-867F-54C096BCFE26}"/>
    <cellStyle name="Normal 4 4 2 2 3 8" xfId="8982" xr:uid="{4BB570EE-B74E-4518-86DA-1E26F4B00DF8}"/>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15755" xr:uid="{5FE4F751-7648-4877-8A8D-F640F5173C9E}"/>
    <cellStyle name="Normal 4 4 2 2 4 2 3" xfId="11537" xr:uid="{129A0BF8-718C-4A9D-ACE0-E80399824A88}"/>
    <cellStyle name="Normal 4 4 2 2 4 3" xfId="5168" xr:uid="{00000000-0005-0000-0000-000006150000}"/>
    <cellStyle name="Normal 4 4 2 2 4 3 2" xfId="13610" xr:uid="{2E6F40C2-F0EC-466A-92F0-C7873542B42F}"/>
    <cellStyle name="Normal 4 4 2 2 4 4" xfId="9392" xr:uid="{39CBA6AC-6D0D-43FB-AA4C-44772612341B}"/>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16168" xr:uid="{BAEB76BE-6E8E-4CCA-B0A2-D47EA7656218}"/>
    <cellStyle name="Normal 4 4 2 2 5 2 3" xfId="11950" xr:uid="{BE426132-FB5A-4CD7-9010-52D4B85ADAF4}"/>
    <cellStyle name="Normal 4 4 2 2 5 3" xfId="5581" xr:uid="{00000000-0005-0000-0000-00000A150000}"/>
    <cellStyle name="Normal 4 4 2 2 5 3 2" xfId="14023" xr:uid="{6C9F9FDD-6BCF-428C-98D5-DD49F690D634}"/>
    <cellStyle name="Normal 4 4 2 2 5 4" xfId="9805" xr:uid="{95776857-9F07-4E2B-9C36-95A37069CF29}"/>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16581" xr:uid="{41B0AF13-1846-4D28-A323-C50A658D672A}"/>
    <cellStyle name="Normal 4 4 2 2 6 2 3" xfId="12363" xr:uid="{76EE7AFD-C861-44D2-9696-6EFD8A0AE9CC}"/>
    <cellStyle name="Normal 4 4 2 2 6 3" xfId="5994" xr:uid="{00000000-0005-0000-0000-00000E150000}"/>
    <cellStyle name="Normal 4 4 2 2 6 3 2" xfId="14436" xr:uid="{50E7DBD9-D5A7-4EEB-8629-6858B069D47C}"/>
    <cellStyle name="Normal 4 4 2 2 6 4" xfId="10218" xr:uid="{FA712A59-BC14-49E1-8989-F05D535E6DED}"/>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16994" xr:uid="{F0C094E4-F562-4EC4-A519-F7F8F48A84FD}"/>
    <cellStyle name="Normal 4 4 2 2 7 2 3" xfId="12776" xr:uid="{18A534DC-0F0B-4B5B-BD6E-CBF8B6B60F97}"/>
    <cellStyle name="Normal 4 4 2 2 7 3" xfId="6407" xr:uid="{00000000-0005-0000-0000-000012150000}"/>
    <cellStyle name="Normal 4 4 2 2 7 3 2" xfId="14849" xr:uid="{D670743C-C949-4218-9F7C-270C65B59B25}"/>
    <cellStyle name="Normal 4 4 2 2 7 4" xfId="10631" xr:uid="{212B7D42-7558-4A32-8384-BE08A5D7CB3A}"/>
    <cellStyle name="Normal 4 4 2 2 8" xfId="2536" xr:uid="{00000000-0005-0000-0000-000013150000}"/>
    <cellStyle name="Normal 4 4 2 2 8 2" xfId="6820" xr:uid="{00000000-0005-0000-0000-000014150000}"/>
    <cellStyle name="Normal 4 4 2 2 8 2 2" xfId="15262" xr:uid="{69D46D6D-06D2-48F8-BCEF-C59E105D7432}"/>
    <cellStyle name="Normal 4 4 2 2 8 3" xfId="11044" xr:uid="{2C3F99A0-9302-43C7-A2E7-545B180751C8}"/>
    <cellStyle name="Normal 4 4 2 2 9" xfId="4755" xr:uid="{00000000-0005-0000-0000-000015150000}"/>
    <cellStyle name="Normal 4 4 2 2 9 2" xfId="13197" xr:uid="{ACAB36D8-94EF-4667-9081-7C328DE3F65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15760" xr:uid="{642049E4-B382-4A4B-AA36-3C97A5052736}"/>
    <cellStyle name="Normal 4 4 2 3 2 2 2 3" xfId="11542" xr:uid="{DFC0D4DE-2518-488A-B85A-F80544713367}"/>
    <cellStyle name="Normal 4 4 2 3 2 2 3" xfId="5173" xr:uid="{00000000-0005-0000-0000-00001B150000}"/>
    <cellStyle name="Normal 4 4 2 3 2 2 3 2" xfId="13615" xr:uid="{29EF754B-F8F6-45C8-9EA9-43A3A6B14253}"/>
    <cellStyle name="Normal 4 4 2 3 2 2 4" xfId="9397" xr:uid="{6A680E2F-1C55-4779-A64C-7A4873681486}"/>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16173" xr:uid="{D43F157F-DC78-487B-B39D-18291942C8DB}"/>
    <cellStyle name="Normal 4 4 2 3 2 3 2 3" xfId="11955" xr:uid="{CAD0085E-2783-4752-93D5-81D0DC092157}"/>
    <cellStyle name="Normal 4 4 2 3 2 3 3" xfId="5586" xr:uid="{00000000-0005-0000-0000-00001F150000}"/>
    <cellStyle name="Normal 4 4 2 3 2 3 3 2" xfId="14028" xr:uid="{1F6BC5FC-F5BA-4204-B404-EF24338BBC29}"/>
    <cellStyle name="Normal 4 4 2 3 2 3 4" xfId="9810" xr:uid="{9AD219F5-F035-46B2-9B0C-B873405FCE82}"/>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16586" xr:uid="{5578E81C-760B-446C-A762-8EF6901FB692}"/>
    <cellStyle name="Normal 4 4 2 3 2 4 2 3" xfId="12368" xr:uid="{3CAD1DD8-D681-44BE-B8E6-32A29B3FC6A6}"/>
    <cellStyle name="Normal 4 4 2 3 2 4 3" xfId="5999" xr:uid="{00000000-0005-0000-0000-000023150000}"/>
    <cellStyle name="Normal 4 4 2 3 2 4 3 2" xfId="14441" xr:uid="{CC00DA1C-9D98-434E-8CEB-AC741A08092B}"/>
    <cellStyle name="Normal 4 4 2 3 2 4 4" xfId="10223" xr:uid="{713F49A6-372B-466B-B77A-FC411A5D54C3}"/>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16999" xr:uid="{53787773-4C52-42A2-9BA4-4B7BAB6EFFD4}"/>
    <cellStyle name="Normal 4 4 2 3 2 5 2 3" xfId="12781" xr:uid="{164ADB50-18B8-4D0C-B0D0-934E10463C49}"/>
    <cellStyle name="Normal 4 4 2 3 2 5 3" xfId="6412" xr:uid="{00000000-0005-0000-0000-000027150000}"/>
    <cellStyle name="Normal 4 4 2 3 2 5 3 2" xfId="14854" xr:uid="{E936C590-FD10-4D7D-997D-6DD31016311C}"/>
    <cellStyle name="Normal 4 4 2 3 2 5 4" xfId="10636" xr:uid="{FF125D57-D082-45F1-8131-0D81C5CB623F}"/>
    <cellStyle name="Normal 4 4 2 3 2 6" xfId="2541" xr:uid="{00000000-0005-0000-0000-000028150000}"/>
    <cellStyle name="Normal 4 4 2 3 2 6 2" xfId="6825" xr:uid="{00000000-0005-0000-0000-000029150000}"/>
    <cellStyle name="Normal 4 4 2 3 2 6 2 2" xfId="15267" xr:uid="{F97E5EFC-6AC7-47CF-BB6A-11BE8860BA98}"/>
    <cellStyle name="Normal 4 4 2 3 2 6 3" xfId="11049" xr:uid="{4CF86ACA-BD52-4337-BCC7-F5001FD5691E}"/>
    <cellStyle name="Normal 4 4 2 3 2 7" xfId="4760" xr:uid="{00000000-0005-0000-0000-00002A150000}"/>
    <cellStyle name="Normal 4 4 2 3 2 7 2" xfId="13202" xr:uid="{71423EA6-E8DF-4002-93CC-A90193BD7891}"/>
    <cellStyle name="Normal 4 4 2 3 2 8" xfId="8984" xr:uid="{2F7FA9F0-987E-471C-8B9F-ED55DB4D2A7D}"/>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15759" xr:uid="{F5ED74E9-CEAB-46B5-9EE6-C1E285D540B1}"/>
    <cellStyle name="Normal 4 4 2 3 3 2 3" xfId="11541" xr:uid="{39D4F9D7-F81A-4F66-A7F0-4BD74C98E0AB}"/>
    <cellStyle name="Normal 4 4 2 3 3 3" xfId="5172" xr:uid="{00000000-0005-0000-0000-00002E150000}"/>
    <cellStyle name="Normal 4 4 2 3 3 3 2" xfId="13614" xr:uid="{9242E67B-CB9F-4BF3-93AA-E0EE2D454AFD}"/>
    <cellStyle name="Normal 4 4 2 3 3 4" xfId="9396" xr:uid="{2324A71F-7CF8-4737-BA4B-039A905ED2E1}"/>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16172" xr:uid="{DDF0F668-1706-40B3-84F7-136BDCA28EE6}"/>
    <cellStyle name="Normal 4 4 2 3 4 2 3" xfId="11954" xr:uid="{CD860AD0-C6EB-422C-A6D0-442955CEB312}"/>
    <cellStyle name="Normal 4 4 2 3 4 3" xfId="5585" xr:uid="{00000000-0005-0000-0000-000032150000}"/>
    <cellStyle name="Normal 4 4 2 3 4 3 2" xfId="14027" xr:uid="{C3EB4E74-8948-44AF-91E7-28AB8FF4275D}"/>
    <cellStyle name="Normal 4 4 2 3 4 4" xfId="9809" xr:uid="{966F2796-3055-490A-A174-EB37935F2683}"/>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16585" xr:uid="{233CB269-F1BB-4E42-9488-634852BBFB9E}"/>
    <cellStyle name="Normal 4 4 2 3 5 2 3" xfId="12367" xr:uid="{73E9E89B-CF40-4D36-9CC7-A3CD4A558291}"/>
    <cellStyle name="Normal 4 4 2 3 5 3" xfId="5998" xr:uid="{00000000-0005-0000-0000-000036150000}"/>
    <cellStyle name="Normal 4 4 2 3 5 3 2" xfId="14440" xr:uid="{99D299C4-EC24-4352-BCB9-89A349C2A00E}"/>
    <cellStyle name="Normal 4 4 2 3 5 4" xfId="10222" xr:uid="{789B2D8E-1BE3-4B85-9D39-8D9B5C0626E6}"/>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16998" xr:uid="{C53988C0-14A7-471E-9CA0-3EAE1CEB4BD7}"/>
    <cellStyle name="Normal 4 4 2 3 6 2 3" xfId="12780" xr:uid="{4A4D89BF-3B8F-48DB-86FC-1F34B6725074}"/>
    <cellStyle name="Normal 4 4 2 3 6 3" xfId="6411" xr:uid="{00000000-0005-0000-0000-00003A150000}"/>
    <cellStyle name="Normal 4 4 2 3 6 3 2" xfId="14853" xr:uid="{B91E2C02-F9AD-48CB-8637-5CA521278B51}"/>
    <cellStyle name="Normal 4 4 2 3 6 4" xfId="10635" xr:uid="{C464C475-B3E3-4867-B92E-0BF9877AEDC9}"/>
    <cellStyle name="Normal 4 4 2 3 7" xfId="2540" xr:uid="{00000000-0005-0000-0000-00003B150000}"/>
    <cellStyle name="Normal 4 4 2 3 7 2" xfId="6824" xr:uid="{00000000-0005-0000-0000-00003C150000}"/>
    <cellStyle name="Normal 4 4 2 3 7 2 2" xfId="15266" xr:uid="{11B8EE85-4929-4C5B-A800-19915135BD3A}"/>
    <cellStyle name="Normal 4 4 2 3 7 3" xfId="11048" xr:uid="{62C3953A-F526-488B-8B9E-8D9B321151D4}"/>
    <cellStyle name="Normal 4 4 2 3 8" xfId="4759" xr:uid="{00000000-0005-0000-0000-00003D150000}"/>
    <cellStyle name="Normal 4 4 2 3 8 2" xfId="13201" xr:uid="{A59B0F36-9D52-44B0-84DF-B621CEE8B8DB}"/>
    <cellStyle name="Normal 4 4 2 3 9" xfId="8983" xr:uid="{5430BC62-D8F2-414D-B2C9-B24318587AA9}"/>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15761" xr:uid="{521FC229-1D42-4F31-B61F-5A48D4070684}"/>
    <cellStyle name="Normal 4 4 2 4 2 2 3" xfId="11543" xr:uid="{8429A184-9E21-460E-9020-7A97051BEF9E}"/>
    <cellStyle name="Normal 4 4 2 4 2 3" xfId="5174" xr:uid="{00000000-0005-0000-0000-000042150000}"/>
    <cellStyle name="Normal 4 4 2 4 2 3 2" xfId="13616" xr:uid="{51BD99A8-4748-4C79-AFD5-30E2B8DFE1D5}"/>
    <cellStyle name="Normal 4 4 2 4 2 4" xfId="9398" xr:uid="{412D737E-6A92-40EA-B8ED-A3E451CCEDC5}"/>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16174" xr:uid="{A16413E3-8326-44A8-B2ED-63E7B1C591B5}"/>
    <cellStyle name="Normal 4 4 2 4 3 2 3" xfId="11956" xr:uid="{A5CC53A2-E954-41CD-8D5C-BE710673437E}"/>
    <cellStyle name="Normal 4 4 2 4 3 3" xfId="5587" xr:uid="{00000000-0005-0000-0000-000046150000}"/>
    <cellStyle name="Normal 4 4 2 4 3 3 2" xfId="14029" xr:uid="{B10927DB-1C0A-4592-A5C7-B7EFC454ED10}"/>
    <cellStyle name="Normal 4 4 2 4 3 4" xfId="9811" xr:uid="{DCB3E9CB-A598-4C43-A50F-32CA4215729C}"/>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16587" xr:uid="{F8983D40-CD83-4306-AAA7-78EF0E04248A}"/>
    <cellStyle name="Normal 4 4 2 4 4 2 3" xfId="12369" xr:uid="{0D1D3D6D-F9F2-4FBD-A315-2BD98AA48608}"/>
    <cellStyle name="Normal 4 4 2 4 4 3" xfId="6000" xr:uid="{00000000-0005-0000-0000-00004A150000}"/>
    <cellStyle name="Normal 4 4 2 4 4 3 2" xfId="14442" xr:uid="{783644E6-A3B9-45DD-98F6-F601BD6F006D}"/>
    <cellStyle name="Normal 4 4 2 4 4 4" xfId="10224" xr:uid="{42EF3ECE-8EB4-4829-98B9-8FEC228D72CA}"/>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17000" xr:uid="{CBAF0759-0464-4623-AB3F-18398FFB9F65}"/>
    <cellStyle name="Normal 4 4 2 4 5 2 3" xfId="12782" xr:uid="{DB9EE4D1-7BB5-484E-BD91-8A85CB41422D}"/>
    <cellStyle name="Normal 4 4 2 4 5 3" xfId="6413" xr:uid="{00000000-0005-0000-0000-00004E150000}"/>
    <cellStyle name="Normal 4 4 2 4 5 3 2" xfId="14855" xr:uid="{3D246F04-235A-45D3-9349-B314FBB14F44}"/>
    <cellStyle name="Normal 4 4 2 4 5 4" xfId="10637" xr:uid="{1494BDF6-AF93-4A59-B770-E19B4C869817}"/>
    <cellStyle name="Normal 4 4 2 4 6" xfId="2542" xr:uid="{00000000-0005-0000-0000-00004F150000}"/>
    <cellStyle name="Normal 4 4 2 4 6 2" xfId="6826" xr:uid="{00000000-0005-0000-0000-000050150000}"/>
    <cellStyle name="Normal 4 4 2 4 6 2 2" xfId="15268" xr:uid="{AB41A6C8-B588-4EF3-BF90-7BE3E9C863C6}"/>
    <cellStyle name="Normal 4 4 2 4 6 3" xfId="11050" xr:uid="{60015A9D-3250-4E55-80ED-2B8DAD6C6914}"/>
    <cellStyle name="Normal 4 4 2 4 7" xfId="4761" xr:uid="{00000000-0005-0000-0000-000051150000}"/>
    <cellStyle name="Normal 4 4 2 4 7 2" xfId="13203" xr:uid="{63635931-FB49-4C3F-805E-CDA5F99E08A5}"/>
    <cellStyle name="Normal 4 4 2 4 8" xfId="8985" xr:uid="{20F9AA2C-4362-4542-870F-1352859B0E8F}"/>
    <cellStyle name="Normal 4 4 2 5" xfId="854" xr:uid="{00000000-0005-0000-0000-000052150000}"/>
    <cellStyle name="Normal 4 4 2 5 2" xfId="3089" xr:uid="{00000000-0005-0000-0000-000053150000}"/>
    <cellStyle name="Normal 4 4 2 5 2 2" xfId="7312" xr:uid="{00000000-0005-0000-0000-000054150000}"/>
    <cellStyle name="Normal 4 4 2 5 2 2 2" xfId="15754" xr:uid="{647A9D26-7EFD-4C09-8A0B-D342C3567581}"/>
    <cellStyle name="Normal 4 4 2 5 2 3" xfId="11536" xr:uid="{2016106D-1AAF-47F5-9533-DA289F9316D2}"/>
    <cellStyle name="Normal 4 4 2 5 3" xfId="5167" xr:uid="{00000000-0005-0000-0000-000055150000}"/>
    <cellStyle name="Normal 4 4 2 5 3 2" xfId="13609" xr:uid="{E3B7C07D-BD73-4A32-ABD3-A576ACA06558}"/>
    <cellStyle name="Normal 4 4 2 5 4" xfId="9391" xr:uid="{3D564491-5109-451A-9814-1FAA6D7003C0}"/>
    <cellStyle name="Normal 4 4 2 6" xfId="1272" xr:uid="{00000000-0005-0000-0000-000056150000}"/>
    <cellStyle name="Normal 4 4 2 6 2" xfId="3502" xr:uid="{00000000-0005-0000-0000-000057150000}"/>
    <cellStyle name="Normal 4 4 2 6 2 2" xfId="7725" xr:uid="{00000000-0005-0000-0000-000058150000}"/>
    <cellStyle name="Normal 4 4 2 6 2 2 2" xfId="16167" xr:uid="{DB22008D-47B4-408A-8E99-3C4C2717B548}"/>
    <cellStyle name="Normal 4 4 2 6 2 3" xfId="11949" xr:uid="{D706D230-8CDB-4A07-A836-3369C70954C0}"/>
    <cellStyle name="Normal 4 4 2 6 3" xfId="5580" xr:uid="{00000000-0005-0000-0000-000059150000}"/>
    <cellStyle name="Normal 4 4 2 6 3 2" xfId="14022" xr:uid="{6CD0C499-7D81-41BF-9EC5-9C51D48660AA}"/>
    <cellStyle name="Normal 4 4 2 6 4" xfId="9804" xr:uid="{785BC93F-FC45-4D0F-91A5-776CECF96C81}"/>
    <cellStyle name="Normal 4 4 2 7" xfId="1685" xr:uid="{00000000-0005-0000-0000-00005A150000}"/>
    <cellStyle name="Normal 4 4 2 7 2" xfId="3915" xr:uid="{00000000-0005-0000-0000-00005B150000}"/>
    <cellStyle name="Normal 4 4 2 7 2 2" xfId="8138" xr:uid="{00000000-0005-0000-0000-00005C150000}"/>
    <cellStyle name="Normal 4 4 2 7 2 2 2" xfId="16580" xr:uid="{1C51525C-7BA9-4528-A48D-3E003DDA4DFC}"/>
    <cellStyle name="Normal 4 4 2 7 2 3" xfId="12362" xr:uid="{28A6513A-CF37-40E3-91A4-80B8E781E07A}"/>
    <cellStyle name="Normal 4 4 2 7 3" xfId="5993" xr:uid="{00000000-0005-0000-0000-00005D150000}"/>
    <cellStyle name="Normal 4 4 2 7 3 2" xfId="14435" xr:uid="{0DE99EB7-83E1-4BBA-8A50-BEFED311A28A}"/>
    <cellStyle name="Normal 4 4 2 7 4" xfId="10217" xr:uid="{029C50C2-9C02-477E-91AB-AB6BC6F48256}"/>
    <cellStyle name="Normal 4 4 2 8" xfId="2099" xr:uid="{00000000-0005-0000-0000-00005E150000}"/>
    <cellStyle name="Normal 4 4 2 8 2" xfId="4328" xr:uid="{00000000-0005-0000-0000-00005F150000}"/>
    <cellStyle name="Normal 4 4 2 8 2 2" xfId="8551" xr:uid="{00000000-0005-0000-0000-000060150000}"/>
    <cellStyle name="Normal 4 4 2 8 2 2 2" xfId="16993" xr:uid="{81361829-1F29-4BEF-8453-BB3C462BBF27}"/>
    <cellStyle name="Normal 4 4 2 8 2 3" xfId="12775" xr:uid="{B3FB2B95-E1B9-4C9D-B311-6E02CF276594}"/>
    <cellStyle name="Normal 4 4 2 8 3" xfId="6406" xr:uid="{00000000-0005-0000-0000-000061150000}"/>
    <cellStyle name="Normal 4 4 2 8 3 2" xfId="14848" xr:uid="{A1CF806A-7F38-4949-81A5-16B4B9291D99}"/>
    <cellStyle name="Normal 4 4 2 8 4" xfId="10630" xr:uid="{3E8A2435-4A43-4499-ADA1-FA081832F83A}"/>
    <cellStyle name="Normal 4 4 2 9" xfId="2535" xr:uid="{00000000-0005-0000-0000-000062150000}"/>
    <cellStyle name="Normal 4 4 2 9 2" xfId="6819" xr:uid="{00000000-0005-0000-0000-000063150000}"/>
    <cellStyle name="Normal 4 4 2 9 2 2" xfId="15261" xr:uid="{59F19961-7C55-4BE0-A6FA-936549D974EA}"/>
    <cellStyle name="Normal 4 4 2 9 3" xfId="11043" xr:uid="{A9950E7B-F31F-4E2A-AA58-A0773FCF021A}"/>
    <cellStyle name="Normal 4 4 3" xfId="387" xr:uid="{00000000-0005-0000-0000-000064150000}"/>
    <cellStyle name="Normal 4 4 3 10" xfId="8986" xr:uid="{A828E453-AD2B-4E18-8B5D-D8895A1566B4}"/>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15764" xr:uid="{CDCD3350-B758-46BB-9BD7-8BEE092B9E98}"/>
    <cellStyle name="Normal 4 4 3 2 2 2 2 3" xfId="11546" xr:uid="{710EECDE-3BFF-47FF-A2FC-1CA954C6214C}"/>
    <cellStyle name="Normal 4 4 3 2 2 2 3" xfId="5177" xr:uid="{00000000-0005-0000-0000-00006A150000}"/>
    <cellStyle name="Normal 4 4 3 2 2 2 3 2" xfId="13619" xr:uid="{6BA5C77A-E933-410B-8613-330871831758}"/>
    <cellStyle name="Normal 4 4 3 2 2 2 4" xfId="9401" xr:uid="{436E7679-BB80-44F8-B1AB-25DC91BDC52C}"/>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16177" xr:uid="{4D77D34A-0037-41E7-A2E6-4502B273BD05}"/>
    <cellStyle name="Normal 4 4 3 2 2 3 2 3" xfId="11959" xr:uid="{C69C26C7-27E5-44DF-B48A-5032D84F6814}"/>
    <cellStyle name="Normal 4 4 3 2 2 3 3" xfId="5590" xr:uid="{00000000-0005-0000-0000-00006E150000}"/>
    <cellStyle name="Normal 4 4 3 2 2 3 3 2" xfId="14032" xr:uid="{8F92E255-1783-4F32-B038-D88FAD12A84E}"/>
    <cellStyle name="Normal 4 4 3 2 2 3 4" xfId="9814" xr:uid="{16D287AE-F5DA-4E7A-A5A5-088CA23F233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16590" xr:uid="{216C9C60-6268-4065-B426-3C437524B4FA}"/>
    <cellStyle name="Normal 4 4 3 2 2 4 2 3" xfId="12372" xr:uid="{4361CD0B-100E-4EEB-A1D9-B56223706EB6}"/>
    <cellStyle name="Normal 4 4 3 2 2 4 3" xfId="6003" xr:uid="{00000000-0005-0000-0000-000072150000}"/>
    <cellStyle name="Normal 4 4 3 2 2 4 3 2" xfId="14445" xr:uid="{E112ADDE-C378-46E2-B12A-171F9C24A24F}"/>
    <cellStyle name="Normal 4 4 3 2 2 4 4" xfId="10227" xr:uid="{9A32442E-9C8F-43D7-8598-5E73ECEB3521}"/>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17003" xr:uid="{D42589B2-46BA-485D-B98C-E02D2C9EBF7A}"/>
    <cellStyle name="Normal 4 4 3 2 2 5 2 3" xfId="12785" xr:uid="{50068BB4-B9D5-435C-B43E-29EF0B70A08A}"/>
    <cellStyle name="Normal 4 4 3 2 2 5 3" xfId="6416" xr:uid="{00000000-0005-0000-0000-000076150000}"/>
    <cellStyle name="Normal 4 4 3 2 2 5 3 2" xfId="14858" xr:uid="{11CEA4E9-3E2E-44B0-B120-3C00F860D7D7}"/>
    <cellStyle name="Normal 4 4 3 2 2 5 4" xfId="10640" xr:uid="{EC7E0D31-C871-43B8-9FBD-6D28D72E9C1D}"/>
    <cellStyle name="Normal 4 4 3 2 2 6" xfId="2545" xr:uid="{00000000-0005-0000-0000-000077150000}"/>
    <cellStyle name="Normal 4 4 3 2 2 6 2" xfId="6829" xr:uid="{00000000-0005-0000-0000-000078150000}"/>
    <cellStyle name="Normal 4 4 3 2 2 6 2 2" xfId="15271" xr:uid="{1774C1EE-4F57-4D8B-A674-98A64F6C062F}"/>
    <cellStyle name="Normal 4 4 3 2 2 6 3" xfId="11053" xr:uid="{21831B65-917D-429F-8C66-E7B80BFC1E84}"/>
    <cellStyle name="Normal 4 4 3 2 2 7" xfId="4764" xr:uid="{00000000-0005-0000-0000-000079150000}"/>
    <cellStyle name="Normal 4 4 3 2 2 7 2" xfId="13206" xr:uid="{10C2B12F-A394-4B98-A2AB-C26B9C1D1258}"/>
    <cellStyle name="Normal 4 4 3 2 2 8" xfId="8988" xr:uid="{C106B734-3951-49D7-A429-7CA249AC860D}"/>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15763" xr:uid="{54E83DBC-FEA6-4D97-91C2-29061A7086CA}"/>
    <cellStyle name="Normal 4 4 3 2 3 2 3" xfId="11545" xr:uid="{3D904E1D-A75E-4699-B6A2-AD462CA62ED3}"/>
    <cellStyle name="Normal 4 4 3 2 3 3" xfId="5176" xr:uid="{00000000-0005-0000-0000-00007D150000}"/>
    <cellStyle name="Normal 4 4 3 2 3 3 2" xfId="13618" xr:uid="{407209F7-2AD3-4E9A-9E1C-EB46DA7C0EB4}"/>
    <cellStyle name="Normal 4 4 3 2 3 4" xfId="9400" xr:uid="{379BA486-6E53-4AE2-8F3D-1F3B2E5C0DE3}"/>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16176" xr:uid="{29B4FDFB-20B4-4426-ACC3-5096692EFE2A}"/>
    <cellStyle name="Normal 4 4 3 2 4 2 3" xfId="11958" xr:uid="{3E27F1E7-6256-47A9-BBE2-54F00EBC2D7B}"/>
    <cellStyle name="Normal 4 4 3 2 4 3" xfId="5589" xr:uid="{00000000-0005-0000-0000-000081150000}"/>
    <cellStyle name="Normal 4 4 3 2 4 3 2" xfId="14031" xr:uid="{6F66227D-135B-4D0F-A63F-F143A24A82D8}"/>
    <cellStyle name="Normal 4 4 3 2 4 4" xfId="9813" xr:uid="{B11CDA2D-DC48-42A0-A371-0B1610611216}"/>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16589" xr:uid="{2FAE2B6E-4922-4291-8B86-87141DFE5E87}"/>
    <cellStyle name="Normal 4 4 3 2 5 2 3" xfId="12371" xr:uid="{38271E4C-D853-4BB1-8782-22310CCDBA4A}"/>
    <cellStyle name="Normal 4 4 3 2 5 3" xfId="6002" xr:uid="{00000000-0005-0000-0000-000085150000}"/>
    <cellStyle name="Normal 4 4 3 2 5 3 2" xfId="14444" xr:uid="{5A821B6F-2BA8-4CBA-9184-17356FE30757}"/>
    <cellStyle name="Normal 4 4 3 2 5 4" xfId="10226" xr:uid="{021B746F-640F-4E0A-8D5E-59F01FE951C7}"/>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17002" xr:uid="{191BBBEE-7C2E-448C-BB94-076CC4B4C3D0}"/>
    <cellStyle name="Normal 4 4 3 2 6 2 3" xfId="12784" xr:uid="{F368CEE4-DA76-45AE-BE2F-37A87872900C}"/>
    <cellStyle name="Normal 4 4 3 2 6 3" xfId="6415" xr:uid="{00000000-0005-0000-0000-000089150000}"/>
    <cellStyle name="Normal 4 4 3 2 6 3 2" xfId="14857" xr:uid="{81516ADA-F59A-4DB1-A618-FC90B32BFB24}"/>
    <cellStyle name="Normal 4 4 3 2 6 4" xfId="10639" xr:uid="{4CF6F9D3-5399-40D6-865F-AEA85082F631}"/>
    <cellStyle name="Normal 4 4 3 2 7" xfId="2544" xr:uid="{00000000-0005-0000-0000-00008A150000}"/>
    <cellStyle name="Normal 4 4 3 2 7 2" xfId="6828" xr:uid="{00000000-0005-0000-0000-00008B150000}"/>
    <cellStyle name="Normal 4 4 3 2 7 2 2" xfId="15270" xr:uid="{4A723347-82FB-4A93-9E8E-FA072638E67E}"/>
    <cellStyle name="Normal 4 4 3 2 7 3" xfId="11052" xr:uid="{3EB08F52-4910-415C-8221-996100DC7A59}"/>
    <cellStyle name="Normal 4 4 3 2 8" xfId="4763" xr:uid="{00000000-0005-0000-0000-00008C150000}"/>
    <cellStyle name="Normal 4 4 3 2 8 2" xfId="13205" xr:uid="{E575DAF0-1164-4C4D-BB26-630FB6D0FEE5}"/>
    <cellStyle name="Normal 4 4 3 2 9" xfId="8987" xr:uid="{452C4EAC-1482-4625-BD72-83D140D30C7C}"/>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15765" xr:uid="{A7C5B595-D37A-46B8-9969-704A3F049730}"/>
    <cellStyle name="Normal 4 4 3 3 2 2 3" xfId="11547" xr:uid="{A83942AE-1BD6-490D-9D90-CA5445CAE37A}"/>
    <cellStyle name="Normal 4 4 3 3 2 3" xfId="5178" xr:uid="{00000000-0005-0000-0000-000091150000}"/>
    <cellStyle name="Normal 4 4 3 3 2 3 2" xfId="13620" xr:uid="{13A198D8-E70F-43A2-9720-BD379E5B0059}"/>
    <cellStyle name="Normal 4 4 3 3 2 4" xfId="9402" xr:uid="{972C58BC-323E-459D-9395-DDF831726E05}"/>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16178" xr:uid="{9D729CFD-4C0B-4899-B666-5476D5D80AEB}"/>
    <cellStyle name="Normal 4 4 3 3 3 2 3" xfId="11960" xr:uid="{510C05B7-3BEA-4885-BC93-47D0C135C824}"/>
    <cellStyle name="Normal 4 4 3 3 3 3" xfId="5591" xr:uid="{00000000-0005-0000-0000-000095150000}"/>
    <cellStyle name="Normal 4 4 3 3 3 3 2" xfId="14033" xr:uid="{920291E9-C836-46B3-BBBB-618FAAD929EC}"/>
    <cellStyle name="Normal 4 4 3 3 3 4" xfId="9815" xr:uid="{D67B3B98-182E-468E-8AEB-EF916C56C004}"/>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16591" xr:uid="{EAE00E44-360D-4226-BB06-7467D33CE859}"/>
    <cellStyle name="Normal 4 4 3 3 4 2 3" xfId="12373" xr:uid="{74586AC8-0F00-4C11-A550-5B3133521D4D}"/>
    <cellStyle name="Normal 4 4 3 3 4 3" xfId="6004" xr:uid="{00000000-0005-0000-0000-000099150000}"/>
    <cellStyle name="Normal 4 4 3 3 4 3 2" xfId="14446" xr:uid="{82254E95-EBD6-4746-BB29-126421E24085}"/>
    <cellStyle name="Normal 4 4 3 3 4 4" xfId="10228" xr:uid="{64BC1857-0A56-4EC8-8D46-57C550556E1C}"/>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17004" xr:uid="{8083D7C5-D91E-4C69-B01B-3BB2194AF4CD}"/>
    <cellStyle name="Normal 4 4 3 3 5 2 3" xfId="12786" xr:uid="{1818ED87-F179-473A-BE2B-D6905A34ADDE}"/>
    <cellStyle name="Normal 4 4 3 3 5 3" xfId="6417" xr:uid="{00000000-0005-0000-0000-00009D150000}"/>
    <cellStyle name="Normal 4 4 3 3 5 3 2" xfId="14859" xr:uid="{B838AC23-A3D4-412F-AA8B-2E34549AA185}"/>
    <cellStyle name="Normal 4 4 3 3 5 4" xfId="10641" xr:uid="{9C7AAF7E-72EA-4BEB-9C2D-31360A4CFC34}"/>
    <cellStyle name="Normal 4 4 3 3 6" xfId="2546" xr:uid="{00000000-0005-0000-0000-00009E150000}"/>
    <cellStyle name="Normal 4 4 3 3 6 2" xfId="6830" xr:uid="{00000000-0005-0000-0000-00009F150000}"/>
    <cellStyle name="Normal 4 4 3 3 6 2 2" xfId="15272" xr:uid="{3969F551-F9D3-4421-9A23-EF389217F7DD}"/>
    <cellStyle name="Normal 4 4 3 3 6 3" xfId="11054" xr:uid="{CEBE26A3-E7C4-4450-A363-CD90A9799194}"/>
    <cellStyle name="Normal 4 4 3 3 7" xfId="4765" xr:uid="{00000000-0005-0000-0000-0000A0150000}"/>
    <cellStyle name="Normal 4 4 3 3 7 2" xfId="13207" xr:uid="{FDE0DB23-FA3D-4261-AF9F-4ECC045B9D98}"/>
    <cellStyle name="Normal 4 4 3 3 8" xfId="8989" xr:uid="{78621099-0337-43B3-AA1F-F4C1923CA810}"/>
    <cellStyle name="Normal 4 4 3 4" xfId="862" xr:uid="{00000000-0005-0000-0000-0000A1150000}"/>
    <cellStyle name="Normal 4 4 3 4 2" xfId="3097" xr:uid="{00000000-0005-0000-0000-0000A2150000}"/>
    <cellStyle name="Normal 4 4 3 4 2 2" xfId="7320" xr:uid="{00000000-0005-0000-0000-0000A3150000}"/>
    <cellStyle name="Normal 4 4 3 4 2 2 2" xfId="15762" xr:uid="{7A7E6DA8-F033-45F9-9903-C6294CE44AA2}"/>
    <cellStyle name="Normal 4 4 3 4 2 3" xfId="11544" xr:uid="{5DEE4283-C805-490A-8FC7-FE29D878A354}"/>
    <cellStyle name="Normal 4 4 3 4 3" xfId="5175" xr:uid="{00000000-0005-0000-0000-0000A4150000}"/>
    <cellStyle name="Normal 4 4 3 4 3 2" xfId="13617" xr:uid="{C2C2EE24-E626-4CBA-91B3-B55F84A4A32A}"/>
    <cellStyle name="Normal 4 4 3 4 4" xfId="9399" xr:uid="{749B60C9-9552-4EA7-9D1C-B777776CCDD8}"/>
    <cellStyle name="Normal 4 4 3 5" xfId="1280" xr:uid="{00000000-0005-0000-0000-0000A5150000}"/>
    <cellStyle name="Normal 4 4 3 5 2" xfId="3510" xr:uid="{00000000-0005-0000-0000-0000A6150000}"/>
    <cellStyle name="Normal 4 4 3 5 2 2" xfId="7733" xr:uid="{00000000-0005-0000-0000-0000A7150000}"/>
    <cellStyle name="Normal 4 4 3 5 2 2 2" xfId="16175" xr:uid="{5BE98118-D4BC-4867-BA27-EA04C8E7117C}"/>
    <cellStyle name="Normal 4 4 3 5 2 3" xfId="11957" xr:uid="{31D87220-3496-4921-9375-7DECA5A642B3}"/>
    <cellStyle name="Normal 4 4 3 5 3" xfId="5588" xr:uid="{00000000-0005-0000-0000-0000A8150000}"/>
    <cellStyle name="Normal 4 4 3 5 3 2" xfId="14030" xr:uid="{E8FF590A-7E5D-4A86-A47B-6AFFC5C6E93F}"/>
    <cellStyle name="Normal 4 4 3 5 4" xfId="9812" xr:uid="{EB73050A-1248-465E-B437-211C26992EC5}"/>
    <cellStyle name="Normal 4 4 3 6" xfId="1693" xr:uid="{00000000-0005-0000-0000-0000A9150000}"/>
    <cellStyle name="Normal 4 4 3 6 2" xfId="3923" xr:uid="{00000000-0005-0000-0000-0000AA150000}"/>
    <cellStyle name="Normal 4 4 3 6 2 2" xfId="8146" xr:uid="{00000000-0005-0000-0000-0000AB150000}"/>
    <cellStyle name="Normal 4 4 3 6 2 2 2" xfId="16588" xr:uid="{617C0C91-31B2-41FF-B7A5-E92C477210F5}"/>
    <cellStyle name="Normal 4 4 3 6 2 3" xfId="12370" xr:uid="{999FF276-3C5C-49E5-B619-FB2208A91DCF}"/>
    <cellStyle name="Normal 4 4 3 6 3" xfId="6001" xr:uid="{00000000-0005-0000-0000-0000AC150000}"/>
    <cellStyle name="Normal 4 4 3 6 3 2" xfId="14443" xr:uid="{D8F19A9B-7B1C-4701-B551-8F234BCF1214}"/>
    <cellStyle name="Normal 4 4 3 6 4" xfId="10225" xr:uid="{4DB8C76F-73A2-40AF-8680-FDDD93C53447}"/>
    <cellStyle name="Normal 4 4 3 7" xfId="2107" xr:uid="{00000000-0005-0000-0000-0000AD150000}"/>
    <cellStyle name="Normal 4 4 3 7 2" xfId="4336" xr:uid="{00000000-0005-0000-0000-0000AE150000}"/>
    <cellStyle name="Normal 4 4 3 7 2 2" xfId="8559" xr:uid="{00000000-0005-0000-0000-0000AF150000}"/>
    <cellStyle name="Normal 4 4 3 7 2 2 2" xfId="17001" xr:uid="{F8CB45A5-9EBC-45E4-A19A-A7618C2816E9}"/>
    <cellStyle name="Normal 4 4 3 7 2 3" xfId="12783" xr:uid="{3499D8B6-9A17-4A6A-9B19-C8FA8A50BF42}"/>
    <cellStyle name="Normal 4 4 3 7 3" xfId="6414" xr:uid="{00000000-0005-0000-0000-0000B0150000}"/>
    <cellStyle name="Normal 4 4 3 7 3 2" xfId="14856" xr:uid="{3D793173-49A6-44EE-8722-863E445A2C4A}"/>
    <cellStyle name="Normal 4 4 3 7 4" xfId="10638" xr:uid="{A2D039CD-DCEA-4184-82A7-44D79D2BCB6A}"/>
    <cellStyle name="Normal 4 4 3 8" xfId="2543" xr:uid="{00000000-0005-0000-0000-0000B1150000}"/>
    <cellStyle name="Normal 4 4 3 8 2" xfId="6827" xr:uid="{00000000-0005-0000-0000-0000B2150000}"/>
    <cellStyle name="Normal 4 4 3 8 2 2" xfId="15269" xr:uid="{8F1B4D4D-121A-460D-93C2-0F2C5AFE46D5}"/>
    <cellStyle name="Normal 4 4 3 8 3" xfId="11051" xr:uid="{62007496-841C-4845-B9D1-A2CC01720247}"/>
    <cellStyle name="Normal 4 4 3 9" xfId="4762" xr:uid="{00000000-0005-0000-0000-0000B3150000}"/>
    <cellStyle name="Normal 4 4 3 9 2" xfId="13204" xr:uid="{B9E445E6-F013-487A-A4A7-0A78FF02ACFD}"/>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15767" xr:uid="{ADABD3CE-D3B7-48F7-AA77-CE4C98FD06D6}"/>
    <cellStyle name="Normal 4 4 4 2 2 2 3" xfId="11549" xr:uid="{9B7066D6-F0D0-449D-8E8E-B7CCEF756F22}"/>
    <cellStyle name="Normal 4 4 4 2 2 3" xfId="5180" xr:uid="{00000000-0005-0000-0000-0000B9150000}"/>
    <cellStyle name="Normal 4 4 4 2 2 3 2" xfId="13622" xr:uid="{58BCA4A9-F74C-4C6E-8E15-F97AD948506D}"/>
    <cellStyle name="Normal 4 4 4 2 2 4" xfId="9404" xr:uid="{CDC4ECA1-D11F-4613-ACC2-3707071CEB6B}"/>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16180" xr:uid="{B95F5C4F-AAC2-4FE6-879E-00D2BB7C4BC1}"/>
    <cellStyle name="Normal 4 4 4 2 3 2 3" xfId="11962" xr:uid="{D259A588-7798-4B4D-B996-733D4DB494B6}"/>
    <cellStyle name="Normal 4 4 4 2 3 3" xfId="5593" xr:uid="{00000000-0005-0000-0000-0000BD150000}"/>
    <cellStyle name="Normal 4 4 4 2 3 3 2" xfId="14035" xr:uid="{E82C1B9D-72D3-4D1B-891D-45661938DE42}"/>
    <cellStyle name="Normal 4 4 4 2 3 4" xfId="9817" xr:uid="{121CA41C-D716-4DAE-8BC5-C06DF25A1026}"/>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16593" xr:uid="{4D60A3AA-538C-4544-BB7A-2B978EA5EF9E}"/>
    <cellStyle name="Normal 4 4 4 2 4 2 3" xfId="12375" xr:uid="{02D53A69-3684-48B9-BDAA-D635D7689074}"/>
    <cellStyle name="Normal 4 4 4 2 4 3" xfId="6006" xr:uid="{00000000-0005-0000-0000-0000C1150000}"/>
    <cellStyle name="Normal 4 4 4 2 4 3 2" xfId="14448" xr:uid="{D25F9A00-8BE4-4EB1-9B3C-2A38EDB2E88B}"/>
    <cellStyle name="Normal 4 4 4 2 4 4" xfId="10230" xr:uid="{ED81AA63-0A75-4BA2-82EF-209BD225B63D}"/>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17006" xr:uid="{A00C0D09-E37B-4BCD-82B7-15456AB5CD33}"/>
    <cellStyle name="Normal 4 4 4 2 5 2 3" xfId="12788" xr:uid="{464BE1EF-07C1-4C68-AFBC-BA395A95D39A}"/>
    <cellStyle name="Normal 4 4 4 2 5 3" xfId="6419" xr:uid="{00000000-0005-0000-0000-0000C5150000}"/>
    <cellStyle name="Normal 4 4 4 2 5 3 2" xfId="14861" xr:uid="{563E7110-4E20-49B9-AA6F-07D0C330E352}"/>
    <cellStyle name="Normal 4 4 4 2 5 4" xfId="10643" xr:uid="{AF154AFA-77B7-4E0F-BAF1-311727C665C0}"/>
    <cellStyle name="Normal 4 4 4 2 6" xfId="2548" xr:uid="{00000000-0005-0000-0000-0000C6150000}"/>
    <cellStyle name="Normal 4 4 4 2 6 2" xfId="6832" xr:uid="{00000000-0005-0000-0000-0000C7150000}"/>
    <cellStyle name="Normal 4 4 4 2 6 2 2" xfId="15274" xr:uid="{033B9786-8D48-4536-AB3E-297BB28F1D8D}"/>
    <cellStyle name="Normal 4 4 4 2 6 3" xfId="11056" xr:uid="{96C52136-7E2E-44B2-B279-A289D6CB9020}"/>
    <cellStyle name="Normal 4 4 4 2 7" xfId="4767" xr:uid="{00000000-0005-0000-0000-0000C8150000}"/>
    <cellStyle name="Normal 4 4 4 2 7 2" xfId="13209" xr:uid="{8A6BB144-5927-47C7-AE42-E24344A97BAB}"/>
    <cellStyle name="Normal 4 4 4 2 8" xfId="8991" xr:uid="{8E4921DE-5974-41EE-9E84-B75A7098C667}"/>
    <cellStyle name="Normal 4 4 4 3" xfId="866" xr:uid="{00000000-0005-0000-0000-0000C9150000}"/>
    <cellStyle name="Normal 4 4 4 3 2" xfId="3101" xr:uid="{00000000-0005-0000-0000-0000CA150000}"/>
    <cellStyle name="Normal 4 4 4 3 2 2" xfId="7324" xr:uid="{00000000-0005-0000-0000-0000CB150000}"/>
    <cellStyle name="Normal 4 4 4 3 2 2 2" xfId="15766" xr:uid="{87C5AC51-2E17-4AC8-AA73-C938E8236F6B}"/>
    <cellStyle name="Normal 4 4 4 3 2 3" xfId="11548" xr:uid="{CA1440AB-C833-4602-A8E7-E0CE2808201E}"/>
    <cellStyle name="Normal 4 4 4 3 3" xfId="5179" xr:uid="{00000000-0005-0000-0000-0000CC150000}"/>
    <cellStyle name="Normal 4 4 4 3 3 2" xfId="13621" xr:uid="{D8F4406B-4F46-46C7-A042-A78BDB496713}"/>
    <cellStyle name="Normal 4 4 4 3 4" xfId="9403" xr:uid="{D8FAE626-6DEF-4B73-BA85-16D726C09F5B}"/>
    <cellStyle name="Normal 4 4 4 4" xfId="1284" xr:uid="{00000000-0005-0000-0000-0000CD150000}"/>
    <cellStyle name="Normal 4 4 4 4 2" xfId="3514" xr:uid="{00000000-0005-0000-0000-0000CE150000}"/>
    <cellStyle name="Normal 4 4 4 4 2 2" xfId="7737" xr:uid="{00000000-0005-0000-0000-0000CF150000}"/>
    <cellStyle name="Normal 4 4 4 4 2 2 2" xfId="16179" xr:uid="{84E0A7AB-8EF2-4821-8653-5645C771B5A3}"/>
    <cellStyle name="Normal 4 4 4 4 2 3" xfId="11961" xr:uid="{7625E0F2-FA71-4CE2-96A9-A1650A42D0F7}"/>
    <cellStyle name="Normal 4 4 4 4 3" xfId="5592" xr:uid="{00000000-0005-0000-0000-0000D0150000}"/>
    <cellStyle name="Normal 4 4 4 4 3 2" xfId="14034" xr:uid="{E4F9B5FF-C124-4F16-B634-9CD336F766D6}"/>
    <cellStyle name="Normal 4 4 4 4 4" xfId="9816" xr:uid="{F6746896-EB49-4EA5-8137-005F698B265D}"/>
    <cellStyle name="Normal 4 4 4 5" xfId="1697" xr:uid="{00000000-0005-0000-0000-0000D1150000}"/>
    <cellStyle name="Normal 4 4 4 5 2" xfId="3927" xr:uid="{00000000-0005-0000-0000-0000D2150000}"/>
    <cellStyle name="Normal 4 4 4 5 2 2" xfId="8150" xr:uid="{00000000-0005-0000-0000-0000D3150000}"/>
    <cellStyle name="Normal 4 4 4 5 2 2 2" xfId="16592" xr:uid="{A155B907-E91B-4F0D-8133-64B2132E1FF1}"/>
    <cellStyle name="Normal 4 4 4 5 2 3" xfId="12374" xr:uid="{69EBAEB3-9A7C-4C12-A454-D2E4E8F29289}"/>
    <cellStyle name="Normal 4 4 4 5 3" xfId="6005" xr:uid="{00000000-0005-0000-0000-0000D4150000}"/>
    <cellStyle name="Normal 4 4 4 5 3 2" xfId="14447" xr:uid="{F752F417-ABCD-402A-B5C6-05D1F2718908}"/>
    <cellStyle name="Normal 4 4 4 5 4" xfId="10229" xr:uid="{76AA6287-5245-41F6-8BBD-1DE320FBDA7F}"/>
    <cellStyle name="Normal 4 4 4 6" xfId="2111" xr:uid="{00000000-0005-0000-0000-0000D5150000}"/>
    <cellStyle name="Normal 4 4 4 6 2" xfId="4340" xr:uid="{00000000-0005-0000-0000-0000D6150000}"/>
    <cellStyle name="Normal 4 4 4 6 2 2" xfId="8563" xr:uid="{00000000-0005-0000-0000-0000D7150000}"/>
    <cellStyle name="Normal 4 4 4 6 2 2 2" xfId="17005" xr:uid="{8DE84E30-C767-4AB6-B17A-BDA51E759A56}"/>
    <cellStyle name="Normal 4 4 4 6 2 3" xfId="12787" xr:uid="{D71E52EE-46FD-482B-B402-CB82BA84334D}"/>
    <cellStyle name="Normal 4 4 4 6 3" xfId="6418" xr:uid="{00000000-0005-0000-0000-0000D8150000}"/>
    <cellStyle name="Normal 4 4 4 6 3 2" xfId="14860" xr:uid="{46B39BB2-74B7-451F-927C-62F7FA827473}"/>
    <cellStyle name="Normal 4 4 4 6 4" xfId="10642" xr:uid="{E3B53AF9-7929-459A-AAAF-FBC5478A9E3B}"/>
    <cellStyle name="Normal 4 4 4 7" xfId="2547" xr:uid="{00000000-0005-0000-0000-0000D9150000}"/>
    <cellStyle name="Normal 4 4 4 7 2" xfId="6831" xr:uid="{00000000-0005-0000-0000-0000DA150000}"/>
    <cellStyle name="Normal 4 4 4 7 2 2" xfId="15273" xr:uid="{A581E813-27FA-4E67-B0B7-46BF61F0452B}"/>
    <cellStyle name="Normal 4 4 4 7 3" xfId="11055" xr:uid="{7AE561B0-966F-4026-9565-9104BEE2ADF2}"/>
    <cellStyle name="Normal 4 4 4 8" xfId="4766" xr:uid="{00000000-0005-0000-0000-0000DB150000}"/>
    <cellStyle name="Normal 4 4 4 8 2" xfId="13208" xr:uid="{24D8EFD0-7BF7-4098-AF39-0A550C024D1B}"/>
    <cellStyle name="Normal 4 4 4 9" xfId="8990" xr:uid="{643188A3-1823-4668-A2C4-B06D60C721B5}"/>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2 2 2" xfId="15768" xr:uid="{A9CE2B20-0259-499B-BD9A-2DBA749BDEDC}"/>
    <cellStyle name="Normal 4 4 5 2 2 3" xfId="11550" xr:uid="{E8AF0015-8D18-420C-AE1F-E2291B305E3C}"/>
    <cellStyle name="Normal 4 4 5 2 3" xfId="5181" xr:uid="{00000000-0005-0000-0000-0000E0150000}"/>
    <cellStyle name="Normal 4 4 5 2 3 2" xfId="13623" xr:uid="{91B78057-60FD-4093-8990-EB9E6434FD97}"/>
    <cellStyle name="Normal 4 4 5 2 4" xfId="9405" xr:uid="{0D5D23C1-9666-4109-BCA4-5EE3BDE5CFEE}"/>
    <cellStyle name="Normal 4 4 5 3" xfId="1286" xr:uid="{00000000-0005-0000-0000-0000E1150000}"/>
    <cellStyle name="Normal 4 4 5 3 2" xfId="3516" xr:uid="{00000000-0005-0000-0000-0000E2150000}"/>
    <cellStyle name="Normal 4 4 5 3 2 2" xfId="7739" xr:uid="{00000000-0005-0000-0000-0000E3150000}"/>
    <cellStyle name="Normal 4 4 5 3 2 2 2" xfId="16181" xr:uid="{3BB63E2F-2DB4-49E2-BD6E-872DE2AD67BE}"/>
    <cellStyle name="Normal 4 4 5 3 2 3" xfId="11963" xr:uid="{7877BB6A-11E1-4FE1-9500-AC0C1209F611}"/>
    <cellStyle name="Normal 4 4 5 3 3" xfId="5594" xr:uid="{00000000-0005-0000-0000-0000E4150000}"/>
    <cellStyle name="Normal 4 4 5 3 3 2" xfId="14036" xr:uid="{CE3ACCCC-435D-4CA0-BB9B-6AEAEC7F04BE}"/>
    <cellStyle name="Normal 4 4 5 3 4" xfId="9818" xr:uid="{75DB4AF5-42E7-4E31-8099-362FB72023F5}"/>
    <cellStyle name="Normal 4 4 5 4" xfId="1699" xr:uid="{00000000-0005-0000-0000-0000E5150000}"/>
    <cellStyle name="Normal 4 4 5 4 2" xfId="3929" xr:uid="{00000000-0005-0000-0000-0000E6150000}"/>
    <cellStyle name="Normal 4 4 5 4 2 2" xfId="8152" xr:uid="{00000000-0005-0000-0000-0000E7150000}"/>
    <cellStyle name="Normal 4 4 5 4 2 2 2" xfId="16594" xr:uid="{C5B8281F-8BA4-423B-AF20-6E9B6AE9871C}"/>
    <cellStyle name="Normal 4 4 5 4 2 3" xfId="12376" xr:uid="{307B9057-9B68-4053-9CCF-E3D41ECE9EAF}"/>
    <cellStyle name="Normal 4 4 5 4 3" xfId="6007" xr:uid="{00000000-0005-0000-0000-0000E8150000}"/>
    <cellStyle name="Normal 4 4 5 4 3 2" xfId="14449" xr:uid="{DA2CD1F5-7376-4A4F-99EC-1D4885E8146E}"/>
    <cellStyle name="Normal 4 4 5 4 4" xfId="10231" xr:uid="{97F3F440-A624-483A-8B56-9960ED09A50E}"/>
    <cellStyle name="Normal 4 4 5 5" xfId="2113" xr:uid="{00000000-0005-0000-0000-0000E9150000}"/>
    <cellStyle name="Normal 4 4 5 5 2" xfId="4342" xr:uid="{00000000-0005-0000-0000-0000EA150000}"/>
    <cellStyle name="Normal 4 4 5 5 2 2" xfId="8565" xr:uid="{00000000-0005-0000-0000-0000EB150000}"/>
    <cellStyle name="Normal 4 4 5 5 2 2 2" xfId="17007" xr:uid="{6106F339-2FBB-42BF-87A2-E660833B4465}"/>
    <cellStyle name="Normal 4 4 5 5 2 3" xfId="12789" xr:uid="{1890D13C-65F0-4423-A9D4-9E02F2FD52D2}"/>
    <cellStyle name="Normal 4 4 5 5 3" xfId="6420" xr:uid="{00000000-0005-0000-0000-0000EC150000}"/>
    <cellStyle name="Normal 4 4 5 5 3 2" xfId="14862" xr:uid="{BC7C5FA9-2A21-4D33-B189-727D264E2596}"/>
    <cellStyle name="Normal 4 4 5 5 4" xfId="10644" xr:uid="{C89493CB-CFAD-4C7B-9FAC-D1410E1D4D4E}"/>
    <cellStyle name="Normal 4 4 5 6" xfId="2549" xr:uid="{00000000-0005-0000-0000-0000ED150000}"/>
    <cellStyle name="Normal 4 4 5 6 2" xfId="6833" xr:uid="{00000000-0005-0000-0000-0000EE150000}"/>
    <cellStyle name="Normal 4 4 5 6 2 2" xfId="15275" xr:uid="{BAF358BC-4BFB-4120-9D9C-27156854E76F}"/>
    <cellStyle name="Normal 4 4 5 6 3" xfId="11057" xr:uid="{562ED7DB-83A1-45F0-9CC2-E8C995571F3A}"/>
    <cellStyle name="Normal 4 4 5 7" xfId="4768" xr:uid="{00000000-0005-0000-0000-0000EF150000}"/>
    <cellStyle name="Normal 4 4 5 7 2" xfId="13210" xr:uid="{9AFCDEF9-F61F-4D0E-A184-AEB6EFCCE48F}"/>
    <cellStyle name="Normal 4 4 5 8" xfId="8992" xr:uid="{920B4D0E-5980-4B75-A40D-EA0A0254F0B8}"/>
    <cellStyle name="Normal 4 4 6" xfId="853" xr:uid="{00000000-0005-0000-0000-0000F0150000}"/>
    <cellStyle name="Normal 4 4 6 2" xfId="3088" xr:uid="{00000000-0005-0000-0000-0000F1150000}"/>
    <cellStyle name="Normal 4 4 6 2 2" xfId="7311" xr:uid="{00000000-0005-0000-0000-0000F2150000}"/>
    <cellStyle name="Normal 4 4 6 2 2 2" xfId="15753" xr:uid="{BC2C0C84-B11A-4F78-A537-B39B6DE7E18E}"/>
    <cellStyle name="Normal 4 4 6 2 3" xfId="11535" xr:uid="{E8F22BAD-DB13-4F95-A83A-60EEA3BEC63A}"/>
    <cellStyle name="Normal 4 4 6 3" xfId="5166" xr:uid="{00000000-0005-0000-0000-0000F3150000}"/>
    <cellStyle name="Normal 4 4 6 3 2" xfId="13608" xr:uid="{67854EF4-3128-461B-9EFC-1DFF92E8BB92}"/>
    <cellStyle name="Normal 4 4 6 4" xfId="9390" xr:uid="{E6A4C9DA-ABCA-4E63-98E6-38D1DC8F32A0}"/>
    <cellStyle name="Normal 4 4 7" xfId="1271" xr:uid="{00000000-0005-0000-0000-0000F4150000}"/>
    <cellStyle name="Normal 4 4 7 2" xfId="3501" xr:uid="{00000000-0005-0000-0000-0000F5150000}"/>
    <cellStyle name="Normal 4 4 7 2 2" xfId="7724" xr:uid="{00000000-0005-0000-0000-0000F6150000}"/>
    <cellStyle name="Normal 4 4 7 2 2 2" xfId="16166" xr:uid="{AB822097-B3A9-4944-A7C3-BF64041DC2D9}"/>
    <cellStyle name="Normal 4 4 7 2 3" xfId="11948" xr:uid="{937F0D6C-F700-4BE4-8516-F0C0B7E92515}"/>
    <cellStyle name="Normal 4 4 7 3" xfId="5579" xr:uid="{00000000-0005-0000-0000-0000F7150000}"/>
    <cellStyle name="Normal 4 4 7 3 2" xfId="14021" xr:uid="{E571C229-782D-462F-965F-E10E4E994699}"/>
    <cellStyle name="Normal 4 4 7 4" xfId="9803" xr:uid="{BD531A54-6CE7-4D78-B09B-4BD725E44801}"/>
    <cellStyle name="Normal 4 4 8" xfId="1684" xr:uid="{00000000-0005-0000-0000-0000F8150000}"/>
    <cellStyle name="Normal 4 4 8 2" xfId="3914" xr:uid="{00000000-0005-0000-0000-0000F9150000}"/>
    <cellStyle name="Normal 4 4 8 2 2" xfId="8137" xr:uid="{00000000-0005-0000-0000-0000FA150000}"/>
    <cellStyle name="Normal 4 4 8 2 2 2" xfId="16579" xr:uid="{7EFEB569-8D01-4A7D-B178-38B49B8E8319}"/>
    <cellStyle name="Normal 4 4 8 2 3" xfId="12361" xr:uid="{4A0D7CC9-8FC4-4BC8-8D05-154E4C5EF7E6}"/>
    <cellStyle name="Normal 4 4 8 3" xfId="5992" xr:uid="{00000000-0005-0000-0000-0000FB150000}"/>
    <cellStyle name="Normal 4 4 8 3 2" xfId="14434" xr:uid="{4CD02859-5EE8-4075-8763-FB7AD79F4D8C}"/>
    <cellStyle name="Normal 4 4 8 4" xfId="10216" xr:uid="{A983A5ED-F3D5-4362-AABB-CBB4FF160EE7}"/>
    <cellStyle name="Normal 4 4 9" xfId="2098" xr:uid="{00000000-0005-0000-0000-0000FC150000}"/>
    <cellStyle name="Normal 4 4 9 2" xfId="4327" xr:uid="{00000000-0005-0000-0000-0000FD150000}"/>
    <cellStyle name="Normal 4 4 9 2 2" xfId="8550" xr:uid="{00000000-0005-0000-0000-0000FE150000}"/>
    <cellStyle name="Normal 4 4 9 2 2 2" xfId="16992" xr:uid="{3B86C81F-C774-421A-A89C-9D14A2CA4D5B}"/>
    <cellStyle name="Normal 4 4 9 2 3" xfId="12774" xr:uid="{FA9188F3-84F0-4358-990D-9D114FD3E3AB}"/>
    <cellStyle name="Normal 4 4 9 3" xfId="6405" xr:uid="{00000000-0005-0000-0000-0000FF150000}"/>
    <cellStyle name="Normal 4 4 9 3 2" xfId="14847" xr:uid="{6A69197A-7B3A-4FF2-B4BF-7AC326A3683B}"/>
    <cellStyle name="Normal 4 4 9 4" xfId="10629" xr:uid="{86C46EC0-D666-4BE7-94D3-6B24D805A3F2}"/>
    <cellStyle name="Normal 4 5" xfId="394" xr:uid="{00000000-0005-0000-0000-000000160000}"/>
    <cellStyle name="Normal 4 6" xfId="395" xr:uid="{00000000-0005-0000-0000-000001160000}"/>
    <cellStyle name="Normal 4 6 10" xfId="4769" xr:uid="{00000000-0005-0000-0000-000002160000}"/>
    <cellStyle name="Normal 4 6 10 2" xfId="13211" xr:uid="{328F11BA-CDF6-4376-9121-62209E7D1B21}"/>
    <cellStyle name="Normal 4 6 11" xfId="8993" xr:uid="{D8BBF064-B395-4F11-8FBC-472406636B99}"/>
    <cellStyle name="Normal 4 6 2" xfId="396" xr:uid="{00000000-0005-0000-0000-000003160000}"/>
    <cellStyle name="Normal 4 6 2 10" xfId="8994" xr:uid="{18BBADCF-463C-4AA9-8592-E37D1A2CB3B9}"/>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15772" xr:uid="{8B07A3A2-2A6A-46B7-B9F9-77B00C863141}"/>
    <cellStyle name="Normal 4 6 2 2 2 2 2 3" xfId="11554" xr:uid="{6C265A30-6BBB-4894-AF39-72B4560C2EE2}"/>
    <cellStyle name="Normal 4 6 2 2 2 2 3" xfId="5185" xr:uid="{00000000-0005-0000-0000-000009160000}"/>
    <cellStyle name="Normal 4 6 2 2 2 2 3 2" xfId="13627" xr:uid="{9BF921E1-78DF-46CC-A18A-F7CFD4C79CB4}"/>
    <cellStyle name="Normal 4 6 2 2 2 2 4" xfId="9409" xr:uid="{A2980C5C-2C02-45BD-B81E-37EDFE3D8BAA}"/>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16185" xr:uid="{0E3672C6-A0EC-4ED8-95AD-8F5112BF72E1}"/>
    <cellStyle name="Normal 4 6 2 2 2 3 2 3" xfId="11967" xr:uid="{5320026E-B3C6-4464-B113-323AFB8EE439}"/>
    <cellStyle name="Normal 4 6 2 2 2 3 3" xfId="5598" xr:uid="{00000000-0005-0000-0000-00000D160000}"/>
    <cellStyle name="Normal 4 6 2 2 2 3 3 2" xfId="14040" xr:uid="{C2E6CDFB-5249-453C-8E77-0E260027CC3D}"/>
    <cellStyle name="Normal 4 6 2 2 2 3 4" xfId="9822" xr:uid="{7213E57F-9422-476D-A26F-E5E946608CDE}"/>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16598" xr:uid="{F77495E0-C96C-4F34-9151-116F020F392C}"/>
    <cellStyle name="Normal 4 6 2 2 2 4 2 3" xfId="12380" xr:uid="{6D09B9F8-107D-43C0-A21F-05A7BD7A392B}"/>
    <cellStyle name="Normal 4 6 2 2 2 4 3" xfId="6011" xr:uid="{00000000-0005-0000-0000-000011160000}"/>
    <cellStyle name="Normal 4 6 2 2 2 4 3 2" xfId="14453" xr:uid="{4E5FC523-59B3-4998-B769-FB518FDC408B}"/>
    <cellStyle name="Normal 4 6 2 2 2 4 4" xfId="10235" xr:uid="{2C54FA6C-8E64-4C65-8CDF-8DC06032DBB5}"/>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17011" xr:uid="{95E57DCC-77E7-42BD-BE81-4A895E8B4EF8}"/>
    <cellStyle name="Normal 4 6 2 2 2 5 2 3" xfId="12793" xr:uid="{1A1EAAB4-A9EB-479E-AF64-B747ECEF5CC9}"/>
    <cellStyle name="Normal 4 6 2 2 2 5 3" xfId="6424" xr:uid="{00000000-0005-0000-0000-000015160000}"/>
    <cellStyle name="Normal 4 6 2 2 2 5 3 2" xfId="14866" xr:uid="{9D74B290-57B4-4FE6-9855-451BFEED0EC3}"/>
    <cellStyle name="Normal 4 6 2 2 2 5 4" xfId="10648" xr:uid="{7C2AEF1A-954F-4543-8482-A5E8AC37AFAE}"/>
    <cellStyle name="Normal 4 6 2 2 2 6" xfId="2553" xr:uid="{00000000-0005-0000-0000-000016160000}"/>
    <cellStyle name="Normal 4 6 2 2 2 6 2" xfId="6837" xr:uid="{00000000-0005-0000-0000-000017160000}"/>
    <cellStyle name="Normal 4 6 2 2 2 6 2 2" xfId="15279" xr:uid="{41148ADE-915F-490B-90E8-5ECC19962380}"/>
    <cellStyle name="Normal 4 6 2 2 2 6 3" xfId="11061" xr:uid="{681B85D4-3C7A-4632-A92E-4B48BB87A7EC}"/>
    <cellStyle name="Normal 4 6 2 2 2 7" xfId="4772" xr:uid="{00000000-0005-0000-0000-000018160000}"/>
    <cellStyle name="Normal 4 6 2 2 2 7 2" xfId="13214" xr:uid="{2A53E971-7CD4-46AC-A93E-773756530A37}"/>
    <cellStyle name="Normal 4 6 2 2 2 8" xfId="8996" xr:uid="{F347BA1F-CBB4-45E4-A537-F4EE9D571F72}"/>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15771" xr:uid="{FCFB2EBD-BC2E-47E8-BA5C-54825358F669}"/>
    <cellStyle name="Normal 4 6 2 2 3 2 3" xfId="11553" xr:uid="{538AF1C3-084F-45F0-9AF7-C345228CBB9B}"/>
    <cellStyle name="Normal 4 6 2 2 3 3" xfId="5184" xr:uid="{00000000-0005-0000-0000-00001C160000}"/>
    <cellStyle name="Normal 4 6 2 2 3 3 2" xfId="13626" xr:uid="{8B207243-FBC3-4CE5-A0D7-859BFCFDBA55}"/>
    <cellStyle name="Normal 4 6 2 2 3 4" xfId="9408" xr:uid="{9CAF29A9-5A6E-44AA-BCFE-AD194DCBFCB7}"/>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16184" xr:uid="{8A599501-874E-405D-B78E-146D763CC582}"/>
    <cellStyle name="Normal 4 6 2 2 4 2 3" xfId="11966" xr:uid="{95667BB8-BC7E-4A25-A068-898C34ACC1ED}"/>
    <cellStyle name="Normal 4 6 2 2 4 3" xfId="5597" xr:uid="{00000000-0005-0000-0000-000020160000}"/>
    <cellStyle name="Normal 4 6 2 2 4 3 2" xfId="14039" xr:uid="{021E7643-38BD-45EE-B004-46E6150395E3}"/>
    <cellStyle name="Normal 4 6 2 2 4 4" xfId="9821" xr:uid="{33D21ACD-0EEA-459D-8309-35915A5FD2B5}"/>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16597" xr:uid="{FF1FC97B-431B-4E8E-9A7B-0B4979BA983A}"/>
    <cellStyle name="Normal 4 6 2 2 5 2 3" xfId="12379" xr:uid="{5336856B-8BC1-47AB-BDE0-7D562F339AD2}"/>
    <cellStyle name="Normal 4 6 2 2 5 3" xfId="6010" xr:uid="{00000000-0005-0000-0000-000024160000}"/>
    <cellStyle name="Normal 4 6 2 2 5 3 2" xfId="14452" xr:uid="{C0F0BE98-B0F6-4174-A8C3-C3A3814260DD}"/>
    <cellStyle name="Normal 4 6 2 2 5 4" xfId="10234" xr:uid="{5EA21D85-3ECD-4938-801D-2E1E1160EDB3}"/>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17010" xr:uid="{B0F57743-9058-46F4-84F2-1365E5963D3F}"/>
    <cellStyle name="Normal 4 6 2 2 6 2 3" xfId="12792" xr:uid="{74622623-E96F-403B-9B35-576D14C6F055}"/>
    <cellStyle name="Normal 4 6 2 2 6 3" xfId="6423" xr:uid="{00000000-0005-0000-0000-000028160000}"/>
    <cellStyle name="Normal 4 6 2 2 6 3 2" xfId="14865" xr:uid="{BBB7E49B-2FC9-422D-A216-0C99743CED92}"/>
    <cellStyle name="Normal 4 6 2 2 6 4" xfId="10647" xr:uid="{82390C91-E0DF-40E9-845A-D891862585B9}"/>
    <cellStyle name="Normal 4 6 2 2 7" xfId="2552" xr:uid="{00000000-0005-0000-0000-000029160000}"/>
    <cellStyle name="Normal 4 6 2 2 7 2" xfId="6836" xr:uid="{00000000-0005-0000-0000-00002A160000}"/>
    <cellStyle name="Normal 4 6 2 2 7 2 2" xfId="15278" xr:uid="{13237948-FC98-4E1D-B5B0-E891E8FC9AF0}"/>
    <cellStyle name="Normal 4 6 2 2 7 3" xfId="11060" xr:uid="{7C8CC1A3-0A46-4F3F-AFDA-0E529E2F0251}"/>
    <cellStyle name="Normal 4 6 2 2 8" xfId="4771" xr:uid="{00000000-0005-0000-0000-00002B160000}"/>
    <cellStyle name="Normal 4 6 2 2 8 2" xfId="13213" xr:uid="{4FD6951F-FF24-49B1-B72C-32AF813B53B6}"/>
    <cellStyle name="Normal 4 6 2 2 9" xfId="8995" xr:uid="{B1069C7B-4DE4-459B-A661-BCA48A563777}"/>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15773" xr:uid="{001F67FF-9E91-4B96-8CBD-63D893C85D41}"/>
    <cellStyle name="Normal 4 6 2 3 2 2 3" xfId="11555" xr:uid="{EBDDBAE1-A206-434C-8F76-53A5C0F286DF}"/>
    <cellStyle name="Normal 4 6 2 3 2 3" xfId="5186" xr:uid="{00000000-0005-0000-0000-000030160000}"/>
    <cellStyle name="Normal 4 6 2 3 2 3 2" xfId="13628" xr:uid="{6C299F9D-9330-49A6-8A39-284EC3FC8F9B}"/>
    <cellStyle name="Normal 4 6 2 3 2 4" xfId="9410" xr:uid="{513F88EF-66AF-4F17-B6F2-7CF57FD4CB41}"/>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16186" xr:uid="{1023B0A9-FC9C-4016-8DB4-47421B2AFE0C}"/>
    <cellStyle name="Normal 4 6 2 3 3 2 3" xfId="11968" xr:uid="{6D10EBCB-2C26-4D77-BE5C-F0E9C2E615A6}"/>
    <cellStyle name="Normal 4 6 2 3 3 3" xfId="5599" xr:uid="{00000000-0005-0000-0000-000034160000}"/>
    <cellStyle name="Normal 4 6 2 3 3 3 2" xfId="14041" xr:uid="{0F6163D3-008C-4F0C-B7D1-C3097FC0EAF8}"/>
    <cellStyle name="Normal 4 6 2 3 3 4" xfId="9823" xr:uid="{D20B17A8-F2AD-4152-9112-7DC862FA5A56}"/>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16599" xr:uid="{85365D41-DC06-43E6-99B7-04F33CACC67E}"/>
    <cellStyle name="Normal 4 6 2 3 4 2 3" xfId="12381" xr:uid="{FC735B2C-62B2-4A0A-B58E-8342A1190A54}"/>
    <cellStyle name="Normal 4 6 2 3 4 3" xfId="6012" xr:uid="{00000000-0005-0000-0000-000038160000}"/>
    <cellStyle name="Normal 4 6 2 3 4 3 2" xfId="14454" xr:uid="{041AEC53-FD3D-447A-A324-9B38E8C0869B}"/>
    <cellStyle name="Normal 4 6 2 3 4 4" xfId="10236" xr:uid="{201625ED-2B6A-495A-8596-AAD7295FD658}"/>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17012" xr:uid="{05D59733-8A24-40DF-A5DD-949CF9B0476A}"/>
    <cellStyle name="Normal 4 6 2 3 5 2 3" xfId="12794" xr:uid="{E4842883-D802-4F71-92C0-EB0CD46C60C4}"/>
    <cellStyle name="Normal 4 6 2 3 5 3" xfId="6425" xr:uid="{00000000-0005-0000-0000-00003C160000}"/>
    <cellStyle name="Normal 4 6 2 3 5 3 2" xfId="14867" xr:uid="{EFA55F8C-C058-47E8-A536-7E1CC4F376D7}"/>
    <cellStyle name="Normal 4 6 2 3 5 4" xfId="10649" xr:uid="{85B02395-039C-4061-B3A9-9C007F7C2253}"/>
    <cellStyle name="Normal 4 6 2 3 6" xfId="2554" xr:uid="{00000000-0005-0000-0000-00003D160000}"/>
    <cellStyle name="Normal 4 6 2 3 6 2" xfId="6838" xr:uid="{00000000-0005-0000-0000-00003E160000}"/>
    <cellStyle name="Normal 4 6 2 3 6 2 2" xfId="15280" xr:uid="{E350D2EB-5187-4F65-9FAE-F96346E1B84D}"/>
    <cellStyle name="Normal 4 6 2 3 6 3" xfId="11062" xr:uid="{6D4C3B38-DA79-4160-949E-6AE991364FCF}"/>
    <cellStyle name="Normal 4 6 2 3 7" xfId="4773" xr:uid="{00000000-0005-0000-0000-00003F160000}"/>
    <cellStyle name="Normal 4 6 2 3 7 2" xfId="13215" xr:uid="{321EAEC4-CD5C-4FCC-9D94-4FE3B6109C53}"/>
    <cellStyle name="Normal 4 6 2 3 8" xfId="8997" xr:uid="{332A9F66-808F-419B-900D-02D5A6F3CD81}"/>
    <cellStyle name="Normal 4 6 2 4" xfId="870" xr:uid="{00000000-0005-0000-0000-000040160000}"/>
    <cellStyle name="Normal 4 6 2 4 2" xfId="3105" xr:uid="{00000000-0005-0000-0000-000041160000}"/>
    <cellStyle name="Normal 4 6 2 4 2 2" xfId="7328" xr:uid="{00000000-0005-0000-0000-000042160000}"/>
    <cellStyle name="Normal 4 6 2 4 2 2 2" xfId="15770" xr:uid="{D1D32A6A-F08E-4D91-A7C5-E79F1B280997}"/>
    <cellStyle name="Normal 4 6 2 4 2 3" xfId="11552" xr:uid="{EC726596-BBAC-4E86-981E-10389EF35638}"/>
    <cellStyle name="Normal 4 6 2 4 3" xfId="5183" xr:uid="{00000000-0005-0000-0000-000043160000}"/>
    <cellStyle name="Normal 4 6 2 4 3 2" xfId="13625" xr:uid="{74DE0175-6541-4360-9F05-C8C875541477}"/>
    <cellStyle name="Normal 4 6 2 4 4" xfId="9407" xr:uid="{BDB46320-3273-415B-BCB1-20523C7E99F6}"/>
    <cellStyle name="Normal 4 6 2 5" xfId="1288" xr:uid="{00000000-0005-0000-0000-000044160000}"/>
    <cellStyle name="Normal 4 6 2 5 2" xfId="3518" xr:uid="{00000000-0005-0000-0000-000045160000}"/>
    <cellStyle name="Normal 4 6 2 5 2 2" xfId="7741" xr:uid="{00000000-0005-0000-0000-000046160000}"/>
    <cellStyle name="Normal 4 6 2 5 2 2 2" xfId="16183" xr:uid="{C38A3704-9BFA-4933-8A6C-BF98982E8EFB}"/>
    <cellStyle name="Normal 4 6 2 5 2 3" xfId="11965" xr:uid="{391E4FBA-0B61-47F9-A716-AF228247BF7B}"/>
    <cellStyle name="Normal 4 6 2 5 3" xfId="5596" xr:uid="{00000000-0005-0000-0000-000047160000}"/>
    <cellStyle name="Normal 4 6 2 5 3 2" xfId="14038" xr:uid="{C7B78642-5CF1-4EEF-A297-70706C40BDFF}"/>
    <cellStyle name="Normal 4 6 2 5 4" xfId="9820" xr:uid="{810ED0D1-520B-4AC1-8368-3A7D85ED4EA6}"/>
    <cellStyle name="Normal 4 6 2 6" xfId="1701" xr:uid="{00000000-0005-0000-0000-000048160000}"/>
    <cellStyle name="Normal 4 6 2 6 2" xfId="3931" xr:uid="{00000000-0005-0000-0000-000049160000}"/>
    <cellStyle name="Normal 4 6 2 6 2 2" xfId="8154" xr:uid="{00000000-0005-0000-0000-00004A160000}"/>
    <cellStyle name="Normal 4 6 2 6 2 2 2" xfId="16596" xr:uid="{5099D8C9-F2DD-4928-AF4C-68F969D66306}"/>
    <cellStyle name="Normal 4 6 2 6 2 3" xfId="12378" xr:uid="{C48D7650-7F07-424C-A9DE-924964588217}"/>
    <cellStyle name="Normal 4 6 2 6 3" xfId="6009" xr:uid="{00000000-0005-0000-0000-00004B160000}"/>
    <cellStyle name="Normal 4 6 2 6 3 2" xfId="14451" xr:uid="{BCCD4A1E-C848-4456-8E62-29C57C631499}"/>
    <cellStyle name="Normal 4 6 2 6 4" xfId="10233" xr:uid="{35E62237-D746-4A4D-8B3F-44A0C4F8DABD}"/>
    <cellStyle name="Normal 4 6 2 7" xfId="2115" xr:uid="{00000000-0005-0000-0000-00004C160000}"/>
    <cellStyle name="Normal 4 6 2 7 2" xfId="4344" xr:uid="{00000000-0005-0000-0000-00004D160000}"/>
    <cellStyle name="Normal 4 6 2 7 2 2" xfId="8567" xr:uid="{00000000-0005-0000-0000-00004E160000}"/>
    <cellStyle name="Normal 4 6 2 7 2 2 2" xfId="17009" xr:uid="{048CF6B5-47C8-474C-B0CD-0AECBF4553CE}"/>
    <cellStyle name="Normal 4 6 2 7 2 3" xfId="12791" xr:uid="{15D1F68C-EED8-45EA-8BDC-7EE8D1A41D59}"/>
    <cellStyle name="Normal 4 6 2 7 3" xfId="6422" xr:uid="{00000000-0005-0000-0000-00004F160000}"/>
    <cellStyle name="Normal 4 6 2 7 3 2" xfId="14864" xr:uid="{2DD7538F-C1E1-4EF7-9672-D1088EF42058}"/>
    <cellStyle name="Normal 4 6 2 7 4" xfId="10646" xr:uid="{ECB85597-F8F2-4FB6-B9E7-9C10B4E07750}"/>
    <cellStyle name="Normal 4 6 2 8" xfId="2551" xr:uid="{00000000-0005-0000-0000-000050160000}"/>
    <cellStyle name="Normal 4 6 2 8 2" xfId="6835" xr:uid="{00000000-0005-0000-0000-000051160000}"/>
    <cellStyle name="Normal 4 6 2 8 2 2" xfId="15277" xr:uid="{E19A59D6-CCF2-4ED4-BB91-D651B79B2F85}"/>
    <cellStyle name="Normal 4 6 2 8 3" xfId="11059" xr:uid="{0CD274B2-1016-48AE-A397-4895BA6345A2}"/>
    <cellStyle name="Normal 4 6 2 9" xfId="4770" xr:uid="{00000000-0005-0000-0000-000052160000}"/>
    <cellStyle name="Normal 4 6 2 9 2" xfId="13212" xr:uid="{45A52490-D7B9-4732-BE72-170C0613A018}"/>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15775" xr:uid="{8149601B-BCB6-4361-8B17-5E215E285F8B}"/>
    <cellStyle name="Normal 4 6 3 2 2 2 3" xfId="11557" xr:uid="{141F42B1-7F1D-46DD-93A6-4CCB2C0E691D}"/>
    <cellStyle name="Normal 4 6 3 2 2 3" xfId="5188" xr:uid="{00000000-0005-0000-0000-000058160000}"/>
    <cellStyle name="Normal 4 6 3 2 2 3 2" xfId="13630" xr:uid="{4EB1CD03-7C7C-4340-92C1-15486BE0CA97}"/>
    <cellStyle name="Normal 4 6 3 2 2 4" xfId="9412" xr:uid="{56CEF0C7-5C98-4660-B5FF-09B29D07F4B5}"/>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16188" xr:uid="{B60038D9-1750-4992-9965-BF400784D4CD}"/>
    <cellStyle name="Normal 4 6 3 2 3 2 3" xfId="11970" xr:uid="{6BAA7B39-B3ED-4034-B105-D8B30D8C717A}"/>
    <cellStyle name="Normal 4 6 3 2 3 3" xfId="5601" xr:uid="{00000000-0005-0000-0000-00005C160000}"/>
    <cellStyle name="Normal 4 6 3 2 3 3 2" xfId="14043" xr:uid="{9D8D97A6-E7BF-4EC0-85D1-CCB814BD0A1C}"/>
    <cellStyle name="Normal 4 6 3 2 3 4" xfId="9825" xr:uid="{D2BD0F32-0056-4330-8969-05777BBC928F}"/>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16601" xr:uid="{E6FCA353-E0AD-44BD-B32A-2DDA48EEE09A}"/>
    <cellStyle name="Normal 4 6 3 2 4 2 3" xfId="12383" xr:uid="{1F8AE239-69F9-4628-AECD-694696EACA1C}"/>
    <cellStyle name="Normal 4 6 3 2 4 3" xfId="6014" xr:uid="{00000000-0005-0000-0000-000060160000}"/>
    <cellStyle name="Normal 4 6 3 2 4 3 2" xfId="14456" xr:uid="{AB7F9763-584B-43B9-AECA-D2ECAA414BB2}"/>
    <cellStyle name="Normal 4 6 3 2 4 4" xfId="10238" xr:uid="{EBFA5866-9698-438B-A1A7-70688F51750D}"/>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17014" xr:uid="{0AFC7384-013F-4234-83EB-21A907ED4118}"/>
    <cellStyle name="Normal 4 6 3 2 5 2 3" xfId="12796" xr:uid="{C689F5FA-0D72-4FB1-8A2F-840C1303C4A8}"/>
    <cellStyle name="Normal 4 6 3 2 5 3" xfId="6427" xr:uid="{00000000-0005-0000-0000-000064160000}"/>
    <cellStyle name="Normal 4 6 3 2 5 3 2" xfId="14869" xr:uid="{92BA8DC4-E01D-4F01-AEE7-FF044B6BABFB}"/>
    <cellStyle name="Normal 4 6 3 2 5 4" xfId="10651" xr:uid="{A4F6D456-C226-4652-8B02-5A32050CB096}"/>
    <cellStyle name="Normal 4 6 3 2 6" xfId="2556" xr:uid="{00000000-0005-0000-0000-000065160000}"/>
    <cellStyle name="Normal 4 6 3 2 6 2" xfId="6840" xr:uid="{00000000-0005-0000-0000-000066160000}"/>
    <cellStyle name="Normal 4 6 3 2 6 2 2" xfId="15282" xr:uid="{DD0FEEBA-AAD2-4D8A-8574-8931C86CB8D1}"/>
    <cellStyle name="Normal 4 6 3 2 6 3" xfId="11064" xr:uid="{7ABA82C2-4648-4555-8739-502895E29404}"/>
    <cellStyle name="Normal 4 6 3 2 7" xfId="4775" xr:uid="{00000000-0005-0000-0000-000067160000}"/>
    <cellStyle name="Normal 4 6 3 2 7 2" xfId="13217" xr:uid="{D53C95AB-E020-401F-85C5-24AFC9C888AD}"/>
    <cellStyle name="Normal 4 6 3 2 8" xfId="8999" xr:uid="{6C4DE60C-11D7-4AAC-9A57-1420275BB351}"/>
    <cellStyle name="Normal 4 6 3 3" xfId="874" xr:uid="{00000000-0005-0000-0000-000068160000}"/>
    <cellStyle name="Normal 4 6 3 3 2" xfId="3109" xr:uid="{00000000-0005-0000-0000-000069160000}"/>
    <cellStyle name="Normal 4 6 3 3 2 2" xfId="7332" xr:uid="{00000000-0005-0000-0000-00006A160000}"/>
    <cellStyle name="Normal 4 6 3 3 2 2 2" xfId="15774" xr:uid="{56EC59DE-8449-4163-896F-DFF0D866D3CA}"/>
    <cellStyle name="Normal 4 6 3 3 2 3" xfId="11556" xr:uid="{583C5BAA-1607-40A8-BD16-F7C077D7C681}"/>
    <cellStyle name="Normal 4 6 3 3 3" xfId="5187" xr:uid="{00000000-0005-0000-0000-00006B160000}"/>
    <cellStyle name="Normal 4 6 3 3 3 2" xfId="13629" xr:uid="{0F352D55-22A8-4ED7-82AE-AB2B81B9D583}"/>
    <cellStyle name="Normal 4 6 3 3 4" xfId="9411" xr:uid="{E41428B4-9055-4B6A-B331-1E8AE0D58C5F}"/>
    <cellStyle name="Normal 4 6 3 4" xfId="1292" xr:uid="{00000000-0005-0000-0000-00006C160000}"/>
    <cellStyle name="Normal 4 6 3 4 2" xfId="3522" xr:uid="{00000000-0005-0000-0000-00006D160000}"/>
    <cellStyle name="Normal 4 6 3 4 2 2" xfId="7745" xr:uid="{00000000-0005-0000-0000-00006E160000}"/>
    <cellStyle name="Normal 4 6 3 4 2 2 2" xfId="16187" xr:uid="{AD69151E-460C-4B5D-8B1B-B20E888E22A1}"/>
    <cellStyle name="Normal 4 6 3 4 2 3" xfId="11969" xr:uid="{CAA61808-F2FE-448E-9ED2-04DB7F77B1CA}"/>
    <cellStyle name="Normal 4 6 3 4 3" xfId="5600" xr:uid="{00000000-0005-0000-0000-00006F160000}"/>
    <cellStyle name="Normal 4 6 3 4 3 2" xfId="14042" xr:uid="{408B1D15-2606-470D-B04B-189E7285612B}"/>
    <cellStyle name="Normal 4 6 3 4 4" xfId="9824" xr:uid="{1E8BB84C-924E-4929-8890-2DD84AED7B5F}"/>
    <cellStyle name="Normal 4 6 3 5" xfId="1705" xr:uid="{00000000-0005-0000-0000-000070160000}"/>
    <cellStyle name="Normal 4 6 3 5 2" xfId="3935" xr:uid="{00000000-0005-0000-0000-000071160000}"/>
    <cellStyle name="Normal 4 6 3 5 2 2" xfId="8158" xr:uid="{00000000-0005-0000-0000-000072160000}"/>
    <cellStyle name="Normal 4 6 3 5 2 2 2" xfId="16600" xr:uid="{F038A84A-E7A2-4FDF-B8CE-2CC02DDB2168}"/>
    <cellStyle name="Normal 4 6 3 5 2 3" xfId="12382" xr:uid="{0B38BF17-3F78-4DFB-9E16-0CCE711AF1DE}"/>
    <cellStyle name="Normal 4 6 3 5 3" xfId="6013" xr:uid="{00000000-0005-0000-0000-000073160000}"/>
    <cellStyle name="Normal 4 6 3 5 3 2" xfId="14455" xr:uid="{4F301E76-AAE4-42F0-A6E5-260D0A2C4407}"/>
    <cellStyle name="Normal 4 6 3 5 4" xfId="10237" xr:uid="{945F2272-1580-44D8-920B-06C63EA7E0B3}"/>
    <cellStyle name="Normal 4 6 3 6" xfId="2119" xr:uid="{00000000-0005-0000-0000-000074160000}"/>
    <cellStyle name="Normal 4 6 3 6 2" xfId="4348" xr:uid="{00000000-0005-0000-0000-000075160000}"/>
    <cellStyle name="Normal 4 6 3 6 2 2" xfId="8571" xr:uid="{00000000-0005-0000-0000-000076160000}"/>
    <cellStyle name="Normal 4 6 3 6 2 2 2" xfId="17013" xr:uid="{F96D326B-E671-4E29-BF73-B336A8508376}"/>
    <cellStyle name="Normal 4 6 3 6 2 3" xfId="12795" xr:uid="{ABCD77F6-D477-412A-A8D4-DB5DD42F2F88}"/>
    <cellStyle name="Normal 4 6 3 6 3" xfId="6426" xr:uid="{00000000-0005-0000-0000-000077160000}"/>
    <cellStyle name="Normal 4 6 3 6 3 2" xfId="14868" xr:uid="{357744F6-E7CA-4C5C-9E0D-3F2197949A90}"/>
    <cellStyle name="Normal 4 6 3 6 4" xfId="10650" xr:uid="{5E211534-CDA4-4859-807F-5CDF1F4C3EF3}"/>
    <cellStyle name="Normal 4 6 3 7" xfId="2555" xr:uid="{00000000-0005-0000-0000-000078160000}"/>
    <cellStyle name="Normal 4 6 3 7 2" xfId="6839" xr:uid="{00000000-0005-0000-0000-000079160000}"/>
    <cellStyle name="Normal 4 6 3 7 2 2" xfId="15281" xr:uid="{86C6399E-89AD-4AF3-99A0-5BBC6CA2DA3A}"/>
    <cellStyle name="Normal 4 6 3 7 3" xfId="11063" xr:uid="{EADE54D7-F84E-40FD-B126-98E3502A63CE}"/>
    <cellStyle name="Normal 4 6 3 8" xfId="4774" xr:uid="{00000000-0005-0000-0000-00007A160000}"/>
    <cellStyle name="Normal 4 6 3 8 2" xfId="13216" xr:uid="{6D61A827-A84F-46A1-98B6-ECE74ECD10C0}"/>
    <cellStyle name="Normal 4 6 3 9" xfId="8998" xr:uid="{26097600-6A98-4E72-B0E4-F87E50DCA732}"/>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2 2 2" xfId="15776" xr:uid="{79E0DDBC-A2FF-4DB2-A325-04A8438FE233}"/>
    <cellStyle name="Normal 4 6 4 2 2 3" xfId="11558" xr:uid="{A13F2399-DAE4-4A9B-BFE0-A852724CE7CE}"/>
    <cellStyle name="Normal 4 6 4 2 3" xfId="5189" xr:uid="{00000000-0005-0000-0000-00007F160000}"/>
    <cellStyle name="Normal 4 6 4 2 3 2" xfId="13631" xr:uid="{F94A22E8-B7AF-4B1A-9584-4A7E86EE2743}"/>
    <cellStyle name="Normal 4 6 4 2 4" xfId="9413" xr:uid="{9B4EA320-2682-40A5-953B-7462C87E342D}"/>
    <cellStyle name="Normal 4 6 4 3" xfId="1294" xr:uid="{00000000-0005-0000-0000-000080160000}"/>
    <cellStyle name="Normal 4 6 4 3 2" xfId="3524" xr:uid="{00000000-0005-0000-0000-000081160000}"/>
    <cellStyle name="Normal 4 6 4 3 2 2" xfId="7747" xr:uid="{00000000-0005-0000-0000-000082160000}"/>
    <cellStyle name="Normal 4 6 4 3 2 2 2" xfId="16189" xr:uid="{B011EBF4-31FA-4B49-AE30-C27C453C1AFE}"/>
    <cellStyle name="Normal 4 6 4 3 2 3" xfId="11971" xr:uid="{34EF271F-F289-4F94-89DC-43230FC9130E}"/>
    <cellStyle name="Normal 4 6 4 3 3" xfId="5602" xr:uid="{00000000-0005-0000-0000-000083160000}"/>
    <cellStyle name="Normal 4 6 4 3 3 2" xfId="14044" xr:uid="{7E25E1FD-92CD-472D-83E9-7403FB79F758}"/>
    <cellStyle name="Normal 4 6 4 3 4" xfId="9826" xr:uid="{7EA851FE-D9A4-49E5-ACED-337359DB5692}"/>
    <cellStyle name="Normal 4 6 4 4" xfId="1707" xr:uid="{00000000-0005-0000-0000-000084160000}"/>
    <cellStyle name="Normal 4 6 4 4 2" xfId="3937" xr:uid="{00000000-0005-0000-0000-000085160000}"/>
    <cellStyle name="Normal 4 6 4 4 2 2" xfId="8160" xr:uid="{00000000-0005-0000-0000-000086160000}"/>
    <cellStyle name="Normal 4 6 4 4 2 2 2" xfId="16602" xr:uid="{D6553814-9A5B-41A8-9857-A589B22C1133}"/>
    <cellStyle name="Normal 4 6 4 4 2 3" xfId="12384" xr:uid="{FF2C1AC6-A7CE-4AF0-9245-8016B932E11D}"/>
    <cellStyle name="Normal 4 6 4 4 3" xfId="6015" xr:uid="{00000000-0005-0000-0000-000087160000}"/>
    <cellStyle name="Normal 4 6 4 4 3 2" xfId="14457" xr:uid="{4E0A2762-B95B-4A71-8256-6A911013D786}"/>
    <cellStyle name="Normal 4 6 4 4 4" xfId="10239" xr:uid="{A694E6FC-03B7-4B74-911F-73F5290EA09E}"/>
    <cellStyle name="Normal 4 6 4 5" xfId="2121" xr:uid="{00000000-0005-0000-0000-000088160000}"/>
    <cellStyle name="Normal 4 6 4 5 2" xfId="4350" xr:uid="{00000000-0005-0000-0000-000089160000}"/>
    <cellStyle name="Normal 4 6 4 5 2 2" xfId="8573" xr:uid="{00000000-0005-0000-0000-00008A160000}"/>
    <cellStyle name="Normal 4 6 4 5 2 2 2" xfId="17015" xr:uid="{07943E6F-95E0-405F-AEB7-94FD65698E04}"/>
    <cellStyle name="Normal 4 6 4 5 2 3" xfId="12797" xr:uid="{33A00AC6-F3C3-489C-9E6E-8F74B6277B6D}"/>
    <cellStyle name="Normal 4 6 4 5 3" xfId="6428" xr:uid="{00000000-0005-0000-0000-00008B160000}"/>
    <cellStyle name="Normal 4 6 4 5 3 2" xfId="14870" xr:uid="{BBD7CBA0-820E-4FB5-88BC-8B7BE213CCF6}"/>
    <cellStyle name="Normal 4 6 4 5 4" xfId="10652" xr:uid="{D07EE966-87EA-4A78-ABFD-ECA5CEDBB9AB}"/>
    <cellStyle name="Normal 4 6 4 6" xfId="2557" xr:uid="{00000000-0005-0000-0000-00008C160000}"/>
    <cellStyle name="Normal 4 6 4 6 2" xfId="6841" xr:uid="{00000000-0005-0000-0000-00008D160000}"/>
    <cellStyle name="Normal 4 6 4 6 2 2" xfId="15283" xr:uid="{3616D387-63FD-45FB-B33E-4EB757367290}"/>
    <cellStyle name="Normal 4 6 4 6 3" xfId="11065" xr:uid="{0BF24412-B1A1-46F5-820E-091B74227891}"/>
    <cellStyle name="Normal 4 6 4 7" xfId="4776" xr:uid="{00000000-0005-0000-0000-00008E160000}"/>
    <cellStyle name="Normal 4 6 4 7 2" xfId="13218" xr:uid="{DF54C7C0-3062-4BAE-A6F7-6111CCDEF6BD}"/>
    <cellStyle name="Normal 4 6 4 8" xfId="9000" xr:uid="{6B96822F-8376-4E40-98FF-758CC91BDDD5}"/>
    <cellStyle name="Normal 4 6 5" xfId="869" xr:uid="{00000000-0005-0000-0000-00008F160000}"/>
    <cellStyle name="Normal 4 6 5 2" xfId="3104" xr:uid="{00000000-0005-0000-0000-000090160000}"/>
    <cellStyle name="Normal 4 6 5 2 2" xfId="7327" xr:uid="{00000000-0005-0000-0000-000091160000}"/>
    <cellStyle name="Normal 4 6 5 2 2 2" xfId="15769" xr:uid="{42C50E6F-677C-482E-8C72-5E2F0D460FA1}"/>
    <cellStyle name="Normal 4 6 5 2 3" xfId="11551" xr:uid="{0E4D6DF8-5E0D-4D50-A1E9-74D77B1BEA6B}"/>
    <cellStyle name="Normal 4 6 5 3" xfId="5182" xr:uid="{00000000-0005-0000-0000-000092160000}"/>
    <cellStyle name="Normal 4 6 5 3 2" xfId="13624" xr:uid="{A8822E44-6EED-46B4-8020-5D2211E4EB45}"/>
    <cellStyle name="Normal 4 6 5 4" xfId="9406" xr:uid="{AC48A18D-24AE-49CC-B8D1-38FA51F05891}"/>
    <cellStyle name="Normal 4 6 6" xfId="1287" xr:uid="{00000000-0005-0000-0000-000093160000}"/>
    <cellStyle name="Normal 4 6 6 2" xfId="3517" xr:uid="{00000000-0005-0000-0000-000094160000}"/>
    <cellStyle name="Normal 4 6 6 2 2" xfId="7740" xr:uid="{00000000-0005-0000-0000-000095160000}"/>
    <cellStyle name="Normal 4 6 6 2 2 2" xfId="16182" xr:uid="{C622F608-B5AF-41BF-A9F8-B09578FAF369}"/>
    <cellStyle name="Normal 4 6 6 2 3" xfId="11964" xr:uid="{0C2E5842-020E-43CF-85CC-F4139588480B}"/>
    <cellStyle name="Normal 4 6 6 3" xfId="5595" xr:uid="{00000000-0005-0000-0000-000096160000}"/>
    <cellStyle name="Normal 4 6 6 3 2" xfId="14037" xr:uid="{73E956CA-8ED7-4038-80FE-4C58C26FB748}"/>
    <cellStyle name="Normal 4 6 6 4" xfId="9819" xr:uid="{E3984C36-2412-4760-8153-F68F94120322}"/>
    <cellStyle name="Normal 4 6 7" xfId="1700" xr:uid="{00000000-0005-0000-0000-000097160000}"/>
    <cellStyle name="Normal 4 6 7 2" xfId="3930" xr:uid="{00000000-0005-0000-0000-000098160000}"/>
    <cellStyle name="Normal 4 6 7 2 2" xfId="8153" xr:uid="{00000000-0005-0000-0000-000099160000}"/>
    <cellStyle name="Normal 4 6 7 2 2 2" xfId="16595" xr:uid="{F0A52E05-F4B9-4320-B5BA-B2E743D1C164}"/>
    <cellStyle name="Normal 4 6 7 2 3" xfId="12377" xr:uid="{04E62370-7D95-49A9-A378-92CFC1194A2B}"/>
    <cellStyle name="Normal 4 6 7 3" xfId="6008" xr:uid="{00000000-0005-0000-0000-00009A160000}"/>
    <cellStyle name="Normal 4 6 7 3 2" xfId="14450" xr:uid="{5557ACB0-B570-49D9-BE1E-605AD68234AF}"/>
    <cellStyle name="Normal 4 6 7 4" xfId="10232" xr:uid="{57E9F3B3-F26E-4CCE-BB56-CD5BABC257AC}"/>
    <cellStyle name="Normal 4 6 8" xfId="2114" xr:uid="{00000000-0005-0000-0000-00009B160000}"/>
    <cellStyle name="Normal 4 6 8 2" xfId="4343" xr:uid="{00000000-0005-0000-0000-00009C160000}"/>
    <cellStyle name="Normal 4 6 8 2 2" xfId="8566" xr:uid="{00000000-0005-0000-0000-00009D160000}"/>
    <cellStyle name="Normal 4 6 8 2 2 2" xfId="17008" xr:uid="{37D71A97-D32B-4323-8870-592F096F36DB}"/>
    <cellStyle name="Normal 4 6 8 2 3" xfId="12790" xr:uid="{B88B0C7B-E12D-4B18-9DDF-4F2E89837931}"/>
    <cellStyle name="Normal 4 6 8 3" xfId="6421" xr:uid="{00000000-0005-0000-0000-00009E160000}"/>
    <cellStyle name="Normal 4 6 8 3 2" xfId="14863" xr:uid="{CC3DEE41-92F7-4869-95D0-237DA5F284A6}"/>
    <cellStyle name="Normal 4 6 8 4" xfId="10645" xr:uid="{F083752A-1A84-4D29-83E2-1870B7A2D6BD}"/>
    <cellStyle name="Normal 4 6 9" xfId="2550" xr:uid="{00000000-0005-0000-0000-00009F160000}"/>
    <cellStyle name="Normal 4 6 9 2" xfId="6834" xr:uid="{00000000-0005-0000-0000-0000A0160000}"/>
    <cellStyle name="Normal 4 6 9 2 2" xfId="15276" xr:uid="{32F6EF7E-ACED-4D6D-959D-382D5D873973}"/>
    <cellStyle name="Normal 4 6 9 3" xfId="11058" xr:uid="{E8826B0A-1316-4BBB-91E9-2F9EF5EA88CB}"/>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2 2 2" xfId="15778" xr:uid="{87F4ADED-C1D7-4292-85FD-0F346CB929FC}"/>
    <cellStyle name="Normal 4 7 2 2 2 3" xfId="11560" xr:uid="{BB0A3C8B-8287-480D-AC84-50BF15B50D7F}"/>
    <cellStyle name="Normal 4 7 2 2 3" xfId="5191" xr:uid="{00000000-0005-0000-0000-0000A6160000}"/>
    <cellStyle name="Normal 4 7 2 2 3 2" xfId="13633" xr:uid="{6318428E-F3B6-49BA-8F53-B2AC47F442FC}"/>
    <cellStyle name="Normal 4 7 2 2 4" xfId="9415" xr:uid="{3C66E389-7CC1-4418-BF94-92CE2B2C57E0}"/>
    <cellStyle name="Normal 4 7 2 3" xfId="1296" xr:uid="{00000000-0005-0000-0000-0000A7160000}"/>
    <cellStyle name="Normal 4 7 2 3 2" xfId="3526" xr:uid="{00000000-0005-0000-0000-0000A8160000}"/>
    <cellStyle name="Normal 4 7 2 3 2 2" xfId="7749" xr:uid="{00000000-0005-0000-0000-0000A9160000}"/>
    <cellStyle name="Normal 4 7 2 3 2 2 2" xfId="16191" xr:uid="{BD44ED1D-10BD-4018-A546-24DF6C4174C2}"/>
    <cellStyle name="Normal 4 7 2 3 2 3" xfId="11973" xr:uid="{7F30B1BF-54BD-4FFE-A597-B485EFF7984A}"/>
    <cellStyle name="Normal 4 7 2 3 3" xfId="5604" xr:uid="{00000000-0005-0000-0000-0000AA160000}"/>
    <cellStyle name="Normal 4 7 2 3 3 2" xfId="14046" xr:uid="{84E218A0-89D5-4BE1-B30F-D57207280B83}"/>
    <cellStyle name="Normal 4 7 2 3 4" xfId="9828" xr:uid="{14376DA9-B1C5-42A8-BE82-3A69760B4CB1}"/>
    <cellStyle name="Normal 4 7 2 4" xfId="1709" xr:uid="{00000000-0005-0000-0000-0000AB160000}"/>
    <cellStyle name="Normal 4 7 2 4 2" xfId="3939" xr:uid="{00000000-0005-0000-0000-0000AC160000}"/>
    <cellStyle name="Normal 4 7 2 4 2 2" xfId="8162" xr:uid="{00000000-0005-0000-0000-0000AD160000}"/>
    <cellStyle name="Normal 4 7 2 4 2 2 2" xfId="16604" xr:uid="{C65BF842-C29A-4413-B3AA-639A3BE4BA33}"/>
    <cellStyle name="Normal 4 7 2 4 2 3" xfId="12386" xr:uid="{6B9F1924-22A7-4CE2-8D53-9890523564CA}"/>
    <cellStyle name="Normal 4 7 2 4 3" xfId="6017" xr:uid="{00000000-0005-0000-0000-0000AE160000}"/>
    <cellStyle name="Normal 4 7 2 4 3 2" xfId="14459" xr:uid="{B7265824-717A-49AB-BF24-A46812E247FB}"/>
    <cellStyle name="Normal 4 7 2 4 4" xfId="10241" xr:uid="{CFFE3104-EF9D-4225-9FD6-852C48D67367}"/>
    <cellStyle name="Normal 4 7 2 5" xfId="2123" xr:uid="{00000000-0005-0000-0000-0000AF160000}"/>
    <cellStyle name="Normal 4 7 2 5 2" xfId="4352" xr:uid="{00000000-0005-0000-0000-0000B0160000}"/>
    <cellStyle name="Normal 4 7 2 5 2 2" xfId="8575" xr:uid="{00000000-0005-0000-0000-0000B1160000}"/>
    <cellStyle name="Normal 4 7 2 5 2 2 2" xfId="17017" xr:uid="{12BF90BF-D034-4F78-AAB8-77DE2CA80A08}"/>
    <cellStyle name="Normal 4 7 2 5 2 3" xfId="12799" xr:uid="{40772F1B-5FA3-44AF-98EE-2AEEB58EE09C}"/>
    <cellStyle name="Normal 4 7 2 5 3" xfId="6430" xr:uid="{00000000-0005-0000-0000-0000B2160000}"/>
    <cellStyle name="Normal 4 7 2 5 3 2" xfId="14872" xr:uid="{492F2A84-C9DA-494D-8759-82324B4B7BB1}"/>
    <cellStyle name="Normal 4 7 2 5 4" xfId="10654" xr:uid="{94F42E76-8E1F-45A7-8E15-596CCCE59B9B}"/>
    <cellStyle name="Normal 4 7 2 6" xfId="2559" xr:uid="{00000000-0005-0000-0000-0000B3160000}"/>
    <cellStyle name="Normal 4 7 2 6 2" xfId="6843" xr:uid="{00000000-0005-0000-0000-0000B4160000}"/>
    <cellStyle name="Normal 4 7 2 6 2 2" xfId="15285" xr:uid="{67BF6051-87F1-4413-B618-45B2447FE865}"/>
    <cellStyle name="Normal 4 7 2 6 3" xfId="11067" xr:uid="{0B96F1A6-1315-4C73-845A-4363ACE85307}"/>
    <cellStyle name="Normal 4 7 2 7" xfId="4778" xr:uid="{00000000-0005-0000-0000-0000B5160000}"/>
    <cellStyle name="Normal 4 7 2 7 2" xfId="13220" xr:uid="{0012F155-C37C-4BBC-B781-08F17159D2AC}"/>
    <cellStyle name="Normal 4 7 2 8" xfId="9002" xr:uid="{68F4C0E7-AB0B-4963-B713-06A6EE1007B3}"/>
    <cellStyle name="Normal 4 7 3" xfId="877" xr:uid="{00000000-0005-0000-0000-0000B6160000}"/>
    <cellStyle name="Normal 4 7 3 2" xfId="3112" xr:uid="{00000000-0005-0000-0000-0000B7160000}"/>
    <cellStyle name="Normal 4 7 3 2 2" xfId="7335" xr:uid="{00000000-0005-0000-0000-0000B8160000}"/>
    <cellStyle name="Normal 4 7 3 2 2 2" xfId="15777" xr:uid="{17752626-428F-4286-9E67-942E331D272C}"/>
    <cellStyle name="Normal 4 7 3 2 3" xfId="11559" xr:uid="{A36EE5F7-3FC9-4DAC-A631-49388D5D7A54}"/>
    <cellStyle name="Normal 4 7 3 3" xfId="5190" xr:uid="{00000000-0005-0000-0000-0000B9160000}"/>
    <cellStyle name="Normal 4 7 3 3 2" xfId="13632" xr:uid="{3703476B-8005-4CA5-A033-A1138E51924D}"/>
    <cellStyle name="Normal 4 7 3 4" xfId="9414" xr:uid="{4251D4A6-C4B5-49E1-AAC6-0315C615428B}"/>
    <cellStyle name="Normal 4 7 4" xfId="1295" xr:uid="{00000000-0005-0000-0000-0000BA160000}"/>
    <cellStyle name="Normal 4 7 4 2" xfId="3525" xr:uid="{00000000-0005-0000-0000-0000BB160000}"/>
    <cellStyle name="Normal 4 7 4 2 2" xfId="7748" xr:uid="{00000000-0005-0000-0000-0000BC160000}"/>
    <cellStyle name="Normal 4 7 4 2 2 2" xfId="16190" xr:uid="{281CC3B5-593D-474B-B112-295FA42DE257}"/>
    <cellStyle name="Normal 4 7 4 2 3" xfId="11972" xr:uid="{7921D156-D402-43F3-B72D-020902DE495E}"/>
    <cellStyle name="Normal 4 7 4 3" xfId="5603" xr:uid="{00000000-0005-0000-0000-0000BD160000}"/>
    <cellStyle name="Normal 4 7 4 3 2" xfId="14045" xr:uid="{3C5B31F0-C249-4903-ABE9-C7487340587D}"/>
    <cellStyle name="Normal 4 7 4 4" xfId="9827" xr:uid="{FD08B9A4-5D18-4A71-88F5-4DD93F5DBDDC}"/>
    <cellStyle name="Normal 4 7 5" xfId="1708" xr:uid="{00000000-0005-0000-0000-0000BE160000}"/>
    <cellStyle name="Normal 4 7 5 2" xfId="3938" xr:uid="{00000000-0005-0000-0000-0000BF160000}"/>
    <cellStyle name="Normal 4 7 5 2 2" xfId="8161" xr:uid="{00000000-0005-0000-0000-0000C0160000}"/>
    <cellStyle name="Normal 4 7 5 2 2 2" xfId="16603" xr:uid="{2ECDD6C8-33AA-4444-894C-02B84D26BA93}"/>
    <cellStyle name="Normal 4 7 5 2 3" xfId="12385" xr:uid="{584A3C9D-C321-483D-BDD5-64B399570A8C}"/>
    <cellStyle name="Normal 4 7 5 3" xfId="6016" xr:uid="{00000000-0005-0000-0000-0000C1160000}"/>
    <cellStyle name="Normal 4 7 5 3 2" xfId="14458" xr:uid="{6777D962-8DF0-4AF0-846F-123E01FB2FDF}"/>
    <cellStyle name="Normal 4 7 5 4" xfId="10240" xr:uid="{8B4E72C8-03B3-4B2E-BC7C-A1C4A86FAC66}"/>
    <cellStyle name="Normal 4 7 6" xfId="2122" xr:uid="{00000000-0005-0000-0000-0000C2160000}"/>
    <cellStyle name="Normal 4 7 6 2" xfId="4351" xr:uid="{00000000-0005-0000-0000-0000C3160000}"/>
    <cellStyle name="Normal 4 7 6 2 2" xfId="8574" xr:uid="{00000000-0005-0000-0000-0000C4160000}"/>
    <cellStyle name="Normal 4 7 6 2 2 2" xfId="17016" xr:uid="{D6BB1928-52D3-4DB4-B1B5-02990B84A01C}"/>
    <cellStyle name="Normal 4 7 6 2 3" xfId="12798" xr:uid="{530BDD71-86BD-41BD-A891-77A1B9951559}"/>
    <cellStyle name="Normal 4 7 6 3" xfId="6429" xr:uid="{00000000-0005-0000-0000-0000C5160000}"/>
    <cellStyle name="Normal 4 7 6 3 2" xfId="14871" xr:uid="{611BF092-1464-404D-AF36-DB0CC90F87C4}"/>
    <cellStyle name="Normal 4 7 6 4" xfId="10653" xr:uid="{AD62DF2A-4E0B-40DE-AF84-7071E0854562}"/>
    <cellStyle name="Normal 4 7 7" xfId="2558" xr:uid="{00000000-0005-0000-0000-0000C6160000}"/>
    <cellStyle name="Normal 4 7 7 2" xfId="6842" xr:uid="{00000000-0005-0000-0000-0000C7160000}"/>
    <cellStyle name="Normal 4 7 7 2 2" xfId="15284" xr:uid="{D5D92361-DD0F-4CA2-B1DE-C2C1AD815B10}"/>
    <cellStyle name="Normal 4 7 7 3" xfId="11066" xr:uid="{B0EDD260-2766-4882-A964-3E17F6D56565}"/>
    <cellStyle name="Normal 4 7 8" xfId="4777" xr:uid="{00000000-0005-0000-0000-0000C8160000}"/>
    <cellStyle name="Normal 4 7 8 2" xfId="13219" xr:uid="{878227E9-EE82-4006-A578-E6FBAE7F5B4F}"/>
    <cellStyle name="Normal 4 7 9" xfId="9001" xr:uid="{D216BCA8-EF1E-443D-A000-7E0A8C9D72B1}"/>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2 2 2" xfId="15779" xr:uid="{7E0BFAA3-25E4-41E6-85CB-96D25D5EBED6}"/>
    <cellStyle name="Normal 4 8 2 2 3" xfId="11561" xr:uid="{E3FC9FE9-8828-451C-A77E-338AB1A57BF4}"/>
    <cellStyle name="Normal 4 8 2 3" xfId="5192" xr:uid="{00000000-0005-0000-0000-0000CD160000}"/>
    <cellStyle name="Normal 4 8 2 3 2" xfId="13634" xr:uid="{7B49995E-D6BD-4C2C-9E4D-9545F1B08222}"/>
    <cellStyle name="Normal 4 8 2 4" xfId="9416" xr:uid="{55E62991-C9B1-4554-8A4D-32D13D27789F}"/>
    <cellStyle name="Normal 4 8 3" xfId="1297" xr:uid="{00000000-0005-0000-0000-0000CE160000}"/>
    <cellStyle name="Normal 4 8 3 2" xfId="3527" xr:uid="{00000000-0005-0000-0000-0000CF160000}"/>
    <cellStyle name="Normal 4 8 3 2 2" xfId="7750" xr:uid="{00000000-0005-0000-0000-0000D0160000}"/>
    <cellStyle name="Normal 4 8 3 2 2 2" xfId="16192" xr:uid="{B91AF03A-E988-48AC-BE92-3E2F83BA7921}"/>
    <cellStyle name="Normal 4 8 3 2 3" xfId="11974" xr:uid="{087E14E2-483E-4913-96BA-B03BB54E756D}"/>
    <cellStyle name="Normal 4 8 3 3" xfId="5605" xr:uid="{00000000-0005-0000-0000-0000D1160000}"/>
    <cellStyle name="Normal 4 8 3 3 2" xfId="14047" xr:uid="{A3C4C9C2-74D1-4C95-B082-F1E60B7CC2C2}"/>
    <cellStyle name="Normal 4 8 3 4" xfId="9829" xr:uid="{29642D18-1BF2-40A7-9765-A6E4F5F9DF9F}"/>
    <cellStyle name="Normal 4 8 4" xfId="1710" xr:uid="{00000000-0005-0000-0000-0000D2160000}"/>
    <cellStyle name="Normal 4 8 4 2" xfId="3940" xr:uid="{00000000-0005-0000-0000-0000D3160000}"/>
    <cellStyle name="Normal 4 8 4 2 2" xfId="8163" xr:uid="{00000000-0005-0000-0000-0000D4160000}"/>
    <cellStyle name="Normal 4 8 4 2 2 2" xfId="16605" xr:uid="{8F317326-EEAE-464E-B51B-EE7037292892}"/>
    <cellStyle name="Normal 4 8 4 2 3" xfId="12387" xr:uid="{F79F1835-3AB2-4B2E-961D-1390CCE5AAB0}"/>
    <cellStyle name="Normal 4 8 4 3" xfId="6018" xr:uid="{00000000-0005-0000-0000-0000D5160000}"/>
    <cellStyle name="Normal 4 8 4 3 2" xfId="14460" xr:uid="{25FB7162-E958-433C-9D70-A7A237A94659}"/>
    <cellStyle name="Normal 4 8 4 4" xfId="10242" xr:uid="{76591F24-13CE-4478-A8BA-A52B2AF522BF}"/>
    <cellStyle name="Normal 4 8 5" xfId="2124" xr:uid="{00000000-0005-0000-0000-0000D6160000}"/>
    <cellStyle name="Normal 4 8 5 2" xfId="4353" xr:uid="{00000000-0005-0000-0000-0000D7160000}"/>
    <cellStyle name="Normal 4 8 5 2 2" xfId="8576" xr:uid="{00000000-0005-0000-0000-0000D8160000}"/>
    <cellStyle name="Normal 4 8 5 2 2 2" xfId="17018" xr:uid="{7590F8A4-CA77-44FF-9815-6964D7D9ED30}"/>
    <cellStyle name="Normal 4 8 5 2 3" xfId="12800" xr:uid="{520583E8-8FE2-4430-83E6-80D6A951FA5D}"/>
    <cellStyle name="Normal 4 8 5 3" xfId="6431" xr:uid="{00000000-0005-0000-0000-0000D9160000}"/>
    <cellStyle name="Normal 4 8 5 3 2" xfId="14873" xr:uid="{8AC1844D-CD99-4341-8574-E34A166268D6}"/>
    <cellStyle name="Normal 4 8 5 4" xfId="10655" xr:uid="{17AE2CC8-1675-4110-860A-2EE8DC94BAB5}"/>
    <cellStyle name="Normal 4 8 6" xfId="2560" xr:uid="{00000000-0005-0000-0000-0000DA160000}"/>
    <cellStyle name="Normal 4 8 6 2" xfId="6844" xr:uid="{00000000-0005-0000-0000-0000DB160000}"/>
    <cellStyle name="Normal 4 8 6 2 2" xfId="15286" xr:uid="{55C1DE5A-8367-4A8B-A399-1A9733685B61}"/>
    <cellStyle name="Normal 4 8 6 3" xfId="11068" xr:uid="{D0843975-736F-4782-AC40-F750B4EA2F12}"/>
    <cellStyle name="Normal 4 8 7" xfId="4779" xr:uid="{00000000-0005-0000-0000-0000DC160000}"/>
    <cellStyle name="Normal 4 8 7 2" xfId="13221" xr:uid="{64518561-E152-47C6-9199-390D172B7C39}"/>
    <cellStyle name="Normal 4 8 8" xfId="9003" xr:uid="{4F604A3A-1B31-4573-BEFB-AB834471F578}"/>
    <cellStyle name="Normal 4 9" xfId="4716" xr:uid="{00000000-0005-0000-0000-0000DD160000}"/>
    <cellStyle name="Normal 4 9 2" xfId="13158" xr:uid="{AC86BC4B-97AB-4BEC-ADFF-9DA97C9316AF}"/>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16606" xr:uid="{58075D0D-E856-4A4D-AE30-868352755C8E}"/>
    <cellStyle name="Normal 5 10 2 3" xfId="12388" xr:uid="{67DA889C-2B65-49FF-94B6-479FE5C7050D}"/>
    <cellStyle name="Normal 5 10 3" xfId="6019" xr:uid="{00000000-0005-0000-0000-0000E2160000}"/>
    <cellStyle name="Normal 5 10 3 2" xfId="14461" xr:uid="{5A454F9A-F648-4BD2-ADF2-9A2FE8A84483}"/>
    <cellStyle name="Normal 5 10 4" xfId="10243" xr:uid="{082B4EB8-A845-489A-BF18-722673503D78}"/>
    <cellStyle name="Normal 5 11" xfId="2125" xr:uid="{00000000-0005-0000-0000-0000E3160000}"/>
    <cellStyle name="Normal 5 11 2" xfId="4354" xr:uid="{00000000-0005-0000-0000-0000E4160000}"/>
    <cellStyle name="Normal 5 11 2 2" xfId="8577" xr:uid="{00000000-0005-0000-0000-0000E5160000}"/>
    <cellStyle name="Normal 5 11 2 2 2" xfId="17019" xr:uid="{CC139689-55BD-43FA-BBE5-A991AA0F2A03}"/>
    <cellStyle name="Normal 5 11 2 3" xfId="12801" xr:uid="{FAAD7712-7D24-422D-B773-DFF8A6B85C8A}"/>
    <cellStyle name="Normal 5 11 3" xfId="6432" xr:uid="{00000000-0005-0000-0000-0000E6160000}"/>
    <cellStyle name="Normal 5 11 3 2" xfId="14874" xr:uid="{ADAA3714-68AD-47EC-A8CE-C7A2CE68525B}"/>
    <cellStyle name="Normal 5 11 4" xfId="10656" xr:uid="{54A49551-77CF-4CD1-A351-C4943A2579AD}"/>
    <cellStyle name="Normal 5 12" xfId="2561" xr:uid="{00000000-0005-0000-0000-0000E7160000}"/>
    <cellStyle name="Normal 5 12 2" xfId="6845" xr:uid="{00000000-0005-0000-0000-0000E8160000}"/>
    <cellStyle name="Normal 5 12 2 2" xfId="15287" xr:uid="{5B5579D1-C786-48B8-A529-A7C039E3E95E}"/>
    <cellStyle name="Normal 5 12 3" xfId="11069" xr:uid="{A5FA5FFE-9718-4061-A733-58833DFF3056}"/>
    <cellStyle name="Normal 5 13" xfId="4780" xr:uid="{00000000-0005-0000-0000-0000E9160000}"/>
    <cellStyle name="Normal 5 13 2" xfId="13222" xr:uid="{BBB9BA34-F81C-4C77-9CA5-A52F88ECD309}"/>
    <cellStyle name="Normal 5 14" xfId="9004" xr:uid="{E9EB7BB6-D92A-4277-9DB9-CCD39D31F22E}"/>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17020" xr:uid="{EA60C72F-68A2-4B40-B062-D40EEC41EAFE}"/>
    <cellStyle name="Normal 5 2 10 2 3" xfId="12802" xr:uid="{8837F937-93A5-4D26-A90C-206A95B50E0E}"/>
    <cellStyle name="Normal 5 2 10 3" xfId="6433" xr:uid="{00000000-0005-0000-0000-0000EE160000}"/>
    <cellStyle name="Normal 5 2 10 3 2" xfId="14875" xr:uid="{C5CBFE7C-6353-4297-8979-BA6A32CE3F09}"/>
    <cellStyle name="Normal 5 2 10 4" xfId="10657" xr:uid="{A0BEBDA6-CD49-44F3-9A22-D1974246CAB2}"/>
    <cellStyle name="Normal 5 2 11" xfId="2562" xr:uid="{00000000-0005-0000-0000-0000EF160000}"/>
    <cellStyle name="Normal 5 2 11 2" xfId="6846" xr:uid="{00000000-0005-0000-0000-0000F0160000}"/>
    <cellStyle name="Normal 5 2 11 2 2" xfId="15288" xr:uid="{54B8BB08-7B9F-4C7C-A2A0-2A86840EAF48}"/>
    <cellStyle name="Normal 5 2 11 3" xfId="11070" xr:uid="{B4D95A66-7BC6-4CC0-A2D2-3387722098EC}"/>
    <cellStyle name="Normal 5 2 12" xfId="4781" xr:uid="{00000000-0005-0000-0000-0000F1160000}"/>
    <cellStyle name="Normal 5 2 12 2" xfId="13223" xr:uid="{E14D8B88-C846-42C8-AE1D-680884CF1EC3}"/>
    <cellStyle name="Normal 5 2 13" xfId="9005" xr:uid="{95AE248E-4214-4E30-9D82-2B72BB540ED5}"/>
    <cellStyle name="Normal 5 2 2" xfId="408" xr:uid="{00000000-0005-0000-0000-0000F2160000}"/>
    <cellStyle name="Normal 5 2 2 10" xfId="2563" xr:uid="{00000000-0005-0000-0000-0000F3160000}"/>
    <cellStyle name="Normal 5 2 2 10 2" xfId="6847" xr:uid="{00000000-0005-0000-0000-0000F4160000}"/>
    <cellStyle name="Normal 5 2 2 10 2 2" xfId="15289" xr:uid="{437772E8-102B-4051-AB57-A8993E487A52}"/>
    <cellStyle name="Normal 5 2 2 10 3" xfId="11071" xr:uid="{AE3AAECF-46B7-4354-8214-B12FCC83D694}"/>
    <cellStyle name="Normal 5 2 2 11" xfId="4782" xr:uid="{00000000-0005-0000-0000-0000F5160000}"/>
    <cellStyle name="Normal 5 2 2 11 2" xfId="13224" xr:uid="{583E8A50-24FB-4D13-BD64-ED5F72382A2D}"/>
    <cellStyle name="Normal 5 2 2 12" xfId="9006" xr:uid="{F13987B9-783F-4171-BBF5-D06FA4D0F929}"/>
    <cellStyle name="Normal 5 2 2 2" xfId="409" xr:uid="{00000000-0005-0000-0000-0000F6160000}"/>
    <cellStyle name="Normal 5 2 2 2 10" xfId="4783" xr:uid="{00000000-0005-0000-0000-0000F7160000}"/>
    <cellStyle name="Normal 5 2 2 2 10 2" xfId="13225" xr:uid="{DE2B0486-B1E5-444A-83AF-124AC52C46FD}"/>
    <cellStyle name="Normal 5 2 2 2 11" xfId="9007" xr:uid="{E76F3C71-E5CD-4FC2-BE12-CBE67B648AA8}"/>
    <cellStyle name="Normal 5 2 2 2 2" xfId="410" xr:uid="{00000000-0005-0000-0000-0000F8160000}"/>
    <cellStyle name="Normal 5 2 2 2 2 10" xfId="9008" xr:uid="{C161C335-D0A8-4772-B310-101740597F39}"/>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15786" xr:uid="{AE6C1C50-673D-4F49-8CCA-DF56D9134FEC}"/>
    <cellStyle name="Normal 5 2 2 2 2 2 2 2 2 3" xfId="11568" xr:uid="{7E857A17-56F5-4E77-B9A1-721A992BD988}"/>
    <cellStyle name="Normal 5 2 2 2 2 2 2 2 3" xfId="5199" xr:uid="{00000000-0005-0000-0000-0000FE160000}"/>
    <cellStyle name="Normal 5 2 2 2 2 2 2 2 3 2" xfId="13641" xr:uid="{1ADCBAAD-DF03-4383-B889-701C19DA9F03}"/>
    <cellStyle name="Normal 5 2 2 2 2 2 2 2 4" xfId="9423" xr:uid="{707854E4-CA1B-4917-AD6A-2AA7F902AF4A}"/>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16199" xr:uid="{9B77E2F2-5673-4ACB-B6D6-2B07F491E31F}"/>
    <cellStyle name="Normal 5 2 2 2 2 2 2 3 2 3" xfId="11981" xr:uid="{411B526D-F13B-4F5C-9591-8A72050F38F6}"/>
    <cellStyle name="Normal 5 2 2 2 2 2 2 3 3" xfId="5612" xr:uid="{00000000-0005-0000-0000-000002170000}"/>
    <cellStyle name="Normal 5 2 2 2 2 2 2 3 3 2" xfId="14054" xr:uid="{4FF1C95A-A9DC-4B3D-8E45-5C49D9E5D4CA}"/>
    <cellStyle name="Normal 5 2 2 2 2 2 2 3 4" xfId="9836" xr:uid="{C1D2388B-22AB-43FD-8C0E-3F4E867C2E8F}"/>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16612" xr:uid="{AC999EBC-4571-49DE-81AB-1F6132BB7AF8}"/>
    <cellStyle name="Normal 5 2 2 2 2 2 2 4 2 3" xfId="12394" xr:uid="{C063FCFE-7AE7-4614-A600-4D6B6B217645}"/>
    <cellStyle name="Normal 5 2 2 2 2 2 2 4 3" xfId="6025" xr:uid="{00000000-0005-0000-0000-000006170000}"/>
    <cellStyle name="Normal 5 2 2 2 2 2 2 4 3 2" xfId="14467" xr:uid="{33C47485-D1FD-48E9-AF09-034AC1120D60}"/>
    <cellStyle name="Normal 5 2 2 2 2 2 2 4 4" xfId="10249" xr:uid="{B14653A9-B66D-4C71-8E2C-5F48F51933CB}"/>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17025" xr:uid="{79AE8D86-897B-44FA-B423-4772EC42AA60}"/>
    <cellStyle name="Normal 5 2 2 2 2 2 2 5 2 3" xfId="12807" xr:uid="{DABA097F-BE3F-48F4-8763-0A5BB17E7E9D}"/>
    <cellStyle name="Normal 5 2 2 2 2 2 2 5 3" xfId="6438" xr:uid="{00000000-0005-0000-0000-00000A170000}"/>
    <cellStyle name="Normal 5 2 2 2 2 2 2 5 3 2" xfId="14880" xr:uid="{68BFFC8C-BD26-46DC-AEA4-88F866EE220D}"/>
    <cellStyle name="Normal 5 2 2 2 2 2 2 5 4" xfId="10662" xr:uid="{67780627-0754-4DFF-AA71-CCA408D635E6}"/>
    <cellStyle name="Normal 5 2 2 2 2 2 2 6" xfId="2567" xr:uid="{00000000-0005-0000-0000-00000B170000}"/>
    <cellStyle name="Normal 5 2 2 2 2 2 2 6 2" xfId="6851" xr:uid="{00000000-0005-0000-0000-00000C170000}"/>
    <cellStyle name="Normal 5 2 2 2 2 2 2 6 2 2" xfId="15293" xr:uid="{325436AA-D8EC-4EA5-8339-BD8FD70CAD06}"/>
    <cellStyle name="Normal 5 2 2 2 2 2 2 6 3" xfId="11075" xr:uid="{171E13A7-5244-425C-B4C2-5A540D4CB757}"/>
    <cellStyle name="Normal 5 2 2 2 2 2 2 7" xfId="4786" xr:uid="{00000000-0005-0000-0000-00000D170000}"/>
    <cellStyle name="Normal 5 2 2 2 2 2 2 7 2" xfId="13228" xr:uid="{069204A2-EA4C-4DC7-8D51-8440E0ACE6A8}"/>
    <cellStyle name="Normal 5 2 2 2 2 2 2 8" xfId="9010" xr:uid="{D9135A8E-9588-4430-8341-B468CCDFB4C4}"/>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15785" xr:uid="{0A009B18-4345-4793-93B6-BCBFCB4231A9}"/>
    <cellStyle name="Normal 5 2 2 2 2 2 3 2 3" xfId="11567" xr:uid="{9C1DCAA8-0B53-40C0-932C-6E116D65A38A}"/>
    <cellStyle name="Normal 5 2 2 2 2 2 3 3" xfId="5198" xr:uid="{00000000-0005-0000-0000-000011170000}"/>
    <cellStyle name="Normal 5 2 2 2 2 2 3 3 2" xfId="13640" xr:uid="{4336F145-BD2E-4994-8BAC-1A119183C1B5}"/>
    <cellStyle name="Normal 5 2 2 2 2 2 3 4" xfId="9422" xr:uid="{599D1834-831C-4897-B88D-A1E55F63B478}"/>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16198" xr:uid="{FF34DE2C-B3F9-41C7-9C08-317DE35A5631}"/>
    <cellStyle name="Normal 5 2 2 2 2 2 4 2 3" xfId="11980" xr:uid="{5A836857-A4C3-4417-9F85-EC58484FFF15}"/>
    <cellStyle name="Normal 5 2 2 2 2 2 4 3" xfId="5611" xr:uid="{00000000-0005-0000-0000-000015170000}"/>
    <cellStyle name="Normal 5 2 2 2 2 2 4 3 2" xfId="14053" xr:uid="{F1DB2B75-FC2A-4CA8-82AE-89AFEE9048C9}"/>
    <cellStyle name="Normal 5 2 2 2 2 2 4 4" xfId="9835" xr:uid="{FCEB6E67-122C-467F-82EC-00A455DDFEBE}"/>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16611" xr:uid="{7464C56E-6BC9-4579-B778-7991FAC37007}"/>
    <cellStyle name="Normal 5 2 2 2 2 2 5 2 3" xfId="12393" xr:uid="{DA91FD34-CE4E-4912-AC69-4550D8D2CD7E}"/>
    <cellStyle name="Normal 5 2 2 2 2 2 5 3" xfId="6024" xr:uid="{00000000-0005-0000-0000-000019170000}"/>
    <cellStyle name="Normal 5 2 2 2 2 2 5 3 2" xfId="14466" xr:uid="{272EC17D-CF79-4C6D-A849-8187DA32E50C}"/>
    <cellStyle name="Normal 5 2 2 2 2 2 5 4" xfId="10248" xr:uid="{827E5E8E-7111-44EC-AC17-93CF91AE20BE}"/>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17024" xr:uid="{659C1E93-8991-4FD4-A004-DF894F201782}"/>
    <cellStyle name="Normal 5 2 2 2 2 2 6 2 3" xfId="12806" xr:uid="{41FC1109-9C54-4557-AA06-AC7C05D047C5}"/>
    <cellStyle name="Normal 5 2 2 2 2 2 6 3" xfId="6437" xr:uid="{00000000-0005-0000-0000-00001D170000}"/>
    <cellStyle name="Normal 5 2 2 2 2 2 6 3 2" xfId="14879" xr:uid="{C8F8D08D-47ED-4183-8105-FAAB4F8BC302}"/>
    <cellStyle name="Normal 5 2 2 2 2 2 6 4" xfId="10661" xr:uid="{FF02F8A7-C7E7-4DC1-8B42-6777DC0DBE9C}"/>
    <cellStyle name="Normal 5 2 2 2 2 2 7" xfId="2566" xr:uid="{00000000-0005-0000-0000-00001E170000}"/>
    <cellStyle name="Normal 5 2 2 2 2 2 7 2" xfId="6850" xr:uid="{00000000-0005-0000-0000-00001F170000}"/>
    <cellStyle name="Normal 5 2 2 2 2 2 7 2 2" xfId="15292" xr:uid="{810C0401-D244-4CB5-91F5-7107E60AFB86}"/>
    <cellStyle name="Normal 5 2 2 2 2 2 7 3" xfId="11074" xr:uid="{CBDCC506-B37D-4726-B2D5-C04E373611AD}"/>
    <cellStyle name="Normal 5 2 2 2 2 2 8" xfId="4785" xr:uid="{00000000-0005-0000-0000-000020170000}"/>
    <cellStyle name="Normal 5 2 2 2 2 2 8 2" xfId="13227" xr:uid="{95E358B3-0BBF-4BA0-B321-3C4C3527BD82}"/>
    <cellStyle name="Normal 5 2 2 2 2 2 9" xfId="9009" xr:uid="{0E419D4E-781A-45EB-BCD2-380F7145D299}"/>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15787" xr:uid="{F1E46D32-8C1D-41AB-AECC-4FF0C772FDB5}"/>
    <cellStyle name="Normal 5 2 2 2 2 3 2 2 3" xfId="11569" xr:uid="{1217ED58-859E-4A29-976B-5D92E0131E93}"/>
    <cellStyle name="Normal 5 2 2 2 2 3 2 3" xfId="5200" xr:uid="{00000000-0005-0000-0000-000025170000}"/>
    <cellStyle name="Normal 5 2 2 2 2 3 2 3 2" xfId="13642" xr:uid="{413C0027-8C78-4512-8EF3-ABEECBF7A9C1}"/>
    <cellStyle name="Normal 5 2 2 2 2 3 2 4" xfId="9424" xr:uid="{9DA93EE1-A3D3-49D9-B1AE-B5877C7FD0C3}"/>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16200" xr:uid="{B13C7C63-290D-4B84-8F57-27670A3E2EAD}"/>
    <cellStyle name="Normal 5 2 2 2 2 3 3 2 3" xfId="11982" xr:uid="{8D8E4714-6F01-4EBD-ABA5-1B70FBC63DED}"/>
    <cellStyle name="Normal 5 2 2 2 2 3 3 3" xfId="5613" xr:uid="{00000000-0005-0000-0000-000029170000}"/>
    <cellStyle name="Normal 5 2 2 2 2 3 3 3 2" xfId="14055" xr:uid="{4B737328-5E02-4D16-9B0F-C98AB8F66E1F}"/>
    <cellStyle name="Normal 5 2 2 2 2 3 3 4" xfId="9837" xr:uid="{62423526-E13D-4E0E-87A4-9B9020454FF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16613" xr:uid="{1AE9F968-B3E6-43C2-B837-8AD52781D961}"/>
    <cellStyle name="Normal 5 2 2 2 2 3 4 2 3" xfId="12395" xr:uid="{2DF278ED-C76D-428D-AEAF-8D27EA7B6370}"/>
    <cellStyle name="Normal 5 2 2 2 2 3 4 3" xfId="6026" xr:uid="{00000000-0005-0000-0000-00002D170000}"/>
    <cellStyle name="Normal 5 2 2 2 2 3 4 3 2" xfId="14468" xr:uid="{8551CA5D-328A-403E-B9C8-2EEC55A74178}"/>
    <cellStyle name="Normal 5 2 2 2 2 3 4 4" xfId="10250" xr:uid="{FBFE3AC0-6AD2-4325-8918-BA57D761B9DE}"/>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17026" xr:uid="{6716918A-0534-448C-98FC-8532372D3158}"/>
    <cellStyle name="Normal 5 2 2 2 2 3 5 2 3" xfId="12808" xr:uid="{F6EC9DFE-BCEF-4E1F-8AEA-22CB1922BDB7}"/>
    <cellStyle name="Normal 5 2 2 2 2 3 5 3" xfId="6439" xr:uid="{00000000-0005-0000-0000-000031170000}"/>
    <cellStyle name="Normal 5 2 2 2 2 3 5 3 2" xfId="14881" xr:uid="{6EECCA2F-4920-4162-B6C7-34228A3032D5}"/>
    <cellStyle name="Normal 5 2 2 2 2 3 5 4" xfId="10663" xr:uid="{61EA65A2-BB1B-4435-9C4B-3A6FFFC3EEAF}"/>
    <cellStyle name="Normal 5 2 2 2 2 3 6" xfId="2568" xr:uid="{00000000-0005-0000-0000-000032170000}"/>
    <cellStyle name="Normal 5 2 2 2 2 3 6 2" xfId="6852" xr:uid="{00000000-0005-0000-0000-000033170000}"/>
    <cellStyle name="Normal 5 2 2 2 2 3 6 2 2" xfId="15294" xr:uid="{D2A1CF1B-5B35-4DC4-85D7-3AF4F61B6BDE}"/>
    <cellStyle name="Normal 5 2 2 2 2 3 6 3" xfId="11076" xr:uid="{C9669634-D765-48B9-A92D-5E608D85C8E2}"/>
    <cellStyle name="Normal 5 2 2 2 2 3 7" xfId="4787" xr:uid="{00000000-0005-0000-0000-000034170000}"/>
    <cellStyle name="Normal 5 2 2 2 2 3 7 2" xfId="13229" xr:uid="{13974C83-430F-4369-A8F9-DD6C7FC57E1C}"/>
    <cellStyle name="Normal 5 2 2 2 2 3 8" xfId="9011" xr:uid="{F8E1A3C8-40F1-4027-99CF-1866B4AC3C83}"/>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15784" xr:uid="{910B52B0-9F26-4DD1-AD1F-095D68A1024E}"/>
    <cellStyle name="Normal 5 2 2 2 2 4 2 3" xfId="11566" xr:uid="{32ACA650-7A3C-4F24-8C47-2389D90C1572}"/>
    <cellStyle name="Normal 5 2 2 2 2 4 3" xfId="5197" xr:uid="{00000000-0005-0000-0000-000038170000}"/>
    <cellStyle name="Normal 5 2 2 2 2 4 3 2" xfId="13639" xr:uid="{1B38AEE7-F20F-48F4-89EF-24F6F317F2D5}"/>
    <cellStyle name="Normal 5 2 2 2 2 4 4" xfId="9421" xr:uid="{68A325E9-7038-4353-98AF-CF7DF24CCDAA}"/>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16197" xr:uid="{5A8D276B-F59D-46B9-877E-DF77BC92374F}"/>
    <cellStyle name="Normal 5 2 2 2 2 5 2 3" xfId="11979" xr:uid="{6FC52957-D76E-4DF4-ADCC-BDA115BC1E67}"/>
    <cellStyle name="Normal 5 2 2 2 2 5 3" xfId="5610" xr:uid="{00000000-0005-0000-0000-00003C170000}"/>
    <cellStyle name="Normal 5 2 2 2 2 5 3 2" xfId="14052" xr:uid="{9FA9673B-AB44-470D-B943-6901ADDAB945}"/>
    <cellStyle name="Normal 5 2 2 2 2 5 4" xfId="9834" xr:uid="{BD8D0B54-17CA-4A48-9AE8-58C4F61DAAFF}"/>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16610" xr:uid="{1E91D6C4-E440-499C-8338-27663A3DA3AC}"/>
    <cellStyle name="Normal 5 2 2 2 2 6 2 3" xfId="12392" xr:uid="{5BD21C78-006A-4CC6-9634-51F8CF0EE899}"/>
    <cellStyle name="Normal 5 2 2 2 2 6 3" xfId="6023" xr:uid="{00000000-0005-0000-0000-000040170000}"/>
    <cellStyle name="Normal 5 2 2 2 2 6 3 2" xfId="14465" xr:uid="{53488607-C81A-4B2C-9BCC-D8F3C755266B}"/>
    <cellStyle name="Normal 5 2 2 2 2 6 4" xfId="10247" xr:uid="{54897B00-92E5-40DC-B889-F1C4BD07BF8C}"/>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17023" xr:uid="{08BC0CA6-DD39-49D6-B743-65BE3F1A95E7}"/>
    <cellStyle name="Normal 5 2 2 2 2 7 2 3" xfId="12805" xr:uid="{65506512-31B7-4B21-ADD8-90D62F680A6B}"/>
    <cellStyle name="Normal 5 2 2 2 2 7 3" xfId="6436" xr:uid="{00000000-0005-0000-0000-000044170000}"/>
    <cellStyle name="Normal 5 2 2 2 2 7 3 2" xfId="14878" xr:uid="{B41248AB-34AB-4F33-8C28-5E3431FA1010}"/>
    <cellStyle name="Normal 5 2 2 2 2 7 4" xfId="10660" xr:uid="{B5A13ACF-D6EF-48A6-8E09-90CDAA34DDAB}"/>
    <cellStyle name="Normal 5 2 2 2 2 8" xfId="2565" xr:uid="{00000000-0005-0000-0000-000045170000}"/>
    <cellStyle name="Normal 5 2 2 2 2 8 2" xfId="6849" xr:uid="{00000000-0005-0000-0000-000046170000}"/>
    <cellStyle name="Normal 5 2 2 2 2 8 2 2" xfId="15291" xr:uid="{07959CEA-58B1-422E-9B15-7E84EE2A8A2D}"/>
    <cellStyle name="Normal 5 2 2 2 2 8 3" xfId="11073" xr:uid="{A5E709C4-1A50-405E-8D9E-46A6131FEE4A}"/>
    <cellStyle name="Normal 5 2 2 2 2 9" xfId="4784" xr:uid="{00000000-0005-0000-0000-000047170000}"/>
    <cellStyle name="Normal 5 2 2 2 2 9 2" xfId="13226" xr:uid="{6951F928-E265-4555-A919-DEE7163869ED}"/>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15789" xr:uid="{E5705D49-0539-4531-9BE9-C96FDE5B8B50}"/>
    <cellStyle name="Normal 5 2 2 2 3 2 2 2 3" xfId="11571" xr:uid="{C09B316B-B832-4CAD-8F98-36E7EC8434BE}"/>
    <cellStyle name="Normal 5 2 2 2 3 2 2 3" xfId="5202" xr:uid="{00000000-0005-0000-0000-00004D170000}"/>
    <cellStyle name="Normal 5 2 2 2 3 2 2 3 2" xfId="13644" xr:uid="{6F214A83-561F-4149-8D14-2D999F864AA8}"/>
    <cellStyle name="Normal 5 2 2 2 3 2 2 4" xfId="9426" xr:uid="{30CD930F-5608-40E6-B2A4-1FBA17C24F29}"/>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16202" xr:uid="{7E4E5419-5584-4D6B-80BA-C616C889541C}"/>
    <cellStyle name="Normal 5 2 2 2 3 2 3 2 3" xfId="11984" xr:uid="{22C81837-8AC2-4AAE-90E3-2EB9E1EBC568}"/>
    <cellStyle name="Normal 5 2 2 2 3 2 3 3" xfId="5615" xr:uid="{00000000-0005-0000-0000-000051170000}"/>
    <cellStyle name="Normal 5 2 2 2 3 2 3 3 2" xfId="14057" xr:uid="{9FBEEF03-D016-45E0-83A8-A83E57E8792A}"/>
    <cellStyle name="Normal 5 2 2 2 3 2 3 4" xfId="9839" xr:uid="{CA0571B2-6ABC-4D64-B7CF-9B3B0FB56C52}"/>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16615" xr:uid="{4113FD71-50E5-4A6B-AC5C-A6C06445942E}"/>
    <cellStyle name="Normal 5 2 2 2 3 2 4 2 3" xfId="12397" xr:uid="{E76D3201-7C79-459D-9059-37CD805867C2}"/>
    <cellStyle name="Normal 5 2 2 2 3 2 4 3" xfId="6028" xr:uid="{00000000-0005-0000-0000-000055170000}"/>
    <cellStyle name="Normal 5 2 2 2 3 2 4 3 2" xfId="14470" xr:uid="{36949354-0345-42F6-9D7B-53BF1DB0AE09}"/>
    <cellStyle name="Normal 5 2 2 2 3 2 4 4" xfId="10252" xr:uid="{5938B393-169D-408D-9098-CA7F920C166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17028" xr:uid="{63D2C71C-CE2E-4772-AD08-FBB0BDED6533}"/>
    <cellStyle name="Normal 5 2 2 2 3 2 5 2 3" xfId="12810" xr:uid="{7E9E9404-F847-4432-9345-AC97BFC58E77}"/>
    <cellStyle name="Normal 5 2 2 2 3 2 5 3" xfId="6441" xr:uid="{00000000-0005-0000-0000-000059170000}"/>
    <cellStyle name="Normal 5 2 2 2 3 2 5 3 2" xfId="14883" xr:uid="{672E30DD-BE05-454D-B7E1-7D857225ABAB}"/>
    <cellStyle name="Normal 5 2 2 2 3 2 5 4" xfId="10665" xr:uid="{65DF1B1C-5426-4A06-9507-F80BA1A3FFC3}"/>
    <cellStyle name="Normal 5 2 2 2 3 2 6" xfId="2570" xr:uid="{00000000-0005-0000-0000-00005A170000}"/>
    <cellStyle name="Normal 5 2 2 2 3 2 6 2" xfId="6854" xr:uid="{00000000-0005-0000-0000-00005B170000}"/>
    <cellStyle name="Normal 5 2 2 2 3 2 6 2 2" xfId="15296" xr:uid="{56D23783-5E03-4307-9235-1E35D0DE5559}"/>
    <cellStyle name="Normal 5 2 2 2 3 2 6 3" xfId="11078" xr:uid="{BF1E6866-D478-4930-B3F2-FE0D118832A6}"/>
    <cellStyle name="Normal 5 2 2 2 3 2 7" xfId="4789" xr:uid="{00000000-0005-0000-0000-00005C170000}"/>
    <cellStyle name="Normal 5 2 2 2 3 2 7 2" xfId="13231" xr:uid="{D472046C-1501-4BAF-BE1D-B0F02774BCFA}"/>
    <cellStyle name="Normal 5 2 2 2 3 2 8" xfId="9013" xr:uid="{8CEF2560-E431-45CE-A594-C8D45FE69DC4}"/>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15788" xr:uid="{8AA861C5-9530-499A-973B-03C58365CD3B}"/>
    <cellStyle name="Normal 5 2 2 2 3 3 2 3" xfId="11570" xr:uid="{9E8AE628-E019-4E7D-AE9F-1A82E4149967}"/>
    <cellStyle name="Normal 5 2 2 2 3 3 3" xfId="5201" xr:uid="{00000000-0005-0000-0000-000060170000}"/>
    <cellStyle name="Normal 5 2 2 2 3 3 3 2" xfId="13643" xr:uid="{D664CD1D-A18E-45F2-BBF4-68528FFF0100}"/>
    <cellStyle name="Normal 5 2 2 2 3 3 4" xfId="9425" xr:uid="{55A7C174-6E3F-44F9-A6C9-06DC9D2E6AAE}"/>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16201" xr:uid="{FEC7DFD4-139B-46C2-BC5A-11A7141BCCC1}"/>
    <cellStyle name="Normal 5 2 2 2 3 4 2 3" xfId="11983" xr:uid="{2A32AA6F-0639-471A-8F09-957544349A10}"/>
    <cellStyle name="Normal 5 2 2 2 3 4 3" xfId="5614" xr:uid="{00000000-0005-0000-0000-000064170000}"/>
    <cellStyle name="Normal 5 2 2 2 3 4 3 2" xfId="14056" xr:uid="{F3C83386-50E3-4550-A65F-DCC34478CBB3}"/>
    <cellStyle name="Normal 5 2 2 2 3 4 4" xfId="9838" xr:uid="{8EC6D385-9FD8-43A0-8B65-2F4AD4FFAF59}"/>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16614" xr:uid="{2E3ACCE6-3E7E-4BAF-B4EE-7EA936863D34}"/>
    <cellStyle name="Normal 5 2 2 2 3 5 2 3" xfId="12396" xr:uid="{FDA4BEAD-B309-4ACE-9883-5C86B3E36754}"/>
    <cellStyle name="Normal 5 2 2 2 3 5 3" xfId="6027" xr:uid="{00000000-0005-0000-0000-000068170000}"/>
    <cellStyle name="Normal 5 2 2 2 3 5 3 2" xfId="14469" xr:uid="{750AEFB3-4C8C-4236-A7DD-713E77419B72}"/>
    <cellStyle name="Normal 5 2 2 2 3 5 4" xfId="10251" xr:uid="{262A5468-CB60-4161-B642-5D314FF70409}"/>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17027" xr:uid="{07EA7ACF-C6BC-413F-8BF6-B1F48302215F}"/>
    <cellStyle name="Normal 5 2 2 2 3 6 2 3" xfId="12809" xr:uid="{F9FF76B0-9D38-4A82-AD88-057B54FA09CF}"/>
    <cellStyle name="Normal 5 2 2 2 3 6 3" xfId="6440" xr:uid="{00000000-0005-0000-0000-00006C170000}"/>
    <cellStyle name="Normal 5 2 2 2 3 6 3 2" xfId="14882" xr:uid="{85BCC50D-50F3-427F-AE9D-251CB6D62ED5}"/>
    <cellStyle name="Normal 5 2 2 2 3 6 4" xfId="10664" xr:uid="{641E46BE-47F3-4C75-A25D-62D8606AA275}"/>
    <cellStyle name="Normal 5 2 2 2 3 7" xfId="2569" xr:uid="{00000000-0005-0000-0000-00006D170000}"/>
    <cellStyle name="Normal 5 2 2 2 3 7 2" xfId="6853" xr:uid="{00000000-0005-0000-0000-00006E170000}"/>
    <cellStyle name="Normal 5 2 2 2 3 7 2 2" xfId="15295" xr:uid="{A429B1E4-BC7A-497A-9981-C5AAAFBD16B3}"/>
    <cellStyle name="Normal 5 2 2 2 3 7 3" xfId="11077" xr:uid="{FB896A71-7783-45E1-8640-026555A7BEC6}"/>
    <cellStyle name="Normal 5 2 2 2 3 8" xfId="4788" xr:uid="{00000000-0005-0000-0000-00006F170000}"/>
    <cellStyle name="Normal 5 2 2 2 3 8 2" xfId="13230" xr:uid="{1C5B948F-A899-4B00-8EA1-7A20CBD7E14D}"/>
    <cellStyle name="Normal 5 2 2 2 3 9" xfId="9012" xr:uid="{E4FC1725-4F2D-40C4-8C7F-AC4B53235633}"/>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15790" xr:uid="{0C20EDA4-4E55-4480-8D20-6136AD4EDA0E}"/>
    <cellStyle name="Normal 5 2 2 2 4 2 2 3" xfId="11572" xr:uid="{FEB16D6E-6ABB-43D2-B68E-E30ED3117026}"/>
    <cellStyle name="Normal 5 2 2 2 4 2 3" xfId="5203" xr:uid="{00000000-0005-0000-0000-000074170000}"/>
    <cellStyle name="Normal 5 2 2 2 4 2 3 2" xfId="13645" xr:uid="{C7DFAA16-BA34-4B16-83BB-B7493731D2C5}"/>
    <cellStyle name="Normal 5 2 2 2 4 2 4" xfId="9427" xr:uid="{B1378F18-26E0-4ADC-AA30-4B1C22AB0502}"/>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16203" xr:uid="{D37E2BEA-904B-44B0-A38F-B4A02C67B560}"/>
    <cellStyle name="Normal 5 2 2 2 4 3 2 3" xfId="11985" xr:uid="{94E60282-F780-4BD8-92C6-EFB69C7078A6}"/>
    <cellStyle name="Normal 5 2 2 2 4 3 3" xfId="5616" xr:uid="{00000000-0005-0000-0000-000078170000}"/>
    <cellStyle name="Normal 5 2 2 2 4 3 3 2" xfId="14058" xr:uid="{0062FB94-A2F6-4A4A-9EBD-3C7679F664C4}"/>
    <cellStyle name="Normal 5 2 2 2 4 3 4" xfId="9840" xr:uid="{5C99A165-2D2E-467A-809D-783B77EB5E0B}"/>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16616" xr:uid="{E5A37914-AE91-4AC7-9EAD-82B43BF9D1F9}"/>
    <cellStyle name="Normal 5 2 2 2 4 4 2 3" xfId="12398" xr:uid="{02365CFE-F5CC-42BE-8339-83B617BDABF7}"/>
    <cellStyle name="Normal 5 2 2 2 4 4 3" xfId="6029" xr:uid="{00000000-0005-0000-0000-00007C170000}"/>
    <cellStyle name="Normal 5 2 2 2 4 4 3 2" xfId="14471" xr:uid="{0213BA7F-5E9A-49DD-88CD-524C3FCFB18C}"/>
    <cellStyle name="Normal 5 2 2 2 4 4 4" xfId="10253" xr:uid="{3216BC0F-986B-478F-905B-04699A3B2934}"/>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17029" xr:uid="{4A9B6B47-57DB-42A9-9A76-7F3A5FAA9E51}"/>
    <cellStyle name="Normal 5 2 2 2 4 5 2 3" xfId="12811" xr:uid="{B7D1B078-D7C1-453C-A359-4671B12A4C51}"/>
    <cellStyle name="Normal 5 2 2 2 4 5 3" xfId="6442" xr:uid="{00000000-0005-0000-0000-000080170000}"/>
    <cellStyle name="Normal 5 2 2 2 4 5 3 2" xfId="14884" xr:uid="{16A6E41C-BDDF-4CFC-A5E2-A87B8DB61C89}"/>
    <cellStyle name="Normal 5 2 2 2 4 5 4" xfId="10666" xr:uid="{0E4EED0A-7F08-4CDA-AA05-5CDFC85E2FA8}"/>
    <cellStyle name="Normal 5 2 2 2 4 6" xfId="2571" xr:uid="{00000000-0005-0000-0000-000081170000}"/>
    <cellStyle name="Normal 5 2 2 2 4 6 2" xfId="6855" xr:uid="{00000000-0005-0000-0000-000082170000}"/>
    <cellStyle name="Normal 5 2 2 2 4 6 2 2" xfId="15297" xr:uid="{E0F7D16C-FAA2-478A-B011-1E9EDAC76B47}"/>
    <cellStyle name="Normal 5 2 2 2 4 6 3" xfId="11079" xr:uid="{BA4F81F5-D80C-4181-9D5C-B05008F9D9D6}"/>
    <cellStyle name="Normal 5 2 2 2 4 7" xfId="4790" xr:uid="{00000000-0005-0000-0000-000083170000}"/>
    <cellStyle name="Normal 5 2 2 2 4 7 2" xfId="13232" xr:uid="{FCE027C1-F2EA-4917-AA43-643FF4A77B2F}"/>
    <cellStyle name="Normal 5 2 2 2 4 8" xfId="9014" xr:uid="{862FF253-67A6-40CF-966B-C4494FD59FE3}"/>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15783" xr:uid="{1FB43703-CAE2-4AD7-A605-F866BC7AFE2D}"/>
    <cellStyle name="Normal 5 2 2 2 5 2 3" xfId="11565" xr:uid="{B3A35321-11C0-4C4A-838A-2C95617AC927}"/>
    <cellStyle name="Normal 5 2 2 2 5 3" xfId="5196" xr:uid="{00000000-0005-0000-0000-000087170000}"/>
    <cellStyle name="Normal 5 2 2 2 5 3 2" xfId="13638" xr:uid="{8B6C9895-5C3D-44CC-B245-464D6171F731}"/>
    <cellStyle name="Normal 5 2 2 2 5 4" xfId="9420" xr:uid="{CCB053A6-ED9D-4E7D-BD9A-4F9CD2E484E1}"/>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16196" xr:uid="{E5AF5D1F-725E-45D4-A327-6E1640533284}"/>
    <cellStyle name="Normal 5 2 2 2 6 2 3" xfId="11978" xr:uid="{936B333F-1F0B-45CC-B448-E4EEECA96328}"/>
    <cellStyle name="Normal 5 2 2 2 6 3" xfId="5609" xr:uid="{00000000-0005-0000-0000-00008B170000}"/>
    <cellStyle name="Normal 5 2 2 2 6 3 2" xfId="14051" xr:uid="{23D2450B-7B59-4565-9A22-E3F92C3A6800}"/>
    <cellStyle name="Normal 5 2 2 2 6 4" xfId="9833" xr:uid="{B20CED29-F113-40A8-B890-E96E93051BA2}"/>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16609" xr:uid="{02EB9DCC-5CA1-4AC9-A4DA-C0A73B7CBB7C}"/>
    <cellStyle name="Normal 5 2 2 2 7 2 3" xfId="12391" xr:uid="{AD8A75BF-30D5-44EE-80BB-03AC1F51A8AA}"/>
    <cellStyle name="Normal 5 2 2 2 7 3" xfId="6022" xr:uid="{00000000-0005-0000-0000-00008F170000}"/>
    <cellStyle name="Normal 5 2 2 2 7 3 2" xfId="14464" xr:uid="{F360EDA3-B6D9-4FEF-81D4-B2A254BBBFB4}"/>
    <cellStyle name="Normal 5 2 2 2 7 4" xfId="10246" xr:uid="{6776552E-9198-4741-BE8D-8E5513D26AE7}"/>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17022" xr:uid="{B5852D7D-3E2F-4BD8-9628-27C825199762}"/>
    <cellStyle name="Normal 5 2 2 2 8 2 3" xfId="12804" xr:uid="{C710FAF8-1E0A-4970-B6AF-5AAEBF39F2AC}"/>
    <cellStyle name="Normal 5 2 2 2 8 3" xfId="6435" xr:uid="{00000000-0005-0000-0000-000093170000}"/>
    <cellStyle name="Normal 5 2 2 2 8 3 2" xfId="14877" xr:uid="{9D83F2AE-7771-4454-B6A5-6633FCFCC728}"/>
    <cellStyle name="Normal 5 2 2 2 8 4" xfId="10659" xr:uid="{3303AA7D-F9E0-493D-8814-7F8DDBC6013E}"/>
    <cellStyle name="Normal 5 2 2 2 9" xfId="2564" xr:uid="{00000000-0005-0000-0000-000094170000}"/>
    <cellStyle name="Normal 5 2 2 2 9 2" xfId="6848" xr:uid="{00000000-0005-0000-0000-000095170000}"/>
    <cellStyle name="Normal 5 2 2 2 9 2 2" xfId="15290" xr:uid="{A3C55D44-E690-4292-AB2C-43D8E8894503}"/>
    <cellStyle name="Normal 5 2 2 2 9 3" xfId="11072" xr:uid="{CA8A3E29-622B-4D54-8648-3D645D96FBEB}"/>
    <cellStyle name="Normal 5 2 2 3" xfId="417" xr:uid="{00000000-0005-0000-0000-000096170000}"/>
    <cellStyle name="Normal 5 2 2 3 10" xfId="9015" xr:uid="{9E3698CF-9EDE-4EE8-8D9F-FA90DF00902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15793" xr:uid="{4BF24B8E-0D68-40B7-B916-F1DAE32C68E8}"/>
    <cellStyle name="Normal 5 2 2 3 2 2 2 2 3" xfId="11575" xr:uid="{73B5CF8E-42D8-443B-938F-62A4147D3EAF}"/>
    <cellStyle name="Normal 5 2 2 3 2 2 2 3" xfId="5206" xr:uid="{00000000-0005-0000-0000-00009C170000}"/>
    <cellStyle name="Normal 5 2 2 3 2 2 2 3 2" xfId="13648" xr:uid="{3AA21A19-DDB5-4361-B92F-1A9E45812E58}"/>
    <cellStyle name="Normal 5 2 2 3 2 2 2 4" xfId="9430" xr:uid="{381741C2-1188-4A05-8892-26D165534164}"/>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16206" xr:uid="{BED1FBEE-A22B-45EB-9AF5-8E9E382C2AB6}"/>
    <cellStyle name="Normal 5 2 2 3 2 2 3 2 3" xfId="11988" xr:uid="{27F1E1A6-52FC-47E7-A86C-42509B300CC2}"/>
    <cellStyle name="Normal 5 2 2 3 2 2 3 3" xfId="5619" xr:uid="{00000000-0005-0000-0000-0000A0170000}"/>
    <cellStyle name="Normal 5 2 2 3 2 2 3 3 2" xfId="14061" xr:uid="{7931B637-46AD-4EC0-AE49-1CFC13F4D5CC}"/>
    <cellStyle name="Normal 5 2 2 3 2 2 3 4" xfId="9843" xr:uid="{4A255949-83A5-46C7-AE05-C27E91AD7E3A}"/>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16619" xr:uid="{EF345CBC-0AC0-4CF8-8FBE-42FEA507C73B}"/>
    <cellStyle name="Normal 5 2 2 3 2 2 4 2 3" xfId="12401" xr:uid="{068CC402-EDF3-4492-B527-DBCC69D1140A}"/>
    <cellStyle name="Normal 5 2 2 3 2 2 4 3" xfId="6032" xr:uid="{00000000-0005-0000-0000-0000A4170000}"/>
    <cellStyle name="Normal 5 2 2 3 2 2 4 3 2" xfId="14474" xr:uid="{4543A79B-9F51-4EE9-9F65-694415609276}"/>
    <cellStyle name="Normal 5 2 2 3 2 2 4 4" xfId="10256" xr:uid="{72BF54ED-1685-4D73-8B18-13AFDC01F362}"/>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17032" xr:uid="{54C9E73B-853C-4142-A66C-3F115688952B}"/>
    <cellStyle name="Normal 5 2 2 3 2 2 5 2 3" xfId="12814" xr:uid="{B5EF66FF-A7F2-4C70-A408-7DCC548FB891}"/>
    <cellStyle name="Normal 5 2 2 3 2 2 5 3" xfId="6445" xr:uid="{00000000-0005-0000-0000-0000A8170000}"/>
    <cellStyle name="Normal 5 2 2 3 2 2 5 3 2" xfId="14887" xr:uid="{8FC29A40-C0DA-4227-81FB-E6468E12120E}"/>
    <cellStyle name="Normal 5 2 2 3 2 2 5 4" xfId="10669" xr:uid="{669F39F6-D103-470E-B92E-0128E224965E}"/>
    <cellStyle name="Normal 5 2 2 3 2 2 6" xfId="2574" xr:uid="{00000000-0005-0000-0000-0000A9170000}"/>
    <cellStyle name="Normal 5 2 2 3 2 2 6 2" xfId="6858" xr:uid="{00000000-0005-0000-0000-0000AA170000}"/>
    <cellStyle name="Normal 5 2 2 3 2 2 6 2 2" xfId="15300" xr:uid="{12207A95-4DEC-4DCA-BB9D-FFC76CB70214}"/>
    <cellStyle name="Normal 5 2 2 3 2 2 6 3" xfId="11082" xr:uid="{80B023E1-0253-42A0-B334-8DC229140105}"/>
    <cellStyle name="Normal 5 2 2 3 2 2 7" xfId="4793" xr:uid="{00000000-0005-0000-0000-0000AB170000}"/>
    <cellStyle name="Normal 5 2 2 3 2 2 7 2" xfId="13235" xr:uid="{1B69CB05-1D0D-46C0-BF0D-A8E4FEA23B15}"/>
    <cellStyle name="Normal 5 2 2 3 2 2 8" xfId="9017" xr:uid="{502031A2-5C00-4787-9ED6-30E1B2C3D51E}"/>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15792" xr:uid="{B4803C6B-A450-4D36-9460-CC43C7370F6E}"/>
    <cellStyle name="Normal 5 2 2 3 2 3 2 3" xfId="11574" xr:uid="{1DDE0477-AA87-43D6-8ADC-2A6B3A048F83}"/>
    <cellStyle name="Normal 5 2 2 3 2 3 3" xfId="5205" xr:uid="{00000000-0005-0000-0000-0000AF170000}"/>
    <cellStyle name="Normal 5 2 2 3 2 3 3 2" xfId="13647" xr:uid="{8F93EE9E-C32C-4054-BFD1-744948D069E5}"/>
    <cellStyle name="Normal 5 2 2 3 2 3 4" xfId="9429" xr:uid="{7D38D726-FD2D-490D-9AAB-E713C77FEECD}"/>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16205" xr:uid="{D3F64612-165B-4D23-A468-D364AF0EA81F}"/>
    <cellStyle name="Normal 5 2 2 3 2 4 2 3" xfId="11987" xr:uid="{7F1CE619-7162-486F-81E2-D31ADA7F3990}"/>
    <cellStyle name="Normal 5 2 2 3 2 4 3" xfId="5618" xr:uid="{00000000-0005-0000-0000-0000B3170000}"/>
    <cellStyle name="Normal 5 2 2 3 2 4 3 2" xfId="14060" xr:uid="{AD8A6826-E17E-4EE1-9984-D06F6F6405A9}"/>
    <cellStyle name="Normal 5 2 2 3 2 4 4" xfId="9842" xr:uid="{7A1FA7AA-6C60-483D-B2C4-0DD673780117}"/>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16618" xr:uid="{1919D71C-BBB0-4931-911C-4DEDD9E9A74F}"/>
    <cellStyle name="Normal 5 2 2 3 2 5 2 3" xfId="12400" xr:uid="{9AD8438D-2D88-43EE-99EE-7EA4907A4271}"/>
    <cellStyle name="Normal 5 2 2 3 2 5 3" xfId="6031" xr:uid="{00000000-0005-0000-0000-0000B7170000}"/>
    <cellStyle name="Normal 5 2 2 3 2 5 3 2" xfId="14473" xr:uid="{8F1B8375-B68D-459A-8B15-FC8AA16CDBE4}"/>
    <cellStyle name="Normal 5 2 2 3 2 5 4" xfId="10255" xr:uid="{429B4A5B-41D7-4C90-9196-12EB2094D066}"/>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17031" xr:uid="{8C2C576D-5A73-48D5-8DAB-A7AC9CFA300D}"/>
    <cellStyle name="Normal 5 2 2 3 2 6 2 3" xfId="12813" xr:uid="{650CA820-C5B3-4837-84FF-F0EBADE6B985}"/>
    <cellStyle name="Normal 5 2 2 3 2 6 3" xfId="6444" xr:uid="{00000000-0005-0000-0000-0000BB170000}"/>
    <cellStyle name="Normal 5 2 2 3 2 6 3 2" xfId="14886" xr:uid="{D99B6556-644C-421E-A895-A7E5DD757B52}"/>
    <cellStyle name="Normal 5 2 2 3 2 6 4" xfId="10668" xr:uid="{56023987-958C-4115-B911-3C38DA939677}"/>
    <cellStyle name="Normal 5 2 2 3 2 7" xfId="2573" xr:uid="{00000000-0005-0000-0000-0000BC170000}"/>
    <cellStyle name="Normal 5 2 2 3 2 7 2" xfId="6857" xr:uid="{00000000-0005-0000-0000-0000BD170000}"/>
    <cellStyle name="Normal 5 2 2 3 2 7 2 2" xfId="15299" xr:uid="{3D3BF2B7-DC7C-4D1A-AAB8-F19480AF7DA7}"/>
    <cellStyle name="Normal 5 2 2 3 2 7 3" xfId="11081" xr:uid="{1A0EE46A-6666-47E6-AF4D-89CD0728775D}"/>
    <cellStyle name="Normal 5 2 2 3 2 8" xfId="4792" xr:uid="{00000000-0005-0000-0000-0000BE170000}"/>
    <cellStyle name="Normal 5 2 2 3 2 8 2" xfId="13234" xr:uid="{1FAC08A8-E321-4CB4-9924-319B86F8FCF5}"/>
    <cellStyle name="Normal 5 2 2 3 2 9" xfId="9016" xr:uid="{DA6D5694-10AF-4C04-A7EF-F359F236717B}"/>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15794" xr:uid="{89E501DB-B0CC-4111-A965-86BF9DC30226}"/>
    <cellStyle name="Normal 5 2 2 3 3 2 2 3" xfId="11576" xr:uid="{B5E3ED47-D2B3-48BD-A1A3-DFBC838A454F}"/>
    <cellStyle name="Normal 5 2 2 3 3 2 3" xfId="5207" xr:uid="{00000000-0005-0000-0000-0000C3170000}"/>
    <cellStyle name="Normal 5 2 2 3 3 2 3 2" xfId="13649" xr:uid="{2227F27C-85C4-4245-A0AB-1124D17508D0}"/>
    <cellStyle name="Normal 5 2 2 3 3 2 4" xfId="9431" xr:uid="{0DADBF98-5E08-4F42-9025-D10529B2ED51}"/>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16207" xr:uid="{B09B42E6-65F6-4435-BAF7-2D6E419310DD}"/>
    <cellStyle name="Normal 5 2 2 3 3 3 2 3" xfId="11989" xr:uid="{5C78301D-1C80-408B-8D2D-15D373FD272C}"/>
    <cellStyle name="Normal 5 2 2 3 3 3 3" xfId="5620" xr:uid="{00000000-0005-0000-0000-0000C7170000}"/>
    <cellStyle name="Normal 5 2 2 3 3 3 3 2" xfId="14062" xr:uid="{F480796A-EB19-4BA5-A465-C3D4AD721FE2}"/>
    <cellStyle name="Normal 5 2 2 3 3 3 4" xfId="9844" xr:uid="{C38ED015-8C0D-41F5-B7D7-4FD4C5C6625C}"/>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16620" xr:uid="{0DFF9B9F-43BE-4B3A-9361-084251418212}"/>
    <cellStyle name="Normal 5 2 2 3 3 4 2 3" xfId="12402" xr:uid="{32A04043-0327-4AD9-B6A1-16EC5674B1B2}"/>
    <cellStyle name="Normal 5 2 2 3 3 4 3" xfId="6033" xr:uid="{00000000-0005-0000-0000-0000CB170000}"/>
    <cellStyle name="Normal 5 2 2 3 3 4 3 2" xfId="14475" xr:uid="{7CA966CE-7D8D-40E1-BA4F-F3D9F5727B2E}"/>
    <cellStyle name="Normal 5 2 2 3 3 4 4" xfId="10257" xr:uid="{9D9AD676-4A0A-45A6-B1C1-37CBC2522542}"/>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17033" xr:uid="{DB74F556-2B0C-4277-9F9F-BA79FDB065C4}"/>
    <cellStyle name="Normal 5 2 2 3 3 5 2 3" xfId="12815" xr:uid="{DC2034A4-91A9-4FCC-AEB3-6538D168FE8C}"/>
    <cellStyle name="Normal 5 2 2 3 3 5 3" xfId="6446" xr:uid="{00000000-0005-0000-0000-0000CF170000}"/>
    <cellStyle name="Normal 5 2 2 3 3 5 3 2" xfId="14888" xr:uid="{6FC86FED-DAD2-4A86-83FC-6DB41C9E4750}"/>
    <cellStyle name="Normal 5 2 2 3 3 5 4" xfId="10670" xr:uid="{19A084E5-1657-4CFC-9B18-020E568FB9BC}"/>
    <cellStyle name="Normal 5 2 2 3 3 6" xfId="2575" xr:uid="{00000000-0005-0000-0000-0000D0170000}"/>
    <cellStyle name="Normal 5 2 2 3 3 6 2" xfId="6859" xr:uid="{00000000-0005-0000-0000-0000D1170000}"/>
    <cellStyle name="Normal 5 2 2 3 3 6 2 2" xfId="15301" xr:uid="{6B194E82-2AC4-4ECC-97F0-7E1B6BAA2D12}"/>
    <cellStyle name="Normal 5 2 2 3 3 6 3" xfId="11083" xr:uid="{27015BEE-A3EB-40F5-90F5-1C839234F984}"/>
    <cellStyle name="Normal 5 2 2 3 3 7" xfId="4794" xr:uid="{00000000-0005-0000-0000-0000D2170000}"/>
    <cellStyle name="Normal 5 2 2 3 3 7 2" xfId="13236" xr:uid="{0E821CE1-EB63-4602-90DC-A1B336165BDD}"/>
    <cellStyle name="Normal 5 2 2 3 3 8" xfId="9018" xr:uid="{24B6F6D6-0518-48DD-9D69-2BEEF006216E}"/>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15791" xr:uid="{0D231FC4-A51C-4EDB-8067-80F5218DF3B1}"/>
    <cellStyle name="Normal 5 2 2 3 4 2 3" xfId="11573" xr:uid="{CB4A088B-AE7F-437F-BCCB-4AEE6B401AA8}"/>
    <cellStyle name="Normal 5 2 2 3 4 3" xfId="5204" xr:uid="{00000000-0005-0000-0000-0000D6170000}"/>
    <cellStyle name="Normal 5 2 2 3 4 3 2" xfId="13646" xr:uid="{6B4179A9-2E10-4F76-A0A8-BFF061010008}"/>
    <cellStyle name="Normal 5 2 2 3 4 4" xfId="9428" xr:uid="{17D6603C-44D2-4B46-A3B9-8734F2E81CF7}"/>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16204" xr:uid="{20457B24-7667-406A-AE14-502C60A66D09}"/>
    <cellStyle name="Normal 5 2 2 3 5 2 3" xfId="11986" xr:uid="{228F3061-2E1D-493C-B92D-ABB5FEE4AEB5}"/>
    <cellStyle name="Normal 5 2 2 3 5 3" xfId="5617" xr:uid="{00000000-0005-0000-0000-0000DA170000}"/>
    <cellStyle name="Normal 5 2 2 3 5 3 2" xfId="14059" xr:uid="{C84A291D-834F-47B4-924E-BD09A840D2CD}"/>
    <cellStyle name="Normal 5 2 2 3 5 4" xfId="9841" xr:uid="{DD559794-023C-437B-B900-BEBD57D78BB4}"/>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16617" xr:uid="{7F90207C-EC5A-4756-9076-E804060AC61E}"/>
    <cellStyle name="Normal 5 2 2 3 6 2 3" xfId="12399" xr:uid="{145BCF37-BBA1-445A-8A1E-98DCC78B069A}"/>
    <cellStyle name="Normal 5 2 2 3 6 3" xfId="6030" xr:uid="{00000000-0005-0000-0000-0000DE170000}"/>
    <cellStyle name="Normal 5 2 2 3 6 3 2" xfId="14472" xr:uid="{B0786A7D-AB79-4202-940A-DE0A85558886}"/>
    <cellStyle name="Normal 5 2 2 3 6 4" xfId="10254" xr:uid="{789BC775-6EA8-4098-8FC8-A9A36A7F4DAE}"/>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17030" xr:uid="{5A2A2116-051E-4BC8-8011-745CEAB6E43D}"/>
    <cellStyle name="Normal 5 2 2 3 7 2 3" xfId="12812" xr:uid="{F2D25E3F-FA57-4DD4-A7B1-22FC387D4782}"/>
    <cellStyle name="Normal 5 2 2 3 7 3" xfId="6443" xr:uid="{00000000-0005-0000-0000-0000E2170000}"/>
    <cellStyle name="Normal 5 2 2 3 7 3 2" xfId="14885" xr:uid="{846738C9-E79E-43BC-BBD5-02ABA6AEA6BE}"/>
    <cellStyle name="Normal 5 2 2 3 7 4" xfId="10667" xr:uid="{8BE3C0CF-FC69-466B-925C-34AA077E4B56}"/>
    <cellStyle name="Normal 5 2 2 3 8" xfId="2572" xr:uid="{00000000-0005-0000-0000-0000E3170000}"/>
    <cellStyle name="Normal 5 2 2 3 8 2" xfId="6856" xr:uid="{00000000-0005-0000-0000-0000E4170000}"/>
    <cellStyle name="Normal 5 2 2 3 8 2 2" xfId="15298" xr:uid="{8A35BC38-9D96-410A-98F4-9CC9F98982A1}"/>
    <cellStyle name="Normal 5 2 2 3 8 3" xfId="11080" xr:uid="{F4A67A73-78CD-427C-B468-313CD5A0CA01}"/>
    <cellStyle name="Normal 5 2 2 3 9" xfId="4791" xr:uid="{00000000-0005-0000-0000-0000E5170000}"/>
    <cellStyle name="Normal 5 2 2 3 9 2" xfId="13233" xr:uid="{AF339C9F-7D5E-47FE-9624-94CE8B233099}"/>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15796" xr:uid="{466F2CBC-EA1B-42CE-AF4D-4D718A7707ED}"/>
    <cellStyle name="Normal 5 2 2 4 2 2 2 3" xfId="11578" xr:uid="{A8AF6042-7C94-476F-872F-5DABF1565874}"/>
    <cellStyle name="Normal 5 2 2 4 2 2 3" xfId="5209" xr:uid="{00000000-0005-0000-0000-0000EB170000}"/>
    <cellStyle name="Normal 5 2 2 4 2 2 3 2" xfId="13651" xr:uid="{66EF0018-BC91-4AF5-87DD-66FA6C847F1C}"/>
    <cellStyle name="Normal 5 2 2 4 2 2 4" xfId="9433" xr:uid="{FF7E106C-3DAD-4636-BD70-9D682F382D41}"/>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16209" xr:uid="{5E598CEB-9B56-4B50-9EE1-838DF169B015}"/>
    <cellStyle name="Normal 5 2 2 4 2 3 2 3" xfId="11991" xr:uid="{23F1A082-224F-42A5-9E61-BDDDF6B3F8DD}"/>
    <cellStyle name="Normal 5 2 2 4 2 3 3" xfId="5622" xr:uid="{00000000-0005-0000-0000-0000EF170000}"/>
    <cellStyle name="Normal 5 2 2 4 2 3 3 2" xfId="14064" xr:uid="{BD2C77DA-478D-4F46-B2DA-787A91DDB185}"/>
    <cellStyle name="Normal 5 2 2 4 2 3 4" xfId="9846" xr:uid="{383BDFB0-CEFE-4F89-8CA4-56719634E4D5}"/>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16622" xr:uid="{D16610CD-DEAD-4BDB-A74B-F23C81705020}"/>
    <cellStyle name="Normal 5 2 2 4 2 4 2 3" xfId="12404" xr:uid="{06851BE3-DD6B-4C95-8E7A-A00D97B8D8AE}"/>
    <cellStyle name="Normal 5 2 2 4 2 4 3" xfId="6035" xr:uid="{00000000-0005-0000-0000-0000F3170000}"/>
    <cellStyle name="Normal 5 2 2 4 2 4 3 2" xfId="14477" xr:uid="{B65D139C-4382-483E-A6E0-27A8DD89345D}"/>
    <cellStyle name="Normal 5 2 2 4 2 4 4" xfId="10259" xr:uid="{4717A2A2-F8BD-4EDD-AA05-50203958D154}"/>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17035" xr:uid="{A57A436B-F7F8-4795-827D-2733C44694CC}"/>
    <cellStyle name="Normal 5 2 2 4 2 5 2 3" xfId="12817" xr:uid="{39BA32C6-2C9F-4927-BD10-5AFBD809C569}"/>
    <cellStyle name="Normal 5 2 2 4 2 5 3" xfId="6448" xr:uid="{00000000-0005-0000-0000-0000F7170000}"/>
    <cellStyle name="Normal 5 2 2 4 2 5 3 2" xfId="14890" xr:uid="{FC3CF86A-838D-4E7C-981B-E61C747E82C1}"/>
    <cellStyle name="Normal 5 2 2 4 2 5 4" xfId="10672" xr:uid="{B79B816A-0554-4413-8FB2-EAB08205DCF8}"/>
    <cellStyle name="Normal 5 2 2 4 2 6" xfId="2577" xr:uid="{00000000-0005-0000-0000-0000F8170000}"/>
    <cellStyle name="Normal 5 2 2 4 2 6 2" xfId="6861" xr:uid="{00000000-0005-0000-0000-0000F9170000}"/>
    <cellStyle name="Normal 5 2 2 4 2 6 2 2" xfId="15303" xr:uid="{E7DE414A-14B8-44F6-9EC8-9AAE7BEB6F89}"/>
    <cellStyle name="Normal 5 2 2 4 2 6 3" xfId="11085" xr:uid="{808DDB20-3676-49B3-9929-0E4248DAE1B6}"/>
    <cellStyle name="Normal 5 2 2 4 2 7" xfId="4796" xr:uid="{00000000-0005-0000-0000-0000FA170000}"/>
    <cellStyle name="Normal 5 2 2 4 2 7 2" xfId="13238" xr:uid="{1D954F58-8E3E-4BC9-BB89-96E55E97C6A8}"/>
    <cellStyle name="Normal 5 2 2 4 2 8" xfId="9020" xr:uid="{31780A4D-E90D-4237-BB7F-FD19A1F0E558}"/>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15795" xr:uid="{F870B6D9-BB14-42CE-8BE4-A3317499EB59}"/>
    <cellStyle name="Normal 5 2 2 4 3 2 3" xfId="11577" xr:uid="{C83AA5E6-75B0-4C46-9ADD-F1FF33134BD2}"/>
    <cellStyle name="Normal 5 2 2 4 3 3" xfId="5208" xr:uid="{00000000-0005-0000-0000-0000FE170000}"/>
    <cellStyle name="Normal 5 2 2 4 3 3 2" xfId="13650" xr:uid="{8271021B-2405-4FFE-A159-9AE83681A56B}"/>
    <cellStyle name="Normal 5 2 2 4 3 4" xfId="9432" xr:uid="{D7B683C8-3603-4450-B297-7709424378CC}"/>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16208" xr:uid="{0C8D4D33-9196-4525-A313-A255F38E9644}"/>
    <cellStyle name="Normal 5 2 2 4 4 2 3" xfId="11990" xr:uid="{70E44CC4-8147-4DF0-92C8-4FB8EA40C5EA}"/>
    <cellStyle name="Normal 5 2 2 4 4 3" xfId="5621" xr:uid="{00000000-0005-0000-0000-000002180000}"/>
    <cellStyle name="Normal 5 2 2 4 4 3 2" xfId="14063" xr:uid="{5ED9B60F-B182-4BEA-B4EC-1ACF5656B442}"/>
    <cellStyle name="Normal 5 2 2 4 4 4" xfId="9845" xr:uid="{394F70DF-FB85-4AD2-9E47-A55EFB6E1DBA}"/>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16621" xr:uid="{9E820EED-61AA-4ECA-934D-6CBBFDFDEFC3}"/>
    <cellStyle name="Normal 5 2 2 4 5 2 3" xfId="12403" xr:uid="{56B8C70D-E9CC-45ED-A8CD-F6B7C9D5812B}"/>
    <cellStyle name="Normal 5 2 2 4 5 3" xfId="6034" xr:uid="{00000000-0005-0000-0000-000006180000}"/>
    <cellStyle name="Normal 5 2 2 4 5 3 2" xfId="14476" xr:uid="{0D0FC2AC-707C-4C24-AA71-BA0FDEFEDA17}"/>
    <cellStyle name="Normal 5 2 2 4 5 4" xfId="10258" xr:uid="{7118D8FB-609F-4B1E-A86E-35374FF0CE4E}"/>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17034" xr:uid="{7EB001F0-FC16-4376-991D-07E1F3E1652D}"/>
    <cellStyle name="Normal 5 2 2 4 6 2 3" xfId="12816" xr:uid="{3C87B2D2-B359-474A-868F-106670D68C9D}"/>
    <cellStyle name="Normal 5 2 2 4 6 3" xfId="6447" xr:uid="{00000000-0005-0000-0000-00000A180000}"/>
    <cellStyle name="Normal 5 2 2 4 6 3 2" xfId="14889" xr:uid="{8E12E490-9A46-4F43-B276-6F9F812AB601}"/>
    <cellStyle name="Normal 5 2 2 4 6 4" xfId="10671" xr:uid="{0B2C6493-E7D0-4D2F-A08A-B3C9D13DECE7}"/>
    <cellStyle name="Normal 5 2 2 4 7" xfId="2576" xr:uid="{00000000-0005-0000-0000-00000B180000}"/>
    <cellStyle name="Normal 5 2 2 4 7 2" xfId="6860" xr:uid="{00000000-0005-0000-0000-00000C180000}"/>
    <cellStyle name="Normal 5 2 2 4 7 2 2" xfId="15302" xr:uid="{7CF696C0-84B7-4524-BABD-F720C6E4B90A}"/>
    <cellStyle name="Normal 5 2 2 4 7 3" xfId="11084" xr:uid="{96C51CBB-3FEC-44CB-9E93-E2B7D09ED4CD}"/>
    <cellStyle name="Normal 5 2 2 4 8" xfId="4795" xr:uid="{00000000-0005-0000-0000-00000D180000}"/>
    <cellStyle name="Normal 5 2 2 4 8 2" xfId="13237" xr:uid="{2142E63F-A70E-4AB0-BC8D-FEF20AD21BB7}"/>
    <cellStyle name="Normal 5 2 2 4 9" xfId="9019" xr:uid="{44477CB6-C085-40B7-A790-16470D830ABC}"/>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15797" xr:uid="{734183B4-4A2A-4865-8AC4-D0EB98D8FA7E}"/>
    <cellStyle name="Normal 5 2 2 5 2 2 3" xfId="11579" xr:uid="{EDF7C240-A9ED-4859-B5BF-0677F8A86828}"/>
    <cellStyle name="Normal 5 2 2 5 2 3" xfId="5210" xr:uid="{00000000-0005-0000-0000-000012180000}"/>
    <cellStyle name="Normal 5 2 2 5 2 3 2" xfId="13652" xr:uid="{702CE10C-F3ED-44BE-9169-2A2D1ADF7FD9}"/>
    <cellStyle name="Normal 5 2 2 5 2 4" xfId="9434" xr:uid="{1CE95F76-7773-48CF-8934-AB1E917627BA}"/>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16210" xr:uid="{80ACE4B0-70B8-419F-90EC-03B1B0F8B4E0}"/>
    <cellStyle name="Normal 5 2 2 5 3 2 3" xfId="11992" xr:uid="{B9BEDCF8-E8C1-4AA4-A8E6-4D9D2B3CBDFE}"/>
    <cellStyle name="Normal 5 2 2 5 3 3" xfId="5623" xr:uid="{00000000-0005-0000-0000-000016180000}"/>
    <cellStyle name="Normal 5 2 2 5 3 3 2" xfId="14065" xr:uid="{27501E6A-AA6F-4F0B-9DDA-A0DC96A499FC}"/>
    <cellStyle name="Normal 5 2 2 5 3 4" xfId="9847" xr:uid="{8FE1A0DC-4E5B-436E-AD2F-7D968976F446}"/>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16623" xr:uid="{A14747D4-775C-44CC-9A03-4107780BB7EE}"/>
    <cellStyle name="Normal 5 2 2 5 4 2 3" xfId="12405" xr:uid="{6E1483BD-1FEB-4EA6-ABAC-AA9E29FEDC25}"/>
    <cellStyle name="Normal 5 2 2 5 4 3" xfId="6036" xr:uid="{00000000-0005-0000-0000-00001A180000}"/>
    <cellStyle name="Normal 5 2 2 5 4 3 2" xfId="14478" xr:uid="{EFE9E931-32AA-4BE0-86DF-911F1EA0FD4F}"/>
    <cellStyle name="Normal 5 2 2 5 4 4" xfId="10260" xr:uid="{F1BB5CCF-C7F7-4C5F-88EF-4313D4E2B93E}"/>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17036" xr:uid="{854A225C-8783-4E7A-9075-25EA9FE1CAF3}"/>
    <cellStyle name="Normal 5 2 2 5 5 2 3" xfId="12818" xr:uid="{57A83A94-99D7-4BBF-8C71-B107EA01E71A}"/>
    <cellStyle name="Normal 5 2 2 5 5 3" xfId="6449" xr:uid="{00000000-0005-0000-0000-00001E180000}"/>
    <cellStyle name="Normal 5 2 2 5 5 3 2" xfId="14891" xr:uid="{8A38A16D-4EC3-4BFE-8082-313BB2E5210A}"/>
    <cellStyle name="Normal 5 2 2 5 5 4" xfId="10673" xr:uid="{55244448-DFEE-4B92-8608-90A8A2A0678B}"/>
    <cellStyle name="Normal 5 2 2 5 6" xfId="2578" xr:uid="{00000000-0005-0000-0000-00001F180000}"/>
    <cellStyle name="Normal 5 2 2 5 6 2" xfId="6862" xr:uid="{00000000-0005-0000-0000-000020180000}"/>
    <cellStyle name="Normal 5 2 2 5 6 2 2" xfId="15304" xr:uid="{F22EADB8-2E82-412A-93C9-DC533AB58602}"/>
    <cellStyle name="Normal 5 2 2 5 6 3" xfId="11086" xr:uid="{56E12952-F4E2-45DF-8EA4-E260C7BEEF75}"/>
    <cellStyle name="Normal 5 2 2 5 7" xfId="4797" xr:uid="{00000000-0005-0000-0000-000021180000}"/>
    <cellStyle name="Normal 5 2 2 5 7 2" xfId="13239" xr:uid="{FB4B64C8-12CC-48FF-96A4-44989C06F668}"/>
    <cellStyle name="Normal 5 2 2 5 8" xfId="9021" xr:uid="{99D50D58-EBB6-4905-BAD8-D682067CE2AE}"/>
    <cellStyle name="Normal 5 2 2 6" xfId="882" xr:uid="{00000000-0005-0000-0000-000022180000}"/>
    <cellStyle name="Normal 5 2 2 6 2" xfId="3117" xr:uid="{00000000-0005-0000-0000-000023180000}"/>
    <cellStyle name="Normal 5 2 2 6 2 2" xfId="7340" xr:uid="{00000000-0005-0000-0000-000024180000}"/>
    <cellStyle name="Normal 5 2 2 6 2 2 2" xfId="15782" xr:uid="{73854B28-7FDC-4F58-B5F4-E3B5735D9431}"/>
    <cellStyle name="Normal 5 2 2 6 2 3" xfId="11564" xr:uid="{83B3A605-7E43-440D-A903-0EB272291BE5}"/>
    <cellStyle name="Normal 5 2 2 6 3" xfId="5195" xr:uid="{00000000-0005-0000-0000-000025180000}"/>
    <cellStyle name="Normal 5 2 2 6 3 2" xfId="13637" xr:uid="{9A8C2DF7-F147-496F-A934-F18C7A20DCE5}"/>
    <cellStyle name="Normal 5 2 2 6 4" xfId="9419" xr:uid="{5A1F757A-1C10-4D74-BE63-D7A8769FB2F6}"/>
    <cellStyle name="Normal 5 2 2 7" xfId="1300" xr:uid="{00000000-0005-0000-0000-000026180000}"/>
    <cellStyle name="Normal 5 2 2 7 2" xfId="3530" xr:uid="{00000000-0005-0000-0000-000027180000}"/>
    <cellStyle name="Normal 5 2 2 7 2 2" xfId="7753" xr:uid="{00000000-0005-0000-0000-000028180000}"/>
    <cellStyle name="Normal 5 2 2 7 2 2 2" xfId="16195" xr:uid="{FBE649D7-25FD-4155-AFF3-741E7AAE624A}"/>
    <cellStyle name="Normal 5 2 2 7 2 3" xfId="11977" xr:uid="{3A433A07-3869-4A56-B816-B53C75A31801}"/>
    <cellStyle name="Normal 5 2 2 7 3" xfId="5608" xr:uid="{00000000-0005-0000-0000-000029180000}"/>
    <cellStyle name="Normal 5 2 2 7 3 2" xfId="14050" xr:uid="{924D83E9-2883-4058-97FB-C283F5D38663}"/>
    <cellStyle name="Normal 5 2 2 7 4" xfId="9832" xr:uid="{816525E3-8311-43C3-A5AB-76699A308C61}"/>
    <cellStyle name="Normal 5 2 2 8" xfId="1713" xr:uid="{00000000-0005-0000-0000-00002A180000}"/>
    <cellStyle name="Normal 5 2 2 8 2" xfId="3943" xr:uid="{00000000-0005-0000-0000-00002B180000}"/>
    <cellStyle name="Normal 5 2 2 8 2 2" xfId="8166" xr:uid="{00000000-0005-0000-0000-00002C180000}"/>
    <cellStyle name="Normal 5 2 2 8 2 2 2" xfId="16608" xr:uid="{759E60F4-1E51-4CE8-877B-0589A24C1E96}"/>
    <cellStyle name="Normal 5 2 2 8 2 3" xfId="12390" xr:uid="{F4949460-9923-4E14-AD8B-9FF365F88F11}"/>
    <cellStyle name="Normal 5 2 2 8 3" xfId="6021" xr:uid="{00000000-0005-0000-0000-00002D180000}"/>
    <cellStyle name="Normal 5 2 2 8 3 2" xfId="14463" xr:uid="{5D7612AE-DABE-4B37-88CD-2BBAE078277A}"/>
    <cellStyle name="Normal 5 2 2 8 4" xfId="10245" xr:uid="{89279779-EADA-4C74-8D17-CB5095E069B9}"/>
    <cellStyle name="Normal 5 2 2 9" xfId="2127" xr:uid="{00000000-0005-0000-0000-00002E180000}"/>
    <cellStyle name="Normal 5 2 2 9 2" xfId="4356" xr:uid="{00000000-0005-0000-0000-00002F180000}"/>
    <cellStyle name="Normal 5 2 2 9 2 2" xfId="8579" xr:uid="{00000000-0005-0000-0000-000030180000}"/>
    <cellStyle name="Normal 5 2 2 9 2 2 2" xfId="17021" xr:uid="{443454D9-269D-479E-8A12-415837C6DC76}"/>
    <cellStyle name="Normal 5 2 2 9 2 3" xfId="12803" xr:uid="{C33915C5-CA21-42D5-9C63-660E7A6B1D1A}"/>
    <cellStyle name="Normal 5 2 2 9 3" xfId="6434" xr:uid="{00000000-0005-0000-0000-000031180000}"/>
    <cellStyle name="Normal 5 2 2 9 3 2" xfId="14876" xr:uid="{4997AC63-F6CF-452E-BF4E-4BDA8F1BB68F}"/>
    <cellStyle name="Normal 5 2 2 9 4" xfId="10658" xr:uid="{BBF4812A-F11A-4A58-8EE3-4CB6195E5D52}"/>
    <cellStyle name="Normal 5 2 3" xfId="424" xr:uid="{00000000-0005-0000-0000-000032180000}"/>
    <cellStyle name="Normal 5 2 3 10" xfId="4798" xr:uid="{00000000-0005-0000-0000-000033180000}"/>
    <cellStyle name="Normal 5 2 3 10 2" xfId="13240" xr:uid="{82D7F083-35D0-4B69-A266-CEAEAFCAFEC2}"/>
    <cellStyle name="Normal 5 2 3 11" xfId="9022" xr:uid="{5D671B77-A156-4D60-A7DE-08EDB7A5666E}"/>
    <cellStyle name="Normal 5 2 3 2" xfId="425" xr:uid="{00000000-0005-0000-0000-000034180000}"/>
    <cellStyle name="Normal 5 2 3 2 10" xfId="9023" xr:uid="{2A63E30E-0530-41C8-A946-EF76335D7CFC}"/>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15801" xr:uid="{B30C2AE4-92AF-4EF0-AF42-DFB24E9FC66D}"/>
    <cellStyle name="Normal 5 2 3 2 2 2 2 2 3" xfId="11583" xr:uid="{DB0EA230-CCDA-480A-9B45-84ED03D44A19}"/>
    <cellStyle name="Normal 5 2 3 2 2 2 2 3" xfId="5214" xr:uid="{00000000-0005-0000-0000-00003A180000}"/>
    <cellStyle name="Normal 5 2 3 2 2 2 2 3 2" xfId="13656" xr:uid="{69712D69-0139-4EC1-9714-A849FA6D95C0}"/>
    <cellStyle name="Normal 5 2 3 2 2 2 2 4" xfId="9438" xr:uid="{DB997AFE-D1A4-4637-BA22-97DFC54D03AE}"/>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16214" xr:uid="{00249449-72D0-4117-B73C-1FCE03E10554}"/>
    <cellStyle name="Normal 5 2 3 2 2 2 3 2 3" xfId="11996" xr:uid="{16E6FCFA-708C-48BD-969A-2A7354C736A8}"/>
    <cellStyle name="Normal 5 2 3 2 2 2 3 3" xfId="5627" xr:uid="{00000000-0005-0000-0000-00003E180000}"/>
    <cellStyle name="Normal 5 2 3 2 2 2 3 3 2" xfId="14069" xr:uid="{D1437F8B-FB13-4E9A-AA27-D9836BF84C84}"/>
    <cellStyle name="Normal 5 2 3 2 2 2 3 4" xfId="9851" xr:uid="{91F24CD5-206A-461B-97A1-0C298BEA0A89}"/>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16627" xr:uid="{C6F97DFF-0EE7-4ED7-8706-9BDFEC5A9FE1}"/>
    <cellStyle name="Normal 5 2 3 2 2 2 4 2 3" xfId="12409" xr:uid="{4E4F1BE6-B395-4B12-98CC-2CC499DFC00E}"/>
    <cellStyle name="Normal 5 2 3 2 2 2 4 3" xfId="6040" xr:uid="{00000000-0005-0000-0000-000042180000}"/>
    <cellStyle name="Normal 5 2 3 2 2 2 4 3 2" xfId="14482" xr:uid="{39D984FE-534C-4C49-89C3-DFDBCA45A9B6}"/>
    <cellStyle name="Normal 5 2 3 2 2 2 4 4" xfId="10264" xr:uid="{154818A2-66AE-49F8-BF00-9A50F9B2C22A}"/>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17040" xr:uid="{F3927CBC-5F3E-4C04-8444-F6E0FA09BD16}"/>
    <cellStyle name="Normal 5 2 3 2 2 2 5 2 3" xfId="12822" xr:uid="{4F70A5AE-6983-4865-8F35-52563356A6AE}"/>
    <cellStyle name="Normal 5 2 3 2 2 2 5 3" xfId="6453" xr:uid="{00000000-0005-0000-0000-000046180000}"/>
    <cellStyle name="Normal 5 2 3 2 2 2 5 3 2" xfId="14895" xr:uid="{9C785A89-EA27-4E59-A919-18C86538970C}"/>
    <cellStyle name="Normal 5 2 3 2 2 2 5 4" xfId="10677" xr:uid="{342E0DD8-CA25-4E40-9665-C76BA6610414}"/>
    <cellStyle name="Normal 5 2 3 2 2 2 6" xfId="2582" xr:uid="{00000000-0005-0000-0000-000047180000}"/>
    <cellStyle name="Normal 5 2 3 2 2 2 6 2" xfId="6866" xr:uid="{00000000-0005-0000-0000-000048180000}"/>
    <cellStyle name="Normal 5 2 3 2 2 2 6 2 2" xfId="15308" xr:uid="{4C212636-9802-45DE-AAF2-C528748707CB}"/>
    <cellStyle name="Normal 5 2 3 2 2 2 6 3" xfId="11090" xr:uid="{804A28CD-0FA9-4ED6-BBFF-364BC8733543}"/>
    <cellStyle name="Normal 5 2 3 2 2 2 7" xfId="4801" xr:uid="{00000000-0005-0000-0000-000049180000}"/>
    <cellStyle name="Normal 5 2 3 2 2 2 7 2" xfId="13243" xr:uid="{712EAD4C-4272-4ECC-9B14-6CEBBA09E153}"/>
    <cellStyle name="Normal 5 2 3 2 2 2 8" xfId="9025" xr:uid="{E491E1D7-CF2B-4318-B3CE-830F2F29AD69}"/>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15800" xr:uid="{09A79E84-2DB4-457A-A5A3-BB7F07CC3742}"/>
    <cellStyle name="Normal 5 2 3 2 2 3 2 3" xfId="11582" xr:uid="{752E4127-8D47-4087-A6C7-8E11909AD564}"/>
    <cellStyle name="Normal 5 2 3 2 2 3 3" xfId="5213" xr:uid="{00000000-0005-0000-0000-00004D180000}"/>
    <cellStyle name="Normal 5 2 3 2 2 3 3 2" xfId="13655" xr:uid="{FB438B6C-D179-4FC1-835C-484DDB9A3105}"/>
    <cellStyle name="Normal 5 2 3 2 2 3 4" xfId="9437" xr:uid="{6A2AD828-3C5E-472F-A8F9-4ADAB625D297}"/>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16213" xr:uid="{45A5084C-0128-4D9A-BE0C-655B372C0D17}"/>
    <cellStyle name="Normal 5 2 3 2 2 4 2 3" xfId="11995" xr:uid="{97E6E96C-A4EE-4B3C-ACF4-8A880FCA730E}"/>
    <cellStyle name="Normal 5 2 3 2 2 4 3" xfId="5626" xr:uid="{00000000-0005-0000-0000-000051180000}"/>
    <cellStyle name="Normal 5 2 3 2 2 4 3 2" xfId="14068" xr:uid="{52556567-442A-4F95-B58D-536F6C0DEF11}"/>
    <cellStyle name="Normal 5 2 3 2 2 4 4" xfId="9850" xr:uid="{B11D8975-9A20-4664-94F5-319BF69250A3}"/>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16626" xr:uid="{B8BFB846-A011-4053-8117-0D19AB939DD1}"/>
    <cellStyle name="Normal 5 2 3 2 2 5 2 3" xfId="12408" xr:uid="{235DB513-B649-4392-84B2-CE22327367C2}"/>
    <cellStyle name="Normal 5 2 3 2 2 5 3" xfId="6039" xr:uid="{00000000-0005-0000-0000-000055180000}"/>
    <cellStyle name="Normal 5 2 3 2 2 5 3 2" xfId="14481" xr:uid="{A09138D2-33D5-43FA-9633-C5E47B91651A}"/>
    <cellStyle name="Normal 5 2 3 2 2 5 4" xfId="10263" xr:uid="{4D008A8D-A251-4912-8A0A-AF69640BCEAD}"/>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17039" xr:uid="{0532554F-BACA-43D9-8AF6-1225A224F09B}"/>
    <cellStyle name="Normal 5 2 3 2 2 6 2 3" xfId="12821" xr:uid="{E00070E0-19EE-43AA-85B1-DDC4FC2117AB}"/>
    <cellStyle name="Normal 5 2 3 2 2 6 3" xfId="6452" xr:uid="{00000000-0005-0000-0000-000059180000}"/>
    <cellStyle name="Normal 5 2 3 2 2 6 3 2" xfId="14894" xr:uid="{4EDE9606-7735-4944-A707-DE5B2D6FFCA6}"/>
    <cellStyle name="Normal 5 2 3 2 2 6 4" xfId="10676" xr:uid="{A55F43BB-98CF-452B-B21D-2EFA0E7CACB8}"/>
    <cellStyle name="Normal 5 2 3 2 2 7" xfId="2581" xr:uid="{00000000-0005-0000-0000-00005A180000}"/>
    <cellStyle name="Normal 5 2 3 2 2 7 2" xfId="6865" xr:uid="{00000000-0005-0000-0000-00005B180000}"/>
    <cellStyle name="Normal 5 2 3 2 2 7 2 2" xfId="15307" xr:uid="{36CAC4EF-0C7A-4C9E-BB91-E191FCA92F26}"/>
    <cellStyle name="Normal 5 2 3 2 2 7 3" xfId="11089" xr:uid="{E27E4ADA-EC3A-4AD5-9F84-3A5B2065D15D}"/>
    <cellStyle name="Normal 5 2 3 2 2 8" xfId="4800" xr:uid="{00000000-0005-0000-0000-00005C180000}"/>
    <cellStyle name="Normal 5 2 3 2 2 8 2" xfId="13242" xr:uid="{B47F04EE-16D2-4CE9-8216-3618E26BC14E}"/>
    <cellStyle name="Normal 5 2 3 2 2 9" xfId="9024" xr:uid="{DADAEF56-F70B-4F67-9BD3-8203233B3F05}"/>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15802" xr:uid="{8309566C-3440-47A8-892D-27D0DD02DBD9}"/>
    <cellStyle name="Normal 5 2 3 2 3 2 2 3" xfId="11584" xr:uid="{2509D6F7-1CAE-488A-AACD-662EF68360EF}"/>
    <cellStyle name="Normal 5 2 3 2 3 2 3" xfId="5215" xr:uid="{00000000-0005-0000-0000-000061180000}"/>
    <cellStyle name="Normal 5 2 3 2 3 2 3 2" xfId="13657" xr:uid="{CB57D307-5C44-4DF4-83E8-D9F727D5FFA7}"/>
    <cellStyle name="Normal 5 2 3 2 3 2 4" xfId="9439" xr:uid="{0651FD7C-529C-435D-B0F1-FD4CB655B772}"/>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16215" xr:uid="{920516D4-280A-406F-AB71-2F75B9106D46}"/>
    <cellStyle name="Normal 5 2 3 2 3 3 2 3" xfId="11997" xr:uid="{F983AB40-C2A1-4A73-B707-913E5D28A201}"/>
    <cellStyle name="Normal 5 2 3 2 3 3 3" xfId="5628" xr:uid="{00000000-0005-0000-0000-000065180000}"/>
    <cellStyle name="Normal 5 2 3 2 3 3 3 2" xfId="14070" xr:uid="{80252CE4-DDB4-40A4-BD51-5A1A9DA0E417}"/>
    <cellStyle name="Normal 5 2 3 2 3 3 4" xfId="9852" xr:uid="{DBCB81EF-212F-4951-8B33-65B590ED581E}"/>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16628" xr:uid="{716A09BE-56A8-4D7E-BFB1-55E447B766AA}"/>
    <cellStyle name="Normal 5 2 3 2 3 4 2 3" xfId="12410" xr:uid="{44097EF2-F23C-4044-8A15-DB85976A8076}"/>
    <cellStyle name="Normal 5 2 3 2 3 4 3" xfId="6041" xr:uid="{00000000-0005-0000-0000-000069180000}"/>
    <cellStyle name="Normal 5 2 3 2 3 4 3 2" xfId="14483" xr:uid="{CDB0A222-87D6-49ED-B197-3745BAEE974D}"/>
    <cellStyle name="Normal 5 2 3 2 3 4 4" xfId="10265" xr:uid="{607D7CF7-B525-4D8A-B5C7-298DDDA6FF5F}"/>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17041" xr:uid="{CE69B968-A892-4786-949A-46ADB3F2D39F}"/>
    <cellStyle name="Normal 5 2 3 2 3 5 2 3" xfId="12823" xr:uid="{D90FE3E1-4E17-4EE2-A263-6C080094C828}"/>
    <cellStyle name="Normal 5 2 3 2 3 5 3" xfId="6454" xr:uid="{00000000-0005-0000-0000-00006D180000}"/>
    <cellStyle name="Normal 5 2 3 2 3 5 3 2" xfId="14896" xr:uid="{C9717DEE-D01C-45B7-B2E5-AB316E74C269}"/>
    <cellStyle name="Normal 5 2 3 2 3 5 4" xfId="10678" xr:uid="{EC1CA1FC-B443-41C8-8A64-6EC2BA24D8B4}"/>
    <cellStyle name="Normal 5 2 3 2 3 6" xfId="2583" xr:uid="{00000000-0005-0000-0000-00006E180000}"/>
    <cellStyle name="Normal 5 2 3 2 3 6 2" xfId="6867" xr:uid="{00000000-0005-0000-0000-00006F180000}"/>
    <cellStyle name="Normal 5 2 3 2 3 6 2 2" xfId="15309" xr:uid="{99DD84D9-CF70-4ABC-9829-A77654E8D6D8}"/>
    <cellStyle name="Normal 5 2 3 2 3 6 3" xfId="11091" xr:uid="{51014A01-39E4-406B-A4C2-74EAB4BB6F1E}"/>
    <cellStyle name="Normal 5 2 3 2 3 7" xfId="4802" xr:uid="{00000000-0005-0000-0000-000070180000}"/>
    <cellStyle name="Normal 5 2 3 2 3 7 2" xfId="13244" xr:uid="{6522A2AA-0DCF-4B7A-B558-E39B335DEB11}"/>
    <cellStyle name="Normal 5 2 3 2 3 8" xfId="9026" xr:uid="{117599FE-119A-4FC1-A181-E7B513BDE3D2}"/>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15799" xr:uid="{4A27E104-13D1-4AF6-A340-63D6EDAE4D9C}"/>
    <cellStyle name="Normal 5 2 3 2 4 2 3" xfId="11581" xr:uid="{FD234F0D-9BF7-41BE-A69D-E81CB67A6528}"/>
    <cellStyle name="Normal 5 2 3 2 4 3" xfId="5212" xr:uid="{00000000-0005-0000-0000-000074180000}"/>
    <cellStyle name="Normal 5 2 3 2 4 3 2" xfId="13654" xr:uid="{365AEB28-F23A-4116-A753-49B87D2F590D}"/>
    <cellStyle name="Normal 5 2 3 2 4 4" xfId="9436" xr:uid="{C6606AA8-0EAF-44A8-8867-785A7B065357}"/>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16212" xr:uid="{EFB92959-694B-4619-8EE3-B326C647136A}"/>
    <cellStyle name="Normal 5 2 3 2 5 2 3" xfId="11994" xr:uid="{C533F2AB-6B00-414C-98DB-F0AD05C3D3E9}"/>
    <cellStyle name="Normal 5 2 3 2 5 3" xfId="5625" xr:uid="{00000000-0005-0000-0000-000078180000}"/>
    <cellStyle name="Normal 5 2 3 2 5 3 2" xfId="14067" xr:uid="{D9DB363A-CAC0-49D8-8766-57F0D0BAF7E1}"/>
    <cellStyle name="Normal 5 2 3 2 5 4" xfId="9849" xr:uid="{D46D6814-33AE-4362-A741-B403EFFD4F29}"/>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16625" xr:uid="{3713B10A-412C-441C-9975-515F20F29442}"/>
    <cellStyle name="Normal 5 2 3 2 6 2 3" xfId="12407" xr:uid="{655DCD96-8D8C-4E7C-B094-5E0B9B5006E6}"/>
    <cellStyle name="Normal 5 2 3 2 6 3" xfId="6038" xr:uid="{00000000-0005-0000-0000-00007C180000}"/>
    <cellStyle name="Normal 5 2 3 2 6 3 2" xfId="14480" xr:uid="{CA8FEB9A-4730-4D18-B05C-F2B5730B8472}"/>
    <cellStyle name="Normal 5 2 3 2 6 4" xfId="10262" xr:uid="{95440B8C-E599-4095-9EB0-42F1A356CA1E}"/>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17038" xr:uid="{824EF5EA-1880-4035-837F-FD0AEFEFA917}"/>
    <cellStyle name="Normal 5 2 3 2 7 2 3" xfId="12820" xr:uid="{D4606B32-54C3-4930-B7A5-72D3C7E2A2AE}"/>
    <cellStyle name="Normal 5 2 3 2 7 3" xfId="6451" xr:uid="{00000000-0005-0000-0000-000080180000}"/>
    <cellStyle name="Normal 5 2 3 2 7 3 2" xfId="14893" xr:uid="{9CFDF08D-7DDF-4E7C-A7BE-F577B866C9A4}"/>
    <cellStyle name="Normal 5 2 3 2 7 4" xfId="10675" xr:uid="{C8ED7025-1F4C-4F9E-AB66-8D5787EBA5DA}"/>
    <cellStyle name="Normal 5 2 3 2 8" xfId="2580" xr:uid="{00000000-0005-0000-0000-000081180000}"/>
    <cellStyle name="Normal 5 2 3 2 8 2" xfId="6864" xr:uid="{00000000-0005-0000-0000-000082180000}"/>
    <cellStyle name="Normal 5 2 3 2 8 2 2" xfId="15306" xr:uid="{96DFF943-C603-4614-B0B1-0D6254EDEBB5}"/>
    <cellStyle name="Normal 5 2 3 2 8 3" xfId="11088" xr:uid="{F61670E2-1995-4A2E-B878-9C7B043910B3}"/>
    <cellStyle name="Normal 5 2 3 2 9" xfId="4799" xr:uid="{00000000-0005-0000-0000-000083180000}"/>
    <cellStyle name="Normal 5 2 3 2 9 2" xfId="13241" xr:uid="{9EA626EB-BB40-4F42-88FD-1554B26FDCE4}"/>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15804" xr:uid="{910EF2A5-54A9-4FCA-BD23-31DF5D096357}"/>
    <cellStyle name="Normal 5 2 3 3 2 2 2 3" xfId="11586" xr:uid="{494C43B5-8F1E-48CF-9787-4EB2BE3CB110}"/>
    <cellStyle name="Normal 5 2 3 3 2 2 3" xfId="5217" xr:uid="{00000000-0005-0000-0000-000089180000}"/>
    <cellStyle name="Normal 5 2 3 3 2 2 3 2" xfId="13659" xr:uid="{2EA14AE3-9C9D-4DC3-80D7-FA0335F0A5BF}"/>
    <cellStyle name="Normal 5 2 3 3 2 2 4" xfId="9441" xr:uid="{AC826FCD-7443-4421-9852-5062661BA24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16217" xr:uid="{02270AE3-9CA9-4CD0-8255-63424E6ADBD9}"/>
    <cellStyle name="Normal 5 2 3 3 2 3 2 3" xfId="11999" xr:uid="{CBB37DC8-E8AA-4400-ACAA-52F9964663D0}"/>
    <cellStyle name="Normal 5 2 3 3 2 3 3" xfId="5630" xr:uid="{00000000-0005-0000-0000-00008D180000}"/>
    <cellStyle name="Normal 5 2 3 3 2 3 3 2" xfId="14072" xr:uid="{767C1CDB-E334-4FC1-95BD-2B4DE2D934A1}"/>
    <cellStyle name="Normal 5 2 3 3 2 3 4" xfId="9854" xr:uid="{12BA0467-E573-41DA-BA16-E4F2D1463B2C}"/>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16630" xr:uid="{26087362-5C93-49D5-A71C-53F65652A0E8}"/>
    <cellStyle name="Normal 5 2 3 3 2 4 2 3" xfId="12412" xr:uid="{7FDBBCD7-38CC-4733-92F8-EFBF68E0518A}"/>
    <cellStyle name="Normal 5 2 3 3 2 4 3" xfId="6043" xr:uid="{00000000-0005-0000-0000-000091180000}"/>
    <cellStyle name="Normal 5 2 3 3 2 4 3 2" xfId="14485" xr:uid="{06490743-2E22-4CCB-A676-CA88E5164794}"/>
    <cellStyle name="Normal 5 2 3 3 2 4 4" xfId="10267" xr:uid="{43B2F3C3-4661-428B-A911-48D2AF851984}"/>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17043" xr:uid="{8E7E40E5-98E4-4438-80E6-36B47100D827}"/>
    <cellStyle name="Normal 5 2 3 3 2 5 2 3" xfId="12825" xr:uid="{40BB68B9-7C3B-4640-8505-C17CB0583A94}"/>
    <cellStyle name="Normal 5 2 3 3 2 5 3" xfId="6456" xr:uid="{00000000-0005-0000-0000-000095180000}"/>
    <cellStyle name="Normal 5 2 3 3 2 5 3 2" xfId="14898" xr:uid="{1FEA163C-91FA-4EA7-9F0D-D19FA2A30714}"/>
    <cellStyle name="Normal 5 2 3 3 2 5 4" xfId="10680" xr:uid="{E3A11A85-ADF2-486C-AF13-E084092258B9}"/>
    <cellStyle name="Normal 5 2 3 3 2 6" xfId="2585" xr:uid="{00000000-0005-0000-0000-000096180000}"/>
    <cellStyle name="Normal 5 2 3 3 2 6 2" xfId="6869" xr:uid="{00000000-0005-0000-0000-000097180000}"/>
    <cellStyle name="Normal 5 2 3 3 2 6 2 2" xfId="15311" xr:uid="{ED8C4E0D-7F7E-4702-A8D6-1B8D5FA76E51}"/>
    <cellStyle name="Normal 5 2 3 3 2 6 3" xfId="11093" xr:uid="{427B115F-0157-4057-91DE-E57332D14D9B}"/>
    <cellStyle name="Normal 5 2 3 3 2 7" xfId="4804" xr:uid="{00000000-0005-0000-0000-000098180000}"/>
    <cellStyle name="Normal 5 2 3 3 2 7 2" xfId="13246" xr:uid="{2A5EA61C-1854-48C1-9C1D-F119AC81BCD2}"/>
    <cellStyle name="Normal 5 2 3 3 2 8" xfId="9028" xr:uid="{65D47A58-DFA0-46A4-8811-FAC7D38ADFDA}"/>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15803" xr:uid="{CBB8448F-831B-444F-B644-ED44B663481D}"/>
    <cellStyle name="Normal 5 2 3 3 3 2 3" xfId="11585" xr:uid="{AA3C7E96-2FC9-484B-81BA-24DED6966235}"/>
    <cellStyle name="Normal 5 2 3 3 3 3" xfId="5216" xr:uid="{00000000-0005-0000-0000-00009C180000}"/>
    <cellStyle name="Normal 5 2 3 3 3 3 2" xfId="13658" xr:uid="{BAE54436-F512-438E-B64B-E85EA377E2D3}"/>
    <cellStyle name="Normal 5 2 3 3 3 4" xfId="9440" xr:uid="{5936CE0A-53C6-43BA-88CD-2B339923EAF6}"/>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16216" xr:uid="{5AD963AF-3BE2-46BC-8C93-192A71FB3531}"/>
    <cellStyle name="Normal 5 2 3 3 4 2 3" xfId="11998" xr:uid="{EFF4E704-EE7C-4C91-86A0-7F6B3C12E2EC}"/>
    <cellStyle name="Normal 5 2 3 3 4 3" xfId="5629" xr:uid="{00000000-0005-0000-0000-0000A0180000}"/>
    <cellStyle name="Normal 5 2 3 3 4 3 2" xfId="14071" xr:uid="{0B6835C1-4BA0-43B4-B84E-A7FA1DC4A335}"/>
    <cellStyle name="Normal 5 2 3 3 4 4" xfId="9853" xr:uid="{569F880D-D0BC-435E-BEC9-5E6AC77BFDFB}"/>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16629" xr:uid="{507E80DD-E591-4AA2-98A6-671F8485740B}"/>
    <cellStyle name="Normal 5 2 3 3 5 2 3" xfId="12411" xr:uid="{97BF22EB-0E7E-415C-ADD1-C78B21477456}"/>
    <cellStyle name="Normal 5 2 3 3 5 3" xfId="6042" xr:uid="{00000000-0005-0000-0000-0000A4180000}"/>
    <cellStyle name="Normal 5 2 3 3 5 3 2" xfId="14484" xr:uid="{53D2BA32-E5BB-4151-AC20-CDDB984CEBE0}"/>
    <cellStyle name="Normal 5 2 3 3 5 4" xfId="10266" xr:uid="{5D62FD36-DDAF-4E19-B937-38EF03E8D0D9}"/>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17042" xr:uid="{B30BFE43-D93F-4B81-A272-55E9E90D5F1B}"/>
    <cellStyle name="Normal 5 2 3 3 6 2 3" xfId="12824" xr:uid="{1C04CD55-7EEE-4ADB-807F-D59D4C2FFEC5}"/>
    <cellStyle name="Normal 5 2 3 3 6 3" xfId="6455" xr:uid="{00000000-0005-0000-0000-0000A8180000}"/>
    <cellStyle name="Normal 5 2 3 3 6 3 2" xfId="14897" xr:uid="{87D31C50-DA6F-4CCD-B31F-0C33F43BAE3F}"/>
    <cellStyle name="Normal 5 2 3 3 6 4" xfId="10679" xr:uid="{C3E6FD72-C9B5-474A-AE98-C747B241CAF9}"/>
    <cellStyle name="Normal 5 2 3 3 7" xfId="2584" xr:uid="{00000000-0005-0000-0000-0000A9180000}"/>
    <cellStyle name="Normal 5 2 3 3 7 2" xfId="6868" xr:uid="{00000000-0005-0000-0000-0000AA180000}"/>
    <cellStyle name="Normal 5 2 3 3 7 2 2" xfId="15310" xr:uid="{47E7B64D-F6DF-4914-A8BB-636B3FE2700A}"/>
    <cellStyle name="Normal 5 2 3 3 7 3" xfId="11092" xr:uid="{4B125F55-FD9B-445F-A453-AA0DF8C8723F}"/>
    <cellStyle name="Normal 5 2 3 3 8" xfId="4803" xr:uid="{00000000-0005-0000-0000-0000AB180000}"/>
    <cellStyle name="Normal 5 2 3 3 8 2" xfId="13245" xr:uid="{85A4F05C-9AE7-4574-B5BE-D72118A75E8B}"/>
    <cellStyle name="Normal 5 2 3 3 9" xfId="9027" xr:uid="{FC4EC969-2A82-4B49-9B69-E2FDFB75D917}"/>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15805" xr:uid="{5924043B-3F20-48B5-B1B1-1C3724665CCB}"/>
    <cellStyle name="Normal 5 2 3 4 2 2 3" xfId="11587" xr:uid="{B432283D-0D1E-4FA6-B0CF-394402E3C85F}"/>
    <cellStyle name="Normal 5 2 3 4 2 3" xfId="5218" xr:uid="{00000000-0005-0000-0000-0000B0180000}"/>
    <cellStyle name="Normal 5 2 3 4 2 3 2" xfId="13660" xr:uid="{271601E2-5C02-4C14-81BB-17C56DC4A315}"/>
    <cellStyle name="Normal 5 2 3 4 2 4" xfId="9442" xr:uid="{2901D5A8-BF18-48FE-B517-2F0A1F548991}"/>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16218" xr:uid="{4E5524B9-90FD-497C-9AA1-266DE6E0203E}"/>
    <cellStyle name="Normal 5 2 3 4 3 2 3" xfId="12000" xr:uid="{0071CB2E-45E1-4CFA-8266-1C2CF18BB905}"/>
    <cellStyle name="Normal 5 2 3 4 3 3" xfId="5631" xr:uid="{00000000-0005-0000-0000-0000B4180000}"/>
    <cellStyle name="Normal 5 2 3 4 3 3 2" xfId="14073" xr:uid="{0C58B3DE-EBCB-4581-BF7C-321C69A22E87}"/>
    <cellStyle name="Normal 5 2 3 4 3 4" xfId="9855" xr:uid="{0DECBA08-D14D-4BAF-B200-CC5EC3566C5F}"/>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16631" xr:uid="{5F2A82D0-4FCC-44C4-B7A7-F822A14EE4BD}"/>
    <cellStyle name="Normal 5 2 3 4 4 2 3" xfId="12413" xr:uid="{43191FDE-A2F4-4735-AFA1-9F76FAEC10D1}"/>
    <cellStyle name="Normal 5 2 3 4 4 3" xfId="6044" xr:uid="{00000000-0005-0000-0000-0000B8180000}"/>
    <cellStyle name="Normal 5 2 3 4 4 3 2" xfId="14486" xr:uid="{FC2999EB-CDD3-4AB7-B713-17FE82B0E61F}"/>
    <cellStyle name="Normal 5 2 3 4 4 4" xfId="10268" xr:uid="{8B610077-DEE3-41A5-B6E9-102E217B8D53}"/>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17044" xr:uid="{C8F22AE1-0FE2-4545-976D-A2EDAE006E34}"/>
    <cellStyle name="Normal 5 2 3 4 5 2 3" xfId="12826" xr:uid="{21C5501B-3AE9-433C-969F-02601EA176FE}"/>
    <cellStyle name="Normal 5 2 3 4 5 3" xfId="6457" xr:uid="{00000000-0005-0000-0000-0000BC180000}"/>
    <cellStyle name="Normal 5 2 3 4 5 3 2" xfId="14899" xr:uid="{AFEAA15A-4F14-43B1-8F74-6B781FC88BDB}"/>
    <cellStyle name="Normal 5 2 3 4 5 4" xfId="10681" xr:uid="{07A1F1B5-CCB6-4675-9497-935EE828CAA0}"/>
    <cellStyle name="Normal 5 2 3 4 6" xfId="2586" xr:uid="{00000000-0005-0000-0000-0000BD180000}"/>
    <cellStyle name="Normal 5 2 3 4 6 2" xfId="6870" xr:uid="{00000000-0005-0000-0000-0000BE180000}"/>
    <cellStyle name="Normal 5 2 3 4 6 2 2" xfId="15312" xr:uid="{EAF51BDC-E4CB-416C-B68A-3A5163796C07}"/>
    <cellStyle name="Normal 5 2 3 4 6 3" xfId="11094" xr:uid="{70D2058D-3071-4093-83B9-62214C54A425}"/>
    <cellStyle name="Normal 5 2 3 4 7" xfId="4805" xr:uid="{00000000-0005-0000-0000-0000BF180000}"/>
    <cellStyle name="Normal 5 2 3 4 7 2" xfId="13247" xr:uid="{187348A7-D972-4BBD-B533-CAA31BC14500}"/>
    <cellStyle name="Normal 5 2 3 4 8" xfId="9029" xr:uid="{37EA1422-2003-4D13-9A05-0C68A1F5B57C}"/>
    <cellStyle name="Normal 5 2 3 5" xfId="898" xr:uid="{00000000-0005-0000-0000-0000C0180000}"/>
    <cellStyle name="Normal 5 2 3 5 2" xfId="3133" xr:uid="{00000000-0005-0000-0000-0000C1180000}"/>
    <cellStyle name="Normal 5 2 3 5 2 2" xfId="7356" xr:uid="{00000000-0005-0000-0000-0000C2180000}"/>
    <cellStyle name="Normal 5 2 3 5 2 2 2" xfId="15798" xr:uid="{C7B7299D-7EDF-40BD-B480-8C7F02C7B8D9}"/>
    <cellStyle name="Normal 5 2 3 5 2 3" xfId="11580" xr:uid="{C3858950-B013-4B11-86CE-E8BC1EB2B0F7}"/>
    <cellStyle name="Normal 5 2 3 5 3" xfId="5211" xr:uid="{00000000-0005-0000-0000-0000C3180000}"/>
    <cellStyle name="Normal 5 2 3 5 3 2" xfId="13653" xr:uid="{E0F8CAB1-161A-46CB-B45F-DCDD633826E4}"/>
    <cellStyle name="Normal 5 2 3 5 4" xfId="9435" xr:uid="{16723A73-3E22-4959-BF25-4659D0B9C66A}"/>
    <cellStyle name="Normal 5 2 3 6" xfId="1316" xr:uid="{00000000-0005-0000-0000-0000C4180000}"/>
    <cellStyle name="Normal 5 2 3 6 2" xfId="3546" xr:uid="{00000000-0005-0000-0000-0000C5180000}"/>
    <cellStyle name="Normal 5 2 3 6 2 2" xfId="7769" xr:uid="{00000000-0005-0000-0000-0000C6180000}"/>
    <cellStyle name="Normal 5 2 3 6 2 2 2" xfId="16211" xr:uid="{5867A2CB-01F8-46CE-9810-3C45AEF7D148}"/>
    <cellStyle name="Normal 5 2 3 6 2 3" xfId="11993" xr:uid="{A7279391-494C-4FBC-9294-83509755E2FE}"/>
    <cellStyle name="Normal 5 2 3 6 3" xfId="5624" xr:uid="{00000000-0005-0000-0000-0000C7180000}"/>
    <cellStyle name="Normal 5 2 3 6 3 2" xfId="14066" xr:uid="{6CCEEC24-B9AC-470B-8D93-FCAC070D54B9}"/>
    <cellStyle name="Normal 5 2 3 6 4" xfId="9848" xr:uid="{3BAB7174-F74C-4864-BF83-56698FF29219}"/>
    <cellStyle name="Normal 5 2 3 7" xfId="1729" xr:uid="{00000000-0005-0000-0000-0000C8180000}"/>
    <cellStyle name="Normal 5 2 3 7 2" xfId="3959" xr:uid="{00000000-0005-0000-0000-0000C9180000}"/>
    <cellStyle name="Normal 5 2 3 7 2 2" xfId="8182" xr:uid="{00000000-0005-0000-0000-0000CA180000}"/>
    <cellStyle name="Normal 5 2 3 7 2 2 2" xfId="16624" xr:uid="{B24C8CE0-5C52-42BF-84F8-CEFDE096C022}"/>
    <cellStyle name="Normal 5 2 3 7 2 3" xfId="12406" xr:uid="{9B86CD1B-E494-4923-A6CC-5A044A2CD298}"/>
    <cellStyle name="Normal 5 2 3 7 3" xfId="6037" xr:uid="{00000000-0005-0000-0000-0000CB180000}"/>
    <cellStyle name="Normal 5 2 3 7 3 2" xfId="14479" xr:uid="{9E17A94A-61D1-406C-8F04-2F1C5DFE5616}"/>
    <cellStyle name="Normal 5 2 3 7 4" xfId="10261" xr:uid="{1B26688D-7287-4BA8-82DF-9183E0D5457F}"/>
    <cellStyle name="Normal 5 2 3 8" xfId="2143" xr:uid="{00000000-0005-0000-0000-0000CC180000}"/>
    <cellStyle name="Normal 5 2 3 8 2" xfId="4372" xr:uid="{00000000-0005-0000-0000-0000CD180000}"/>
    <cellStyle name="Normal 5 2 3 8 2 2" xfId="8595" xr:uid="{00000000-0005-0000-0000-0000CE180000}"/>
    <cellStyle name="Normal 5 2 3 8 2 2 2" xfId="17037" xr:uid="{0E94AF96-E72A-493F-A22F-6D14718D865B}"/>
    <cellStyle name="Normal 5 2 3 8 2 3" xfId="12819" xr:uid="{0FA2ECD8-0714-4E46-9F1B-E06B2EE980FE}"/>
    <cellStyle name="Normal 5 2 3 8 3" xfId="6450" xr:uid="{00000000-0005-0000-0000-0000CF180000}"/>
    <cellStyle name="Normal 5 2 3 8 3 2" xfId="14892" xr:uid="{C14DB933-2933-4AE7-A238-999497ABE8F3}"/>
    <cellStyle name="Normal 5 2 3 8 4" xfId="10674" xr:uid="{44054DE1-911E-45C2-B832-92F3D635E40B}"/>
    <cellStyle name="Normal 5 2 3 9" xfId="2579" xr:uid="{00000000-0005-0000-0000-0000D0180000}"/>
    <cellStyle name="Normal 5 2 3 9 2" xfId="6863" xr:uid="{00000000-0005-0000-0000-0000D1180000}"/>
    <cellStyle name="Normal 5 2 3 9 2 2" xfId="15305" xr:uid="{90FB884E-8A53-4288-A00E-76B6E47A32FB}"/>
    <cellStyle name="Normal 5 2 3 9 3" xfId="11087" xr:uid="{6FD9FC68-9C03-41B3-BCB8-2E941E640AA9}"/>
    <cellStyle name="Normal 5 2 4" xfId="432" xr:uid="{00000000-0005-0000-0000-0000D2180000}"/>
    <cellStyle name="Normal 5 2 4 10" xfId="9030" xr:uid="{8AE77785-DE1A-4E1A-BCAE-2427E367A937}"/>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15808" xr:uid="{08A78FE3-04F8-4007-83AA-A5AB53DAF419}"/>
    <cellStyle name="Normal 5 2 4 2 2 2 2 3" xfId="11590" xr:uid="{E6BAFE33-C19C-4AA8-8592-640A795FEAA2}"/>
    <cellStyle name="Normal 5 2 4 2 2 2 3" xfId="5221" xr:uid="{00000000-0005-0000-0000-0000D8180000}"/>
    <cellStyle name="Normal 5 2 4 2 2 2 3 2" xfId="13663" xr:uid="{39D2A5A7-E2E5-4AFA-97BE-66F2FE3A94E4}"/>
    <cellStyle name="Normal 5 2 4 2 2 2 4" xfId="9445" xr:uid="{86FF72FC-C610-41B0-BB3A-9B99FEDD86DC}"/>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16221" xr:uid="{9B418AE4-D2AD-44BA-9C02-4F95FB9EE700}"/>
    <cellStyle name="Normal 5 2 4 2 2 3 2 3" xfId="12003" xr:uid="{4A0347A5-9186-498B-ABD5-C8BF65FFF5F9}"/>
    <cellStyle name="Normal 5 2 4 2 2 3 3" xfId="5634" xr:uid="{00000000-0005-0000-0000-0000DC180000}"/>
    <cellStyle name="Normal 5 2 4 2 2 3 3 2" xfId="14076" xr:uid="{E5CBA4AA-2D1C-49ED-B775-ED80FFE4A273}"/>
    <cellStyle name="Normal 5 2 4 2 2 3 4" xfId="9858" xr:uid="{50D639AC-499E-45BF-AF1B-C325BE1B9E48}"/>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16634" xr:uid="{1A5E805D-AF63-46FE-BA57-3D691C2E47E5}"/>
    <cellStyle name="Normal 5 2 4 2 2 4 2 3" xfId="12416" xr:uid="{9826D4CD-9BF5-4380-BF30-1886D7B4E240}"/>
    <cellStyle name="Normal 5 2 4 2 2 4 3" xfId="6047" xr:uid="{00000000-0005-0000-0000-0000E0180000}"/>
    <cellStyle name="Normal 5 2 4 2 2 4 3 2" xfId="14489" xr:uid="{CD348464-1C22-4460-A8D2-331BD09045BA}"/>
    <cellStyle name="Normal 5 2 4 2 2 4 4" xfId="10271" xr:uid="{A69E3B48-E9A7-47B5-A5A0-D479E171539C}"/>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17047" xr:uid="{B63BE682-BE26-4D70-B145-5CB342A33E3D}"/>
    <cellStyle name="Normal 5 2 4 2 2 5 2 3" xfId="12829" xr:uid="{4EA7C558-A372-4A59-BC31-2B6C801220D6}"/>
    <cellStyle name="Normal 5 2 4 2 2 5 3" xfId="6460" xr:uid="{00000000-0005-0000-0000-0000E4180000}"/>
    <cellStyle name="Normal 5 2 4 2 2 5 3 2" xfId="14902" xr:uid="{A531F7E6-8B5E-484A-99FA-21563041FA3F}"/>
    <cellStyle name="Normal 5 2 4 2 2 5 4" xfId="10684" xr:uid="{EECAF0B5-BA82-4AE3-9D28-974593B52CBB}"/>
    <cellStyle name="Normal 5 2 4 2 2 6" xfId="2589" xr:uid="{00000000-0005-0000-0000-0000E5180000}"/>
    <cellStyle name="Normal 5 2 4 2 2 6 2" xfId="6873" xr:uid="{00000000-0005-0000-0000-0000E6180000}"/>
    <cellStyle name="Normal 5 2 4 2 2 6 2 2" xfId="15315" xr:uid="{E2534DE7-3FE4-4BB8-A3DD-2A7D02656D53}"/>
    <cellStyle name="Normal 5 2 4 2 2 6 3" xfId="11097" xr:uid="{2BC295B8-4512-4395-BB76-29117A1F5D13}"/>
    <cellStyle name="Normal 5 2 4 2 2 7" xfId="4808" xr:uid="{00000000-0005-0000-0000-0000E7180000}"/>
    <cellStyle name="Normal 5 2 4 2 2 7 2" xfId="13250" xr:uid="{A69D34E7-CE84-46D9-80B7-4C314A8B282A}"/>
    <cellStyle name="Normal 5 2 4 2 2 8" xfId="9032" xr:uid="{7489DA24-CB3B-4CDE-B8DA-CD2712394BF3}"/>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15807" xr:uid="{75E9111A-8B05-4D16-B08D-9DBD6DF144E6}"/>
    <cellStyle name="Normal 5 2 4 2 3 2 3" xfId="11589" xr:uid="{2C822A1C-72C6-41DB-ACA8-25C80331F362}"/>
    <cellStyle name="Normal 5 2 4 2 3 3" xfId="5220" xr:uid="{00000000-0005-0000-0000-0000EB180000}"/>
    <cellStyle name="Normal 5 2 4 2 3 3 2" xfId="13662" xr:uid="{25F0A1B0-B9B1-4FD4-8EB3-0B76BF60B2A0}"/>
    <cellStyle name="Normal 5 2 4 2 3 4" xfId="9444" xr:uid="{EF2D2691-504D-4D9B-85F4-A65C39B044C9}"/>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16220" xr:uid="{31272A62-B022-4ED5-A3F4-7EBEEAFDE7F2}"/>
    <cellStyle name="Normal 5 2 4 2 4 2 3" xfId="12002" xr:uid="{002085C5-8AB4-4179-9FC5-C9C9FB9419F0}"/>
    <cellStyle name="Normal 5 2 4 2 4 3" xfId="5633" xr:uid="{00000000-0005-0000-0000-0000EF180000}"/>
    <cellStyle name="Normal 5 2 4 2 4 3 2" xfId="14075" xr:uid="{63E65A44-916D-4572-B6EB-908C05B63E46}"/>
    <cellStyle name="Normal 5 2 4 2 4 4" xfId="9857" xr:uid="{473E3FDB-FD1C-4953-B09E-4A9794F6D879}"/>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16633" xr:uid="{5FCF1F01-2FD4-4E68-8E41-B4587839F031}"/>
    <cellStyle name="Normal 5 2 4 2 5 2 3" xfId="12415" xr:uid="{1183C007-1CCE-4974-A407-7B0493BC51C7}"/>
    <cellStyle name="Normal 5 2 4 2 5 3" xfId="6046" xr:uid="{00000000-0005-0000-0000-0000F3180000}"/>
    <cellStyle name="Normal 5 2 4 2 5 3 2" xfId="14488" xr:uid="{3A261CD1-3CA6-48BC-A13F-21C06D443638}"/>
    <cellStyle name="Normal 5 2 4 2 5 4" xfId="10270" xr:uid="{EC22606C-892A-46EA-A0F1-B6B1590DF33A}"/>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17046" xr:uid="{6F2BC372-A759-46F3-BB69-72E441D7825B}"/>
    <cellStyle name="Normal 5 2 4 2 6 2 3" xfId="12828" xr:uid="{B06C1FE8-D651-4B23-A504-B4ADBF46F8E5}"/>
    <cellStyle name="Normal 5 2 4 2 6 3" xfId="6459" xr:uid="{00000000-0005-0000-0000-0000F7180000}"/>
    <cellStyle name="Normal 5 2 4 2 6 3 2" xfId="14901" xr:uid="{236C2360-21CC-430F-BAC4-BA46B89A9B4D}"/>
    <cellStyle name="Normal 5 2 4 2 6 4" xfId="10683" xr:uid="{A148991C-A629-482C-838B-8C9A45953F62}"/>
    <cellStyle name="Normal 5 2 4 2 7" xfId="2588" xr:uid="{00000000-0005-0000-0000-0000F8180000}"/>
    <cellStyle name="Normal 5 2 4 2 7 2" xfId="6872" xr:uid="{00000000-0005-0000-0000-0000F9180000}"/>
    <cellStyle name="Normal 5 2 4 2 7 2 2" xfId="15314" xr:uid="{1A210616-9E67-4903-85B5-16D2438E3881}"/>
    <cellStyle name="Normal 5 2 4 2 7 3" xfId="11096" xr:uid="{3ACA2742-AB1C-451F-8904-4EFAD7E0B938}"/>
    <cellStyle name="Normal 5 2 4 2 8" xfId="4807" xr:uid="{00000000-0005-0000-0000-0000FA180000}"/>
    <cellStyle name="Normal 5 2 4 2 8 2" xfId="13249" xr:uid="{BF06AC1C-75B3-4950-A0E3-A2D92EC32F16}"/>
    <cellStyle name="Normal 5 2 4 2 9" xfId="9031" xr:uid="{F75E43DE-D800-4E70-B960-7F681607A448}"/>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15809" xr:uid="{0334D7AF-8A77-4A11-BCE0-1C9CDF6C3DED}"/>
    <cellStyle name="Normal 5 2 4 3 2 2 3" xfId="11591" xr:uid="{CAF38F2F-B663-4FF8-919F-B545DAD46984}"/>
    <cellStyle name="Normal 5 2 4 3 2 3" xfId="5222" xr:uid="{00000000-0005-0000-0000-0000FF180000}"/>
    <cellStyle name="Normal 5 2 4 3 2 3 2" xfId="13664" xr:uid="{A7B3121A-BE90-4C8F-ADF6-E204AFA4CA10}"/>
    <cellStyle name="Normal 5 2 4 3 2 4" xfId="9446" xr:uid="{18E3DC4B-6163-4915-B86B-08646D148B86}"/>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16222" xr:uid="{7F239081-A90E-4887-8989-281C067F9773}"/>
    <cellStyle name="Normal 5 2 4 3 3 2 3" xfId="12004" xr:uid="{97BC1AEA-9B92-4618-A240-515246A5D504}"/>
    <cellStyle name="Normal 5 2 4 3 3 3" xfId="5635" xr:uid="{00000000-0005-0000-0000-000003190000}"/>
    <cellStyle name="Normal 5 2 4 3 3 3 2" xfId="14077" xr:uid="{C775373E-0DC6-4090-B9D7-9164D1296EE7}"/>
    <cellStyle name="Normal 5 2 4 3 3 4" xfId="9859" xr:uid="{9E883855-7088-474F-99D6-86B23ED88895}"/>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16635" xr:uid="{5A5DE1C6-37C7-450D-AEDB-D449F7DF1047}"/>
    <cellStyle name="Normal 5 2 4 3 4 2 3" xfId="12417" xr:uid="{232FF3F1-B4CC-42AD-A7FD-9345055564A9}"/>
    <cellStyle name="Normal 5 2 4 3 4 3" xfId="6048" xr:uid="{00000000-0005-0000-0000-000007190000}"/>
    <cellStyle name="Normal 5 2 4 3 4 3 2" xfId="14490" xr:uid="{13893639-EE19-49DD-A86A-8C3E219E8A54}"/>
    <cellStyle name="Normal 5 2 4 3 4 4" xfId="10272" xr:uid="{80CFC6A7-4E29-436A-BBB9-0FED97340C48}"/>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17048" xr:uid="{F572500B-1FD8-460F-8BA3-E7289602ECAE}"/>
    <cellStyle name="Normal 5 2 4 3 5 2 3" xfId="12830" xr:uid="{3719BA90-5361-44CC-9AD4-1A40663E43AD}"/>
    <cellStyle name="Normal 5 2 4 3 5 3" xfId="6461" xr:uid="{00000000-0005-0000-0000-00000B190000}"/>
    <cellStyle name="Normal 5 2 4 3 5 3 2" xfId="14903" xr:uid="{88343181-0BEF-412A-B1FE-625486298E2E}"/>
    <cellStyle name="Normal 5 2 4 3 5 4" xfId="10685" xr:uid="{A94EBA69-4DBC-4600-B1E2-AFE879ADBEC0}"/>
    <cellStyle name="Normal 5 2 4 3 6" xfId="2590" xr:uid="{00000000-0005-0000-0000-00000C190000}"/>
    <cellStyle name="Normal 5 2 4 3 6 2" xfId="6874" xr:uid="{00000000-0005-0000-0000-00000D190000}"/>
    <cellStyle name="Normal 5 2 4 3 6 2 2" xfId="15316" xr:uid="{F27C7F19-BEE3-49C7-A8EF-93F669B43955}"/>
    <cellStyle name="Normal 5 2 4 3 6 3" xfId="11098" xr:uid="{64984695-CEE7-4910-9156-9D8B97B91D3A}"/>
    <cellStyle name="Normal 5 2 4 3 7" xfId="4809" xr:uid="{00000000-0005-0000-0000-00000E190000}"/>
    <cellStyle name="Normal 5 2 4 3 7 2" xfId="13251" xr:uid="{DE519C74-728F-40E1-9CB8-2373C3A97680}"/>
    <cellStyle name="Normal 5 2 4 3 8" xfId="9033" xr:uid="{0B26820F-D019-4CEE-971A-B269541FE5D4}"/>
    <cellStyle name="Normal 5 2 4 4" xfId="906" xr:uid="{00000000-0005-0000-0000-00000F190000}"/>
    <cellStyle name="Normal 5 2 4 4 2" xfId="3141" xr:uid="{00000000-0005-0000-0000-000010190000}"/>
    <cellStyle name="Normal 5 2 4 4 2 2" xfId="7364" xr:uid="{00000000-0005-0000-0000-000011190000}"/>
    <cellStyle name="Normal 5 2 4 4 2 2 2" xfId="15806" xr:uid="{3EF7C03D-C78F-4528-B205-7672C8DFBCC7}"/>
    <cellStyle name="Normal 5 2 4 4 2 3" xfId="11588" xr:uid="{F24AD1B6-64FA-470C-B751-673CB4ED7C2B}"/>
    <cellStyle name="Normal 5 2 4 4 3" xfId="5219" xr:uid="{00000000-0005-0000-0000-000012190000}"/>
    <cellStyle name="Normal 5 2 4 4 3 2" xfId="13661" xr:uid="{7C54CEC9-14FA-460B-AA18-A22FF2B2E631}"/>
    <cellStyle name="Normal 5 2 4 4 4" xfId="9443" xr:uid="{24DB3BE0-3EF4-45CE-910A-1556C68423FE}"/>
    <cellStyle name="Normal 5 2 4 5" xfId="1324" xr:uid="{00000000-0005-0000-0000-000013190000}"/>
    <cellStyle name="Normal 5 2 4 5 2" xfId="3554" xr:uid="{00000000-0005-0000-0000-000014190000}"/>
    <cellStyle name="Normal 5 2 4 5 2 2" xfId="7777" xr:uid="{00000000-0005-0000-0000-000015190000}"/>
    <cellStyle name="Normal 5 2 4 5 2 2 2" xfId="16219" xr:uid="{82664FC7-BF7D-4B2E-8758-4E5CF9AEDB0E}"/>
    <cellStyle name="Normal 5 2 4 5 2 3" xfId="12001" xr:uid="{9C7FCA72-B978-48D5-A880-702833E36CBF}"/>
    <cellStyle name="Normal 5 2 4 5 3" xfId="5632" xr:uid="{00000000-0005-0000-0000-000016190000}"/>
    <cellStyle name="Normal 5 2 4 5 3 2" xfId="14074" xr:uid="{AD2176F3-5090-4FC4-848B-3F48E8B5AE14}"/>
    <cellStyle name="Normal 5 2 4 5 4" xfId="9856" xr:uid="{FF5BCE7F-6C2E-47D8-89C9-D56ECDDA5F50}"/>
    <cellStyle name="Normal 5 2 4 6" xfId="1737" xr:uid="{00000000-0005-0000-0000-000017190000}"/>
    <cellStyle name="Normal 5 2 4 6 2" xfId="3967" xr:uid="{00000000-0005-0000-0000-000018190000}"/>
    <cellStyle name="Normal 5 2 4 6 2 2" xfId="8190" xr:uid="{00000000-0005-0000-0000-000019190000}"/>
    <cellStyle name="Normal 5 2 4 6 2 2 2" xfId="16632" xr:uid="{49BE53BD-82A2-49AE-8D93-9F4B27E03BF4}"/>
    <cellStyle name="Normal 5 2 4 6 2 3" xfId="12414" xr:uid="{CB870736-3BD6-47C0-9782-A4AA093C9BEB}"/>
    <cellStyle name="Normal 5 2 4 6 3" xfId="6045" xr:uid="{00000000-0005-0000-0000-00001A190000}"/>
    <cellStyle name="Normal 5 2 4 6 3 2" xfId="14487" xr:uid="{A5B11908-BC82-4F99-80AC-3E67DF063591}"/>
    <cellStyle name="Normal 5 2 4 6 4" xfId="10269" xr:uid="{E8A74ED8-B2EF-421F-8776-2473B90CE8D6}"/>
    <cellStyle name="Normal 5 2 4 7" xfId="2151" xr:uid="{00000000-0005-0000-0000-00001B190000}"/>
    <cellStyle name="Normal 5 2 4 7 2" xfId="4380" xr:uid="{00000000-0005-0000-0000-00001C190000}"/>
    <cellStyle name="Normal 5 2 4 7 2 2" xfId="8603" xr:uid="{00000000-0005-0000-0000-00001D190000}"/>
    <cellStyle name="Normal 5 2 4 7 2 2 2" xfId="17045" xr:uid="{A9A162AA-04D9-46B7-8478-9339978D1871}"/>
    <cellStyle name="Normal 5 2 4 7 2 3" xfId="12827" xr:uid="{55651909-151A-40FB-B693-BDED5C4836E3}"/>
    <cellStyle name="Normal 5 2 4 7 3" xfId="6458" xr:uid="{00000000-0005-0000-0000-00001E190000}"/>
    <cellStyle name="Normal 5 2 4 7 3 2" xfId="14900" xr:uid="{AB57CEE9-06F8-4C9F-A6EF-C5C6B4C81EEF}"/>
    <cellStyle name="Normal 5 2 4 7 4" xfId="10682" xr:uid="{FE6ABB86-312A-4581-B7AE-C75DB4E623AC}"/>
    <cellStyle name="Normal 5 2 4 8" xfId="2587" xr:uid="{00000000-0005-0000-0000-00001F190000}"/>
    <cellStyle name="Normal 5 2 4 8 2" xfId="6871" xr:uid="{00000000-0005-0000-0000-000020190000}"/>
    <cellStyle name="Normal 5 2 4 8 2 2" xfId="15313" xr:uid="{2D1073BE-A1E9-4EF0-984E-FE023CD184E5}"/>
    <cellStyle name="Normal 5 2 4 8 3" xfId="11095" xr:uid="{3A7BA2C0-3D27-4F0A-9ADA-1769E67508BA}"/>
    <cellStyle name="Normal 5 2 4 9" xfId="4806" xr:uid="{00000000-0005-0000-0000-000021190000}"/>
    <cellStyle name="Normal 5 2 4 9 2" xfId="13248" xr:uid="{64025684-FAA0-4E6C-9689-606B5FB5F941}"/>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15811" xr:uid="{D0F9FE78-177C-4604-AACE-550FE5DCDC71}"/>
    <cellStyle name="Normal 5 2 5 2 2 2 3" xfId="11593" xr:uid="{D7D7E3E6-2540-4F7F-BC97-4121F07ABD42}"/>
    <cellStyle name="Normal 5 2 5 2 2 3" xfId="5224" xr:uid="{00000000-0005-0000-0000-000027190000}"/>
    <cellStyle name="Normal 5 2 5 2 2 3 2" xfId="13666" xr:uid="{47243821-CE7D-4057-8D28-CBE232203D56}"/>
    <cellStyle name="Normal 5 2 5 2 2 4" xfId="9448" xr:uid="{C84B1CFE-354F-406D-AFB5-8A849FCF4B11}"/>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16224" xr:uid="{24D2E33D-4C54-4E66-93B3-617878150D81}"/>
    <cellStyle name="Normal 5 2 5 2 3 2 3" xfId="12006" xr:uid="{C8B7C0E2-F3FD-4C74-8309-2DB1D0938F70}"/>
    <cellStyle name="Normal 5 2 5 2 3 3" xfId="5637" xr:uid="{00000000-0005-0000-0000-00002B190000}"/>
    <cellStyle name="Normal 5 2 5 2 3 3 2" xfId="14079" xr:uid="{42DBF6BB-35F0-4D25-9B4E-497C5365F5D2}"/>
    <cellStyle name="Normal 5 2 5 2 3 4" xfId="9861" xr:uid="{EE0F3CD9-DD18-4BEE-85DD-970459C96C4C}"/>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16637" xr:uid="{7261363A-9435-4420-95A5-D86851795D4F}"/>
    <cellStyle name="Normal 5 2 5 2 4 2 3" xfId="12419" xr:uid="{27059E0F-1A3F-48A7-806D-B40A9D53009C}"/>
    <cellStyle name="Normal 5 2 5 2 4 3" xfId="6050" xr:uid="{00000000-0005-0000-0000-00002F190000}"/>
    <cellStyle name="Normal 5 2 5 2 4 3 2" xfId="14492" xr:uid="{942DFEDD-1D66-440A-9543-1664D6B5E981}"/>
    <cellStyle name="Normal 5 2 5 2 4 4" xfId="10274" xr:uid="{72F39A76-5534-453A-93BA-2C198DD4DCFF}"/>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17050" xr:uid="{E072893A-A45D-417A-AA03-408C09071206}"/>
    <cellStyle name="Normal 5 2 5 2 5 2 3" xfId="12832" xr:uid="{E03B87E5-4FD7-4363-B0D4-587A5C84E601}"/>
    <cellStyle name="Normal 5 2 5 2 5 3" xfId="6463" xr:uid="{00000000-0005-0000-0000-000033190000}"/>
    <cellStyle name="Normal 5 2 5 2 5 3 2" xfId="14905" xr:uid="{E4451A21-6002-49B9-91BB-C1C79D4E550D}"/>
    <cellStyle name="Normal 5 2 5 2 5 4" xfId="10687" xr:uid="{9D6F613B-487D-4B06-961D-B342BA4A6CA3}"/>
    <cellStyle name="Normal 5 2 5 2 6" xfId="2592" xr:uid="{00000000-0005-0000-0000-000034190000}"/>
    <cellStyle name="Normal 5 2 5 2 6 2" xfId="6876" xr:uid="{00000000-0005-0000-0000-000035190000}"/>
    <cellStyle name="Normal 5 2 5 2 6 2 2" xfId="15318" xr:uid="{F6A5E626-80E7-4B6B-A718-5705B7606358}"/>
    <cellStyle name="Normal 5 2 5 2 6 3" xfId="11100" xr:uid="{E1DD6B0A-57D5-4A19-908E-746AC5F4CFF3}"/>
    <cellStyle name="Normal 5 2 5 2 7" xfId="4811" xr:uid="{00000000-0005-0000-0000-000036190000}"/>
    <cellStyle name="Normal 5 2 5 2 7 2" xfId="13253" xr:uid="{3549EFA5-E8C9-46C2-A4DF-D4B819AEF414}"/>
    <cellStyle name="Normal 5 2 5 2 8" xfId="9035" xr:uid="{88C5CE46-C308-4468-8E87-BDD86FD63086}"/>
    <cellStyle name="Normal 5 2 5 3" xfId="910" xr:uid="{00000000-0005-0000-0000-000037190000}"/>
    <cellStyle name="Normal 5 2 5 3 2" xfId="3145" xr:uid="{00000000-0005-0000-0000-000038190000}"/>
    <cellStyle name="Normal 5 2 5 3 2 2" xfId="7368" xr:uid="{00000000-0005-0000-0000-000039190000}"/>
    <cellStyle name="Normal 5 2 5 3 2 2 2" xfId="15810" xr:uid="{D242EA09-6970-4FF3-B9B6-D374091AD309}"/>
    <cellStyle name="Normal 5 2 5 3 2 3" xfId="11592" xr:uid="{1180181C-5200-4910-B49D-3BEBD06F34B9}"/>
    <cellStyle name="Normal 5 2 5 3 3" xfId="5223" xr:uid="{00000000-0005-0000-0000-00003A190000}"/>
    <cellStyle name="Normal 5 2 5 3 3 2" xfId="13665" xr:uid="{9373E39E-B603-43C2-A0B8-964BCA71A0B3}"/>
    <cellStyle name="Normal 5 2 5 3 4" xfId="9447" xr:uid="{2B048439-5A2C-4C5B-9CAD-EB70275F9044}"/>
    <cellStyle name="Normal 5 2 5 4" xfId="1328" xr:uid="{00000000-0005-0000-0000-00003B190000}"/>
    <cellStyle name="Normal 5 2 5 4 2" xfId="3558" xr:uid="{00000000-0005-0000-0000-00003C190000}"/>
    <cellStyle name="Normal 5 2 5 4 2 2" xfId="7781" xr:uid="{00000000-0005-0000-0000-00003D190000}"/>
    <cellStyle name="Normal 5 2 5 4 2 2 2" xfId="16223" xr:uid="{54CEDC7A-E48D-4B6D-B16C-3192FFAB7CA1}"/>
    <cellStyle name="Normal 5 2 5 4 2 3" xfId="12005" xr:uid="{D3A7B987-771E-4EAC-B796-2F81D37F39F3}"/>
    <cellStyle name="Normal 5 2 5 4 3" xfId="5636" xr:uid="{00000000-0005-0000-0000-00003E190000}"/>
    <cellStyle name="Normal 5 2 5 4 3 2" xfId="14078" xr:uid="{DD4FF81E-982A-4188-9A93-3D97136AFA31}"/>
    <cellStyle name="Normal 5 2 5 4 4" xfId="9860" xr:uid="{837E9A10-5BC0-4A83-8ADA-A500F3DF43C3}"/>
    <cellStyle name="Normal 5 2 5 5" xfId="1741" xr:uid="{00000000-0005-0000-0000-00003F190000}"/>
    <cellStyle name="Normal 5 2 5 5 2" xfId="3971" xr:uid="{00000000-0005-0000-0000-000040190000}"/>
    <cellStyle name="Normal 5 2 5 5 2 2" xfId="8194" xr:uid="{00000000-0005-0000-0000-000041190000}"/>
    <cellStyle name="Normal 5 2 5 5 2 2 2" xfId="16636" xr:uid="{5BC91F8F-2465-425E-92CF-A5E08AA289F6}"/>
    <cellStyle name="Normal 5 2 5 5 2 3" xfId="12418" xr:uid="{67759291-4C29-4FAD-ACED-8D1455C1BB6F}"/>
    <cellStyle name="Normal 5 2 5 5 3" xfId="6049" xr:uid="{00000000-0005-0000-0000-000042190000}"/>
    <cellStyle name="Normal 5 2 5 5 3 2" xfId="14491" xr:uid="{F8C7A966-18DB-4526-8E97-B476003FA6B3}"/>
    <cellStyle name="Normal 5 2 5 5 4" xfId="10273" xr:uid="{C2BF14F5-E33D-4FB7-9FFE-A46F4FBD1D60}"/>
    <cellStyle name="Normal 5 2 5 6" xfId="2155" xr:uid="{00000000-0005-0000-0000-000043190000}"/>
    <cellStyle name="Normal 5 2 5 6 2" xfId="4384" xr:uid="{00000000-0005-0000-0000-000044190000}"/>
    <cellStyle name="Normal 5 2 5 6 2 2" xfId="8607" xr:uid="{00000000-0005-0000-0000-000045190000}"/>
    <cellStyle name="Normal 5 2 5 6 2 2 2" xfId="17049" xr:uid="{81FD0A76-A20B-4783-9836-892F73EB6255}"/>
    <cellStyle name="Normal 5 2 5 6 2 3" xfId="12831" xr:uid="{B1C4566B-3DD1-4E9A-A52A-1450B282775F}"/>
    <cellStyle name="Normal 5 2 5 6 3" xfId="6462" xr:uid="{00000000-0005-0000-0000-000046190000}"/>
    <cellStyle name="Normal 5 2 5 6 3 2" xfId="14904" xr:uid="{F8A99D0A-87FD-40E1-BADB-EBECF57429EB}"/>
    <cellStyle name="Normal 5 2 5 6 4" xfId="10686" xr:uid="{5DB4527F-3FBD-4440-B8F3-EEA3D5FD5991}"/>
    <cellStyle name="Normal 5 2 5 7" xfId="2591" xr:uid="{00000000-0005-0000-0000-000047190000}"/>
    <cellStyle name="Normal 5 2 5 7 2" xfId="6875" xr:uid="{00000000-0005-0000-0000-000048190000}"/>
    <cellStyle name="Normal 5 2 5 7 2 2" xfId="15317" xr:uid="{03054569-B792-4B38-9232-FFB897D0C37A}"/>
    <cellStyle name="Normal 5 2 5 7 3" xfId="11099" xr:uid="{BE97331B-13BD-4DF9-BD91-CC1CC1A1E2D7}"/>
    <cellStyle name="Normal 5 2 5 8" xfId="4810" xr:uid="{00000000-0005-0000-0000-000049190000}"/>
    <cellStyle name="Normal 5 2 5 8 2" xfId="13252" xr:uid="{A89E1633-F22A-46BC-863C-6CC8251002D3}"/>
    <cellStyle name="Normal 5 2 5 9" xfId="9034" xr:uid="{764D49DD-4446-4CF7-BBB1-9572F37030E9}"/>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2 2 2" xfId="15812" xr:uid="{D843B73C-8B5A-4937-B7FD-6B5BBC14BFC1}"/>
    <cellStyle name="Normal 5 2 6 2 2 3" xfId="11594" xr:uid="{C3106DDB-A533-4A7F-B9E2-DE3631FCB79E}"/>
    <cellStyle name="Normal 5 2 6 2 3" xfId="5225" xr:uid="{00000000-0005-0000-0000-00004E190000}"/>
    <cellStyle name="Normal 5 2 6 2 3 2" xfId="13667" xr:uid="{CFEBA65B-F4FD-481C-9A4C-AEBF8030DEB3}"/>
    <cellStyle name="Normal 5 2 6 2 4" xfId="9449" xr:uid="{FDD253BE-568F-46AA-801D-A8E43B1C1A70}"/>
    <cellStyle name="Normal 5 2 6 3" xfId="1330" xr:uid="{00000000-0005-0000-0000-00004F190000}"/>
    <cellStyle name="Normal 5 2 6 3 2" xfId="3560" xr:uid="{00000000-0005-0000-0000-000050190000}"/>
    <cellStyle name="Normal 5 2 6 3 2 2" xfId="7783" xr:uid="{00000000-0005-0000-0000-000051190000}"/>
    <cellStyle name="Normal 5 2 6 3 2 2 2" xfId="16225" xr:uid="{E3998778-B3A0-49F5-808B-280C22B26E51}"/>
    <cellStyle name="Normal 5 2 6 3 2 3" xfId="12007" xr:uid="{E26964EB-B42E-4F53-98A5-D17B3AFAFD2C}"/>
    <cellStyle name="Normal 5 2 6 3 3" xfId="5638" xr:uid="{00000000-0005-0000-0000-000052190000}"/>
    <cellStyle name="Normal 5 2 6 3 3 2" xfId="14080" xr:uid="{BA29DF77-101B-4384-BF32-DEE6D25696B1}"/>
    <cellStyle name="Normal 5 2 6 3 4" xfId="9862" xr:uid="{86D185C6-C3C6-4F07-BB13-D4AAAC2449F9}"/>
    <cellStyle name="Normal 5 2 6 4" xfId="1743" xr:uid="{00000000-0005-0000-0000-000053190000}"/>
    <cellStyle name="Normal 5 2 6 4 2" xfId="3973" xr:uid="{00000000-0005-0000-0000-000054190000}"/>
    <cellStyle name="Normal 5 2 6 4 2 2" xfId="8196" xr:uid="{00000000-0005-0000-0000-000055190000}"/>
    <cellStyle name="Normal 5 2 6 4 2 2 2" xfId="16638" xr:uid="{73A36819-B782-4C62-8AF2-536AC01587FE}"/>
    <cellStyle name="Normal 5 2 6 4 2 3" xfId="12420" xr:uid="{7A8A7D7C-52BD-4A9C-8C83-05DDCB955A5A}"/>
    <cellStyle name="Normal 5 2 6 4 3" xfId="6051" xr:uid="{00000000-0005-0000-0000-000056190000}"/>
    <cellStyle name="Normal 5 2 6 4 3 2" xfId="14493" xr:uid="{CD8C12B2-6773-42DE-ACEF-C6BD267ADB82}"/>
    <cellStyle name="Normal 5 2 6 4 4" xfId="10275" xr:uid="{F67261C9-7D8A-4A5C-B3E3-DC3BF3C7C8A6}"/>
    <cellStyle name="Normal 5 2 6 5" xfId="2157" xr:uid="{00000000-0005-0000-0000-000057190000}"/>
    <cellStyle name="Normal 5 2 6 5 2" xfId="4386" xr:uid="{00000000-0005-0000-0000-000058190000}"/>
    <cellStyle name="Normal 5 2 6 5 2 2" xfId="8609" xr:uid="{00000000-0005-0000-0000-000059190000}"/>
    <cellStyle name="Normal 5 2 6 5 2 2 2" xfId="17051" xr:uid="{C2095604-1DCD-4B4E-B741-037D4587B20F}"/>
    <cellStyle name="Normal 5 2 6 5 2 3" xfId="12833" xr:uid="{134877FC-7F2D-4696-A39F-59B0F3C20698}"/>
    <cellStyle name="Normal 5 2 6 5 3" xfId="6464" xr:uid="{00000000-0005-0000-0000-00005A190000}"/>
    <cellStyle name="Normal 5 2 6 5 3 2" xfId="14906" xr:uid="{BBE9C773-A82C-4C41-82E5-73479FAD1743}"/>
    <cellStyle name="Normal 5 2 6 5 4" xfId="10688" xr:uid="{0BCD348D-DE16-4F37-AE22-A4E28B59C8D1}"/>
    <cellStyle name="Normal 5 2 6 6" xfId="2593" xr:uid="{00000000-0005-0000-0000-00005B190000}"/>
    <cellStyle name="Normal 5 2 6 6 2" xfId="6877" xr:uid="{00000000-0005-0000-0000-00005C190000}"/>
    <cellStyle name="Normal 5 2 6 6 2 2" xfId="15319" xr:uid="{68A19D42-B7B9-45B6-B2A0-6A19948441F5}"/>
    <cellStyle name="Normal 5 2 6 6 3" xfId="11101" xr:uid="{FCBF2D5A-20BD-4665-ABFC-8CF4724E7F29}"/>
    <cellStyle name="Normal 5 2 6 7" xfId="4812" xr:uid="{00000000-0005-0000-0000-00005D190000}"/>
    <cellStyle name="Normal 5 2 6 7 2" xfId="13254" xr:uid="{FF22A4BA-8017-4E24-9BEA-DD0FC6CAA06B}"/>
    <cellStyle name="Normal 5 2 6 8" xfId="9036" xr:uid="{DB99A6AE-663F-4C27-ABA9-1D79DDB311D8}"/>
    <cellStyle name="Normal 5 2 7" xfId="881" xr:uid="{00000000-0005-0000-0000-00005E190000}"/>
    <cellStyle name="Normal 5 2 7 2" xfId="3116" xr:uid="{00000000-0005-0000-0000-00005F190000}"/>
    <cellStyle name="Normal 5 2 7 2 2" xfId="7339" xr:uid="{00000000-0005-0000-0000-000060190000}"/>
    <cellStyle name="Normal 5 2 7 2 2 2" xfId="15781" xr:uid="{1109C608-90D3-48A8-95EC-4D31EDE1B09F}"/>
    <cellStyle name="Normal 5 2 7 2 3" xfId="11563" xr:uid="{C1F739DD-A536-4108-B5FA-CE5A2BD71936}"/>
    <cellStyle name="Normal 5 2 7 3" xfId="5194" xr:uid="{00000000-0005-0000-0000-000061190000}"/>
    <cellStyle name="Normal 5 2 7 3 2" xfId="13636" xr:uid="{40E18950-ED7E-4F94-A6B8-306BF8EEAD84}"/>
    <cellStyle name="Normal 5 2 7 4" xfId="9418" xr:uid="{EFFE015B-E7BF-40DB-A0AA-5DC625BA8CA2}"/>
    <cellStyle name="Normal 5 2 8" xfId="1299" xr:uid="{00000000-0005-0000-0000-000062190000}"/>
    <cellStyle name="Normal 5 2 8 2" xfId="3529" xr:uid="{00000000-0005-0000-0000-000063190000}"/>
    <cellStyle name="Normal 5 2 8 2 2" xfId="7752" xr:uid="{00000000-0005-0000-0000-000064190000}"/>
    <cellStyle name="Normal 5 2 8 2 2 2" xfId="16194" xr:uid="{62B5BD39-6A64-480F-B06C-DCAD59C6ABA2}"/>
    <cellStyle name="Normal 5 2 8 2 3" xfId="11976" xr:uid="{B4675249-4C88-4938-916F-E2769C9109AE}"/>
    <cellStyle name="Normal 5 2 8 3" xfId="5607" xr:uid="{00000000-0005-0000-0000-000065190000}"/>
    <cellStyle name="Normal 5 2 8 3 2" xfId="14049" xr:uid="{A28FC183-A468-4753-AD57-AAFD461BB78E}"/>
    <cellStyle name="Normal 5 2 8 4" xfId="9831" xr:uid="{83594ACA-263C-45C1-AA88-D531F92924AA}"/>
    <cellStyle name="Normal 5 2 9" xfId="1712" xr:uid="{00000000-0005-0000-0000-000066190000}"/>
    <cellStyle name="Normal 5 2 9 2" xfId="3942" xr:uid="{00000000-0005-0000-0000-000067190000}"/>
    <cellStyle name="Normal 5 2 9 2 2" xfId="8165" xr:uid="{00000000-0005-0000-0000-000068190000}"/>
    <cellStyle name="Normal 5 2 9 2 2 2" xfId="16607" xr:uid="{B7CDF58D-871F-473D-94B8-25C6ACC19A89}"/>
    <cellStyle name="Normal 5 2 9 2 3" xfId="12389" xr:uid="{7FEFB4F4-C780-4844-B0A2-580D952EAAC1}"/>
    <cellStyle name="Normal 5 2 9 3" xfId="6020" xr:uid="{00000000-0005-0000-0000-000069190000}"/>
    <cellStyle name="Normal 5 2 9 3 2" xfId="14462" xr:uid="{7660F203-2FF8-4CB3-BAF4-FCFB9EDAB30E}"/>
    <cellStyle name="Normal 5 2 9 4" xfId="10244" xr:uid="{BE65330A-0EAD-4F12-926D-236CF874E892}"/>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17052" xr:uid="{7FF8A270-143E-40EE-B2AC-029B90DCAE6E}"/>
    <cellStyle name="Normal 5 3 10 2 3" xfId="12834" xr:uid="{6596E09B-44FC-4719-A848-A4A1DC34F264}"/>
    <cellStyle name="Normal 5 3 10 3" xfId="6465" xr:uid="{00000000-0005-0000-0000-00006E190000}"/>
    <cellStyle name="Normal 5 3 10 3 2" xfId="14907" xr:uid="{81FF8D92-3EA9-4246-8904-DE5B4E3E99C9}"/>
    <cellStyle name="Normal 5 3 10 4" xfId="10689" xr:uid="{21DADDB8-F8AD-40A0-B416-8250CF2484B1}"/>
    <cellStyle name="Normal 5 3 11" xfId="2594" xr:uid="{00000000-0005-0000-0000-00006F190000}"/>
    <cellStyle name="Normal 5 3 11 2" xfId="6878" xr:uid="{00000000-0005-0000-0000-000070190000}"/>
    <cellStyle name="Normal 5 3 11 2 2" xfId="15320" xr:uid="{8CBAE4F0-F1AD-4E76-B66B-1ED9F93542C1}"/>
    <cellStyle name="Normal 5 3 11 3" xfId="11102" xr:uid="{8CE23434-EA74-4D75-A2C2-4E36CD0371AB}"/>
    <cellStyle name="Normal 5 3 12" xfId="4813" xr:uid="{00000000-0005-0000-0000-000071190000}"/>
    <cellStyle name="Normal 5 3 12 2" xfId="13255" xr:uid="{9F44EAF5-209C-4A2B-85F5-48045C1E386E}"/>
    <cellStyle name="Normal 5 3 13" xfId="9037" xr:uid="{8D647275-F999-46CB-AE69-3F8C8514E00F}"/>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13256" xr:uid="{5F2F9DAB-2FC3-498C-8CA2-125BEE155C0E}"/>
    <cellStyle name="Normal 5 3 3 11" xfId="9038" xr:uid="{A26B2CEA-3997-421D-9373-1030DD3F6F1F}"/>
    <cellStyle name="Normal 5 3 3 2" xfId="442" xr:uid="{00000000-0005-0000-0000-000076190000}"/>
    <cellStyle name="Normal 5 3 3 2 10" xfId="9039" xr:uid="{7D4E0DD5-8CA8-4833-A748-AED885669D39}"/>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15817" xr:uid="{8100F14B-C527-4A49-B575-44EE3C531A8B}"/>
    <cellStyle name="Normal 5 3 3 2 2 2 2 2 3" xfId="11599" xr:uid="{8D81922A-8A70-460D-B0DC-EF6FF09B189E}"/>
    <cellStyle name="Normal 5 3 3 2 2 2 2 3" xfId="5230" xr:uid="{00000000-0005-0000-0000-00007C190000}"/>
    <cellStyle name="Normal 5 3 3 2 2 2 2 3 2" xfId="13672" xr:uid="{6369C768-B4CB-4E52-A3F7-86858117E9A1}"/>
    <cellStyle name="Normal 5 3 3 2 2 2 2 4" xfId="9454" xr:uid="{FB92FE3F-C773-4218-AEEC-A7C5D0379087}"/>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16230" xr:uid="{B4255CD5-508F-4563-BC7F-BA02D4086CAD}"/>
    <cellStyle name="Normal 5 3 3 2 2 2 3 2 3" xfId="12012" xr:uid="{6192F0BD-AEB1-42EE-B8BF-F5A97FBD7E6B}"/>
    <cellStyle name="Normal 5 3 3 2 2 2 3 3" xfId="5643" xr:uid="{00000000-0005-0000-0000-000080190000}"/>
    <cellStyle name="Normal 5 3 3 2 2 2 3 3 2" xfId="14085" xr:uid="{4CF11E8D-BA33-4C81-8069-72C042FC9776}"/>
    <cellStyle name="Normal 5 3 3 2 2 2 3 4" xfId="9867" xr:uid="{6FD20238-9072-4F4C-9260-E4F6A3FDA56D}"/>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16643" xr:uid="{C5DC3F99-19E5-425B-B036-432994122F69}"/>
    <cellStyle name="Normal 5 3 3 2 2 2 4 2 3" xfId="12425" xr:uid="{EFD0422E-034D-4288-AC6B-D1BBEA6CC54E}"/>
    <cellStyle name="Normal 5 3 3 2 2 2 4 3" xfId="6056" xr:uid="{00000000-0005-0000-0000-000084190000}"/>
    <cellStyle name="Normal 5 3 3 2 2 2 4 3 2" xfId="14498" xr:uid="{D5BDC9CF-E32A-4EEC-A255-7B7C720178A6}"/>
    <cellStyle name="Normal 5 3 3 2 2 2 4 4" xfId="10280" xr:uid="{08BF062C-C377-46D3-9CB3-8E65B529B73D}"/>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17056" xr:uid="{E32DE98F-A5E2-4C11-B176-2EE5C0334330}"/>
    <cellStyle name="Normal 5 3 3 2 2 2 5 2 3" xfId="12838" xr:uid="{81C654EA-F5C6-44AC-AAA2-04C70364A608}"/>
    <cellStyle name="Normal 5 3 3 2 2 2 5 3" xfId="6469" xr:uid="{00000000-0005-0000-0000-000088190000}"/>
    <cellStyle name="Normal 5 3 3 2 2 2 5 3 2" xfId="14911" xr:uid="{3376FCE9-DC32-474C-A8C5-24CB2D004FA3}"/>
    <cellStyle name="Normal 5 3 3 2 2 2 5 4" xfId="10693" xr:uid="{1DD6F5FF-1B5B-4F8E-86C9-EC78A12989B9}"/>
    <cellStyle name="Normal 5 3 3 2 2 2 6" xfId="2598" xr:uid="{00000000-0005-0000-0000-000089190000}"/>
    <cellStyle name="Normal 5 3 3 2 2 2 6 2" xfId="6882" xr:uid="{00000000-0005-0000-0000-00008A190000}"/>
    <cellStyle name="Normal 5 3 3 2 2 2 6 2 2" xfId="15324" xr:uid="{15CFA09C-40B1-421F-B12E-F6AF479555BE}"/>
    <cellStyle name="Normal 5 3 3 2 2 2 6 3" xfId="11106" xr:uid="{E982FDF1-7283-47BC-9FED-711680EE0728}"/>
    <cellStyle name="Normal 5 3 3 2 2 2 7" xfId="4817" xr:uid="{00000000-0005-0000-0000-00008B190000}"/>
    <cellStyle name="Normal 5 3 3 2 2 2 7 2" xfId="13259" xr:uid="{FEF2600A-59F9-4644-B6B4-FF6539DB5D20}"/>
    <cellStyle name="Normal 5 3 3 2 2 2 8" xfId="9041" xr:uid="{8402B094-0652-4374-9A8F-EDF74786FED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15816" xr:uid="{2324F621-CC7A-4B0E-ADC6-FABA6F65FAE9}"/>
    <cellStyle name="Normal 5 3 3 2 2 3 2 3" xfId="11598" xr:uid="{2BEC74A7-E3E4-4209-A428-88EFCD7D9FF4}"/>
    <cellStyle name="Normal 5 3 3 2 2 3 3" xfId="5229" xr:uid="{00000000-0005-0000-0000-00008F190000}"/>
    <cellStyle name="Normal 5 3 3 2 2 3 3 2" xfId="13671" xr:uid="{2B661428-3C59-406D-86EE-F181E3000F84}"/>
    <cellStyle name="Normal 5 3 3 2 2 3 4" xfId="9453" xr:uid="{3EEFF7F2-72F4-4EB8-8492-C72046BD5484}"/>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16229" xr:uid="{5A02A87A-BF5F-4820-863D-030DAD8B351F}"/>
    <cellStyle name="Normal 5 3 3 2 2 4 2 3" xfId="12011" xr:uid="{FC0B408F-2D1B-4ACF-8258-AA9EFA3D0963}"/>
    <cellStyle name="Normal 5 3 3 2 2 4 3" xfId="5642" xr:uid="{00000000-0005-0000-0000-000093190000}"/>
    <cellStyle name="Normal 5 3 3 2 2 4 3 2" xfId="14084" xr:uid="{B6DEE4C2-B412-41DE-B3F7-9328055E20B4}"/>
    <cellStyle name="Normal 5 3 3 2 2 4 4" xfId="9866" xr:uid="{D0AB18C1-9498-42CA-B999-7CC756ED008D}"/>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16642" xr:uid="{9AB74DBE-FBD1-4F2A-A360-349B7F9EBA27}"/>
    <cellStyle name="Normal 5 3 3 2 2 5 2 3" xfId="12424" xr:uid="{0F5FDED7-D81A-476D-8339-21BAD2CDD4D0}"/>
    <cellStyle name="Normal 5 3 3 2 2 5 3" xfId="6055" xr:uid="{00000000-0005-0000-0000-000097190000}"/>
    <cellStyle name="Normal 5 3 3 2 2 5 3 2" xfId="14497" xr:uid="{EECF1B30-E8B7-4A37-9913-41CE4E581ED6}"/>
    <cellStyle name="Normal 5 3 3 2 2 5 4" xfId="10279" xr:uid="{6ECE715A-2438-4444-9A2E-9736C1C58899}"/>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17055" xr:uid="{E207D96B-DDE1-4638-BE13-F7EA98B4BBD8}"/>
    <cellStyle name="Normal 5 3 3 2 2 6 2 3" xfId="12837" xr:uid="{4F95A8F8-A01F-43F3-A0D9-A086D1445E94}"/>
    <cellStyle name="Normal 5 3 3 2 2 6 3" xfId="6468" xr:uid="{00000000-0005-0000-0000-00009B190000}"/>
    <cellStyle name="Normal 5 3 3 2 2 6 3 2" xfId="14910" xr:uid="{9CA710D7-F51C-4466-ACF3-3F6CC0275D16}"/>
    <cellStyle name="Normal 5 3 3 2 2 6 4" xfId="10692" xr:uid="{F38388C1-EA7F-4B4C-BA02-4D63C7578959}"/>
    <cellStyle name="Normal 5 3 3 2 2 7" xfId="2597" xr:uid="{00000000-0005-0000-0000-00009C190000}"/>
    <cellStyle name="Normal 5 3 3 2 2 7 2" xfId="6881" xr:uid="{00000000-0005-0000-0000-00009D190000}"/>
    <cellStyle name="Normal 5 3 3 2 2 7 2 2" xfId="15323" xr:uid="{30FB07B1-087D-4755-BF70-AE839725CA40}"/>
    <cellStyle name="Normal 5 3 3 2 2 7 3" xfId="11105" xr:uid="{D46AB890-1A79-45A6-A949-6BD85E0333A5}"/>
    <cellStyle name="Normal 5 3 3 2 2 8" xfId="4816" xr:uid="{00000000-0005-0000-0000-00009E190000}"/>
    <cellStyle name="Normal 5 3 3 2 2 8 2" xfId="13258" xr:uid="{F41D53FA-FD04-49DB-97E8-632D904C7A72}"/>
    <cellStyle name="Normal 5 3 3 2 2 9" xfId="9040" xr:uid="{D40A3E53-2707-4D39-B6CD-06CC9D56F8BA}"/>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15818" xr:uid="{60F3C5E4-7817-43D5-9EE6-28238063C036}"/>
    <cellStyle name="Normal 5 3 3 2 3 2 2 3" xfId="11600" xr:uid="{6E41A2E1-DE2D-4EF4-AA29-FF41585F6573}"/>
    <cellStyle name="Normal 5 3 3 2 3 2 3" xfId="5231" xr:uid="{00000000-0005-0000-0000-0000A3190000}"/>
    <cellStyle name="Normal 5 3 3 2 3 2 3 2" xfId="13673" xr:uid="{9A95FC62-CB12-4684-A7D0-C9E48DDF4EDD}"/>
    <cellStyle name="Normal 5 3 3 2 3 2 4" xfId="9455" xr:uid="{26F99DDE-6AE0-4F80-86A0-617E6DE39FB9}"/>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16231" xr:uid="{785EB7E0-B3D9-40B6-A9A8-63F70CBA8C8A}"/>
    <cellStyle name="Normal 5 3 3 2 3 3 2 3" xfId="12013" xr:uid="{C0F2CC2E-C330-4E0B-B239-967933B56F1E}"/>
    <cellStyle name="Normal 5 3 3 2 3 3 3" xfId="5644" xr:uid="{00000000-0005-0000-0000-0000A7190000}"/>
    <cellStyle name="Normal 5 3 3 2 3 3 3 2" xfId="14086" xr:uid="{ACC3C644-B9F5-4569-BA3A-42E04FEC53A0}"/>
    <cellStyle name="Normal 5 3 3 2 3 3 4" xfId="9868" xr:uid="{DB9B2C29-4D4A-42B3-BD85-915943684628}"/>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16644" xr:uid="{1DB5422B-007B-4EA5-9086-4EC183BE2ACB}"/>
    <cellStyle name="Normal 5 3 3 2 3 4 2 3" xfId="12426" xr:uid="{6372D53B-418D-405F-9CB9-003B92681440}"/>
    <cellStyle name="Normal 5 3 3 2 3 4 3" xfId="6057" xr:uid="{00000000-0005-0000-0000-0000AB190000}"/>
    <cellStyle name="Normal 5 3 3 2 3 4 3 2" xfId="14499" xr:uid="{4718C9F3-A1D6-47C3-8EBA-E321F8FE0FF7}"/>
    <cellStyle name="Normal 5 3 3 2 3 4 4" xfId="10281" xr:uid="{29103CE8-2A7C-4EAD-AA8E-1ECC1AE49D58}"/>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17057" xr:uid="{C9C9681C-BF87-444A-8AE6-8EDEC30E5A69}"/>
    <cellStyle name="Normal 5 3 3 2 3 5 2 3" xfId="12839" xr:uid="{E01A5EAA-CAE0-487C-8F14-F77F7CA48F87}"/>
    <cellStyle name="Normal 5 3 3 2 3 5 3" xfId="6470" xr:uid="{00000000-0005-0000-0000-0000AF190000}"/>
    <cellStyle name="Normal 5 3 3 2 3 5 3 2" xfId="14912" xr:uid="{3448FF3D-9C4F-4058-AC58-2B57FD42CD54}"/>
    <cellStyle name="Normal 5 3 3 2 3 5 4" xfId="10694" xr:uid="{54D9B113-787D-4F40-99D5-649FD868A36C}"/>
    <cellStyle name="Normal 5 3 3 2 3 6" xfId="2599" xr:uid="{00000000-0005-0000-0000-0000B0190000}"/>
    <cellStyle name="Normal 5 3 3 2 3 6 2" xfId="6883" xr:uid="{00000000-0005-0000-0000-0000B1190000}"/>
    <cellStyle name="Normal 5 3 3 2 3 6 2 2" xfId="15325" xr:uid="{081EB6DF-2B9D-4B35-B063-58E8EFDD7CB7}"/>
    <cellStyle name="Normal 5 3 3 2 3 6 3" xfId="11107" xr:uid="{CE80B742-BE48-4EC6-A4CF-D27FB947B0F6}"/>
    <cellStyle name="Normal 5 3 3 2 3 7" xfId="4818" xr:uid="{00000000-0005-0000-0000-0000B2190000}"/>
    <cellStyle name="Normal 5 3 3 2 3 7 2" xfId="13260" xr:uid="{47A8ACF6-8FE9-467E-8841-2C39FA8DD3D8}"/>
    <cellStyle name="Normal 5 3 3 2 3 8" xfId="9042" xr:uid="{52B87F3B-C5D7-4012-B378-EE56F5C12044}"/>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15815" xr:uid="{B2121823-5D2C-4254-B0DE-D37C8E06793B}"/>
    <cellStyle name="Normal 5 3 3 2 4 2 3" xfId="11597" xr:uid="{CA1D70CB-4788-4C11-9B6E-64CF14C279FD}"/>
    <cellStyle name="Normal 5 3 3 2 4 3" xfId="5228" xr:uid="{00000000-0005-0000-0000-0000B6190000}"/>
    <cellStyle name="Normal 5 3 3 2 4 3 2" xfId="13670" xr:uid="{1F180978-5511-4EEA-8063-72840FBAD1D8}"/>
    <cellStyle name="Normal 5 3 3 2 4 4" xfId="9452" xr:uid="{A6DC4FCD-83F5-44F6-839C-9DBA6C951663}"/>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16228" xr:uid="{D7AFF63E-4F34-49A6-8D06-360C0B0DA7EB}"/>
    <cellStyle name="Normal 5 3 3 2 5 2 3" xfId="12010" xr:uid="{30EC44D9-9890-4F1A-B406-BA006AF84D45}"/>
    <cellStyle name="Normal 5 3 3 2 5 3" xfId="5641" xr:uid="{00000000-0005-0000-0000-0000BA190000}"/>
    <cellStyle name="Normal 5 3 3 2 5 3 2" xfId="14083" xr:uid="{68BE8A34-CFFE-403A-B946-778EA5B6215C}"/>
    <cellStyle name="Normal 5 3 3 2 5 4" xfId="9865" xr:uid="{C8BCF07D-C534-4213-94C1-778B5796642B}"/>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16641" xr:uid="{71257F93-4F2E-4905-8CC8-AAF7FA2128A5}"/>
    <cellStyle name="Normal 5 3 3 2 6 2 3" xfId="12423" xr:uid="{434CC09A-E50F-4B01-B880-748BCC5947DB}"/>
    <cellStyle name="Normal 5 3 3 2 6 3" xfId="6054" xr:uid="{00000000-0005-0000-0000-0000BE190000}"/>
    <cellStyle name="Normal 5 3 3 2 6 3 2" xfId="14496" xr:uid="{44DB1E42-9D56-47C4-8536-8E4CE47059DB}"/>
    <cellStyle name="Normal 5 3 3 2 6 4" xfId="10278" xr:uid="{2C8F3A48-324F-43D5-AB47-C70413B84150}"/>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17054" xr:uid="{F87F0CF7-B89F-40A0-9001-3AC060893EE1}"/>
    <cellStyle name="Normal 5 3 3 2 7 2 3" xfId="12836" xr:uid="{024C6745-8A0C-4BE8-A41E-9DB3D39E3D84}"/>
    <cellStyle name="Normal 5 3 3 2 7 3" xfId="6467" xr:uid="{00000000-0005-0000-0000-0000C2190000}"/>
    <cellStyle name="Normal 5 3 3 2 7 3 2" xfId="14909" xr:uid="{188D45FB-59E8-4C9F-8F69-C170A9919797}"/>
    <cellStyle name="Normal 5 3 3 2 7 4" xfId="10691" xr:uid="{923DC23D-E821-4099-8743-903510D372C9}"/>
    <cellStyle name="Normal 5 3 3 2 8" xfId="2596" xr:uid="{00000000-0005-0000-0000-0000C3190000}"/>
    <cellStyle name="Normal 5 3 3 2 8 2" xfId="6880" xr:uid="{00000000-0005-0000-0000-0000C4190000}"/>
    <cellStyle name="Normal 5 3 3 2 8 2 2" xfId="15322" xr:uid="{E4F1848B-9C15-4FF6-83BA-EE1EFF60099B}"/>
    <cellStyle name="Normal 5 3 3 2 8 3" xfId="11104" xr:uid="{1CD9F12F-77A7-4668-A449-4114C413CC74}"/>
    <cellStyle name="Normal 5 3 3 2 9" xfId="4815" xr:uid="{00000000-0005-0000-0000-0000C5190000}"/>
    <cellStyle name="Normal 5 3 3 2 9 2" xfId="13257" xr:uid="{E37713BC-21A0-4413-B792-653476C29797}"/>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15820" xr:uid="{189F766C-E376-40C1-87B0-76F0FA2ED052}"/>
    <cellStyle name="Normal 5 3 3 3 2 2 2 3" xfId="11602" xr:uid="{A4622507-4E57-4E5B-AF57-A4CB6668A443}"/>
    <cellStyle name="Normal 5 3 3 3 2 2 3" xfId="5233" xr:uid="{00000000-0005-0000-0000-0000CB190000}"/>
    <cellStyle name="Normal 5 3 3 3 2 2 3 2" xfId="13675" xr:uid="{D4242071-7E05-4EF7-9764-C55C0BB756B8}"/>
    <cellStyle name="Normal 5 3 3 3 2 2 4" xfId="9457" xr:uid="{814C6C6D-45D1-48DF-B135-B38724D66FD8}"/>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16233" xr:uid="{1EFF0F51-A8DD-4608-9622-52EB82384206}"/>
    <cellStyle name="Normal 5 3 3 3 2 3 2 3" xfId="12015" xr:uid="{A088E202-673D-4E91-91E6-CB29DF190EC9}"/>
    <cellStyle name="Normal 5 3 3 3 2 3 3" xfId="5646" xr:uid="{00000000-0005-0000-0000-0000CF190000}"/>
    <cellStyle name="Normal 5 3 3 3 2 3 3 2" xfId="14088" xr:uid="{E7AFD819-4AA6-4C0F-8CA5-B3328BA9B35D}"/>
    <cellStyle name="Normal 5 3 3 3 2 3 4" xfId="9870" xr:uid="{EEA64BEF-0D01-4267-8DA4-DCBC1C55A369}"/>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16646" xr:uid="{F2934445-1363-4220-AE5D-0CA9EB823A55}"/>
    <cellStyle name="Normal 5 3 3 3 2 4 2 3" xfId="12428" xr:uid="{AF138A6F-6A56-465D-9BA8-CE331649DDCA}"/>
    <cellStyle name="Normal 5 3 3 3 2 4 3" xfId="6059" xr:uid="{00000000-0005-0000-0000-0000D3190000}"/>
    <cellStyle name="Normal 5 3 3 3 2 4 3 2" xfId="14501" xr:uid="{082022C9-6CB6-4DCC-A890-D3CB558868BB}"/>
    <cellStyle name="Normal 5 3 3 3 2 4 4" xfId="10283" xr:uid="{9BF55D26-1EBF-480E-9624-369BF1AC845A}"/>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17059" xr:uid="{8265238D-9AF6-49B7-9675-6B004DDDF0D8}"/>
    <cellStyle name="Normal 5 3 3 3 2 5 2 3" xfId="12841" xr:uid="{92D05C02-FA02-4837-B536-142286872FAC}"/>
    <cellStyle name="Normal 5 3 3 3 2 5 3" xfId="6472" xr:uid="{00000000-0005-0000-0000-0000D7190000}"/>
    <cellStyle name="Normal 5 3 3 3 2 5 3 2" xfId="14914" xr:uid="{32DD7081-9D67-429A-8042-4E5853BA51FF}"/>
    <cellStyle name="Normal 5 3 3 3 2 5 4" xfId="10696" xr:uid="{6C1D9820-7911-44D3-AF6F-BFDBF56BD400}"/>
    <cellStyle name="Normal 5 3 3 3 2 6" xfId="2601" xr:uid="{00000000-0005-0000-0000-0000D8190000}"/>
    <cellStyle name="Normal 5 3 3 3 2 6 2" xfId="6885" xr:uid="{00000000-0005-0000-0000-0000D9190000}"/>
    <cellStyle name="Normal 5 3 3 3 2 6 2 2" xfId="15327" xr:uid="{7EE8360D-0973-4D18-8292-7B96EEE5F632}"/>
    <cellStyle name="Normal 5 3 3 3 2 6 3" xfId="11109" xr:uid="{2990BE35-529F-4277-8712-C290266DB51F}"/>
    <cellStyle name="Normal 5 3 3 3 2 7" xfId="4820" xr:uid="{00000000-0005-0000-0000-0000DA190000}"/>
    <cellStyle name="Normal 5 3 3 3 2 7 2" xfId="13262" xr:uid="{374AB3B1-FD2F-4173-BCC0-4A7851CAE860}"/>
    <cellStyle name="Normal 5 3 3 3 2 8" xfId="9044" xr:uid="{2D9805BD-70FD-40B5-BEB5-2CB2E70C5A1D}"/>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15819" xr:uid="{4229D005-3668-4CB9-A9F0-5E81ADEAE1CD}"/>
    <cellStyle name="Normal 5 3 3 3 3 2 3" xfId="11601" xr:uid="{25F2B29A-6033-4CB3-B165-71CC07225DD8}"/>
    <cellStyle name="Normal 5 3 3 3 3 3" xfId="5232" xr:uid="{00000000-0005-0000-0000-0000DE190000}"/>
    <cellStyle name="Normal 5 3 3 3 3 3 2" xfId="13674" xr:uid="{4FC45CED-BE9D-4B0D-A63D-362F5FFB6CDC}"/>
    <cellStyle name="Normal 5 3 3 3 3 4" xfId="9456" xr:uid="{BC56CA9D-3165-4C6B-912E-9B1121E59450}"/>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16232" xr:uid="{8FDCF6A4-ABFD-4F8A-9DC2-B32C07AF3611}"/>
    <cellStyle name="Normal 5 3 3 3 4 2 3" xfId="12014" xr:uid="{2273FFE7-FA69-4C87-BDF0-216A5044A918}"/>
    <cellStyle name="Normal 5 3 3 3 4 3" xfId="5645" xr:uid="{00000000-0005-0000-0000-0000E2190000}"/>
    <cellStyle name="Normal 5 3 3 3 4 3 2" xfId="14087" xr:uid="{5A5E6AEF-F2B2-40F6-AAC7-7F0D438742C1}"/>
    <cellStyle name="Normal 5 3 3 3 4 4" xfId="9869" xr:uid="{94E8E639-F616-4173-B03B-B5B6549BDBA1}"/>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16645" xr:uid="{E714868C-5B86-49A3-B2C7-A0B352AEC4D9}"/>
    <cellStyle name="Normal 5 3 3 3 5 2 3" xfId="12427" xr:uid="{35D35EA0-40C9-45A8-A746-A9546919FFFB}"/>
    <cellStyle name="Normal 5 3 3 3 5 3" xfId="6058" xr:uid="{00000000-0005-0000-0000-0000E6190000}"/>
    <cellStyle name="Normal 5 3 3 3 5 3 2" xfId="14500" xr:uid="{2B4B1D25-EAF4-4203-952A-4BAF34F1F414}"/>
    <cellStyle name="Normal 5 3 3 3 5 4" xfId="10282" xr:uid="{C7D59AF9-7463-485F-BA95-4188BBAD4A82}"/>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17058" xr:uid="{F4D1524F-7A19-43B7-84B1-18B657750816}"/>
    <cellStyle name="Normal 5 3 3 3 6 2 3" xfId="12840" xr:uid="{87641514-CA0F-4FD6-8483-02FF95C1692A}"/>
    <cellStyle name="Normal 5 3 3 3 6 3" xfId="6471" xr:uid="{00000000-0005-0000-0000-0000EA190000}"/>
    <cellStyle name="Normal 5 3 3 3 6 3 2" xfId="14913" xr:uid="{540695BE-70A5-4F7E-86F9-8385A4FE884F}"/>
    <cellStyle name="Normal 5 3 3 3 6 4" xfId="10695" xr:uid="{5282D501-0821-4894-940E-40ADB13BE468}"/>
    <cellStyle name="Normal 5 3 3 3 7" xfId="2600" xr:uid="{00000000-0005-0000-0000-0000EB190000}"/>
    <cellStyle name="Normal 5 3 3 3 7 2" xfId="6884" xr:uid="{00000000-0005-0000-0000-0000EC190000}"/>
    <cellStyle name="Normal 5 3 3 3 7 2 2" xfId="15326" xr:uid="{19614A0D-9F2C-483D-9C17-0507BAD1CC62}"/>
    <cellStyle name="Normal 5 3 3 3 7 3" xfId="11108" xr:uid="{9BFAD0BC-3420-4817-8862-2C23A35A6E32}"/>
    <cellStyle name="Normal 5 3 3 3 8" xfId="4819" xr:uid="{00000000-0005-0000-0000-0000ED190000}"/>
    <cellStyle name="Normal 5 3 3 3 8 2" xfId="13261" xr:uid="{DB382A70-94B9-4FDC-AACA-5E81C1A667D6}"/>
    <cellStyle name="Normal 5 3 3 3 9" xfId="9043" xr:uid="{EE77AA06-ADFA-4971-B5A5-A5DD517CF1B4}"/>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15821" xr:uid="{106F104E-E06B-4F55-A632-C2D808F6ED70}"/>
    <cellStyle name="Normal 5 3 3 4 2 2 3" xfId="11603" xr:uid="{922D6891-7737-44DE-B4BA-0F534FF3EB19}"/>
    <cellStyle name="Normal 5 3 3 4 2 3" xfId="5234" xr:uid="{00000000-0005-0000-0000-0000F2190000}"/>
    <cellStyle name="Normal 5 3 3 4 2 3 2" xfId="13676" xr:uid="{DC39DC89-9F75-4DCF-93B8-438154248684}"/>
    <cellStyle name="Normal 5 3 3 4 2 4" xfId="9458" xr:uid="{8CD7E882-1F19-43CE-9D8F-2299B79D5928}"/>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16234" xr:uid="{D2875AF9-3371-40C2-B519-5B69E4C22CD1}"/>
    <cellStyle name="Normal 5 3 3 4 3 2 3" xfId="12016" xr:uid="{DD63D245-782F-474D-919B-89AFA58E4357}"/>
    <cellStyle name="Normal 5 3 3 4 3 3" xfId="5647" xr:uid="{00000000-0005-0000-0000-0000F6190000}"/>
    <cellStyle name="Normal 5 3 3 4 3 3 2" xfId="14089" xr:uid="{A794E350-A669-4B3C-83D1-AD0D5C8486E9}"/>
    <cellStyle name="Normal 5 3 3 4 3 4" xfId="9871" xr:uid="{0C15E7E9-1380-41F4-92E8-15CA6760C701}"/>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16647" xr:uid="{0E91E19C-0439-4EE0-ABB9-B5605663861D}"/>
    <cellStyle name="Normal 5 3 3 4 4 2 3" xfId="12429" xr:uid="{FAA8884D-13A3-4E96-8D54-9734F5753D21}"/>
    <cellStyle name="Normal 5 3 3 4 4 3" xfId="6060" xr:uid="{00000000-0005-0000-0000-0000FA190000}"/>
    <cellStyle name="Normal 5 3 3 4 4 3 2" xfId="14502" xr:uid="{15FD46AA-2109-48C5-9AAC-CE01FAE1FE88}"/>
    <cellStyle name="Normal 5 3 3 4 4 4" xfId="10284" xr:uid="{AF4D0CDD-1B88-4DC8-9154-85F7DAD79446}"/>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17060" xr:uid="{CB8D6EE1-1D33-4267-B5F6-34D41AE8718D}"/>
    <cellStyle name="Normal 5 3 3 4 5 2 3" xfId="12842" xr:uid="{1D5563EF-234F-4B4B-939A-311FE98DCFC8}"/>
    <cellStyle name="Normal 5 3 3 4 5 3" xfId="6473" xr:uid="{00000000-0005-0000-0000-0000FE190000}"/>
    <cellStyle name="Normal 5 3 3 4 5 3 2" xfId="14915" xr:uid="{9D4D8BC0-A917-4749-AED3-3B5818EB26C8}"/>
    <cellStyle name="Normal 5 3 3 4 5 4" xfId="10697" xr:uid="{C1186ED3-3963-4255-A542-8822CF0C382D}"/>
    <cellStyle name="Normal 5 3 3 4 6" xfId="2602" xr:uid="{00000000-0005-0000-0000-0000FF190000}"/>
    <cellStyle name="Normal 5 3 3 4 6 2" xfId="6886" xr:uid="{00000000-0005-0000-0000-0000001A0000}"/>
    <cellStyle name="Normal 5 3 3 4 6 2 2" xfId="15328" xr:uid="{C780C46C-18B0-49AF-BCB1-3C20F5BA3DFF}"/>
    <cellStyle name="Normal 5 3 3 4 6 3" xfId="11110" xr:uid="{B1AE35AD-03AD-4E37-AB9A-EB56549F638B}"/>
    <cellStyle name="Normal 5 3 3 4 7" xfId="4821" xr:uid="{00000000-0005-0000-0000-0000011A0000}"/>
    <cellStyle name="Normal 5 3 3 4 7 2" xfId="13263" xr:uid="{4D779FBE-106B-4355-821A-7347CE4946BF}"/>
    <cellStyle name="Normal 5 3 3 4 8" xfId="9045" xr:uid="{E4C7279C-5BC6-4DCA-91E9-CD540B223A59}"/>
    <cellStyle name="Normal 5 3 3 5" xfId="915" xr:uid="{00000000-0005-0000-0000-0000021A0000}"/>
    <cellStyle name="Normal 5 3 3 5 2" xfId="3149" xr:uid="{00000000-0005-0000-0000-0000031A0000}"/>
    <cellStyle name="Normal 5 3 3 5 2 2" xfId="7372" xr:uid="{00000000-0005-0000-0000-0000041A0000}"/>
    <cellStyle name="Normal 5 3 3 5 2 2 2" xfId="15814" xr:uid="{D47E9C38-731D-483C-A08D-B73EA92CAC62}"/>
    <cellStyle name="Normal 5 3 3 5 2 3" xfId="11596" xr:uid="{05D50256-8603-4250-9378-66A27778B765}"/>
    <cellStyle name="Normal 5 3 3 5 3" xfId="5227" xr:uid="{00000000-0005-0000-0000-0000051A0000}"/>
    <cellStyle name="Normal 5 3 3 5 3 2" xfId="13669" xr:uid="{E418489D-BFDE-43FD-804F-26E1214E6408}"/>
    <cellStyle name="Normal 5 3 3 5 4" xfId="9451" xr:uid="{4891D95B-62A6-42E5-93F2-8C46064701BE}"/>
    <cellStyle name="Normal 5 3 3 6" xfId="1332" xr:uid="{00000000-0005-0000-0000-0000061A0000}"/>
    <cellStyle name="Normal 5 3 3 6 2" xfId="3562" xr:uid="{00000000-0005-0000-0000-0000071A0000}"/>
    <cellStyle name="Normal 5 3 3 6 2 2" xfId="7785" xr:uid="{00000000-0005-0000-0000-0000081A0000}"/>
    <cellStyle name="Normal 5 3 3 6 2 2 2" xfId="16227" xr:uid="{CFBE8651-701C-41E0-AE79-D45D827BEC29}"/>
    <cellStyle name="Normal 5 3 3 6 2 3" xfId="12009" xr:uid="{2E244653-E167-4DAA-8FC9-DAEB08A0CEE9}"/>
    <cellStyle name="Normal 5 3 3 6 3" xfId="5640" xr:uid="{00000000-0005-0000-0000-0000091A0000}"/>
    <cellStyle name="Normal 5 3 3 6 3 2" xfId="14082" xr:uid="{444527AC-F52F-437D-A6A2-BC33300C58C5}"/>
    <cellStyle name="Normal 5 3 3 6 4" xfId="9864" xr:uid="{180A199A-159A-4941-B554-0B49D549687E}"/>
    <cellStyle name="Normal 5 3 3 7" xfId="1745" xr:uid="{00000000-0005-0000-0000-00000A1A0000}"/>
    <cellStyle name="Normal 5 3 3 7 2" xfId="3975" xr:uid="{00000000-0005-0000-0000-00000B1A0000}"/>
    <cellStyle name="Normal 5 3 3 7 2 2" xfId="8198" xr:uid="{00000000-0005-0000-0000-00000C1A0000}"/>
    <cellStyle name="Normal 5 3 3 7 2 2 2" xfId="16640" xr:uid="{6C959A8D-DFAA-4BA8-B3E8-9115D9034D6A}"/>
    <cellStyle name="Normal 5 3 3 7 2 3" xfId="12422" xr:uid="{3D5BAA33-DBBC-4173-8406-7EDD5018190D}"/>
    <cellStyle name="Normal 5 3 3 7 3" xfId="6053" xr:uid="{00000000-0005-0000-0000-00000D1A0000}"/>
    <cellStyle name="Normal 5 3 3 7 3 2" xfId="14495" xr:uid="{11AB1D1F-8606-4651-8524-496949B76391}"/>
    <cellStyle name="Normal 5 3 3 7 4" xfId="10277" xr:uid="{FBEA99B7-44E6-47B2-9F34-DE976C531E59}"/>
    <cellStyle name="Normal 5 3 3 8" xfId="2159" xr:uid="{00000000-0005-0000-0000-00000E1A0000}"/>
    <cellStyle name="Normal 5 3 3 8 2" xfId="4388" xr:uid="{00000000-0005-0000-0000-00000F1A0000}"/>
    <cellStyle name="Normal 5 3 3 8 2 2" xfId="8611" xr:uid="{00000000-0005-0000-0000-0000101A0000}"/>
    <cellStyle name="Normal 5 3 3 8 2 2 2" xfId="17053" xr:uid="{3688C913-CDC9-402C-927E-70A9EAA196C6}"/>
    <cellStyle name="Normal 5 3 3 8 2 3" xfId="12835" xr:uid="{CE04CDDF-8D70-4043-B4FF-21545F6CD5CE}"/>
    <cellStyle name="Normal 5 3 3 8 3" xfId="6466" xr:uid="{00000000-0005-0000-0000-0000111A0000}"/>
    <cellStyle name="Normal 5 3 3 8 3 2" xfId="14908" xr:uid="{61A1EDC5-7BFF-43C5-B4D6-678142D486DF}"/>
    <cellStyle name="Normal 5 3 3 8 4" xfId="10690" xr:uid="{5D7FE6AB-F4A5-4E87-85A3-4BAB565C5A20}"/>
    <cellStyle name="Normal 5 3 3 9" xfId="2595" xr:uid="{00000000-0005-0000-0000-0000121A0000}"/>
    <cellStyle name="Normal 5 3 3 9 2" xfId="6879" xr:uid="{00000000-0005-0000-0000-0000131A0000}"/>
    <cellStyle name="Normal 5 3 3 9 2 2" xfId="15321" xr:uid="{8134982C-3A3C-4368-BC31-9D15A9112F69}"/>
    <cellStyle name="Normal 5 3 3 9 3" xfId="11103" xr:uid="{4D124E5D-2C0A-4EC2-A396-4BA368AC96BA}"/>
    <cellStyle name="Normal 5 3 4" xfId="449" xr:uid="{00000000-0005-0000-0000-0000141A0000}"/>
    <cellStyle name="Normal 5 3 4 10" xfId="9046" xr:uid="{CBCEFD9C-22B1-4E70-8F9C-349D0F8B40F3}"/>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15824" xr:uid="{52859286-98C6-4EBA-BA74-6B2A68B4140A}"/>
    <cellStyle name="Normal 5 3 4 2 2 2 2 3" xfId="11606" xr:uid="{FDB466E2-71FC-4951-93BF-95C7E6E5B891}"/>
    <cellStyle name="Normal 5 3 4 2 2 2 3" xfId="5237" xr:uid="{00000000-0005-0000-0000-00001A1A0000}"/>
    <cellStyle name="Normal 5 3 4 2 2 2 3 2" xfId="13679" xr:uid="{1CE64354-88F2-44D7-8BCD-8C461A744DDD}"/>
    <cellStyle name="Normal 5 3 4 2 2 2 4" xfId="9461" xr:uid="{5E7A29A5-D1B6-4FF9-A646-23BAFEFD28F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16237" xr:uid="{C75692E9-FDC6-431D-A8C7-D470F5E627B0}"/>
    <cellStyle name="Normal 5 3 4 2 2 3 2 3" xfId="12019" xr:uid="{157D8B7F-2057-469B-86D3-2F5F074815B4}"/>
    <cellStyle name="Normal 5 3 4 2 2 3 3" xfId="5650" xr:uid="{00000000-0005-0000-0000-00001E1A0000}"/>
    <cellStyle name="Normal 5 3 4 2 2 3 3 2" xfId="14092" xr:uid="{26B06FCE-5360-4E39-9C63-C6D53F506850}"/>
    <cellStyle name="Normal 5 3 4 2 2 3 4" xfId="9874" xr:uid="{9BA1EEE5-ED53-470D-9813-3E753286485B}"/>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16650" xr:uid="{9EA1D78A-B5E4-49B0-B0F9-DF4945C0DB1C}"/>
    <cellStyle name="Normal 5 3 4 2 2 4 2 3" xfId="12432" xr:uid="{411B6FFE-939D-416F-8599-F459D950126C}"/>
    <cellStyle name="Normal 5 3 4 2 2 4 3" xfId="6063" xr:uid="{00000000-0005-0000-0000-0000221A0000}"/>
    <cellStyle name="Normal 5 3 4 2 2 4 3 2" xfId="14505" xr:uid="{A96E2CBA-D8F6-4379-B7DA-27869408BEF2}"/>
    <cellStyle name="Normal 5 3 4 2 2 4 4" xfId="10287" xr:uid="{2DE9B850-8B01-41E1-953F-FADD41A6CB26}"/>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17063" xr:uid="{4324F8A2-599B-4E4E-BA94-18642C4393A6}"/>
    <cellStyle name="Normal 5 3 4 2 2 5 2 3" xfId="12845" xr:uid="{F0B690F7-89ED-4F67-ABAC-87529BDA4594}"/>
    <cellStyle name="Normal 5 3 4 2 2 5 3" xfId="6476" xr:uid="{00000000-0005-0000-0000-0000261A0000}"/>
    <cellStyle name="Normal 5 3 4 2 2 5 3 2" xfId="14918" xr:uid="{25671790-93B2-4823-A7B4-F5103E934B81}"/>
    <cellStyle name="Normal 5 3 4 2 2 5 4" xfId="10700" xr:uid="{D635A51D-7F36-4970-B75A-54B10B0A7178}"/>
    <cellStyle name="Normal 5 3 4 2 2 6" xfId="2605" xr:uid="{00000000-0005-0000-0000-0000271A0000}"/>
    <cellStyle name="Normal 5 3 4 2 2 6 2" xfId="6889" xr:uid="{00000000-0005-0000-0000-0000281A0000}"/>
    <cellStyle name="Normal 5 3 4 2 2 6 2 2" xfId="15331" xr:uid="{471506F6-118E-47B6-9918-10BA08B216C6}"/>
    <cellStyle name="Normal 5 3 4 2 2 6 3" xfId="11113" xr:uid="{E7542113-34E4-4CC3-81A6-0B9737450711}"/>
    <cellStyle name="Normal 5 3 4 2 2 7" xfId="4824" xr:uid="{00000000-0005-0000-0000-0000291A0000}"/>
    <cellStyle name="Normal 5 3 4 2 2 7 2" xfId="13266" xr:uid="{420BB8D8-1DA5-47A3-BAB3-F2EB5295210A}"/>
    <cellStyle name="Normal 5 3 4 2 2 8" xfId="9048" xr:uid="{CD467C8C-B844-4840-AEE8-450043BA440F}"/>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15823" xr:uid="{9D2CB0D7-8F41-4C37-8D4C-D5DA30395FCE}"/>
    <cellStyle name="Normal 5 3 4 2 3 2 3" xfId="11605" xr:uid="{45B46347-3D13-4258-AC78-684B93E1B423}"/>
    <cellStyle name="Normal 5 3 4 2 3 3" xfId="5236" xr:uid="{00000000-0005-0000-0000-00002D1A0000}"/>
    <cellStyle name="Normal 5 3 4 2 3 3 2" xfId="13678" xr:uid="{6C46E41A-022E-403E-93E3-8334198C50AF}"/>
    <cellStyle name="Normal 5 3 4 2 3 4" xfId="9460" xr:uid="{4D6AFAB1-CCF5-4540-B64F-7D73EF3ECC1D}"/>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16236" xr:uid="{E5439A05-8C65-4D9A-95AF-C82AB1D81A38}"/>
    <cellStyle name="Normal 5 3 4 2 4 2 3" xfId="12018" xr:uid="{F030EED6-7944-4905-A2F1-2A1FD4EDF9BF}"/>
    <cellStyle name="Normal 5 3 4 2 4 3" xfId="5649" xr:uid="{00000000-0005-0000-0000-0000311A0000}"/>
    <cellStyle name="Normal 5 3 4 2 4 3 2" xfId="14091" xr:uid="{BD59761D-A083-4053-81FE-48E731769053}"/>
    <cellStyle name="Normal 5 3 4 2 4 4" xfId="9873" xr:uid="{F31C48D1-C613-4B28-B1C3-8AA9B54C8884}"/>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16649" xr:uid="{C26FC86C-EABE-4845-91CA-24CB7A851F2E}"/>
    <cellStyle name="Normal 5 3 4 2 5 2 3" xfId="12431" xr:uid="{47B6A00F-8C5A-496C-9D91-B5210A234B8D}"/>
    <cellStyle name="Normal 5 3 4 2 5 3" xfId="6062" xr:uid="{00000000-0005-0000-0000-0000351A0000}"/>
    <cellStyle name="Normal 5 3 4 2 5 3 2" xfId="14504" xr:uid="{552A6BEB-11F0-48F6-B828-2BE9756ABAAD}"/>
    <cellStyle name="Normal 5 3 4 2 5 4" xfId="10286" xr:uid="{75F133B1-CE0B-4B47-A4F8-76ED62C9EFD5}"/>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17062" xr:uid="{AC42E7A0-2C98-4206-85B1-8775A2C54286}"/>
    <cellStyle name="Normal 5 3 4 2 6 2 3" xfId="12844" xr:uid="{85C50CA4-569D-4878-ABF8-5859AA2E6C71}"/>
    <cellStyle name="Normal 5 3 4 2 6 3" xfId="6475" xr:uid="{00000000-0005-0000-0000-0000391A0000}"/>
    <cellStyle name="Normal 5 3 4 2 6 3 2" xfId="14917" xr:uid="{947CFAB6-6516-4201-8F6A-93B45977AF3C}"/>
    <cellStyle name="Normal 5 3 4 2 6 4" xfId="10699" xr:uid="{DCEA19F3-FE94-4D75-98D6-4F66DFFB77CC}"/>
    <cellStyle name="Normal 5 3 4 2 7" xfId="2604" xr:uid="{00000000-0005-0000-0000-00003A1A0000}"/>
    <cellStyle name="Normal 5 3 4 2 7 2" xfId="6888" xr:uid="{00000000-0005-0000-0000-00003B1A0000}"/>
    <cellStyle name="Normal 5 3 4 2 7 2 2" xfId="15330" xr:uid="{929A43B3-69BD-4E8D-801D-DAE96CB8F319}"/>
    <cellStyle name="Normal 5 3 4 2 7 3" xfId="11112" xr:uid="{08076566-E307-4951-8771-8B22044E800F}"/>
    <cellStyle name="Normal 5 3 4 2 8" xfId="4823" xr:uid="{00000000-0005-0000-0000-00003C1A0000}"/>
    <cellStyle name="Normal 5 3 4 2 8 2" xfId="13265" xr:uid="{4C8E886B-1DD6-44A0-8F76-E1634EF83282}"/>
    <cellStyle name="Normal 5 3 4 2 9" xfId="9047" xr:uid="{867DD459-8CF8-4FAE-BDC6-848FE6AE2544}"/>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15825" xr:uid="{6E713951-214C-4E10-8BA5-A644E4B2E4C2}"/>
    <cellStyle name="Normal 5 3 4 3 2 2 3" xfId="11607" xr:uid="{780B495B-B9F9-406F-981B-0DFC149D9F57}"/>
    <cellStyle name="Normal 5 3 4 3 2 3" xfId="5238" xr:uid="{00000000-0005-0000-0000-0000411A0000}"/>
    <cellStyle name="Normal 5 3 4 3 2 3 2" xfId="13680" xr:uid="{DAEE25DE-7BAC-486C-8117-833FC0657F2A}"/>
    <cellStyle name="Normal 5 3 4 3 2 4" xfId="9462" xr:uid="{A9B93638-8F49-498B-B6F0-7F89E644E82C}"/>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16238" xr:uid="{FD5562A1-67BD-4651-ADA3-3CD9898DC1C7}"/>
    <cellStyle name="Normal 5 3 4 3 3 2 3" xfId="12020" xr:uid="{207F5C37-8E1E-4DD2-9B87-D8BFDB243977}"/>
    <cellStyle name="Normal 5 3 4 3 3 3" xfId="5651" xr:uid="{00000000-0005-0000-0000-0000451A0000}"/>
    <cellStyle name="Normal 5 3 4 3 3 3 2" xfId="14093" xr:uid="{05268393-3375-4644-8FBB-A22E5A951085}"/>
    <cellStyle name="Normal 5 3 4 3 3 4" xfId="9875" xr:uid="{AD3404C6-C45E-4576-A99C-A6B07071FE7B}"/>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16651" xr:uid="{B0F80819-9770-479A-9F52-0683CA2E18F2}"/>
    <cellStyle name="Normal 5 3 4 3 4 2 3" xfId="12433" xr:uid="{C69740F3-C267-4AA5-98DE-FF963F5525C4}"/>
    <cellStyle name="Normal 5 3 4 3 4 3" xfId="6064" xr:uid="{00000000-0005-0000-0000-0000491A0000}"/>
    <cellStyle name="Normal 5 3 4 3 4 3 2" xfId="14506" xr:uid="{B8A958B2-FA67-4C41-B8FD-7BBC3086FB9E}"/>
    <cellStyle name="Normal 5 3 4 3 4 4" xfId="10288" xr:uid="{93CA9BC2-5A8F-419D-A4C2-509E7AFA185A}"/>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17064" xr:uid="{950FD0F5-0DC9-414E-84EC-4FBF76E09C50}"/>
    <cellStyle name="Normal 5 3 4 3 5 2 3" xfId="12846" xr:uid="{AF5A13F9-06E7-4CB5-B4F3-F881F0B0B802}"/>
    <cellStyle name="Normal 5 3 4 3 5 3" xfId="6477" xr:uid="{00000000-0005-0000-0000-00004D1A0000}"/>
    <cellStyle name="Normal 5 3 4 3 5 3 2" xfId="14919" xr:uid="{43BB2366-75E5-466D-9C29-A26461002A82}"/>
    <cellStyle name="Normal 5 3 4 3 5 4" xfId="10701" xr:uid="{9E5641C5-78E4-4B9A-B83F-71BA1B10FAC3}"/>
    <cellStyle name="Normal 5 3 4 3 6" xfId="2606" xr:uid="{00000000-0005-0000-0000-00004E1A0000}"/>
    <cellStyle name="Normal 5 3 4 3 6 2" xfId="6890" xr:uid="{00000000-0005-0000-0000-00004F1A0000}"/>
    <cellStyle name="Normal 5 3 4 3 6 2 2" xfId="15332" xr:uid="{A8C837CF-7003-45E9-B168-112C1C8A189B}"/>
    <cellStyle name="Normal 5 3 4 3 6 3" xfId="11114" xr:uid="{561DE7C4-A481-475F-97E0-8E1872ED3C65}"/>
    <cellStyle name="Normal 5 3 4 3 7" xfId="4825" xr:uid="{00000000-0005-0000-0000-0000501A0000}"/>
    <cellStyle name="Normal 5 3 4 3 7 2" xfId="13267" xr:uid="{B03B1DC6-D1F6-400A-ABB7-D7B80EEE08F1}"/>
    <cellStyle name="Normal 5 3 4 3 8" xfId="9049" xr:uid="{0C3EA6EC-B338-43E8-A05A-9C4AA0FC3CDB}"/>
    <cellStyle name="Normal 5 3 4 4" xfId="923" xr:uid="{00000000-0005-0000-0000-0000511A0000}"/>
    <cellStyle name="Normal 5 3 4 4 2" xfId="3157" xr:uid="{00000000-0005-0000-0000-0000521A0000}"/>
    <cellStyle name="Normal 5 3 4 4 2 2" xfId="7380" xr:uid="{00000000-0005-0000-0000-0000531A0000}"/>
    <cellStyle name="Normal 5 3 4 4 2 2 2" xfId="15822" xr:uid="{1A2ABEFE-EF35-4272-A98E-25C80BB591B2}"/>
    <cellStyle name="Normal 5 3 4 4 2 3" xfId="11604" xr:uid="{8ADFF8D2-9EB7-4C70-8EC6-5FA848570D21}"/>
    <cellStyle name="Normal 5 3 4 4 3" xfId="5235" xr:uid="{00000000-0005-0000-0000-0000541A0000}"/>
    <cellStyle name="Normal 5 3 4 4 3 2" xfId="13677" xr:uid="{28204F73-6949-4E96-973A-8C5B88A07FD0}"/>
    <cellStyle name="Normal 5 3 4 4 4" xfId="9459" xr:uid="{CB9D7952-0675-4CF0-A5AB-F4464CEC2AE2}"/>
    <cellStyle name="Normal 5 3 4 5" xfId="1340" xr:uid="{00000000-0005-0000-0000-0000551A0000}"/>
    <cellStyle name="Normal 5 3 4 5 2" xfId="3570" xr:uid="{00000000-0005-0000-0000-0000561A0000}"/>
    <cellStyle name="Normal 5 3 4 5 2 2" xfId="7793" xr:uid="{00000000-0005-0000-0000-0000571A0000}"/>
    <cellStyle name="Normal 5 3 4 5 2 2 2" xfId="16235" xr:uid="{873F0CFC-18B5-412C-A930-7DE03198E24E}"/>
    <cellStyle name="Normal 5 3 4 5 2 3" xfId="12017" xr:uid="{6ACBE46A-90F7-476C-9610-15949E2165D2}"/>
    <cellStyle name="Normal 5 3 4 5 3" xfId="5648" xr:uid="{00000000-0005-0000-0000-0000581A0000}"/>
    <cellStyle name="Normal 5 3 4 5 3 2" xfId="14090" xr:uid="{8A223F52-91C3-47EF-9687-AC2F061BC21E}"/>
    <cellStyle name="Normal 5 3 4 5 4" xfId="9872" xr:uid="{01886EB7-8738-4B96-9EC5-26B502A95FCC}"/>
    <cellStyle name="Normal 5 3 4 6" xfId="1753" xr:uid="{00000000-0005-0000-0000-0000591A0000}"/>
    <cellStyle name="Normal 5 3 4 6 2" xfId="3983" xr:uid="{00000000-0005-0000-0000-00005A1A0000}"/>
    <cellStyle name="Normal 5 3 4 6 2 2" xfId="8206" xr:uid="{00000000-0005-0000-0000-00005B1A0000}"/>
    <cellStyle name="Normal 5 3 4 6 2 2 2" xfId="16648" xr:uid="{F551C755-A912-42B0-A871-B9CDBE38C027}"/>
    <cellStyle name="Normal 5 3 4 6 2 3" xfId="12430" xr:uid="{9F0D36D8-4333-40BD-BF30-E273EBF71829}"/>
    <cellStyle name="Normal 5 3 4 6 3" xfId="6061" xr:uid="{00000000-0005-0000-0000-00005C1A0000}"/>
    <cellStyle name="Normal 5 3 4 6 3 2" xfId="14503" xr:uid="{8F9622AE-5476-4314-9AEC-FAEDCB66C991}"/>
    <cellStyle name="Normal 5 3 4 6 4" xfId="10285" xr:uid="{CE91695B-54B0-40AF-A446-1B6519BF125B}"/>
    <cellStyle name="Normal 5 3 4 7" xfId="2167" xr:uid="{00000000-0005-0000-0000-00005D1A0000}"/>
    <cellStyle name="Normal 5 3 4 7 2" xfId="4396" xr:uid="{00000000-0005-0000-0000-00005E1A0000}"/>
    <cellStyle name="Normal 5 3 4 7 2 2" xfId="8619" xr:uid="{00000000-0005-0000-0000-00005F1A0000}"/>
    <cellStyle name="Normal 5 3 4 7 2 2 2" xfId="17061" xr:uid="{75D3AA38-A231-467E-9EBE-CC2794235851}"/>
    <cellStyle name="Normal 5 3 4 7 2 3" xfId="12843" xr:uid="{13E00273-59D7-4F7C-844E-17C0790DA332}"/>
    <cellStyle name="Normal 5 3 4 7 3" xfId="6474" xr:uid="{00000000-0005-0000-0000-0000601A0000}"/>
    <cellStyle name="Normal 5 3 4 7 3 2" xfId="14916" xr:uid="{D88058EF-B603-4B08-A173-CA72E1D6EE05}"/>
    <cellStyle name="Normal 5 3 4 7 4" xfId="10698" xr:uid="{EABDEC24-AB9E-44DA-8813-0D0CE3D7F061}"/>
    <cellStyle name="Normal 5 3 4 8" xfId="2603" xr:uid="{00000000-0005-0000-0000-0000611A0000}"/>
    <cellStyle name="Normal 5 3 4 8 2" xfId="6887" xr:uid="{00000000-0005-0000-0000-0000621A0000}"/>
    <cellStyle name="Normal 5 3 4 8 2 2" xfId="15329" xr:uid="{ED50BB38-C40D-4466-95E6-45733B32B7D9}"/>
    <cellStyle name="Normal 5 3 4 8 3" xfId="11111" xr:uid="{80C0936C-AF6A-4033-BB20-8CE852D1D80B}"/>
    <cellStyle name="Normal 5 3 4 9" xfId="4822" xr:uid="{00000000-0005-0000-0000-0000631A0000}"/>
    <cellStyle name="Normal 5 3 4 9 2" xfId="13264" xr:uid="{B0C4CA4D-94D2-43A2-BEA5-AD560B87411A}"/>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15827" xr:uid="{07EFAE8F-D7BE-4CA1-9E11-0E8B289D4A42}"/>
    <cellStyle name="Normal 5 3 5 2 2 2 3" xfId="11609" xr:uid="{C474A3CD-776B-4A36-ABDE-DBC47BC6CB4F}"/>
    <cellStyle name="Normal 5 3 5 2 2 3" xfId="5240" xr:uid="{00000000-0005-0000-0000-0000691A0000}"/>
    <cellStyle name="Normal 5 3 5 2 2 3 2" xfId="13682" xr:uid="{1744904A-C14B-497C-ADD6-E9205243B9A5}"/>
    <cellStyle name="Normal 5 3 5 2 2 4" xfId="9464" xr:uid="{7BB4503D-D7DB-4FCB-93AD-CAEF572F6ACB}"/>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16240" xr:uid="{588E0D57-ECA7-457B-9D7D-DCC2180B832A}"/>
    <cellStyle name="Normal 5 3 5 2 3 2 3" xfId="12022" xr:uid="{FD632753-1A4F-4E2F-B13E-17EBE34DED08}"/>
    <cellStyle name="Normal 5 3 5 2 3 3" xfId="5653" xr:uid="{00000000-0005-0000-0000-00006D1A0000}"/>
    <cellStyle name="Normal 5 3 5 2 3 3 2" xfId="14095" xr:uid="{D1FB8EC2-44CC-4F0E-ADD5-04576935D984}"/>
    <cellStyle name="Normal 5 3 5 2 3 4" xfId="9877" xr:uid="{2E6DC2AA-F572-4217-AE56-17B23DAF19F5}"/>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16653" xr:uid="{14FEFAAF-B76F-4C8C-AD7D-AA30FD679D37}"/>
    <cellStyle name="Normal 5 3 5 2 4 2 3" xfId="12435" xr:uid="{1417A4D0-5FA8-4282-859F-06D0ECB3D0FF}"/>
    <cellStyle name="Normal 5 3 5 2 4 3" xfId="6066" xr:uid="{00000000-0005-0000-0000-0000711A0000}"/>
    <cellStyle name="Normal 5 3 5 2 4 3 2" xfId="14508" xr:uid="{50BD688B-5F7A-4E98-A17A-E72E790F1243}"/>
    <cellStyle name="Normal 5 3 5 2 4 4" xfId="10290" xr:uid="{77968082-86FB-4054-A2AA-BF1DCABEDBD8}"/>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17066" xr:uid="{0ABB7E9C-CBAB-486A-AAEB-2721CA8FED16}"/>
    <cellStyle name="Normal 5 3 5 2 5 2 3" xfId="12848" xr:uid="{37A38269-DADE-42B4-8A8D-96C973C4F2B3}"/>
    <cellStyle name="Normal 5 3 5 2 5 3" xfId="6479" xr:uid="{00000000-0005-0000-0000-0000751A0000}"/>
    <cellStyle name="Normal 5 3 5 2 5 3 2" xfId="14921" xr:uid="{23C57549-831B-4985-BFE1-E6D27D2D9B2D}"/>
    <cellStyle name="Normal 5 3 5 2 5 4" xfId="10703" xr:uid="{4958F930-6142-4834-824B-E9B2DE47456D}"/>
    <cellStyle name="Normal 5 3 5 2 6" xfId="2608" xr:uid="{00000000-0005-0000-0000-0000761A0000}"/>
    <cellStyle name="Normal 5 3 5 2 6 2" xfId="6892" xr:uid="{00000000-0005-0000-0000-0000771A0000}"/>
    <cellStyle name="Normal 5 3 5 2 6 2 2" xfId="15334" xr:uid="{73525DCB-54D1-48D3-9A3C-1286DFF98DD9}"/>
    <cellStyle name="Normal 5 3 5 2 6 3" xfId="11116" xr:uid="{619C11A4-A085-4190-B42E-1E5A9EBEB4E7}"/>
    <cellStyle name="Normal 5 3 5 2 7" xfId="4827" xr:uid="{00000000-0005-0000-0000-0000781A0000}"/>
    <cellStyle name="Normal 5 3 5 2 7 2" xfId="13269" xr:uid="{270F96B9-49A5-437C-9824-D3A8C30E5EA6}"/>
    <cellStyle name="Normal 5 3 5 2 8" xfId="9051" xr:uid="{0918E07B-984D-45CA-8688-D7D4162A6C3D}"/>
    <cellStyle name="Normal 5 3 5 3" xfId="927" xr:uid="{00000000-0005-0000-0000-0000791A0000}"/>
    <cellStyle name="Normal 5 3 5 3 2" xfId="3161" xr:uid="{00000000-0005-0000-0000-00007A1A0000}"/>
    <cellStyle name="Normal 5 3 5 3 2 2" xfId="7384" xr:uid="{00000000-0005-0000-0000-00007B1A0000}"/>
    <cellStyle name="Normal 5 3 5 3 2 2 2" xfId="15826" xr:uid="{04EED5B2-DDFD-4BCE-B469-EE8F2F2061F3}"/>
    <cellStyle name="Normal 5 3 5 3 2 3" xfId="11608" xr:uid="{1CD909A2-CFB2-4441-A063-630B5C6F0614}"/>
    <cellStyle name="Normal 5 3 5 3 3" xfId="5239" xr:uid="{00000000-0005-0000-0000-00007C1A0000}"/>
    <cellStyle name="Normal 5 3 5 3 3 2" xfId="13681" xr:uid="{F4694A98-42D5-40AE-BBB5-7D08E7AAE54C}"/>
    <cellStyle name="Normal 5 3 5 3 4" xfId="9463" xr:uid="{7F764095-2643-42C5-8783-0C427644A984}"/>
    <cellStyle name="Normal 5 3 5 4" xfId="1344" xr:uid="{00000000-0005-0000-0000-00007D1A0000}"/>
    <cellStyle name="Normal 5 3 5 4 2" xfId="3574" xr:uid="{00000000-0005-0000-0000-00007E1A0000}"/>
    <cellStyle name="Normal 5 3 5 4 2 2" xfId="7797" xr:uid="{00000000-0005-0000-0000-00007F1A0000}"/>
    <cellStyle name="Normal 5 3 5 4 2 2 2" xfId="16239" xr:uid="{2273B44F-4500-47A3-9024-A3F013A23C48}"/>
    <cellStyle name="Normal 5 3 5 4 2 3" xfId="12021" xr:uid="{32C5FC49-04C2-4C55-BEBF-D1AE93D5DBA6}"/>
    <cellStyle name="Normal 5 3 5 4 3" xfId="5652" xr:uid="{00000000-0005-0000-0000-0000801A0000}"/>
    <cellStyle name="Normal 5 3 5 4 3 2" xfId="14094" xr:uid="{94BBEC95-A598-4A93-943A-E2023B011588}"/>
    <cellStyle name="Normal 5 3 5 4 4" xfId="9876" xr:uid="{61602233-3FED-4BC5-9ADA-AF37D8594065}"/>
    <cellStyle name="Normal 5 3 5 5" xfId="1757" xr:uid="{00000000-0005-0000-0000-0000811A0000}"/>
    <cellStyle name="Normal 5 3 5 5 2" xfId="3987" xr:uid="{00000000-0005-0000-0000-0000821A0000}"/>
    <cellStyle name="Normal 5 3 5 5 2 2" xfId="8210" xr:uid="{00000000-0005-0000-0000-0000831A0000}"/>
    <cellStyle name="Normal 5 3 5 5 2 2 2" xfId="16652" xr:uid="{FBB55246-841F-4EDD-B76E-4682DDC8CD44}"/>
    <cellStyle name="Normal 5 3 5 5 2 3" xfId="12434" xr:uid="{BAEF65A2-3AB6-4434-B6AF-93AD46582F87}"/>
    <cellStyle name="Normal 5 3 5 5 3" xfId="6065" xr:uid="{00000000-0005-0000-0000-0000841A0000}"/>
    <cellStyle name="Normal 5 3 5 5 3 2" xfId="14507" xr:uid="{7739A1DD-51B5-42EF-85F9-1356D98DB645}"/>
    <cellStyle name="Normal 5 3 5 5 4" xfId="10289" xr:uid="{3CBC8722-2F3C-4810-90DF-D95546826B30}"/>
    <cellStyle name="Normal 5 3 5 6" xfId="2171" xr:uid="{00000000-0005-0000-0000-0000851A0000}"/>
    <cellStyle name="Normal 5 3 5 6 2" xfId="4400" xr:uid="{00000000-0005-0000-0000-0000861A0000}"/>
    <cellStyle name="Normal 5 3 5 6 2 2" xfId="8623" xr:uid="{00000000-0005-0000-0000-0000871A0000}"/>
    <cellStyle name="Normal 5 3 5 6 2 2 2" xfId="17065" xr:uid="{501A10D8-F93C-4EA6-81B3-F256790B84A9}"/>
    <cellStyle name="Normal 5 3 5 6 2 3" xfId="12847" xr:uid="{182FA4F1-D716-49D0-AA88-8C4371D91459}"/>
    <cellStyle name="Normal 5 3 5 6 3" xfId="6478" xr:uid="{00000000-0005-0000-0000-0000881A0000}"/>
    <cellStyle name="Normal 5 3 5 6 3 2" xfId="14920" xr:uid="{4201726D-1574-4BA8-9864-5F0B73E3973D}"/>
    <cellStyle name="Normal 5 3 5 6 4" xfId="10702" xr:uid="{A777B2F5-8D27-4401-B8B5-A251BAA98EC3}"/>
    <cellStyle name="Normal 5 3 5 7" xfId="2607" xr:uid="{00000000-0005-0000-0000-0000891A0000}"/>
    <cellStyle name="Normal 5 3 5 7 2" xfId="6891" xr:uid="{00000000-0005-0000-0000-00008A1A0000}"/>
    <cellStyle name="Normal 5 3 5 7 2 2" xfId="15333" xr:uid="{3BDA0603-85E0-490A-989B-5CCBDA140845}"/>
    <cellStyle name="Normal 5 3 5 7 3" xfId="11115" xr:uid="{29093B43-6D39-42EF-950B-0091061A6518}"/>
    <cellStyle name="Normal 5 3 5 8" xfId="4826" xr:uid="{00000000-0005-0000-0000-00008B1A0000}"/>
    <cellStyle name="Normal 5 3 5 8 2" xfId="13268" xr:uid="{B77761BA-28B1-4E4B-BF80-7BB1CDBCE589}"/>
    <cellStyle name="Normal 5 3 5 9" xfId="9050" xr:uid="{882ADF9F-5088-4CD2-B898-4F17BC2FE11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2 2 2" xfId="15828" xr:uid="{87DE6A88-2FA6-4474-A32F-FD0E1C19C736}"/>
    <cellStyle name="Normal 5 3 6 2 2 3" xfId="11610" xr:uid="{7584EDE6-7D6F-4ECF-9288-5AC6A375447F}"/>
    <cellStyle name="Normal 5 3 6 2 3" xfId="5241" xr:uid="{00000000-0005-0000-0000-0000901A0000}"/>
    <cellStyle name="Normal 5 3 6 2 3 2" xfId="13683" xr:uid="{8E6E0AEA-BBD4-4BE7-A976-C2E03A24957E}"/>
    <cellStyle name="Normal 5 3 6 2 4" xfId="9465" xr:uid="{4F23AF3B-6871-440B-A440-0966C4707FD5}"/>
    <cellStyle name="Normal 5 3 6 3" xfId="1346" xr:uid="{00000000-0005-0000-0000-0000911A0000}"/>
    <cellStyle name="Normal 5 3 6 3 2" xfId="3576" xr:uid="{00000000-0005-0000-0000-0000921A0000}"/>
    <cellStyle name="Normal 5 3 6 3 2 2" xfId="7799" xr:uid="{00000000-0005-0000-0000-0000931A0000}"/>
    <cellStyle name="Normal 5 3 6 3 2 2 2" xfId="16241" xr:uid="{DE8BE674-B3F4-4ED1-84E8-762ADA8F07AE}"/>
    <cellStyle name="Normal 5 3 6 3 2 3" xfId="12023" xr:uid="{9A0A5E8F-BF16-4D60-85A9-DE603CF36687}"/>
    <cellStyle name="Normal 5 3 6 3 3" xfId="5654" xr:uid="{00000000-0005-0000-0000-0000941A0000}"/>
    <cellStyle name="Normal 5 3 6 3 3 2" xfId="14096" xr:uid="{8A02F017-66AC-4BB8-87A3-D8B5975D90E4}"/>
    <cellStyle name="Normal 5 3 6 3 4" xfId="9878" xr:uid="{600FC998-F19B-44DF-B675-302920CDE4E7}"/>
    <cellStyle name="Normal 5 3 6 4" xfId="1759" xr:uid="{00000000-0005-0000-0000-0000951A0000}"/>
    <cellStyle name="Normal 5 3 6 4 2" xfId="3989" xr:uid="{00000000-0005-0000-0000-0000961A0000}"/>
    <cellStyle name="Normal 5 3 6 4 2 2" xfId="8212" xr:uid="{00000000-0005-0000-0000-0000971A0000}"/>
    <cellStyle name="Normal 5 3 6 4 2 2 2" xfId="16654" xr:uid="{0CAA5907-7AF2-4AC8-A15C-48789FC03249}"/>
    <cellStyle name="Normal 5 3 6 4 2 3" xfId="12436" xr:uid="{856D95E9-0DF2-4DE4-B15D-E5FC6CA97DEF}"/>
    <cellStyle name="Normal 5 3 6 4 3" xfId="6067" xr:uid="{00000000-0005-0000-0000-0000981A0000}"/>
    <cellStyle name="Normal 5 3 6 4 3 2" xfId="14509" xr:uid="{DD9928C5-ECAA-48CA-B62C-DAEEF693C81B}"/>
    <cellStyle name="Normal 5 3 6 4 4" xfId="10291" xr:uid="{D4DA002B-69B3-4FBE-9E97-6F47A4DCBC03}"/>
    <cellStyle name="Normal 5 3 6 5" xfId="2173" xr:uid="{00000000-0005-0000-0000-0000991A0000}"/>
    <cellStyle name="Normal 5 3 6 5 2" xfId="4402" xr:uid="{00000000-0005-0000-0000-00009A1A0000}"/>
    <cellStyle name="Normal 5 3 6 5 2 2" xfId="8625" xr:uid="{00000000-0005-0000-0000-00009B1A0000}"/>
    <cellStyle name="Normal 5 3 6 5 2 2 2" xfId="17067" xr:uid="{79B6E469-1AFA-45DA-8A4D-011C16B1420E}"/>
    <cellStyle name="Normal 5 3 6 5 2 3" xfId="12849" xr:uid="{9F27472E-41D3-4925-B91D-2C0B02BDAF77}"/>
    <cellStyle name="Normal 5 3 6 5 3" xfId="6480" xr:uid="{00000000-0005-0000-0000-00009C1A0000}"/>
    <cellStyle name="Normal 5 3 6 5 3 2" xfId="14922" xr:uid="{0100475C-0447-4131-8A9C-5B73202158A9}"/>
    <cellStyle name="Normal 5 3 6 5 4" xfId="10704" xr:uid="{8422F4B7-B39F-4AFF-A6F8-758044435C71}"/>
    <cellStyle name="Normal 5 3 6 6" xfId="2609" xr:uid="{00000000-0005-0000-0000-00009D1A0000}"/>
    <cellStyle name="Normal 5 3 6 6 2" xfId="6893" xr:uid="{00000000-0005-0000-0000-00009E1A0000}"/>
    <cellStyle name="Normal 5 3 6 6 2 2" xfId="15335" xr:uid="{38B24517-404A-4E8D-8BA5-33C8FC82EC1A}"/>
    <cellStyle name="Normal 5 3 6 6 3" xfId="11117" xr:uid="{7A67E7F5-38F5-4A00-86DD-9D61D9D35D79}"/>
    <cellStyle name="Normal 5 3 6 7" xfId="4828" xr:uid="{00000000-0005-0000-0000-00009F1A0000}"/>
    <cellStyle name="Normal 5 3 6 7 2" xfId="13270" xr:uid="{D8D39BC2-2D5B-40E9-9105-8807877C496C}"/>
    <cellStyle name="Normal 5 3 6 8" xfId="9052" xr:uid="{44AA4092-C601-4C77-B31F-6D336B71B026}"/>
    <cellStyle name="Normal 5 3 7" xfId="913" xr:uid="{00000000-0005-0000-0000-0000A01A0000}"/>
    <cellStyle name="Normal 5 3 7 2" xfId="3148" xr:uid="{00000000-0005-0000-0000-0000A11A0000}"/>
    <cellStyle name="Normal 5 3 7 2 2" xfId="7371" xr:uid="{00000000-0005-0000-0000-0000A21A0000}"/>
    <cellStyle name="Normal 5 3 7 2 2 2" xfId="15813" xr:uid="{27A8E4CA-A1F3-45F8-8D30-479E0E489238}"/>
    <cellStyle name="Normal 5 3 7 2 3" xfId="11595" xr:uid="{21437FA2-2C33-4D73-9FD2-057BD21487B6}"/>
    <cellStyle name="Normal 5 3 7 3" xfId="5226" xr:uid="{00000000-0005-0000-0000-0000A31A0000}"/>
    <cellStyle name="Normal 5 3 7 3 2" xfId="13668" xr:uid="{D09290FF-7D36-45C9-8BEC-0C968FBD9384}"/>
    <cellStyle name="Normal 5 3 7 4" xfId="9450" xr:uid="{65A06F30-5C1E-44A0-B60F-96DB1E2055DD}"/>
    <cellStyle name="Normal 5 3 8" xfId="1331" xr:uid="{00000000-0005-0000-0000-0000A41A0000}"/>
    <cellStyle name="Normal 5 3 8 2" xfId="3561" xr:uid="{00000000-0005-0000-0000-0000A51A0000}"/>
    <cellStyle name="Normal 5 3 8 2 2" xfId="7784" xr:uid="{00000000-0005-0000-0000-0000A61A0000}"/>
    <cellStyle name="Normal 5 3 8 2 2 2" xfId="16226" xr:uid="{27850729-1E4D-4A8A-87BA-29AF1332A81D}"/>
    <cellStyle name="Normal 5 3 8 2 3" xfId="12008" xr:uid="{DC9B856D-E90A-4AE8-9EF2-3AFA21918071}"/>
    <cellStyle name="Normal 5 3 8 3" xfId="5639" xr:uid="{00000000-0005-0000-0000-0000A71A0000}"/>
    <cellStyle name="Normal 5 3 8 3 2" xfId="14081" xr:uid="{6E97192A-F07B-4D24-BCAB-399570A71D60}"/>
    <cellStyle name="Normal 5 3 8 4" xfId="9863" xr:uid="{959174B6-E47C-433D-B010-4E13D4718D75}"/>
    <cellStyle name="Normal 5 3 9" xfId="1744" xr:uid="{00000000-0005-0000-0000-0000A81A0000}"/>
    <cellStyle name="Normal 5 3 9 2" xfId="3974" xr:uid="{00000000-0005-0000-0000-0000A91A0000}"/>
    <cellStyle name="Normal 5 3 9 2 2" xfId="8197" xr:uid="{00000000-0005-0000-0000-0000AA1A0000}"/>
    <cellStyle name="Normal 5 3 9 2 2 2" xfId="16639" xr:uid="{65668494-B175-4F83-A8AE-7D52C72282BC}"/>
    <cellStyle name="Normal 5 3 9 2 3" xfId="12421" xr:uid="{78457444-B5C9-46CC-AC28-4DDFC6D0246D}"/>
    <cellStyle name="Normal 5 3 9 3" xfId="6052" xr:uid="{00000000-0005-0000-0000-0000AB1A0000}"/>
    <cellStyle name="Normal 5 3 9 3 2" xfId="14494" xr:uid="{8EB3CA08-8791-470A-8619-6C45A5B20F80}"/>
    <cellStyle name="Normal 5 3 9 4" xfId="10276" xr:uid="{89B19CFC-3E21-4615-9242-B565032C9466}"/>
    <cellStyle name="Normal 5 4" xfId="456" xr:uid="{00000000-0005-0000-0000-0000AC1A0000}"/>
    <cellStyle name="Normal 5 4 10" xfId="4829" xr:uid="{00000000-0005-0000-0000-0000AD1A0000}"/>
    <cellStyle name="Normal 5 4 10 2" xfId="13271" xr:uid="{056DDFA3-2CCC-4DD3-BBEB-F3AE3BFBB425}"/>
    <cellStyle name="Normal 5 4 11" xfId="9053" xr:uid="{1AD57DA0-967B-4520-906E-34A012296CC2}"/>
    <cellStyle name="Normal 5 4 2" xfId="457" xr:uid="{00000000-0005-0000-0000-0000AE1A0000}"/>
    <cellStyle name="Normal 5 4 2 10" xfId="9054" xr:uid="{69F5A60E-E532-40A3-81C5-CA30BDC5DE4E}"/>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15832" xr:uid="{B2D18DD0-CC3E-4015-B1EB-3799261F9DBD}"/>
    <cellStyle name="Normal 5 4 2 2 2 2 2 3" xfId="11614" xr:uid="{42CA8F9D-1F8D-4673-801D-CC0B46DDA742}"/>
    <cellStyle name="Normal 5 4 2 2 2 2 3" xfId="5245" xr:uid="{00000000-0005-0000-0000-0000B41A0000}"/>
    <cellStyle name="Normal 5 4 2 2 2 2 3 2" xfId="13687" xr:uid="{EEDF039A-A399-4051-9E70-08EF043F28B4}"/>
    <cellStyle name="Normal 5 4 2 2 2 2 4" xfId="9469" xr:uid="{713C3E95-59ED-4B5B-B6EF-0EC5CC316AAF}"/>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16245" xr:uid="{4F866BAB-BB4E-4F03-9B97-D0F4C913E8E4}"/>
    <cellStyle name="Normal 5 4 2 2 2 3 2 3" xfId="12027" xr:uid="{046D7235-9BD5-4B98-BCCB-0E7B8A88B2C6}"/>
    <cellStyle name="Normal 5 4 2 2 2 3 3" xfId="5658" xr:uid="{00000000-0005-0000-0000-0000B81A0000}"/>
    <cellStyle name="Normal 5 4 2 2 2 3 3 2" xfId="14100" xr:uid="{F5841731-C862-41A1-A51B-3AFF978BC362}"/>
    <cellStyle name="Normal 5 4 2 2 2 3 4" xfId="9882" xr:uid="{BCAC4B2A-AFD5-44D4-B9C2-3181DE19F9E4}"/>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16658" xr:uid="{51731122-9890-4F4F-95BC-2C827D4ED015}"/>
    <cellStyle name="Normal 5 4 2 2 2 4 2 3" xfId="12440" xr:uid="{D9C4790F-CEAA-44B3-BE5A-DEBC93BF629D}"/>
    <cellStyle name="Normal 5 4 2 2 2 4 3" xfId="6071" xr:uid="{00000000-0005-0000-0000-0000BC1A0000}"/>
    <cellStyle name="Normal 5 4 2 2 2 4 3 2" xfId="14513" xr:uid="{7A98A433-6B73-4C94-8B15-D434585B235A}"/>
    <cellStyle name="Normal 5 4 2 2 2 4 4" xfId="10295" xr:uid="{CDEBB661-A2E7-4D82-9FEF-FA1CB6995511}"/>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17071" xr:uid="{EE872150-0A9D-42C3-A586-E2A1A1DFCB20}"/>
    <cellStyle name="Normal 5 4 2 2 2 5 2 3" xfId="12853" xr:uid="{40BF3D7D-75A3-49C2-B59B-37EDF4EFB0CC}"/>
    <cellStyle name="Normal 5 4 2 2 2 5 3" xfId="6484" xr:uid="{00000000-0005-0000-0000-0000C01A0000}"/>
    <cellStyle name="Normal 5 4 2 2 2 5 3 2" xfId="14926" xr:uid="{CAEA5AAC-51AA-4F35-9A0A-95E6981A1D6A}"/>
    <cellStyle name="Normal 5 4 2 2 2 5 4" xfId="10708" xr:uid="{1FE939E8-5521-4A6D-9911-B61A1A3BCCF0}"/>
    <cellStyle name="Normal 5 4 2 2 2 6" xfId="2613" xr:uid="{00000000-0005-0000-0000-0000C11A0000}"/>
    <cellStyle name="Normal 5 4 2 2 2 6 2" xfId="6897" xr:uid="{00000000-0005-0000-0000-0000C21A0000}"/>
    <cellStyle name="Normal 5 4 2 2 2 6 2 2" xfId="15339" xr:uid="{DDB24552-06A7-4FE0-BC1F-5CE3078EFA3C}"/>
    <cellStyle name="Normal 5 4 2 2 2 6 3" xfId="11121" xr:uid="{872B926E-073F-4C05-B2D9-3D9BD018D1FD}"/>
    <cellStyle name="Normal 5 4 2 2 2 7" xfId="4832" xr:uid="{00000000-0005-0000-0000-0000C31A0000}"/>
    <cellStyle name="Normal 5 4 2 2 2 7 2" xfId="13274" xr:uid="{3009B960-60A3-42F7-B4DB-D382BDA6E92B}"/>
    <cellStyle name="Normal 5 4 2 2 2 8" xfId="9056" xr:uid="{9CFC5917-FDCC-4183-800E-6AAB8D7538D7}"/>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15831" xr:uid="{9526C070-E1D5-4082-8894-733561A46856}"/>
    <cellStyle name="Normal 5 4 2 2 3 2 3" xfId="11613" xr:uid="{11C3F8D6-2248-4523-8305-3F76BD83F8B1}"/>
    <cellStyle name="Normal 5 4 2 2 3 3" xfId="5244" xr:uid="{00000000-0005-0000-0000-0000C71A0000}"/>
    <cellStyle name="Normal 5 4 2 2 3 3 2" xfId="13686" xr:uid="{CFED647F-4F7D-4634-911B-E425A8EEAE38}"/>
    <cellStyle name="Normal 5 4 2 2 3 4" xfId="9468" xr:uid="{09325F5C-5D9E-4EDB-80EC-4F42922A1685}"/>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16244" xr:uid="{BD32C326-5A1A-41CA-82A6-AB3289ADE756}"/>
    <cellStyle name="Normal 5 4 2 2 4 2 3" xfId="12026" xr:uid="{38FDF4EA-1CC4-4941-A443-29B7D28018DB}"/>
    <cellStyle name="Normal 5 4 2 2 4 3" xfId="5657" xr:uid="{00000000-0005-0000-0000-0000CB1A0000}"/>
    <cellStyle name="Normal 5 4 2 2 4 3 2" xfId="14099" xr:uid="{C2AF4EC7-5F34-4824-A8CA-20766BD6981A}"/>
    <cellStyle name="Normal 5 4 2 2 4 4" xfId="9881" xr:uid="{EBCECD75-DCBC-4913-8F8A-DD05A2FFCC9F}"/>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16657" xr:uid="{5B9D3D6F-0F37-4A39-A8AB-E08A0E8C9EC2}"/>
    <cellStyle name="Normal 5 4 2 2 5 2 3" xfId="12439" xr:uid="{F98CA76B-8E5A-41E7-953F-2CD3CC810C75}"/>
    <cellStyle name="Normal 5 4 2 2 5 3" xfId="6070" xr:uid="{00000000-0005-0000-0000-0000CF1A0000}"/>
    <cellStyle name="Normal 5 4 2 2 5 3 2" xfId="14512" xr:uid="{E44ECC74-2252-461A-BD3C-8300238F57EE}"/>
    <cellStyle name="Normal 5 4 2 2 5 4" xfId="10294" xr:uid="{A5F343C2-272E-4035-8AAB-806DE5EE6815}"/>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17070" xr:uid="{E90261F6-A124-4E5C-B017-16EA881C920E}"/>
    <cellStyle name="Normal 5 4 2 2 6 2 3" xfId="12852" xr:uid="{288E3D01-7499-4816-9601-AE7BD92F28ED}"/>
    <cellStyle name="Normal 5 4 2 2 6 3" xfId="6483" xr:uid="{00000000-0005-0000-0000-0000D31A0000}"/>
    <cellStyle name="Normal 5 4 2 2 6 3 2" xfId="14925" xr:uid="{DF2C4CCA-5146-4ED4-A9DA-A2C08929F967}"/>
    <cellStyle name="Normal 5 4 2 2 6 4" xfId="10707" xr:uid="{5941BF88-3CB8-414B-BCA3-657C4F0DDC0D}"/>
    <cellStyle name="Normal 5 4 2 2 7" xfId="2612" xr:uid="{00000000-0005-0000-0000-0000D41A0000}"/>
    <cellStyle name="Normal 5 4 2 2 7 2" xfId="6896" xr:uid="{00000000-0005-0000-0000-0000D51A0000}"/>
    <cellStyle name="Normal 5 4 2 2 7 2 2" xfId="15338" xr:uid="{513C4C56-C142-42DE-982C-654F51979252}"/>
    <cellStyle name="Normal 5 4 2 2 7 3" xfId="11120" xr:uid="{BD1619C0-0DD1-484E-8571-931529FF42D4}"/>
    <cellStyle name="Normal 5 4 2 2 8" xfId="4831" xr:uid="{00000000-0005-0000-0000-0000D61A0000}"/>
    <cellStyle name="Normal 5 4 2 2 8 2" xfId="13273" xr:uid="{432F9EF8-C79E-42D4-BF86-259AB0088578}"/>
    <cellStyle name="Normal 5 4 2 2 9" xfId="9055" xr:uid="{8EBCD9F6-BB19-4F8E-BF86-3F7C8C1409DF}"/>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15833" xr:uid="{21233CF7-D286-4E32-B0ED-015570233B73}"/>
    <cellStyle name="Normal 5 4 2 3 2 2 3" xfId="11615" xr:uid="{E1FE07A2-E2B9-4C5E-8D1C-C6458C0E9CBC}"/>
    <cellStyle name="Normal 5 4 2 3 2 3" xfId="5246" xr:uid="{00000000-0005-0000-0000-0000DB1A0000}"/>
    <cellStyle name="Normal 5 4 2 3 2 3 2" xfId="13688" xr:uid="{BF769A7B-FFBA-4CB0-ADD2-8A76AE33A527}"/>
    <cellStyle name="Normal 5 4 2 3 2 4" xfId="9470" xr:uid="{AC01E077-5CC2-4492-A761-582D37925488}"/>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16246" xr:uid="{042F0D6A-B387-4A47-B9B0-7D95722E2721}"/>
    <cellStyle name="Normal 5 4 2 3 3 2 3" xfId="12028" xr:uid="{A93F7B46-4315-4022-B49A-B899A13A1DED}"/>
    <cellStyle name="Normal 5 4 2 3 3 3" xfId="5659" xr:uid="{00000000-0005-0000-0000-0000DF1A0000}"/>
    <cellStyle name="Normal 5 4 2 3 3 3 2" xfId="14101" xr:uid="{BF2CB994-189F-4EE1-A4DC-BBBCA3393219}"/>
    <cellStyle name="Normal 5 4 2 3 3 4" xfId="9883" xr:uid="{9DD65334-CB40-4EE3-BD40-7A93947477AC}"/>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16659" xr:uid="{EC13A2BB-C1B0-446C-B505-B79033ED2B2B}"/>
    <cellStyle name="Normal 5 4 2 3 4 2 3" xfId="12441" xr:uid="{0B1398AD-8CF7-48FD-B742-BC1FF94CA05F}"/>
    <cellStyle name="Normal 5 4 2 3 4 3" xfId="6072" xr:uid="{00000000-0005-0000-0000-0000E31A0000}"/>
    <cellStyle name="Normal 5 4 2 3 4 3 2" xfId="14514" xr:uid="{1996BF33-7672-4BD8-B9C7-AFA2720ACCB5}"/>
    <cellStyle name="Normal 5 4 2 3 4 4" xfId="10296" xr:uid="{A7487CC2-A87F-4F4F-99A7-93A72180B2C7}"/>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17072" xr:uid="{7401294F-11AA-4AA4-8D5B-276699179D3C}"/>
    <cellStyle name="Normal 5 4 2 3 5 2 3" xfId="12854" xr:uid="{4DA5C156-03AC-4FD1-9438-9851BB313BF0}"/>
    <cellStyle name="Normal 5 4 2 3 5 3" xfId="6485" xr:uid="{00000000-0005-0000-0000-0000E71A0000}"/>
    <cellStyle name="Normal 5 4 2 3 5 3 2" xfId="14927" xr:uid="{B0365A47-6F34-4349-976B-90D607334501}"/>
    <cellStyle name="Normal 5 4 2 3 5 4" xfId="10709" xr:uid="{20185C06-4C51-4A30-A00D-63FECAFA9196}"/>
    <cellStyle name="Normal 5 4 2 3 6" xfId="2614" xr:uid="{00000000-0005-0000-0000-0000E81A0000}"/>
    <cellStyle name="Normal 5 4 2 3 6 2" xfId="6898" xr:uid="{00000000-0005-0000-0000-0000E91A0000}"/>
    <cellStyle name="Normal 5 4 2 3 6 2 2" xfId="15340" xr:uid="{81E0FAAB-7076-4AD1-8C35-1019D7C0E4AB}"/>
    <cellStyle name="Normal 5 4 2 3 6 3" xfId="11122" xr:uid="{22875FB9-D42C-4DB5-A626-49ADCC4F6D48}"/>
    <cellStyle name="Normal 5 4 2 3 7" xfId="4833" xr:uid="{00000000-0005-0000-0000-0000EA1A0000}"/>
    <cellStyle name="Normal 5 4 2 3 7 2" xfId="13275" xr:uid="{985D8A46-A96D-4681-A02D-C0B18D7A4459}"/>
    <cellStyle name="Normal 5 4 2 3 8" xfId="9057" xr:uid="{BA8CD79A-5CFA-4510-8E7E-A63CE63D6157}"/>
    <cellStyle name="Normal 5 4 2 4" xfId="931" xr:uid="{00000000-0005-0000-0000-0000EB1A0000}"/>
    <cellStyle name="Normal 5 4 2 4 2" xfId="3165" xr:uid="{00000000-0005-0000-0000-0000EC1A0000}"/>
    <cellStyle name="Normal 5 4 2 4 2 2" xfId="7388" xr:uid="{00000000-0005-0000-0000-0000ED1A0000}"/>
    <cellStyle name="Normal 5 4 2 4 2 2 2" xfId="15830" xr:uid="{B0CF6D00-F3C2-434B-924B-2B12685C292C}"/>
    <cellStyle name="Normal 5 4 2 4 2 3" xfId="11612" xr:uid="{6FE61CF7-610C-41C3-AA03-BF85E4A011DD}"/>
    <cellStyle name="Normal 5 4 2 4 3" xfId="5243" xr:uid="{00000000-0005-0000-0000-0000EE1A0000}"/>
    <cellStyle name="Normal 5 4 2 4 3 2" xfId="13685" xr:uid="{9F4C3B72-B6BE-4AA4-A53F-3D300AC7E9EB}"/>
    <cellStyle name="Normal 5 4 2 4 4" xfId="9467" xr:uid="{80ABE66B-C607-448D-BD2C-DA5C02502C92}"/>
    <cellStyle name="Normal 5 4 2 5" xfId="1348" xr:uid="{00000000-0005-0000-0000-0000EF1A0000}"/>
    <cellStyle name="Normal 5 4 2 5 2" xfId="3578" xr:uid="{00000000-0005-0000-0000-0000F01A0000}"/>
    <cellStyle name="Normal 5 4 2 5 2 2" xfId="7801" xr:uid="{00000000-0005-0000-0000-0000F11A0000}"/>
    <cellStyle name="Normal 5 4 2 5 2 2 2" xfId="16243" xr:uid="{0ED307F6-9E8A-4F9D-99CD-B65857171A9F}"/>
    <cellStyle name="Normal 5 4 2 5 2 3" xfId="12025" xr:uid="{F23B1B0F-D34A-4F5A-9A49-4860DE16B1F1}"/>
    <cellStyle name="Normal 5 4 2 5 3" xfId="5656" xr:uid="{00000000-0005-0000-0000-0000F21A0000}"/>
    <cellStyle name="Normal 5 4 2 5 3 2" xfId="14098" xr:uid="{E5FEF266-C19A-48FB-BB0E-3A51179FFC68}"/>
    <cellStyle name="Normal 5 4 2 5 4" xfId="9880" xr:uid="{3C63386C-2ED1-4B14-A4CD-0810B98A8A5C}"/>
    <cellStyle name="Normal 5 4 2 6" xfId="1761" xr:uid="{00000000-0005-0000-0000-0000F31A0000}"/>
    <cellStyle name="Normal 5 4 2 6 2" xfId="3991" xr:uid="{00000000-0005-0000-0000-0000F41A0000}"/>
    <cellStyle name="Normal 5 4 2 6 2 2" xfId="8214" xr:uid="{00000000-0005-0000-0000-0000F51A0000}"/>
    <cellStyle name="Normal 5 4 2 6 2 2 2" xfId="16656" xr:uid="{625A7EBB-D6EF-4BC0-9577-D71ADC957B48}"/>
    <cellStyle name="Normal 5 4 2 6 2 3" xfId="12438" xr:uid="{FA5CA015-2B50-4DA7-A5DD-D2FC22729A11}"/>
    <cellStyle name="Normal 5 4 2 6 3" xfId="6069" xr:uid="{00000000-0005-0000-0000-0000F61A0000}"/>
    <cellStyle name="Normal 5 4 2 6 3 2" xfId="14511" xr:uid="{0FE56179-E0AB-4457-A555-5BA85C2364A5}"/>
    <cellStyle name="Normal 5 4 2 6 4" xfId="10293" xr:uid="{26ADC3BC-851D-4EA5-960E-8B13833D5283}"/>
    <cellStyle name="Normal 5 4 2 7" xfId="2175" xr:uid="{00000000-0005-0000-0000-0000F71A0000}"/>
    <cellStyle name="Normal 5 4 2 7 2" xfId="4404" xr:uid="{00000000-0005-0000-0000-0000F81A0000}"/>
    <cellStyle name="Normal 5 4 2 7 2 2" xfId="8627" xr:uid="{00000000-0005-0000-0000-0000F91A0000}"/>
    <cellStyle name="Normal 5 4 2 7 2 2 2" xfId="17069" xr:uid="{0F5B3900-8E6A-4122-86ED-CB3AF49B1B7E}"/>
    <cellStyle name="Normal 5 4 2 7 2 3" xfId="12851" xr:uid="{D93DFDEF-FE1F-4298-A1DC-65FC7EA58D0E}"/>
    <cellStyle name="Normal 5 4 2 7 3" xfId="6482" xr:uid="{00000000-0005-0000-0000-0000FA1A0000}"/>
    <cellStyle name="Normal 5 4 2 7 3 2" xfId="14924" xr:uid="{6BF5BF27-0D45-4AD9-98A9-61243D01EB16}"/>
    <cellStyle name="Normal 5 4 2 7 4" xfId="10706" xr:uid="{5B353028-1040-4EBC-B82C-9A64650B7A8E}"/>
    <cellStyle name="Normal 5 4 2 8" xfId="2611" xr:uid="{00000000-0005-0000-0000-0000FB1A0000}"/>
    <cellStyle name="Normal 5 4 2 8 2" xfId="6895" xr:uid="{00000000-0005-0000-0000-0000FC1A0000}"/>
    <cellStyle name="Normal 5 4 2 8 2 2" xfId="15337" xr:uid="{DB1A92D8-511A-481D-B308-B586845696B8}"/>
    <cellStyle name="Normal 5 4 2 8 3" xfId="11119" xr:uid="{0EC1CAB0-546B-4D49-BFB0-797F80471A5C}"/>
    <cellStyle name="Normal 5 4 2 9" xfId="4830" xr:uid="{00000000-0005-0000-0000-0000FD1A0000}"/>
    <cellStyle name="Normal 5 4 2 9 2" xfId="13272" xr:uid="{E2ED2DBC-750C-4914-84A7-354AC2DCF12E}"/>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15835" xr:uid="{75357176-902A-4A3A-A1E3-82454E01EE39}"/>
    <cellStyle name="Normal 5 4 3 2 2 2 3" xfId="11617" xr:uid="{903D2C65-0044-4756-ABFD-95304B072DC3}"/>
    <cellStyle name="Normal 5 4 3 2 2 3" xfId="5248" xr:uid="{00000000-0005-0000-0000-0000031B0000}"/>
    <cellStyle name="Normal 5 4 3 2 2 3 2" xfId="13690" xr:uid="{FBCB1C47-EBF2-4504-9E17-08115CD4F139}"/>
    <cellStyle name="Normal 5 4 3 2 2 4" xfId="9472" xr:uid="{5D976CF2-8F05-4032-9E23-59A228005B3F}"/>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16248" xr:uid="{41147A7A-F5B6-4D1D-AF33-D3F12A54AF8B}"/>
    <cellStyle name="Normal 5 4 3 2 3 2 3" xfId="12030" xr:uid="{45979180-22AE-4683-9A5F-CD998665C1DC}"/>
    <cellStyle name="Normal 5 4 3 2 3 3" xfId="5661" xr:uid="{00000000-0005-0000-0000-0000071B0000}"/>
    <cellStyle name="Normal 5 4 3 2 3 3 2" xfId="14103" xr:uid="{D0ACC82A-CE60-4F08-9450-760A5C89D15D}"/>
    <cellStyle name="Normal 5 4 3 2 3 4" xfId="9885" xr:uid="{8499C78C-C4F6-42FF-90E5-5BCAEB8E0EDA}"/>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16661" xr:uid="{702BB8D8-D427-4053-861C-AD478E4D8B21}"/>
    <cellStyle name="Normal 5 4 3 2 4 2 3" xfId="12443" xr:uid="{D098B4A7-4D1E-493F-9A4A-E31FFE18CFA7}"/>
    <cellStyle name="Normal 5 4 3 2 4 3" xfId="6074" xr:uid="{00000000-0005-0000-0000-00000B1B0000}"/>
    <cellStyle name="Normal 5 4 3 2 4 3 2" xfId="14516" xr:uid="{6FDB4253-1C68-4CFB-A831-39E68D21B3EB}"/>
    <cellStyle name="Normal 5 4 3 2 4 4" xfId="10298" xr:uid="{2835F6DA-3A70-4D00-9A2E-C673348EB2E8}"/>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17074" xr:uid="{5D6172D8-DF23-416F-A2B7-BF82A97C614F}"/>
    <cellStyle name="Normal 5 4 3 2 5 2 3" xfId="12856" xr:uid="{332321DA-709F-4130-8173-FCDE78F3852C}"/>
    <cellStyle name="Normal 5 4 3 2 5 3" xfId="6487" xr:uid="{00000000-0005-0000-0000-00000F1B0000}"/>
    <cellStyle name="Normal 5 4 3 2 5 3 2" xfId="14929" xr:uid="{68805A14-579E-4021-8601-D791C171E3D7}"/>
    <cellStyle name="Normal 5 4 3 2 5 4" xfId="10711" xr:uid="{9D8559D0-8D56-41BC-9DB5-E9F733C1FD35}"/>
    <cellStyle name="Normal 5 4 3 2 6" xfId="2616" xr:uid="{00000000-0005-0000-0000-0000101B0000}"/>
    <cellStyle name="Normal 5 4 3 2 6 2" xfId="6900" xr:uid="{00000000-0005-0000-0000-0000111B0000}"/>
    <cellStyle name="Normal 5 4 3 2 6 2 2" xfId="15342" xr:uid="{D2E2E606-D844-4734-BA41-3F7497249BA4}"/>
    <cellStyle name="Normal 5 4 3 2 6 3" xfId="11124" xr:uid="{72891885-E628-435C-A4A4-97DBE9D03374}"/>
    <cellStyle name="Normal 5 4 3 2 7" xfId="4835" xr:uid="{00000000-0005-0000-0000-0000121B0000}"/>
    <cellStyle name="Normal 5 4 3 2 7 2" xfId="13277" xr:uid="{3155B505-9149-4700-B3EB-A476A88C6E52}"/>
    <cellStyle name="Normal 5 4 3 2 8" xfId="9059" xr:uid="{AE121CFF-A209-4F66-A46D-C6DC949D9ECE}"/>
    <cellStyle name="Normal 5 4 3 3" xfId="935" xr:uid="{00000000-0005-0000-0000-0000131B0000}"/>
    <cellStyle name="Normal 5 4 3 3 2" xfId="3169" xr:uid="{00000000-0005-0000-0000-0000141B0000}"/>
    <cellStyle name="Normal 5 4 3 3 2 2" xfId="7392" xr:uid="{00000000-0005-0000-0000-0000151B0000}"/>
    <cellStyle name="Normal 5 4 3 3 2 2 2" xfId="15834" xr:uid="{2A18B64C-C659-4431-86C0-F1FE5EA21890}"/>
    <cellStyle name="Normal 5 4 3 3 2 3" xfId="11616" xr:uid="{60E154C9-D2F6-4ABB-B5BB-3E0E4E626419}"/>
    <cellStyle name="Normal 5 4 3 3 3" xfId="5247" xr:uid="{00000000-0005-0000-0000-0000161B0000}"/>
    <cellStyle name="Normal 5 4 3 3 3 2" xfId="13689" xr:uid="{84C91211-D76E-47AB-AE1D-C738930851E7}"/>
    <cellStyle name="Normal 5 4 3 3 4" xfId="9471" xr:uid="{96ACAB69-4401-4062-884F-E27A4D35C2F8}"/>
    <cellStyle name="Normal 5 4 3 4" xfId="1352" xr:uid="{00000000-0005-0000-0000-0000171B0000}"/>
    <cellStyle name="Normal 5 4 3 4 2" xfId="3582" xr:uid="{00000000-0005-0000-0000-0000181B0000}"/>
    <cellStyle name="Normal 5 4 3 4 2 2" xfId="7805" xr:uid="{00000000-0005-0000-0000-0000191B0000}"/>
    <cellStyle name="Normal 5 4 3 4 2 2 2" xfId="16247" xr:uid="{A3CAF1A0-24F2-4FF4-834D-D2DEAA61FDFB}"/>
    <cellStyle name="Normal 5 4 3 4 2 3" xfId="12029" xr:uid="{23BFBC97-E82F-45F6-A7FE-223025DC069B}"/>
    <cellStyle name="Normal 5 4 3 4 3" xfId="5660" xr:uid="{00000000-0005-0000-0000-00001A1B0000}"/>
    <cellStyle name="Normal 5 4 3 4 3 2" xfId="14102" xr:uid="{B248CB8F-56DF-4CAB-AB5C-20B2C551495A}"/>
    <cellStyle name="Normal 5 4 3 4 4" xfId="9884" xr:uid="{0A807911-E747-46BD-A334-6A1B941DC56C}"/>
    <cellStyle name="Normal 5 4 3 5" xfId="1765" xr:uid="{00000000-0005-0000-0000-00001B1B0000}"/>
    <cellStyle name="Normal 5 4 3 5 2" xfId="3995" xr:uid="{00000000-0005-0000-0000-00001C1B0000}"/>
    <cellStyle name="Normal 5 4 3 5 2 2" xfId="8218" xr:uid="{00000000-0005-0000-0000-00001D1B0000}"/>
    <cellStyle name="Normal 5 4 3 5 2 2 2" xfId="16660" xr:uid="{A09D0F1B-0C30-4B2A-A4B9-039322364848}"/>
    <cellStyle name="Normal 5 4 3 5 2 3" xfId="12442" xr:uid="{00B5ADC3-F3CE-452C-BD49-04C7115D89BA}"/>
    <cellStyle name="Normal 5 4 3 5 3" xfId="6073" xr:uid="{00000000-0005-0000-0000-00001E1B0000}"/>
    <cellStyle name="Normal 5 4 3 5 3 2" xfId="14515" xr:uid="{7063B6A6-249E-44D6-BB38-B49D293735AE}"/>
    <cellStyle name="Normal 5 4 3 5 4" xfId="10297" xr:uid="{03EFA2AE-AA1B-4C85-A977-2A81B1C8B010}"/>
    <cellStyle name="Normal 5 4 3 6" xfId="2179" xr:uid="{00000000-0005-0000-0000-00001F1B0000}"/>
    <cellStyle name="Normal 5 4 3 6 2" xfId="4408" xr:uid="{00000000-0005-0000-0000-0000201B0000}"/>
    <cellStyle name="Normal 5 4 3 6 2 2" xfId="8631" xr:uid="{00000000-0005-0000-0000-0000211B0000}"/>
    <cellStyle name="Normal 5 4 3 6 2 2 2" xfId="17073" xr:uid="{145D7CE5-4A15-4F7B-A05E-AF4CA8DE894D}"/>
    <cellStyle name="Normal 5 4 3 6 2 3" xfId="12855" xr:uid="{98085A75-385A-49BD-BA1C-81D47C53055B}"/>
    <cellStyle name="Normal 5 4 3 6 3" xfId="6486" xr:uid="{00000000-0005-0000-0000-0000221B0000}"/>
    <cellStyle name="Normal 5 4 3 6 3 2" xfId="14928" xr:uid="{68549AA2-2304-4BE5-9A02-9433F0E203A1}"/>
    <cellStyle name="Normal 5 4 3 6 4" xfId="10710" xr:uid="{2BE432A5-8B29-4B4A-A6C3-8E17E1B20F55}"/>
    <cellStyle name="Normal 5 4 3 7" xfId="2615" xr:uid="{00000000-0005-0000-0000-0000231B0000}"/>
    <cellStyle name="Normal 5 4 3 7 2" xfId="6899" xr:uid="{00000000-0005-0000-0000-0000241B0000}"/>
    <cellStyle name="Normal 5 4 3 7 2 2" xfId="15341" xr:uid="{AEF349E7-6852-4736-AB54-5E8793443E48}"/>
    <cellStyle name="Normal 5 4 3 7 3" xfId="11123" xr:uid="{2636A90B-1C74-436E-B813-D40AF8FB9940}"/>
    <cellStyle name="Normal 5 4 3 8" xfId="4834" xr:uid="{00000000-0005-0000-0000-0000251B0000}"/>
    <cellStyle name="Normal 5 4 3 8 2" xfId="13276" xr:uid="{2DB794DC-805D-4048-B3AB-5C1F2687F13F}"/>
    <cellStyle name="Normal 5 4 3 9" xfId="9058" xr:uid="{69689CCD-3AF5-4CF0-9F54-127D3CAD5F7B}"/>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2 2 2" xfId="15836" xr:uid="{BEE57AF0-57C6-4FD4-AD4B-AD9FFB874EFE}"/>
    <cellStyle name="Normal 5 4 4 2 2 3" xfId="11618" xr:uid="{BE38462F-AA4D-4DA3-B808-5561BE72DA97}"/>
    <cellStyle name="Normal 5 4 4 2 3" xfId="5249" xr:uid="{00000000-0005-0000-0000-00002A1B0000}"/>
    <cellStyle name="Normal 5 4 4 2 3 2" xfId="13691" xr:uid="{988BC28D-B396-4922-963C-BF40B88A5C39}"/>
    <cellStyle name="Normal 5 4 4 2 4" xfId="9473" xr:uid="{47A54088-FFC5-4915-8C7B-BF1733F71FF0}"/>
    <cellStyle name="Normal 5 4 4 3" xfId="1354" xr:uid="{00000000-0005-0000-0000-00002B1B0000}"/>
    <cellStyle name="Normal 5 4 4 3 2" xfId="3584" xr:uid="{00000000-0005-0000-0000-00002C1B0000}"/>
    <cellStyle name="Normal 5 4 4 3 2 2" xfId="7807" xr:uid="{00000000-0005-0000-0000-00002D1B0000}"/>
    <cellStyle name="Normal 5 4 4 3 2 2 2" xfId="16249" xr:uid="{1F4297C1-693F-4805-A23C-7D27A8770B29}"/>
    <cellStyle name="Normal 5 4 4 3 2 3" xfId="12031" xr:uid="{16394EA9-8795-4BB1-B123-448B8D9448B2}"/>
    <cellStyle name="Normal 5 4 4 3 3" xfId="5662" xr:uid="{00000000-0005-0000-0000-00002E1B0000}"/>
    <cellStyle name="Normal 5 4 4 3 3 2" xfId="14104" xr:uid="{FEF0AD91-2005-4F24-87B5-1915CCFCCA82}"/>
    <cellStyle name="Normal 5 4 4 3 4" xfId="9886" xr:uid="{ED145DFD-F5DF-4853-9F13-88F55ADEAE78}"/>
    <cellStyle name="Normal 5 4 4 4" xfId="1767" xr:uid="{00000000-0005-0000-0000-00002F1B0000}"/>
    <cellStyle name="Normal 5 4 4 4 2" xfId="3997" xr:uid="{00000000-0005-0000-0000-0000301B0000}"/>
    <cellStyle name="Normal 5 4 4 4 2 2" xfId="8220" xr:uid="{00000000-0005-0000-0000-0000311B0000}"/>
    <cellStyle name="Normal 5 4 4 4 2 2 2" xfId="16662" xr:uid="{7986F239-8928-4881-A62C-4EF9A012F178}"/>
    <cellStyle name="Normal 5 4 4 4 2 3" xfId="12444" xr:uid="{62367D6C-B53B-4EE8-A1A6-D87F036F4736}"/>
    <cellStyle name="Normal 5 4 4 4 3" xfId="6075" xr:uid="{00000000-0005-0000-0000-0000321B0000}"/>
    <cellStyle name="Normal 5 4 4 4 3 2" xfId="14517" xr:uid="{5C9BC848-529C-4054-813A-DD36D26CAD63}"/>
    <cellStyle name="Normal 5 4 4 4 4" xfId="10299" xr:uid="{5F351B65-6563-477D-BB63-D12EEC4BB90B}"/>
    <cellStyle name="Normal 5 4 4 5" xfId="2181" xr:uid="{00000000-0005-0000-0000-0000331B0000}"/>
    <cellStyle name="Normal 5 4 4 5 2" xfId="4410" xr:uid="{00000000-0005-0000-0000-0000341B0000}"/>
    <cellStyle name="Normal 5 4 4 5 2 2" xfId="8633" xr:uid="{00000000-0005-0000-0000-0000351B0000}"/>
    <cellStyle name="Normal 5 4 4 5 2 2 2" xfId="17075" xr:uid="{94D795C4-8E42-4D05-8DD1-2043BEF98E40}"/>
    <cellStyle name="Normal 5 4 4 5 2 3" xfId="12857" xr:uid="{00800D25-9ABD-474F-A065-7154384A122C}"/>
    <cellStyle name="Normal 5 4 4 5 3" xfId="6488" xr:uid="{00000000-0005-0000-0000-0000361B0000}"/>
    <cellStyle name="Normal 5 4 4 5 3 2" xfId="14930" xr:uid="{41A05E5F-66BA-476D-8A42-932E5509FC7A}"/>
    <cellStyle name="Normal 5 4 4 5 4" xfId="10712" xr:uid="{82B16981-F5BE-4622-867A-50459EBCA25D}"/>
    <cellStyle name="Normal 5 4 4 6" xfId="2617" xr:uid="{00000000-0005-0000-0000-0000371B0000}"/>
    <cellStyle name="Normal 5 4 4 6 2" xfId="6901" xr:uid="{00000000-0005-0000-0000-0000381B0000}"/>
    <cellStyle name="Normal 5 4 4 6 2 2" xfId="15343" xr:uid="{8DD7D8D7-3C7A-4BBB-B777-83355F21DBC9}"/>
    <cellStyle name="Normal 5 4 4 6 3" xfId="11125" xr:uid="{1718A4D2-C23B-402A-BDD8-ECED6BC4B704}"/>
    <cellStyle name="Normal 5 4 4 7" xfId="4836" xr:uid="{00000000-0005-0000-0000-0000391B0000}"/>
    <cellStyle name="Normal 5 4 4 7 2" xfId="13278" xr:uid="{2FBAD12C-13A6-4F08-803B-BCA02FB07EB7}"/>
    <cellStyle name="Normal 5 4 4 8" xfId="9060" xr:uid="{1BD24044-A4F4-419B-95B7-2CEEED4CF8FA}"/>
    <cellStyle name="Normal 5 4 5" xfId="930" xr:uid="{00000000-0005-0000-0000-00003A1B0000}"/>
    <cellStyle name="Normal 5 4 5 2" xfId="3164" xr:uid="{00000000-0005-0000-0000-00003B1B0000}"/>
    <cellStyle name="Normal 5 4 5 2 2" xfId="7387" xr:uid="{00000000-0005-0000-0000-00003C1B0000}"/>
    <cellStyle name="Normal 5 4 5 2 2 2" xfId="15829" xr:uid="{B4D68288-FF3B-4ADF-904A-F1F642B6C96A}"/>
    <cellStyle name="Normal 5 4 5 2 3" xfId="11611" xr:uid="{68ACF49D-FFB9-4FE8-A6BF-2C1CFBAC2F2F}"/>
    <cellStyle name="Normal 5 4 5 3" xfId="5242" xr:uid="{00000000-0005-0000-0000-00003D1B0000}"/>
    <cellStyle name="Normal 5 4 5 3 2" xfId="13684" xr:uid="{B6E39B53-33AC-474F-A35F-634DCF259DFE}"/>
    <cellStyle name="Normal 5 4 5 4" xfId="9466" xr:uid="{03D6C240-CB8A-457E-9192-AFDBA8AD0B71}"/>
    <cellStyle name="Normal 5 4 6" xfId="1347" xr:uid="{00000000-0005-0000-0000-00003E1B0000}"/>
    <cellStyle name="Normal 5 4 6 2" xfId="3577" xr:uid="{00000000-0005-0000-0000-00003F1B0000}"/>
    <cellStyle name="Normal 5 4 6 2 2" xfId="7800" xr:uid="{00000000-0005-0000-0000-0000401B0000}"/>
    <cellStyle name="Normal 5 4 6 2 2 2" xfId="16242" xr:uid="{40AB0293-1FEC-4F39-A9B7-BF548A6DADFA}"/>
    <cellStyle name="Normal 5 4 6 2 3" xfId="12024" xr:uid="{1F7845CE-5BB5-4B6D-97B5-89252BFAB449}"/>
    <cellStyle name="Normal 5 4 6 3" xfId="5655" xr:uid="{00000000-0005-0000-0000-0000411B0000}"/>
    <cellStyle name="Normal 5 4 6 3 2" xfId="14097" xr:uid="{476541EC-ABD2-4992-9D93-3045AB50158E}"/>
    <cellStyle name="Normal 5 4 6 4" xfId="9879" xr:uid="{D4C68658-2DFA-40E3-96FF-DC647A58D24C}"/>
    <cellStyle name="Normal 5 4 7" xfId="1760" xr:uid="{00000000-0005-0000-0000-0000421B0000}"/>
    <cellStyle name="Normal 5 4 7 2" xfId="3990" xr:uid="{00000000-0005-0000-0000-0000431B0000}"/>
    <cellStyle name="Normal 5 4 7 2 2" xfId="8213" xr:uid="{00000000-0005-0000-0000-0000441B0000}"/>
    <cellStyle name="Normal 5 4 7 2 2 2" xfId="16655" xr:uid="{E775F537-7DFE-478F-8811-795CC3DC77D6}"/>
    <cellStyle name="Normal 5 4 7 2 3" xfId="12437" xr:uid="{B5E7A398-0ECE-46BE-A4A7-951E982F1198}"/>
    <cellStyle name="Normal 5 4 7 3" xfId="6068" xr:uid="{00000000-0005-0000-0000-0000451B0000}"/>
    <cellStyle name="Normal 5 4 7 3 2" xfId="14510" xr:uid="{FB368B65-576F-4FA7-AE81-C3CA09860665}"/>
    <cellStyle name="Normal 5 4 7 4" xfId="10292" xr:uid="{C1756526-8B51-4242-AEEE-EE62DD45B918}"/>
    <cellStyle name="Normal 5 4 8" xfId="2174" xr:uid="{00000000-0005-0000-0000-0000461B0000}"/>
    <cellStyle name="Normal 5 4 8 2" xfId="4403" xr:uid="{00000000-0005-0000-0000-0000471B0000}"/>
    <cellStyle name="Normal 5 4 8 2 2" xfId="8626" xr:uid="{00000000-0005-0000-0000-0000481B0000}"/>
    <cellStyle name="Normal 5 4 8 2 2 2" xfId="17068" xr:uid="{A0A626D7-FB34-46B2-A195-12BBE72890E3}"/>
    <cellStyle name="Normal 5 4 8 2 3" xfId="12850" xr:uid="{3BE315FF-8948-4729-9789-A39C70B197AA}"/>
    <cellStyle name="Normal 5 4 8 3" xfId="6481" xr:uid="{00000000-0005-0000-0000-0000491B0000}"/>
    <cellStyle name="Normal 5 4 8 3 2" xfId="14923" xr:uid="{A2CD13BD-7200-46FB-958A-0597A970ABB6}"/>
    <cellStyle name="Normal 5 4 8 4" xfId="10705" xr:uid="{E97F6D70-0298-4892-9E1B-E89359EE7FAC}"/>
    <cellStyle name="Normal 5 4 9" xfId="2610" xr:uid="{00000000-0005-0000-0000-00004A1B0000}"/>
    <cellStyle name="Normal 5 4 9 2" xfId="6894" xr:uid="{00000000-0005-0000-0000-00004B1B0000}"/>
    <cellStyle name="Normal 5 4 9 2 2" xfId="15336" xr:uid="{0D08EDB2-E593-4BED-8A66-8CD3B8915045}"/>
    <cellStyle name="Normal 5 4 9 3" xfId="11118" xr:uid="{44F2A8BA-476A-4618-8AF3-0221C9A75D2A}"/>
    <cellStyle name="Normal 5 5" xfId="464" xr:uid="{00000000-0005-0000-0000-00004C1B0000}"/>
    <cellStyle name="Normal 5 5 10" xfId="9061" xr:uid="{F5F4078A-5EDE-49B4-9F10-2A8F1F904D05}"/>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15839" xr:uid="{BA2B3062-58E8-4E2F-88C7-09DFC45A11DA}"/>
    <cellStyle name="Normal 5 5 2 2 2 2 3" xfId="11621" xr:uid="{37A92D5F-2320-4E7C-9A67-90E59D4C8DD3}"/>
    <cellStyle name="Normal 5 5 2 2 2 3" xfId="5252" xr:uid="{00000000-0005-0000-0000-0000521B0000}"/>
    <cellStyle name="Normal 5 5 2 2 2 3 2" xfId="13694" xr:uid="{196FB3ED-1AA4-45F7-8B2D-B533BCD8F683}"/>
    <cellStyle name="Normal 5 5 2 2 2 4" xfId="9476" xr:uid="{B96DB606-581A-4B6E-91A5-30A34EEC75EC}"/>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16252" xr:uid="{770EE737-2E57-4956-BDA5-1A3D82A32D61}"/>
    <cellStyle name="Normal 5 5 2 2 3 2 3" xfId="12034" xr:uid="{7F81CD47-45FE-4E9F-8046-283CB2BA36F7}"/>
    <cellStyle name="Normal 5 5 2 2 3 3" xfId="5665" xr:uid="{00000000-0005-0000-0000-0000561B0000}"/>
    <cellStyle name="Normal 5 5 2 2 3 3 2" xfId="14107" xr:uid="{D835D07D-197A-415A-8800-BB3FE4DD9C36}"/>
    <cellStyle name="Normal 5 5 2 2 3 4" xfId="9889" xr:uid="{4EAC6B1A-3012-4628-B036-4981F2278004}"/>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16665" xr:uid="{6B0D23BC-905D-486D-BE65-5910AA777B15}"/>
    <cellStyle name="Normal 5 5 2 2 4 2 3" xfId="12447" xr:uid="{D2F32631-D7C1-4F9A-B6F7-363DAA52BD33}"/>
    <cellStyle name="Normal 5 5 2 2 4 3" xfId="6078" xr:uid="{00000000-0005-0000-0000-00005A1B0000}"/>
    <cellStyle name="Normal 5 5 2 2 4 3 2" xfId="14520" xr:uid="{DAF71E62-74E8-4288-9C90-751956CAE39E}"/>
    <cellStyle name="Normal 5 5 2 2 4 4" xfId="10302" xr:uid="{64A275E3-54E8-44C7-8A86-F7B499475A47}"/>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17078" xr:uid="{5CD19A0E-C553-44CB-986E-F3ED67366B54}"/>
    <cellStyle name="Normal 5 5 2 2 5 2 3" xfId="12860" xr:uid="{F25047CF-9641-422B-9A5E-9C4076774C6E}"/>
    <cellStyle name="Normal 5 5 2 2 5 3" xfId="6491" xr:uid="{00000000-0005-0000-0000-00005E1B0000}"/>
    <cellStyle name="Normal 5 5 2 2 5 3 2" xfId="14933" xr:uid="{22F9749A-044C-47F0-AF99-581EF3C3C132}"/>
    <cellStyle name="Normal 5 5 2 2 5 4" xfId="10715" xr:uid="{6D13F6B0-20F0-4F74-BBAB-01294113F28E}"/>
    <cellStyle name="Normal 5 5 2 2 6" xfId="2620" xr:uid="{00000000-0005-0000-0000-00005F1B0000}"/>
    <cellStyle name="Normal 5 5 2 2 6 2" xfId="6904" xr:uid="{00000000-0005-0000-0000-0000601B0000}"/>
    <cellStyle name="Normal 5 5 2 2 6 2 2" xfId="15346" xr:uid="{21920FCC-E299-469A-9D15-B645E1B99BB2}"/>
    <cellStyle name="Normal 5 5 2 2 6 3" xfId="11128" xr:uid="{A346AC7F-5AA0-4622-9DEC-6F84F2AEF379}"/>
    <cellStyle name="Normal 5 5 2 2 7" xfId="4839" xr:uid="{00000000-0005-0000-0000-0000611B0000}"/>
    <cellStyle name="Normal 5 5 2 2 7 2" xfId="13281" xr:uid="{5C6D11EC-96A7-40C4-A98B-25DEA3131323}"/>
    <cellStyle name="Normal 5 5 2 2 8" xfId="9063" xr:uid="{38E11C77-DAA1-46E7-B5A5-CF7692B057E8}"/>
    <cellStyle name="Normal 5 5 2 3" xfId="939" xr:uid="{00000000-0005-0000-0000-0000621B0000}"/>
    <cellStyle name="Normal 5 5 2 3 2" xfId="3173" xr:uid="{00000000-0005-0000-0000-0000631B0000}"/>
    <cellStyle name="Normal 5 5 2 3 2 2" xfId="7396" xr:uid="{00000000-0005-0000-0000-0000641B0000}"/>
    <cellStyle name="Normal 5 5 2 3 2 2 2" xfId="15838" xr:uid="{371F2976-EFC0-4268-A25D-D28DD16A5E74}"/>
    <cellStyle name="Normal 5 5 2 3 2 3" xfId="11620" xr:uid="{75DC98E5-58B4-4891-B93E-F4A1F70EB887}"/>
    <cellStyle name="Normal 5 5 2 3 3" xfId="5251" xr:uid="{00000000-0005-0000-0000-0000651B0000}"/>
    <cellStyle name="Normal 5 5 2 3 3 2" xfId="13693" xr:uid="{631820F9-DDAE-4AF9-B4D4-B2EBBED3804A}"/>
    <cellStyle name="Normal 5 5 2 3 4" xfId="9475" xr:uid="{E2E18489-B323-482E-98F0-EE77600191BC}"/>
    <cellStyle name="Normal 5 5 2 4" xfId="1356" xr:uid="{00000000-0005-0000-0000-0000661B0000}"/>
    <cellStyle name="Normal 5 5 2 4 2" xfId="3586" xr:uid="{00000000-0005-0000-0000-0000671B0000}"/>
    <cellStyle name="Normal 5 5 2 4 2 2" xfId="7809" xr:uid="{00000000-0005-0000-0000-0000681B0000}"/>
    <cellStyle name="Normal 5 5 2 4 2 2 2" xfId="16251" xr:uid="{DE6DBADB-C8A0-4E9A-808D-9F32A57551CC}"/>
    <cellStyle name="Normal 5 5 2 4 2 3" xfId="12033" xr:uid="{63B9B375-A89A-4383-B202-6B745182C52D}"/>
    <cellStyle name="Normal 5 5 2 4 3" xfId="5664" xr:uid="{00000000-0005-0000-0000-0000691B0000}"/>
    <cellStyle name="Normal 5 5 2 4 3 2" xfId="14106" xr:uid="{163FA42D-243A-4DFB-9E8E-7A7066291F74}"/>
    <cellStyle name="Normal 5 5 2 4 4" xfId="9888" xr:uid="{F0F21E90-219B-4A79-B56F-F90988F412A6}"/>
    <cellStyle name="Normal 5 5 2 5" xfId="1769" xr:uid="{00000000-0005-0000-0000-00006A1B0000}"/>
    <cellStyle name="Normal 5 5 2 5 2" xfId="3999" xr:uid="{00000000-0005-0000-0000-00006B1B0000}"/>
    <cellStyle name="Normal 5 5 2 5 2 2" xfId="8222" xr:uid="{00000000-0005-0000-0000-00006C1B0000}"/>
    <cellStyle name="Normal 5 5 2 5 2 2 2" xfId="16664" xr:uid="{C14215CE-A0AD-4F0C-9405-E443456659D2}"/>
    <cellStyle name="Normal 5 5 2 5 2 3" xfId="12446" xr:uid="{D89E472D-4F5F-4B05-B26A-22D46443CE36}"/>
    <cellStyle name="Normal 5 5 2 5 3" xfId="6077" xr:uid="{00000000-0005-0000-0000-00006D1B0000}"/>
    <cellStyle name="Normal 5 5 2 5 3 2" xfId="14519" xr:uid="{5FB8A842-A9CE-40D1-807A-A425171602F1}"/>
    <cellStyle name="Normal 5 5 2 5 4" xfId="10301" xr:uid="{0B0B9C85-1265-42C7-9DA4-56111BA9839B}"/>
    <cellStyle name="Normal 5 5 2 6" xfId="2183" xr:uid="{00000000-0005-0000-0000-00006E1B0000}"/>
    <cellStyle name="Normal 5 5 2 6 2" xfId="4412" xr:uid="{00000000-0005-0000-0000-00006F1B0000}"/>
    <cellStyle name="Normal 5 5 2 6 2 2" xfId="8635" xr:uid="{00000000-0005-0000-0000-0000701B0000}"/>
    <cellStyle name="Normal 5 5 2 6 2 2 2" xfId="17077" xr:uid="{D8031EB0-A155-406C-B059-60ABEBD2853F}"/>
    <cellStyle name="Normal 5 5 2 6 2 3" xfId="12859" xr:uid="{7B8236A8-BDBE-486B-B462-F00E522DF447}"/>
    <cellStyle name="Normal 5 5 2 6 3" xfId="6490" xr:uid="{00000000-0005-0000-0000-0000711B0000}"/>
    <cellStyle name="Normal 5 5 2 6 3 2" xfId="14932" xr:uid="{D6D09BE6-088F-4FA4-BD6D-5A79314379EB}"/>
    <cellStyle name="Normal 5 5 2 6 4" xfId="10714" xr:uid="{F10CA216-5BE0-4441-90F1-F89555DC8E4B}"/>
    <cellStyle name="Normal 5 5 2 7" xfId="2619" xr:uid="{00000000-0005-0000-0000-0000721B0000}"/>
    <cellStyle name="Normal 5 5 2 7 2" xfId="6903" xr:uid="{00000000-0005-0000-0000-0000731B0000}"/>
    <cellStyle name="Normal 5 5 2 7 2 2" xfId="15345" xr:uid="{62D13172-AD07-45E0-A572-E19A4A7DC5AE}"/>
    <cellStyle name="Normal 5 5 2 7 3" xfId="11127" xr:uid="{52D5254C-0B02-438D-955F-39FE546813F4}"/>
    <cellStyle name="Normal 5 5 2 8" xfId="4838" xr:uid="{00000000-0005-0000-0000-0000741B0000}"/>
    <cellStyle name="Normal 5 5 2 8 2" xfId="13280" xr:uid="{F57F1C10-2FBD-4C1C-9702-20DB4B60DFEE}"/>
    <cellStyle name="Normal 5 5 2 9" xfId="9062" xr:uid="{E5D7BFC6-F224-4753-8CB7-FA548C2F3753}"/>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2 2 2" xfId="15840" xr:uid="{5D567F35-D7E0-4942-9E47-FEE223C4B2B2}"/>
    <cellStyle name="Normal 5 5 3 2 2 3" xfId="11622" xr:uid="{573B5D3A-9F0E-4EEA-948C-B963E31F9168}"/>
    <cellStyle name="Normal 5 5 3 2 3" xfId="5253" xr:uid="{00000000-0005-0000-0000-0000791B0000}"/>
    <cellStyle name="Normal 5 5 3 2 3 2" xfId="13695" xr:uid="{06582560-F063-4EE4-94A0-503E673B1FFE}"/>
    <cellStyle name="Normal 5 5 3 2 4" xfId="9477" xr:uid="{CBC5C41D-1F4D-4C86-AAD7-578948773A0A}"/>
    <cellStyle name="Normal 5 5 3 3" xfId="1358" xr:uid="{00000000-0005-0000-0000-00007A1B0000}"/>
    <cellStyle name="Normal 5 5 3 3 2" xfId="3588" xr:uid="{00000000-0005-0000-0000-00007B1B0000}"/>
    <cellStyle name="Normal 5 5 3 3 2 2" xfId="7811" xr:uid="{00000000-0005-0000-0000-00007C1B0000}"/>
    <cellStyle name="Normal 5 5 3 3 2 2 2" xfId="16253" xr:uid="{0DFF572F-3AE8-4D95-8D7C-E15D6662A849}"/>
    <cellStyle name="Normal 5 5 3 3 2 3" xfId="12035" xr:uid="{D3FB1784-C526-44C0-A142-BC8970FF1B07}"/>
    <cellStyle name="Normal 5 5 3 3 3" xfId="5666" xr:uid="{00000000-0005-0000-0000-00007D1B0000}"/>
    <cellStyle name="Normal 5 5 3 3 3 2" xfId="14108" xr:uid="{2EB9D83D-7EC1-4683-AF36-1F663771311E}"/>
    <cellStyle name="Normal 5 5 3 3 4" xfId="9890" xr:uid="{7B09BF1E-9B7C-4D2B-88DD-50E2AF1443FF}"/>
    <cellStyle name="Normal 5 5 3 4" xfId="1771" xr:uid="{00000000-0005-0000-0000-00007E1B0000}"/>
    <cellStyle name="Normal 5 5 3 4 2" xfId="4001" xr:uid="{00000000-0005-0000-0000-00007F1B0000}"/>
    <cellStyle name="Normal 5 5 3 4 2 2" xfId="8224" xr:uid="{00000000-0005-0000-0000-0000801B0000}"/>
    <cellStyle name="Normal 5 5 3 4 2 2 2" xfId="16666" xr:uid="{0801C073-965E-437E-B76E-209134188863}"/>
    <cellStyle name="Normal 5 5 3 4 2 3" xfId="12448" xr:uid="{4D5529C8-315F-4B64-BC79-0A25F87FEBE6}"/>
    <cellStyle name="Normal 5 5 3 4 3" xfId="6079" xr:uid="{00000000-0005-0000-0000-0000811B0000}"/>
    <cellStyle name="Normal 5 5 3 4 3 2" xfId="14521" xr:uid="{61F124E8-6205-4223-9BCE-596D57C907A3}"/>
    <cellStyle name="Normal 5 5 3 4 4" xfId="10303" xr:uid="{AFB4F682-31C9-4DB4-B425-47251E2CC5A7}"/>
    <cellStyle name="Normal 5 5 3 5" xfId="2185" xr:uid="{00000000-0005-0000-0000-0000821B0000}"/>
    <cellStyle name="Normal 5 5 3 5 2" xfId="4414" xr:uid="{00000000-0005-0000-0000-0000831B0000}"/>
    <cellStyle name="Normal 5 5 3 5 2 2" xfId="8637" xr:uid="{00000000-0005-0000-0000-0000841B0000}"/>
    <cellStyle name="Normal 5 5 3 5 2 2 2" xfId="17079" xr:uid="{8561F8D2-8103-47BD-8116-5B82035F61C2}"/>
    <cellStyle name="Normal 5 5 3 5 2 3" xfId="12861" xr:uid="{4AA59B80-653E-4392-966A-04FAF6BBADC7}"/>
    <cellStyle name="Normal 5 5 3 5 3" xfId="6492" xr:uid="{00000000-0005-0000-0000-0000851B0000}"/>
    <cellStyle name="Normal 5 5 3 5 3 2" xfId="14934" xr:uid="{991334FE-339E-47AF-81EF-050E24A0C52B}"/>
    <cellStyle name="Normal 5 5 3 5 4" xfId="10716" xr:uid="{FDCF8A89-C0EF-4584-9BB9-DF81EC1B8042}"/>
    <cellStyle name="Normal 5 5 3 6" xfId="2621" xr:uid="{00000000-0005-0000-0000-0000861B0000}"/>
    <cellStyle name="Normal 5 5 3 6 2" xfId="6905" xr:uid="{00000000-0005-0000-0000-0000871B0000}"/>
    <cellStyle name="Normal 5 5 3 6 2 2" xfId="15347" xr:uid="{630BBAA1-514B-49D6-880C-F50F95D19811}"/>
    <cellStyle name="Normal 5 5 3 6 3" xfId="11129" xr:uid="{23A6A2AA-F5F8-46DD-8C09-885D0D11D6B9}"/>
    <cellStyle name="Normal 5 5 3 7" xfId="4840" xr:uid="{00000000-0005-0000-0000-0000881B0000}"/>
    <cellStyle name="Normal 5 5 3 7 2" xfId="13282" xr:uid="{3AA6E481-7190-49F1-89C5-B391B6CA2F8A}"/>
    <cellStyle name="Normal 5 5 3 8" xfId="9064" xr:uid="{F10030B9-94A7-486D-BD44-B1153B786603}"/>
    <cellStyle name="Normal 5 5 4" xfId="938" xr:uid="{00000000-0005-0000-0000-0000891B0000}"/>
    <cellStyle name="Normal 5 5 4 2" xfId="3172" xr:uid="{00000000-0005-0000-0000-00008A1B0000}"/>
    <cellStyle name="Normal 5 5 4 2 2" xfId="7395" xr:uid="{00000000-0005-0000-0000-00008B1B0000}"/>
    <cellStyle name="Normal 5 5 4 2 2 2" xfId="15837" xr:uid="{7BE2E1C0-5C59-411F-991F-63E75E0ECC4A}"/>
    <cellStyle name="Normal 5 5 4 2 3" xfId="11619" xr:uid="{610713BB-3C1E-4FAD-9243-CE9AD5CDE59C}"/>
    <cellStyle name="Normal 5 5 4 3" xfId="5250" xr:uid="{00000000-0005-0000-0000-00008C1B0000}"/>
    <cellStyle name="Normal 5 5 4 3 2" xfId="13692" xr:uid="{891481E1-28A0-41CE-84BB-D7E32A687DC8}"/>
    <cellStyle name="Normal 5 5 4 4" xfId="9474" xr:uid="{0FCA584D-481E-4419-90A6-2837B8BBA8B1}"/>
    <cellStyle name="Normal 5 5 5" xfId="1355" xr:uid="{00000000-0005-0000-0000-00008D1B0000}"/>
    <cellStyle name="Normal 5 5 5 2" xfId="3585" xr:uid="{00000000-0005-0000-0000-00008E1B0000}"/>
    <cellStyle name="Normal 5 5 5 2 2" xfId="7808" xr:uid="{00000000-0005-0000-0000-00008F1B0000}"/>
    <cellStyle name="Normal 5 5 5 2 2 2" xfId="16250" xr:uid="{D79770C2-81BC-4C61-98B8-CAD0A882031E}"/>
    <cellStyle name="Normal 5 5 5 2 3" xfId="12032" xr:uid="{A19BBE5D-22A4-4987-87C4-BEDFD11A5D44}"/>
    <cellStyle name="Normal 5 5 5 3" xfId="5663" xr:uid="{00000000-0005-0000-0000-0000901B0000}"/>
    <cellStyle name="Normal 5 5 5 3 2" xfId="14105" xr:uid="{4CA171BA-8742-4561-8738-7B73DBC2BB78}"/>
    <cellStyle name="Normal 5 5 5 4" xfId="9887" xr:uid="{2F2F09BC-E8F3-43DB-AC8A-43EE89416EDA}"/>
    <cellStyle name="Normal 5 5 6" xfId="1768" xr:uid="{00000000-0005-0000-0000-0000911B0000}"/>
    <cellStyle name="Normal 5 5 6 2" xfId="3998" xr:uid="{00000000-0005-0000-0000-0000921B0000}"/>
    <cellStyle name="Normal 5 5 6 2 2" xfId="8221" xr:uid="{00000000-0005-0000-0000-0000931B0000}"/>
    <cellStyle name="Normal 5 5 6 2 2 2" xfId="16663" xr:uid="{849B0052-58E6-4AAD-814C-5761D6BB956E}"/>
    <cellStyle name="Normal 5 5 6 2 3" xfId="12445" xr:uid="{11E11269-DAC6-4FBE-9751-B617D0447B0C}"/>
    <cellStyle name="Normal 5 5 6 3" xfId="6076" xr:uid="{00000000-0005-0000-0000-0000941B0000}"/>
    <cellStyle name="Normal 5 5 6 3 2" xfId="14518" xr:uid="{EA10D74E-C42C-42D6-955A-3768E957A569}"/>
    <cellStyle name="Normal 5 5 6 4" xfId="10300" xr:uid="{1C87B5B4-04A4-46BE-8FEE-4E5CF7657B74}"/>
    <cellStyle name="Normal 5 5 7" xfId="2182" xr:uid="{00000000-0005-0000-0000-0000951B0000}"/>
    <cellStyle name="Normal 5 5 7 2" xfId="4411" xr:uid="{00000000-0005-0000-0000-0000961B0000}"/>
    <cellStyle name="Normal 5 5 7 2 2" xfId="8634" xr:uid="{00000000-0005-0000-0000-0000971B0000}"/>
    <cellStyle name="Normal 5 5 7 2 2 2" xfId="17076" xr:uid="{1F4A3BC5-CEB7-419C-8799-914574CEF49C}"/>
    <cellStyle name="Normal 5 5 7 2 3" xfId="12858" xr:uid="{BFD86419-7A5A-4105-965A-85F43AEB75D6}"/>
    <cellStyle name="Normal 5 5 7 3" xfId="6489" xr:uid="{00000000-0005-0000-0000-0000981B0000}"/>
    <cellStyle name="Normal 5 5 7 3 2" xfId="14931" xr:uid="{9A929A3D-48BE-4289-9A53-68533B97A7AC}"/>
    <cellStyle name="Normal 5 5 7 4" xfId="10713" xr:uid="{63ADA93E-D7E4-49DA-9D48-AD16D7644C4A}"/>
    <cellStyle name="Normal 5 5 8" xfId="2618" xr:uid="{00000000-0005-0000-0000-0000991B0000}"/>
    <cellStyle name="Normal 5 5 8 2" xfId="6902" xr:uid="{00000000-0005-0000-0000-00009A1B0000}"/>
    <cellStyle name="Normal 5 5 8 2 2" xfId="15344" xr:uid="{BF9815B0-B44E-4C73-9CBA-1B28708F2F44}"/>
    <cellStyle name="Normal 5 5 8 3" xfId="11126" xr:uid="{03023432-30A2-46E1-B5AE-B6F8054D26E4}"/>
    <cellStyle name="Normal 5 5 9" xfId="4837" xr:uid="{00000000-0005-0000-0000-00009B1B0000}"/>
    <cellStyle name="Normal 5 5 9 2" xfId="13279" xr:uid="{965C69CF-AE0D-43D3-BB28-0EE69D8F8856}"/>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2 2 2" xfId="15842" xr:uid="{16B7B560-B6D8-4DF0-9B9E-E1AF5EC517C4}"/>
    <cellStyle name="Normal 5 6 2 2 2 3" xfId="11624" xr:uid="{2C071E2D-D617-4E4A-B3E5-F2B4977B129F}"/>
    <cellStyle name="Normal 5 6 2 2 3" xfId="5255" xr:uid="{00000000-0005-0000-0000-0000A11B0000}"/>
    <cellStyle name="Normal 5 6 2 2 3 2" xfId="13697" xr:uid="{BF3D0A24-8769-4C99-A5B4-6A5BAE1C916C}"/>
    <cellStyle name="Normal 5 6 2 2 4" xfId="9479" xr:uid="{CC08BCBD-4A2D-40CC-80EE-160D28A53BB3}"/>
    <cellStyle name="Normal 5 6 2 3" xfId="1360" xr:uid="{00000000-0005-0000-0000-0000A21B0000}"/>
    <cellStyle name="Normal 5 6 2 3 2" xfId="3590" xr:uid="{00000000-0005-0000-0000-0000A31B0000}"/>
    <cellStyle name="Normal 5 6 2 3 2 2" xfId="7813" xr:uid="{00000000-0005-0000-0000-0000A41B0000}"/>
    <cellStyle name="Normal 5 6 2 3 2 2 2" xfId="16255" xr:uid="{4BDAFFF8-C145-4DBF-B187-7813D9393BB6}"/>
    <cellStyle name="Normal 5 6 2 3 2 3" xfId="12037" xr:uid="{CB3425A8-F655-4D57-BED5-70E0E6363EC4}"/>
    <cellStyle name="Normal 5 6 2 3 3" xfId="5668" xr:uid="{00000000-0005-0000-0000-0000A51B0000}"/>
    <cellStyle name="Normal 5 6 2 3 3 2" xfId="14110" xr:uid="{63DA3FB3-6BC1-4E7D-A425-165B3F8B7740}"/>
    <cellStyle name="Normal 5 6 2 3 4" xfId="9892" xr:uid="{7482761A-C29F-4560-B890-89A1BEA01850}"/>
    <cellStyle name="Normal 5 6 2 4" xfId="1773" xr:uid="{00000000-0005-0000-0000-0000A61B0000}"/>
    <cellStyle name="Normal 5 6 2 4 2" xfId="4003" xr:uid="{00000000-0005-0000-0000-0000A71B0000}"/>
    <cellStyle name="Normal 5 6 2 4 2 2" xfId="8226" xr:uid="{00000000-0005-0000-0000-0000A81B0000}"/>
    <cellStyle name="Normal 5 6 2 4 2 2 2" xfId="16668" xr:uid="{7CB63C71-D6B5-4C10-A796-A8D1B29DF980}"/>
    <cellStyle name="Normal 5 6 2 4 2 3" xfId="12450" xr:uid="{97500C9D-A389-4C0F-8D21-D152FEB9830D}"/>
    <cellStyle name="Normal 5 6 2 4 3" xfId="6081" xr:uid="{00000000-0005-0000-0000-0000A91B0000}"/>
    <cellStyle name="Normal 5 6 2 4 3 2" xfId="14523" xr:uid="{F080C4CA-12FF-4460-858C-755DA51CC6CD}"/>
    <cellStyle name="Normal 5 6 2 4 4" xfId="10305" xr:uid="{EFB6CF21-1BC8-4FDD-A03C-E28E99BF279D}"/>
    <cellStyle name="Normal 5 6 2 5" xfId="2187" xr:uid="{00000000-0005-0000-0000-0000AA1B0000}"/>
    <cellStyle name="Normal 5 6 2 5 2" xfId="4416" xr:uid="{00000000-0005-0000-0000-0000AB1B0000}"/>
    <cellStyle name="Normal 5 6 2 5 2 2" xfId="8639" xr:uid="{00000000-0005-0000-0000-0000AC1B0000}"/>
    <cellStyle name="Normal 5 6 2 5 2 2 2" xfId="17081" xr:uid="{5923DA97-A046-4453-B6BB-D566C22DAE69}"/>
    <cellStyle name="Normal 5 6 2 5 2 3" xfId="12863" xr:uid="{E4F3F408-CAB4-4D70-8E62-38A06617232F}"/>
    <cellStyle name="Normal 5 6 2 5 3" xfId="6494" xr:uid="{00000000-0005-0000-0000-0000AD1B0000}"/>
    <cellStyle name="Normal 5 6 2 5 3 2" xfId="14936" xr:uid="{BA3926E5-18FB-4757-8040-B08FA1990986}"/>
    <cellStyle name="Normal 5 6 2 5 4" xfId="10718" xr:uid="{A5DAAC13-E554-4C89-9446-93D1FD67CBD8}"/>
    <cellStyle name="Normal 5 6 2 6" xfId="2623" xr:uid="{00000000-0005-0000-0000-0000AE1B0000}"/>
    <cellStyle name="Normal 5 6 2 6 2" xfId="6907" xr:uid="{00000000-0005-0000-0000-0000AF1B0000}"/>
    <cellStyle name="Normal 5 6 2 6 2 2" xfId="15349" xr:uid="{92D6D8A8-F373-4696-A22F-21D58D828D3F}"/>
    <cellStyle name="Normal 5 6 2 6 3" xfId="11131" xr:uid="{795AD732-0868-4463-B293-E924584FAF59}"/>
    <cellStyle name="Normal 5 6 2 7" xfId="4842" xr:uid="{00000000-0005-0000-0000-0000B01B0000}"/>
    <cellStyle name="Normal 5 6 2 7 2" xfId="13284" xr:uid="{66CCE1AF-CF33-4057-A100-C7361AA2BB4D}"/>
    <cellStyle name="Normal 5 6 2 8" xfId="9066" xr:uid="{52BEEFA6-674C-4B7A-8346-CCCD14D08B4E}"/>
    <cellStyle name="Normal 5 6 3" xfId="942" xr:uid="{00000000-0005-0000-0000-0000B11B0000}"/>
    <cellStyle name="Normal 5 6 3 2" xfId="3176" xr:uid="{00000000-0005-0000-0000-0000B21B0000}"/>
    <cellStyle name="Normal 5 6 3 2 2" xfId="7399" xr:uid="{00000000-0005-0000-0000-0000B31B0000}"/>
    <cellStyle name="Normal 5 6 3 2 2 2" xfId="15841" xr:uid="{7594802D-19B6-40A6-A804-90B4A1ABD34A}"/>
    <cellStyle name="Normal 5 6 3 2 3" xfId="11623" xr:uid="{7D37D324-5F6A-464A-8F18-B3F97D69598D}"/>
    <cellStyle name="Normal 5 6 3 3" xfId="5254" xr:uid="{00000000-0005-0000-0000-0000B41B0000}"/>
    <cellStyle name="Normal 5 6 3 3 2" xfId="13696" xr:uid="{FB86E5AD-4E8F-44E5-B426-48519BBCDD56}"/>
    <cellStyle name="Normal 5 6 3 4" xfId="9478" xr:uid="{6BD5F021-A6FC-4313-96CE-3C10F91F606A}"/>
    <cellStyle name="Normal 5 6 4" xfId="1359" xr:uid="{00000000-0005-0000-0000-0000B51B0000}"/>
    <cellStyle name="Normal 5 6 4 2" xfId="3589" xr:uid="{00000000-0005-0000-0000-0000B61B0000}"/>
    <cellStyle name="Normal 5 6 4 2 2" xfId="7812" xr:uid="{00000000-0005-0000-0000-0000B71B0000}"/>
    <cellStyle name="Normal 5 6 4 2 2 2" xfId="16254" xr:uid="{847C31FB-DDB4-4EAE-898B-D87C727723DC}"/>
    <cellStyle name="Normal 5 6 4 2 3" xfId="12036" xr:uid="{DF3C42A3-8ABE-4A4D-BFC7-4C947D9C8B56}"/>
    <cellStyle name="Normal 5 6 4 3" xfId="5667" xr:uid="{00000000-0005-0000-0000-0000B81B0000}"/>
    <cellStyle name="Normal 5 6 4 3 2" xfId="14109" xr:uid="{FEB620AA-2A89-4982-AAE8-709577A23442}"/>
    <cellStyle name="Normal 5 6 4 4" xfId="9891" xr:uid="{2025432B-E5BF-4BAC-90A4-79C3DC50F260}"/>
    <cellStyle name="Normal 5 6 5" xfId="1772" xr:uid="{00000000-0005-0000-0000-0000B91B0000}"/>
    <cellStyle name="Normal 5 6 5 2" xfId="4002" xr:uid="{00000000-0005-0000-0000-0000BA1B0000}"/>
    <cellStyle name="Normal 5 6 5 2 2" xfId="8225" xr:uid="{00000000-0005-0000-0000-0000BB1B0000}"/>
    <cellStyle name="Normal 5 6 5 2 2 2" xfId="16667" xr:uid="{6016644A-4339-489A-A72D-9A30A78D7BDD}"/>
    <cellStyle name="Normal 5 6 5 2 3" xfId="12449" xr:uid="{4ED823CD-7D30-47E3-AC58-58FAD530CC6C}"/>
    <cellStyle name="Normal 5 6 5 3" xfId="6080" xr:uid="{00000000-0005-0000-0000-0000BC1B0000}"/>
    <cellStyle name="Normal 5 6 5 3 2" xfId="14522" xr:uid="{2B6D9977-B1A3-4F8E-80B7-518094943D11}"/>
    <cellStyle name="Normal 5 6 5 4" xfId="10304" xr:uid="{29DA7E78-13A2-47C7-85E4-7F50864B1168}"/>
    <cellStyle name="Normal 5 6 6" xfId="2186" xr:uid="{00000000-0005-0000-0000-0000BD1B0000}"/>
    <cellStyle name="Normal 5 6 6 2" xfId="4415" xr:uid="{00000000-0005-0000-0000-0000BE1B0000}"/>
    <cellStyle name="Normal 5 6 6 2 2" xfId="8638" xr:uid="{00000000-0005-0000-0000-0000BF1B0000}"/>
    <cellStyle name="Normal 5 6 6 2 2 2" xfId="17080" xr:uid="{35674E0F-C91A-4358-BF9B-78475D76D236}"/>
    <cellStyle name="Normal 5 6 6 2 3" xfId="12862" xr:uid="{FEE09304-338E-446D-AA0C-A30F7F3B5263}"/>
    <cellStyle name="Normal 5 6 6 3" xfId="6493" xr:uid="{00000000-0005-0000-0000-0000C01B0000}"/>
    <cellStyle name="Normal 5 6 6 3 2" xfId="14935" xr:uid="{1D3E1D0A-11F1-4678-9162-24BFB435EA71}"/>
    <cellStyle name="Normal 5 6 6 4" xfId="10717" xr:uid="{0A1A616A-4F47-4343-84E1-499593355ADA}"/>
    <cellStyle name="Normal 5 6 7" xfId="2622" xr:uid="{00000000-0005-0000-0000-0000C11B0000}"/>
    <cellStyle name="Normal 5 6 7 2" xfId="6906" xr:uid="{00000000-0005-0000-0000-0000C21B0000}"/>
    <cellStyle name="Normal 5 6 7 2 2" xfId="15348" xr:uid="{C67A1EC8-7E43-4FD6-8482-6751122EEAB4}"/>
    <cellStyle name="Normal 5 6 7 3" xfId="11130" xr:uid="{FBF4EF8F-65AC-4B16-BAEE-A0EE66B6F26F}"/>
    <cellStyle name="Normal 5 6 8" xfId="4841" xr:uid="{00000000-0005-0000-0000-0000C31B0000}"/>
    <cellStyle name="Normal 5 6 8 2" xfId="13283" xr:uid="{7CD29681-3D6E-48BA-BB01-15BBB0ABABF6}"/>
    <cellStyle name="Normal 5 6 9" xfId="9065" xr:uid="{F8A61129-2462-4F11-870A-9611FE260837}"/>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2 2 2" xfId="15843" xr:uid="{8F0B6921-C80F-4A57-9900-7E3FAC83A71C}"/>
    <cellStyle name="Normal 5 7 2 2 3" xfId="11625" xr:uid="{8AB79CA4-FEC1-4E25-B393-B53608D6E5B7}"/>
    <cellStyle name="Normal 5 7 2 3" xfId="5256" xr:uid="{00000000-0005-0000-0000-0000C81B0000}"/>
    <cellStyle name="Normal 5 7 2 3 2" xfId="13698" xr:uid="{4B7C8A2D-4E2B-4783-8681-0DDFC3CAB3D3}"/>
    <cellStyle name="Normal 5 7 2 4" xfId="9480" xr:uid="{B8906824-CF41-4E4B-BAB9-0FE852F4C040}"/>
    <cellStyle name="Normal 5 7 3" xfId="1361" xr:uid="{00000000-0005-0000-0000-0000C91B0000}"/>
    <cellStyle name="Normal 5 7 3 2" xfId="3591" xr:uid="{00000000-0005-0000-0000-0000CA1B0000}"/>
    <cellStyle name="Normal 5 7 3 2 2" xfId="7814" xr:uid="{00000000-0005-0000-0000-0000CB1B0000}"/>
    <cellStyle name="Normal 5 7 3 2 2 2" xfId="16256" xr:uid="{371472BC-7F2E-4EDB-8873-3A99B519628D}"/>
    <cellStyle name="Normal 5 7 3 2 3" xfId="12038" xr:uid="{59615524-561C-41E5-98EA-DDDDADC0B64D}"/>
    <cellStyle name="Normal 5 7 3 3" xfId="5669" xr:uid="{00000000-0005-0000-0000-0000CC1B0000}"/>
    <cellStyle name="Normal 5 7 3 3 2" xfId="14111" xr:uid="{975F4125-708B-4B34-BBF4-981ED2881C83}"/>
    <cellStyle name="Normal 5 7 3 4" xfId="9893" xr:uid="{8F559F8E-1A06-4CD3-9B9C-22A1766EEF87}"/>
    <cellStyle name="Normal 5 7 4" xfId="1774" xr:uid="{00000000-0005-0000-0000-0000CD1B0000}"/>
    <cellStyle name="Normal 5 7 4 2" xfId="4004" xr:uid="{00000000-0005-0000-0000-0000CE1B0000}"/>
    <cellStyle name="Normal 5 7 4 2 2" xfId="8227" xr:uid="{00000000-0005-0000-0000-0000CF1B0000}"/>
    <cellStyle name="Normal 5 7 4 2 2 2" xfId="16669" xr:uid="{77BA045B-EC8D-47D9-9BE3-909EC16B0486}"/>
    <cellStyle name="Normal 5 7 4 2 3" xfId="12451" xr:uid="{8E82F33A-FB50-4A6B-8A02-A90383C9EC75}"/>
    <cellStyle name="Normal 5 7 4 3" xfId="6082" xr:uid="{00000000-0005-0000-0000-0000D01B0000}"/>
    <cellStyle name="Normal 5 7 4 3 2" xfId="14524" xr:uid="{22AB36E1-C975-4890-8A8A-6C71897A288E}"/>
    <cellStyle name="Normal 5 7 4 4" xfId="10306" xr:uid="{48B57EF6-1051-4445-AEF3-43AB704C4B06}"/>
    <cellStyle name="Normal 5 7 5" xfId="2188" xr:uid="{00000000-0005-0000-0000-0000D11B0000}"/>
    <cellStyle name="Normal 5 7 5 2" xfId="4417" xr:uid="{00000000-0005-0000-0000-0000D21B0000}"/>
    <cellStyle name="Normal 5 7 5 2 2" xfId="8640" xr:uid="{00000000-0005-0000-0000-0000D31B0000}"/>
    <cellStyle name="Normal 5 7 5 2 2 2" xfId="17082" xr:uid="{FAA8638F-E8DF-4EA5-B932-ACD988AB022B}"/>
    <cellStyle name="Normal 5 7 5 2 3" xfId="12864" xr:uid="{3F0E8A28-F4C4-46F7-A973-DBC0C7577BB7}"/>
    <cellStyle name="Normal 5 7 5 3" xfId="6495" xr:uid="{00000000-0005-0000-0000-0000D41B0000}"/>
    <cellStyle name="Normal 5 7 5 3 2" xfId="14937" xr:uid="{8580D9F9-1FA7-4CDA-AA29-5D79D095B944}"/>
    <cellStyle name="Normal 5 7 5 4" xfId="10719" xr:uid="{2F4AE3AA-BA31-4721-A860-C8E0552C1D07}"/>
    <cellStyle name="Normal 5 7 6" xfId="2624" xr:uid="{00000000-0005-0000-0000-0000D51B0000}"/>
    <cellStyle name="Normal 5 7 6 2" xfId="6908" xr:uid="{00000000-0005-0000-0000-0000D61B0000}"/>
    <cellStyle name="Normal 5 7 6 2 2" xfId="15350" xr:uid="{DB66AA84-13D8-4080-9133-A7C1A2DC3D45}"/>
    <cellStyle name="Normal 5 7 6 3" xfId="11132" xr:uid="{B58369A6-6BAB-4EB8-8D92-C1BC5E5140D2}"/>
    <cellStyle name="Normal 5 7 7" xfId="4843" xr:uid="{00000000-0005-0000-0000-0000D71B0000}"/>
    <cellStyle name="Normal 5 7 7 2" xfId="13285" xr:uid="{8FF8D0C6-C8E5-4A53-A41E-FCC6403FA3AB}"/>
    <cellStyle name="Normal 5 7 8" xfId="9067" xr:uid="{EE7B09B2-1C83-42FA-B041-8E72E4D99005}"/>
    <cellStyle name="Normal 5 8" xfId="880" xr:uid="{00000000-0005-0000-0000-0000D81B0000}"/>
    <cellStyle name="Normal 5 8 2" xfId="3115" xr:uid="{00000000-0005-0000-0000-0000D91B0000}"/>
    <cellStyle name="Normal 5 8 2 2" xfId="7338" xr:uid="{00000000-0005-0000-0000-0000DA1B0000}"/>
    <cellStyle name="Normal 5 8 2 2 2" xfId="15780" xr:uid="{D5C512AA-AE15-40D9-9E2F-FCDFD44EABA1}"/>
    <cellStyle name="Normal 5 8 2 3" xfId="11562" xr:uid="{352BFA58-BCA5-4521-8801-A4274CEFA0F5}"/>
    <cellStyle name="Normal 5 8 3" xfId="5193" xr:uid="{00000000-0005-0000-0000-0000DB1B0000}"/>
    <cellStyle name="Normal 5 8 3 2" xfId="13635" xr:uid="{D5C659D6-27E3-4FFA-9F7F-F3B6A6A40C23}"/>
    <cellStyle name="Normal 5 8 4" xfId="9417" xr:uid="{620BD7E0-7FCF-4E81-93D8-048B0E8022AA}"/>
    <cellStyle name="Normal 5 9" xfId="1298" xr:uid="{00000000-0005-0000-0000-0000DC1B0000}"/>
    <cellStyle name="Normal 5 9 2" xfId="3528" xr:uid="{00000000-0005-0000-0000-0000DD1B0000}"/>
    <cellStyle name="Normal 5 9 2 2" xfId="7751" xr:uid="{00000000-0005-0000-0000-0000DE1B0000}"/>
    <cellStyle name="Normal 5 9 2 2 2" xfId="16193" xr:uid="{F01279D0-DC66-48E5-A54F-C4A9AD828363}"/>
    <cellStyle name="Normal 5 9 2 3" xfId="11975" xr:uid="{95E87276-9EDD-41FD-A30B-569C3F0FF65B}"/>
    <cellStyle name="Normal 5 9 3" xfId="5606" xr:uid="{00000000-0005-0000-0000-0000DF1B0000}"/>
    <cellStyle name="Normal 5 9 3 2" xfId="14048" xr:uid="{F58A017F-4092-4C08-940E-3B34513B6932}"/>
    <cellStyle name="Normal 5 9 4" xfId="9830" xr:uid="{BFD27984-DC69-448F-91AE-C9D875A12838}"/>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17083" xr:uid="{E0DB7E91-904F-41E8-A440-85FE7376E68C}"/>
    <cellStyle name="Normal 8 10 2 3" xfId="12865" xr:uid="{9F7250A7-FF0B-46F4-A73F-E9505D526C26}"/>
    <cellStyle name="Normal 8 10 3" xfId="6496" xr:uid="{00000000-0005-0000-0000-0000EB1B0000}"/>
    <cellStyle name="Normal 8 10 3 2" xfId="14938" xr:uid="{65273FB7-35DF-4F66-B37A-234AE361A1B3}"/>
    <cellStyle name="Normal 8 10 4" xfId="10720" xr:uid="{54225FDB-1F0C-41CC-B9F3-03E80426D222}"/>
    <cellStyle name="Normal 8 11" xfId="2625" xr:uid="{00000000-0005-0000-0000-0000EC1B0000}"/>
    <cellStyle name="Normal 8 11 2" xfId="6909" xr:uid="{00000000-0005-0000-0000-0000ED1B0000}"/>
    <cellStyle name="Normal 8 11 2 2" xfId="15351" xr:uid="{BAFD453E-2D3E-46BC-AEE5-D97998A1C756}"/>
    <cellStyle name="Normal 8 11 3" xfId="11133" xr:uid="{5B7D8A1A-2A26-43E6-B184-61B7030E99F8}"/>
    <cellStyle name="Normal 8 12" xfId="4844" xr:uid="{00000000-0005-0000-0000-0000EE1B0000}"/>
    <cellStyle name="Normal 8 12 2" xfId="13286" xr:uid="{94004E53-4A59-4A71-A0F2-34359FD2FDA8}"/>
    <cellStyle name="Normal 8 13" xfId="9068" xr:uid="{5B7C5951-44F8-4050-82F6-7B7C5F9D82B1}"/>
    <cellStyle name="Normal 8 2" xfId="479" xr:uid="{00000000-0005-0000-0000-0000EF1B0000}"/>
    <cellStyle name="Normal 8 2 10" xfId="2626" xr:uid="{00000000-0005-0000-0000-0000F01B0000}"/>
    <cellStyle name="Normal 8 2 10 2" xfId="6910" xr:uid="{00000000-0005-0000-0000-0000F11B0000}"/>
    <cellStyle name="Normal 8 2 10 2 2" xfId="15352" xr:uid="{F466B41F-4A98-4981-9598-5F1F924712BD}"/>
    <cellStyle name="Normal 8 2 10 3" xfId="11134" xr:uid="{3CB47126-69A6-4D17-9CA7-4C895E5BB58E}"/>
    <cellStyle name="Normal 8 2 11" xfId="4845" xr:uid="{00000000-0005-0000-0000-0000F21B0000}"/>
    <cellStyle name="Normal 8 2 11 2" xfId="13287" xr:uid="{CA89F159-76DE-48A6-A3F9-EBB17D7E0717}"/>
    <cellStyle name="Normal 8 2 12" xfId="9069" xr:uid="{80A14099-9E0B-4FA9-A8FB-3F79326A6348}"/>
    <cellStyle name="Normal 8 2 2" xfId="480" xr:uid="{00000000-0005-0000-0000-0000F31B0000}"/>
    <cellStyle name="Normal 8 2 2 10" xfId="4846" xr:uid="{00000000-0005-0000-0000-0000F41B0000}"/>
    <cellStyle name="Normal 8 2 2 10 2" xfId="13288" xr:uid="{451AA2AD-E9D5-41D4-9004-80E40AB126B4}"/>
    <cellStyle name="Normal 8 2 2 11" xfId="9070" xr:uid="{7D679F94-C557-46F2-9C89-1D8E31BD41A8}"/>
    <cellStyle name="Normal 8 2 2 2" xfId="481" xr:uid="{00000000-0005-0000-0000-0000F51B0000}"/>
    <cellStyle name="Normal 8 2 2 2 10" xfId="9071" xr:uid="{BE7E316B-031E-48F8-A133-175012A918F5}"/>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15849" xr:uid="{20B7F90F-CAFE-44CA-ADB6-A71F946172A5}"/>
    <cellStyle name="Normal 8 2 2 2 2 2 2 2 3" xfId="11631" xr:uid="{DF76AB48-0F37-428D-9ECB-1DD4BFED2570}"/>
    <cellStyle name="Normal 8 2 2 2 2 2 2 3" xfId="5262" xr:uid="{00000000-0005-0000-0000-0000FB1B0000}"/>
    <cellStyle name="Normal 8 2 2 2 2 2 2 3 2" xfId="13704" xr:uid="{2B55E03D-FB80-49E4-8495-00611428B300}"/>
    <cellStyle name="Normal 8 2 2 2 2 2 2 4" xfId="9486" xr:uid="{E3AC0684-4790-406E-AC73-DF14C8724138}"/>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16262" xr:uid="{D6CA4ED8-811A-4E5B-A4CD-6FB20D20D51C}"/>
    <cellStyle name="Normal 8 2 2 2 2 2 3 2 3" xfId="12044" xr:uid="{9081E122-2400-4821-B431-34A1122280DF}"/>
    <cellStyle name="Normal 8 2 2 2 2 2 3 3" xfId="5675" xr:uid="{00000000-0005-0000-0000-0000FF1B0000}"/>
    <cellStyle name="Normal 8 2 2 2 2 2 3 3 2" xfId="14117" xr:uid="{444ECB00-4004-406C-BAB8-8DE35875584D}"/>
    <cellStyle name="Normal 8 2 2 2 2 2 3 4" xfId="9899" xr:uid="{E8DC395D-B654-4F99-8E69-E22C40CBBCFB}"/>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16675" xr:uid="{E3AC4547-C4C2-4B8C-A23C-C51652C419BD}"/>
    <cellStyle name="Normal 8 2 2 2 2 2 4 2 3" xfId="12457" xr:uid="{A152552F-18A9-4A95-B206-1554769C3619}"/>
    <cellStyle name="Normal 8 2 2 2 2 2 4 3" xfId="6088" xr:uid="{00000000-0005-0000-0000-0000031C0000}"/>
    <cellStyle name="Normal 8 2 2 2 2 2 4 3 2" xfId="14530" xr:uid="{05BC917C-1EDD-4A39-9FF3-66CB6B56F574}"/>
    <cellStyle name="Normal 8 2 2 2 2 2 4 4" xfId="10312" xr:uid="{BC2A661E-A147-4060-92A5-6C2884044EC3}"/>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17088" xr:uid="{A47448F3-FF18-475C-BF4A-CBF9188B7B7C}"/>
    <cellStyle name="Normal 8 2 2 2 2 2 5 2 3" xfId="12870" xr:uid="{C9C6DC4D-9EB1-47B9-8023-07003262A19E}"/>
    <cellStyle name="Normal 8 2 2 2 2 2 5 3" xfId="6501" xr:uid="{00000000-0005-0000-0000-0000071C0000}"/>
    <cellStyle name="Normal 8 2 2 2 2 2 5 3 2" xfId="14943" xr:uid="{CD2D6E4B-6375-4A8C-A1CA-B4D988F6D1A1}"/>
    <cellStyle name="Normal 8 2 2 2 2 2 5 4" xfId="10725" xr:uid="{3BA2C31E-BDE0-498F-96CA-7E275CD241D8}"/>
    <cellStyle name="Normal 8 2 2 2 2 2 6" xfId="2630" xr:uid="{00000000-0005-0000-0000-0000081C0000}"/>
    <cellStyle name="Normal 8 2 2 2 2 2 6 2" xfId="6914" xr:uid="{00000000-0005-0000-0000-0000091C0000}"/>
    <cellStyle name="Normal 8 2 2 2 2 2 6 2 2" xfId="15356" xr:uid="{D7A4840C-EFBC-49EB-9A87-CBEFF6E96739}"/>
    <cellStyle name="Normal 8 2 2 2 2 2 6 3" xfId="11138" xr:uid="{CC1FEB00-376B-4E11-B8FD-F892DC27D7D5}"/>
    <cellStyle name="Normal 8 2 2 2 2 2 7" xfId="4849" xr:uid="{00000000-0005-0000-0000-00000A1C0000}"/>
    <cellStyle name="Normal 8 2 2 2 2 2 7 2" xfId="13291" xr:uid="{8EE4940B-1709-4C3D-A622-2F93A4BE0EAE}"/>
    <cellStyle name="Normal 8 2 2 2 2 2 8" xfId="9073" xr:uid="{A65E93F4-4D3F-45F1-85D3-BEB18F7BDDA1}"/>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15848" xr:uid="{4D9FA1A6-AA5E-4768-B72F-866037DB440D}"/>
    <cellStyle name="Normal 8 2 2 2 2 3 2 3" xfId="11630" xr:uid="{401E7CF0-EC80-4CDE-8F8B-3F202403B1A6}"/>
    <cellStyle name="Normal 8 2 2 2 2 3 3" xfId="5261" xr:uid="{00000000-0005-0000-0000-00000E1C0000}"/>
    <cellStyle name="Normal 8 2 2 2 2 3 3 2" xfId="13703" xr:uid="{A0BCD123-4D28-4624-B973-B4C19BB5B0C0}"/>
    <cellStyle name="Normal 8 2 2 2 2 3 4" xfId="9485" xr:uid="{AED25B8C-8111-45FD-A19D-346F04ABC285}"/>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16261" xr:uid="{4DEC5848-0C43-4BF3-B264-DFDA42A62DB5}"/>
    <cellStyle name="Normal 8 2 2 2 2 4 2 3" xfId="12043" xr:uid="{D1D8BAC8-9A73-41B5-8191-D7FD9EB4F482}"/>
    <cellStyle name="Normal 8 2 2 2 2 4 3" xfId="5674" xr:uid="{00000000-0005-0000-0000-0000121C0000}"/>
    <cellStyle name="Normal 8 2 2 2 2 4 3 2" xfId="14116" xr:uid="{B99BE14B-1CFC-4056-A443-9A867392CD8A}"/>
    <cellStyle name="Normal 8 2 2 2 2 4 4" xfId="9898" xr:uid="{D4F05914-4643-4759-BA12-D1A14CB23174}"/>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16674" xr:uid="{DD03E2B1-1FA7-44D8-A3A0-EA5C5B8BDE53}"/>
    <cellStyle name="Normal 8 2 2 2 2 5 2 3" xfId="12456" xr:uid="{55723837-7E6E-496D-8231-61893D8E6169}"/>
    <cellStyle name="Normal 8 2 2 2 2 5 3" xfId="6087" xr:uid="{00000000-0005-0000-0000-0000161C0000}"/>
    <cellStyle name="Normal 8 2 2 2 2 5 3 2" xfId="14529" xr:uid="{C73610B3-582F-4D3F-8FB1-B2FD967485C8}"/>
    <cellStyle name="Normal 8 2 2 2 2 5 4" xfId="10311" xr:uid="{543B8F01-AE4C-4656-9A0C-8D635C114AA7}"/>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17087" xr:uid="{F031BEF9-A3EB-47CF-97C1-BE56B2276D88}"/>
    <cellStyle name="Normal 8 2 2 2 2 6 2 3" xfId="12869" xr:uid="{64F09022-1003-46FE-9923-B7785DF61177}"/>
    <cellStyle name="Normal 8 2 2 2 2 6 3" xfId="6500" xr:uid="{00000000-0005-0000-0000-00001A1C0000}"/>
    <cellStyle name="Normal 8 2 2 2 2 6 3 2" xfId="14942" xr:uid="{BE4F5396-D6B6-4DD6-921C-7AC087834134}"/>
    <cellStyle name="Normal 8 2 2 2 2 6 4" xfId="10724" xr:uid="{CF92056E-477A-46EE-BD6D-BEC5C12626D7}"/>
    <cellStyle name="Normal 8 2 2 2 2 7" xfId="2629" xr:uid="{00000000-0005-0000-0000-00001B1C0000}"/>
    <cellStyle name="Normal 8 2 2 2 2 7 2" xfId="6913" xr:uid="{00000000-0005-0000-0000-00001C1C0000}"/>
    <cellStyle name="Normal 8 2 2 2 2 7 2 2" xfId="15355" xr:uid="{25FCC4B6-16FA-4598-8D44-0B0B07672D0E}"/>
    <cellStyle name="Normal 8 2 2 2 2 7 3" xfId="11137" xr:uid="{96984DD4-74F9-4482-AD1C-55FAC7537A58}"/>
    <cellStyle name="Normal 8 2 2 2 2 8" xfId="4848" xr:uid="{00000000-0005-0000-0000-00001D1C0000}"/>
    <cellStyle name="Normal 8 2 2 2 2 8 2" xfId="13290" xr:uid="{91ED4185-DB4F-4188-86B2-D3A9D44DABAF}"/>
    <cellStyle name="Normal 8 2 2 2 2 9" xfId="9072" xr:uid="{1E703823-6F2C-461D-ACCE-EBF926C794FF}"/>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15850" xr:uid="{8F45716C-DE88-46B6-8141-1F9BE8D2EB54}"/>
    <cellStyle name="Normal 8 2 2 2 3 2 2 3" xfId="11632" xr:uid="{2858B8D2-438D-4FBB-AC32-F16B4C8C591C}"/>
    <cellStyle name="Normal 8 2 2 2 3 2 3" xfId="5263" xr:uid="{00000000-0005-0000-0000-0000221C0000}"/>
    <cellStyle name="Normal 8 2 2 2 3 2 3 2" xfId="13705" xr:uid="{EC23394D-A98A-4FCC-823A-8AB044A163F4}"/>
    <cellStyle name="Normal 8 2 2 2 3 2 4" xfId="9487" xr:uid="{F68461C1-6115-489B-BDE0-AA525FC35737}"/>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16263" xr:uid="{C6EBC1AE-3E9E-4AC2-869B-D255862DCB14}"/>
    <cellStyle name="Normal 8 2 2 2 3 3 2 3" xfId="12045" xr:uid="{08E3A272-1DAC-4F5D-B740-9153E78A49D1}"/>
    <cellStyle name="Normal 8 2 2 2 3 3 3" xfId="5676" xr:uid="{00000000-0005-0000-0000-0000261C0000}"/>
    <cellStyle name="Normal 8 2 2 2 3 3 3 2" xfId="14118" xr:uid="{66FA04E0-8316-4B3A-AF88-141ACE0E35A9}"/>
    <cellStyle name="Normal 8 2 2 2 3 3 4" xfId="9900" xr:uid="{3C490B4A-BCA1-4578-87DA-D16A264BAF34}"/>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16676" xr:uid="{AFAF8CED-B871-4408-BE84-58B6E2FE048D}"/>
    <cellStyle name="Normal 8 2 2 2 3 4 2 3" xfId="12458" xr:uid="{1BB67DEE-8F97-4CF3-94A5-077E535A3C6E}"/>
    <cellStyle name="Normal 8 2 2 2 3 4 3" xfId="6089" xr:uid="{00000000-0005-0000-0000-00002A1C0000}"/>
    <cellStyle name="Normal 8 2 2 2 3 4 3 2" xfId="14531" xr:uid="{74ECFF10-4516-48CC-85BD-CC8FC567208B}"/>
    <cellStyle name="Normal 8 2 2 2 3 4 4" xfId="10313" xr:uid="{71745A6F-1DFF-4274-9A3B-9D6FAA11D79E}"/>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17089" xr:uid="{05103C7D-B834-4869-821D-AEEB8BCC6155}"/>
    <cellStyle name="Normal 8 2 2 2 3 5 2 3" xfId="12871" xr:uid="{E7EE1C6F-D6BF-41D0-9A3A-0D79E8F3CAA8}"/>
    <cellStyle name="Normal 8 2 2 2 3 5 3" xfId="6502" xr:uid="{00000000-0005-0000-0000-00002E1C0000}"/>
    <cellStyle name="Normal 8 2 2 2 3 5 3 2" xfId="14944" xr:uid="{4C810708-9449-4CF1-A45C-D6B72A2E8B60}"/>
    <cellStyle name="Normal 8 2 2 2 3 5 4" xfId="10726" xr:uid="{2ACD2785-C0EF-4350-98AC-A9DF44430729}"/>
    <cellStyle name="Normal 8 2 2 2 3 6" xfId="2631" xr:uid="{00000000-0005-0000-0000-00002F1C0000}"/>
    <cellStyle name="Normal 8 2 2 2 3 6 2" xfId="6915" xr:uid="{00000000-0005-0000-0000-0000301C0000}"/>
    <cellStyle name="Normal 8 2 2 2 3 6 2 2" xfId="15357" xr:uid="{93B38927-2222-43F3-BDCA-A2177DAA660D}"/>
    <cellStyle name="Normal 8 2 2 2 3 6 3" xfId="11139" xr:uid="{ECE2BD03-107D-4BDB-90B8-763FF399649C}"/>
    <cellStyle name="Normal 8 2 2 2 3 7" xfId="4850" xr:uid="{00000000-0005-0000-0000-0000311C0000}"/>
    <cellStyle name="Normal 8 2 2 2 3 7 2" xfId="13292" xr:uid="{B305CC7F-2071-4EDF-A83C-55AAD039A6DD}"/>
    <cellStyle name="Normal 8 2 2 2 3 8" xfId="9074" xr:uid="{528EBB07-1CEC-4D63-8048-BDE7CBE80CA8}"/>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15847" xr:uid="{51D9D83C-33B9-4150-A91E-7A4637CA7350}"/>
    <cellStyle name="Normal 8 2 2 2 4 2 3" xfId="11629" xr:uid="{D2A36229-7D62-444C-9447-62E8F1ECFC95}"/>
    <cellStyle name="Normal 8 2 2 2 4 3" xfId="5260" xr:uid="{00000000-0005-0000-0000-0000351C0000}"/>
    <cellStyle name="Normal 8 2 2 2 4 3 2" xfId="13702" xr:uid="{F8EC3ECD-F89B-4EE7-92EF-8D5C592E24F3}"/>
    <cellStyle name="Normal 8 2 2 2 4 4" xfId="9484" xr:uid="{4E0BD9CE-0F4F-499B-AFEA-C7A12AE63E29}"/>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16260" xr:uid="{849A2CF7-FDB7-41C5-B8D5-3826DCCD0707}"/>
    <cellStyle name="Normal 8 2 2 2 5 2 3" xfId="12042" xr:uid="{C74F1347-B6C6-4CE4-B1C3-73C3DEE0C5FF}"/>
    <cellStyle name="Normal 8 2 2 2 5 3" xfId="5673" xr:uid="{00000000-0005-0000-0000-0000391C0000}"/>
    <cellStyle name="Normal 8 2 2 2 5 3 2" xfId="14115" xr:uid="{6908A242-38B5-4A4B-B3E5-1CBBE594B443}"/>
    <cellStyle name="Normal 8 2 2 2 5 4" xfId="9897" xr:uid="{8EAC800F-770C-4BF0-BE53-25045003707F}"/>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16673" xr:uid="{7461FB04-BAB3-42BB-8C23-98DC49A905D1}"/>
    <cellStyle name="Normal 8 2 2 2 6 2 3" xfId="12455" xr:uid="{76B47442-46CF-4BCA-B9B5-F190243A2522}"/>
    <cellStyle name="Normal 8 2 2 2 6 3" xfId="6086" xr:uid="{00000000-0005-0000-0000-00003D1C0000}"/>
    <cellStyle name="Normal 8 2 2 2 6 3 2" xfId="14528" xr:uid="{BFD3EEC4-8A5E-4864-9834-2CAA98CBE133}"/>
    <cellStyle name="Normal 8 2 2 2 6 4" xfId="10310" xr:uid="{B90CA80E-4A33-4FA2-A86D-46BA91FA0B63}"/>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17086" xr:uid="{B17BA28D-6230-4A2A-A26C-520159696716}"/>
    <cellStyle name="Normal 8 2 2 2 7 2 3" xfId="12868" xr:uid="{3885ACA5-AE09-4E50-AB1A-9F5DB45E1792}"/>
    <cellStyle name="Normal 8 2 2 2 7 3" xfId="6499" xr:uid="{00000000-0005-0000-0000-0000411C0000}"/>
    <cellStyle name="Normal 8 2 2 2 7 3 2" xfId="14941" xr:uid="{F90FA705-DB9A-4B60-85E4-3C944F55B0A4}"/>
    <cellStyle name="Normal 8 2 2 2 7 4" xfId="10723" xr:uid="{93528D2A-707B-454D-B34B-0991BEEF96C8}"/>
    <cellStyle name="Normal 8 2 2 2 8" xfId="2628" xr:uid="{00000000-0005-0000-0000-0000421C0000}"/>
    <cellStyle name="Normal 8 2 2 2 8 2" xfId="6912" xr:uid="{00000000-0005-0000-0000-0000431C0000}"/>
    <cellStyle name="Normal 8 2 2 2 8 2 2" xfId="15354" xr:uid="{9D2E68D3-2EAA-4BDF-8A2F-D95383216800}"/>
    <cellStyle name="Normal 8 2 2 2 8 3" xfId="11136" xr:uid="{AEB4E8B8-ACEF-484A-A3B1-EBD9B21D3025}"/>
    <cellStyle name="Normal 8 2 2 2 9" xfId="4847" xr:uid="{00000000-0005-0000-0000-0000441C0000}"/>
    <cellStyle name="Normal 8 2 2 2 9 2" xfId="13289" xr:uid="{61F1CA14-1B63-4234-B453-DFEC6838E78E}"/>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15852" xr:uid="{C0AF1AF1-3498-4647-A6AD-2E246D5A13E2}"/>
    <cellStyle name="Normal 8 2 2 3 2 2 2 3" xfId="11634" xr:uid="{FC952060-632B-4A98-A627-5DBC98F203D4}"/>
    <cellStyle name="Normal 8 2 2 3 2 2 3" xfId="5265" xr:uid="{00000000-0005-0000-0000-00004A1C0000}"/>
    <cellStyle name="Normal 8 2 2 3 2 2 3 2" xfId="13707" xr:uid="{3119D8D1-F431-4356-A701-AA879D9FB466}"/>
    <cellStyle name="Normal 8 2 2 3 2 2 4" xfId="9489" xr:uid="{694E7E85-9509-4C77-8000-54A6A0654F9F}"/>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16265" xr:uid="{37EB9B1C-C295-4E7E-9C2B-B0B359014C22}"/>
    <cellStyle name="Normal 8 2 2 3 2 3 2 3" xfId="12047" xr:uid="{AA6A7E73-8D08-4536-9EB6-3F063DB3BAB7}"/>
    <cellStyle name="Normal 8 2 2 3 2 3 3" xfId="5678" xr:uid="{00000000-0005-0000-0000-00004E1C0000}"/>
    <cellStyle name="Normal 8 2 2 3 2 3 3 2" xfId="14120" xr:uid="{F09AE376-1870-4B20-AB08-EDA7ABA5F503}"/>
    <cellStyle name="Normal 8 2 2 3 2 3 4" xfId="9902" xr:uid="{79F1E615-B7D5-4989-BA47-4A7FEDF397DE}"/>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16678" xr:uid="{C7CCFD4A-766A-4D3F-88F3-C704CF196649}"/>
    <cellStyle name="Normal 8 2 2 3 2 4 2 3" xfId="12460" xr:uid="{821C91A7-C552-45DA-8F4D-554EA8CBD5B9}"/>
    <cellStyle name="Normal 8 2 2 3 2 4 3" xfId="6091" xr:uid="{00000000-0005-0000-0000-0000521C0000}"/>
    <cellStyle name="Normal 8 2 2 3 2 4 3 2" xfId="14533" xr:uid="{941594D3-F036-4E28-9EA7-5DC5E5A7D223}"/>
    <cellStyle name="Normal 8 2 2 3 2 4 4" xfId="10315" xr:uid="{D7B526E7-A072-4A0B-A105-98E2C35D5E1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17091" xr:uid="{CFE40341-860B-4260-87D5-D6BE2A937EBD}"/>
    <cellStyle name="Normal 8 2 2 3 2 5 2 3" xfId="12873" xr:uid="{B7CA22A0-8B20-4C84-8ACD-6B639716B0EB}"/>
    <cellStyle name="Normal 8 2 2 3 2 5 3" xfId="6504" xr:uid="{00000000-0005-0000-0000-0000561C0000}"/>
    <cellStyle name="Normal 8 2 2 3 2 5 3 2" xfId="14946" xr:uid="{64DFC0AC-429C-4CB6-BEA9-FDF00848B855}"/>
    <cellStyle name="Normal 8 2 2 3 2 5 4" xfId="10728" xr:uid="{AB1B5D42-97B8-428A-90B9-3E51E66E76A9}"/>
    <cellStyle name="Normal 8 2 2 3 2 6" xfId="2633" xr:uid="{00000000-0005-0000-0000-0000571C0000}"/>
    <cellStyle name="Normal 8 2 2 3 2 6 2" xfId="6917" xr:uid="{00000000-0005-0000-0000-0000581C0000}"/>
    <cellStyle name="Normal 8 2 2 3 2 6 2 2" xfId="15359" xr:uid="{A1A41688-1872-4A30-8DAD-1F9291E6ECBE}"/>
    <cellStyle name="Normal 8 2 2 3 2 6 3" xfId="11141" xr:uid="{E8C52E3C-40B9-4143-9D83-821878F72698}"/>
    <cellStyle name="Normal 8 2 2 3 2 7" xfId="4852" xr:uid="{00000000-0005-0000-0000-0000591C0000}"/>
    <cellStyle name="Normal 8 2 2 3 2 7 2" xfId="13294" xr:uid="{57F4AC00-0B59-4CB7-964B-4FB836985CA6}"/>
    <cellStyle name="Normal 8 2 2 3 2 8" xfId="9076" xr:uid="{748C50B6-705B-4846-A22A-56001006B460}"/>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15851" xr:uid="{9E0AAD14-85DD-4760-BB07-8EB2A05131E2}"/>
    <cellStyle name="Normal 8 2 2 3 3 2 3" xfId="11633" xr:uid="{E8CF55CB-3405-4CB2-9FB5-55DAFC7813EC}"/>
    <cellStyle name="Normal 8 2 2 3 3 3" xfId="5264" xr:uid="{00000000-0005-0000-0000-00005D1C0000}"/>
    <cellStyle name="Normal 8 2 2 3 3 3 2" xfId="13706" xr:uid="{7460A8FD-E03D-4F49-9902-1A04FDBA1B50}"/>
    <cellStyle name="Normal 8 2 2 3 3 4" xfId="9488" xr:uid="{759986E0-91A6-43A9-8086-EACDACA55F0C}"/>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16264" xr:uid="{F99C2942-6931-4283-9C3D-2CFEFBE03F52}"/>
    <cellStyle name="Normal 8 2 2 3 4 2 3" xfId="12046" xr:uid="{7533331B-45E6-4C33-9619-81F808F4B1B9}"/>
    <cellStyle name="Normal 8 2 2 3 4 3" xfId="5677" xr:uid="{00000000-0005-0000-0000-0000611C0000}"/>
    <cellStyle name="Normal 8 2 2 3 4 3 2" xfId="14119" xr:uid="{C667CF54-B3D4-4B53-BB68-88DFC0C2FB3F}"/>
    <cellStyle name="Normal 8 2 2 3 4 4" xfId="9901" xr:uid="{815A1DF5-59F5-422C-9248-F6139B0DB2A9}"/>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16677" xr:uid="{236DCDEC-C5A5-4F8E-B08B-698B212CF1AA}"/>
    <cellStyle name="Normal 8 2 2 3 5 2 3" xfId="12459" xr:uid="{BBA39A77-4EF4-4A3E-9F30-63FE54A00FE4}"/>
    <cellStyle name="Normal 8 2 2 3 5 3" xfId="6090" xr:uid="{00000000-0005-0000-0000-0000651C0000}"/>
    <cellStyle name="Normal 8 2 2 3 5 3 2" xfId="14532" xr:uid="{19CF361D-5F84-4AC7-A0F4-4E8DCA4EFCD4}"/>
    <cellStyle name="Normal 8 2 2 3 5 4" xfId="10314" xr:uid="{304D2C8A-3656-4612-B9C5-D4D28D320DD0}"/>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17090" xr:uid="{53714005-17FC-4102-9C00-8AB0D2613ADD}"/>
    <cellStyle name="Normal 8 2 2 3 6 2 3" xfId="12872" xr:uid="{E2C56C8D-5798-4D70-99C6-FE9C76D96434}"/>
    <cellStyle name="Normal 8 2 2 3 6 3" xfId="6503" xr:uid="{00000000-0005-0000-0000-0000691C0000}"/>
    <cellStyle name="Normal 8 2 2 3 6 3 2" xfId="14945" xr:uid="{E4C93871-9084-41CC-8296-F7B7BFEFCEB8}"/>
    <cellStyle name="Normal 8 2 2 3 6 4" xfId="10727" xr:uid="{737C6C3E-CCA9-4AB5-8805-559DCC331A48}"/>
    <cellStyle name="Normal 8 2 2 3 7" xfId="2632" xr:uid="{00000000-0005-0000-0000-00006A1C0000}"/>
    <cellStyle name="Normal 8 2 2 3 7 2" xfId="6916" xr:uid="{00000000-0005-0000-0000-00006B1C0000}"/>
    <cellStyle name="Normal 8 2 2 3 7 2 2" xfId="15358" xr:uid="{5F6522BC-970F-45CF-9C44-0EBC3B82758A}"/>
    <cellStyle name="Normal 8 2 2 3 7 3" xfId="11140" xr:uid="{32ADB861-DE66-48CE-B447-5AFFA81920A2}"/>
    <cellStyle name="Normal 8 2 2 3 8" xfId="4851" xr:uid="{00000000-0005-0000-0000-00006C1C0000}"/>
    <cellStyle name="Normal 8 2 2 3 8 2" xfId="13293" xr:uid="{7151C894-20D5-4C32-BCA6-C75BE28EAA34}"/>
    <cellStyle name="Normal 8 2 2 3 9" xfId="9075" xr:uid="{9BCA8D24-B1BB-429A-A1CA-7B1F52843213}"/>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15853" xr:uid="{63363B04-092C-4B86-82B9-E62F05800498}"/>
    <cellStyle name="Normal 8 2 2 4 2 2 3" xfId="11635" xr:uid="{94BEED10-39E8-46BF-BC24-5ECEE5749048}"/>
    <cellStyle name="Normal 8 2 2 4 2 3" xfId="5266" xr:uid="{00000000-0005-0000-0000-0000711C0000}"/>
    <cellStyle name="Normal 8 2 2 4 2 3 2" xfId="13708" xr:uid="{3F89D426-FAB6-4BF8-82C3-EC2013B465E9}"/>
    <cellStyle name="Normal 8 2 2 4 2 4" xfId="9490" xr:uid="{9EC12DC1-FC4A-4759-92F0-F7585694DA90}"/>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16266" xr:uid="{2A9726B8-2B24-41D3-8805-69FE64132B65}"/>
    <cellStyle name="Normal 8 2 2 4 3 2 3" xfId="12048" xr:uid="{9C0072A5-B203-43A6-A315-8D377F4B7C61}"/>
    <cellStyle name="Normal 8 2 2 4 3 3" xfId="5679" xr:uid="{00000000-0005-0000-0000-0000751C0000}"/>
    <cellStyle name="Normal 8 2 2 4 3 3 2" xfId="14121" xr:uid="{ADF31983-35D2-4154-8501-5318E0D0E58E}"/>
    <cellStyle name="Normal 8 2 2 4 3 4" xfId="9903" xr:uid="{FB6F8B77-FCD6-4F5E-BC3E-D97409E9FE04}"/>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16679" xr:uid="{1E9C77F5-8B33-487A-8902-F4E5AA58FE0F}"/>
    <cellStyle name="Normal 8 2 2 4 4 2 3" xfId="12461" xr:uid="{A67668AC-9295-4FC3-92BA-792632E58550}"/>
    <cellStyle name="Normal 8 2 2 4 4 3" xfId="6092" xr:uid="{00000000-0005-0000-0000-0000791C0000}"/>
    <cellStyle name="Normal 8 2 2 4 4 3 2" xfId="14534" xr:uid="{B7C96170-68E3-4DF2-BA8F-2C2927267635}"/>
    <cellStyle name="Normal 8 2 2 4 4 4" xfId="10316" xr:uid="{DC8C5C26-76CC-44FB-B67D-73814DD675A3}"/>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17092" xr:uid="{23D29537-4FF3-4E71-8FFD-E95B13AB3A95}"/>
    <cellStyle name="Normal 8 2 2 4 5 2 3" xfId="12874" xr:uid="{FC294CF0-045A-4BA0-8C7A-A794BB8DB0F7}"/>
    <cellStyle name="Normal 8 2 2 4 5 3" xfId="6505" xr:uid="{00000000-0005-0000-0000-00007D1C0000}"/>
    <cellStyle name="Normal 8 2 2 4 5 3 2" xfId="14947" xr:uid="{08E2A05C-EF5A-4A42-BFBF-28D0496A7D8F}"/>
    <cellStyle name="Normal 8 2 2 4 5 4" xfId="10729" xr:uid="{C413201C-60A9-435E-BE89-F29D8DEB09D7}"/>
    <cellStyle name="Normal 8 2 2 4 6" xfId="2634" xr:uid="{00000000-0005-0000-0000-00007E1C0000}"/>
    <cellStyle name="Normal 8 2 2 4 6 2" xfId="6918" xr:uid="{00000000-0005-0000-0000-00007F1C0000}"/>
    <cellStyle name="Normal 8 2 2 4 6 2 2" xfId="15360" xr:uid="{CF75C14A-050E-4E6E-85A4-F0314A3C2BD8}"/>
    <cellStyle name="Normal 8 2 2 4 6 3" xfId="11142" xr:uid="{0EC57A01-1A77-493A-8A71-04D9F962B52B}"/>
    <cellStyle name="Normal 8 2 2 4 7" xfId="4853" xr:uid="{00000000-0005-0000-0000-0000801C0000}"/>
    <cellStyle name="Normal 8 2 2 4 7 2" xfId="13295" xr:uid="{21EBF126-59F6-4C97-811B-885339B9BA73}"/>
    <cellStyle name="Normal 8 2 2 4 8" xfId="9077" xr:uid="{3D642ECA-CBCB-4EB2-BFA6-310454310B3C}"/>
    <cellStyle name="Normal 8 2 2 5" xfId="947" xr:uid="{00000000-0005-0000-0000-0000811C0000}"/>
    <cellStyle name="Normal 8 2 2 5 2" xfId="3181" xr:uid="{00000000-0005-0000-0000-0000821C0000}"/>
    <cellStyle name="Normal 8 2 2 5 2 2" xfId="7404" xr:uid="{00000000-0005-0000-0000-0000831C0000}"/>
    <cellStyle name="Normal 8 2 2 5 2 2 2" xfId="15846" xr:uid="{8175C12D-3E57-4A3D-A85A-7D2CED7086DC}"/>
    <cellStyle name="Normal 8 2 2 5 2 3" xfId="11628" xr:uid="{BD4A9DD1-7B95-4EDE-A1E6-E7A0D8DDEC70}"/>
    <cellStyle name="Normal 8 2 2 5 3" xfId="5259" xr:uid="{00000000-0005-0000-0000-0000841C0000}"/>
    <cellStyle name="Normal 8 2 2 5 3 2" xfId="13701" xr:uid="{466C06A9-2D78-4B6B-88BD-0F0FDA65F3B6}"/>
    <cellStyle name="Normal 8 2 2 5 4" xfId="9483" xr:uid="{660D18A4-1846-4060-8230-7A05B294FBE0}"/>
    <cellStyle name="Normal 8 2 2 6" xfId="1364" xr:uid="{00000000-0005-0000-0000-0000851C0000}"/>
    <cellStyle name="Normal 8 2 2 6 2" xfId="3594" xr:uid="{00000000-0005-0000-0000-0000861C0000}"/>
    <cellStyle name="Normal 8 2 2 6 2 2" xfId="7817" xr:uid="{00000000-0005-0000-0000-0000871C0000}"/>
    <cellStyle name="Normal 8 2 2 6 2 2 2" xfId="16259" xr:uid="{C0FA2734-4D3D-43BB-97D7-8ADED4868D9E}"/>
    <cellStyle name="Normal 8 2 2 6 2 3" xfId="12041" xr:uid="{2767711A-7BA9-463C-9C78-5CEE3D573C8E}"/>
    <cellStyle name="Normal 8 2 2 6 3" xfId="5672" xr:uid="{00000000-0005-0000-0000-0000881C0000}"/>
    <cellStyle name="Normal 8 2 2 6 3 2" xfId="14114" xr:uid="{9EC5D534-44BC-40DE-8248-1A3EA4DD4353}"/>
    <cellStyle name="Normal 8 2 2 6 4" xfId="9896" xr:uid="{6CBF0541-863F-4BCA-BCAF-B46F6A9096BB}"/>
    <cellStyle name="Normal 8 2 2 7" xfId="1777" xr:uid="{00000000-0005-0000-0000-0000891C0000}"/>
    <cellStyle name="Normal 8 2 2 7 2" xfId="4007" xr:uid="{00000000-0005-0000-0000-00008A1C0000}"/>
    <cellStyle name="Normal 8 2 2 7 2 2" xfId="8230" xr:uid="{00000000-0005-0000-0000-00008B1C0000}"/>
    <cellStyle name="Normal 8 2 2 7 2 2 2" xfId="16672" xr:uid="{11FECD70-A6EF-4239-A0CE-232196EB956A}"/>
    <cellStyle name="Normal 8 2 2 7 2 3" xfId="12454" xr:uid="{AC1A0B16-5532-43B5-941D-2787C42842EC}"/>
    <cellStyle name="Normal 8 2 2 7 3" xfId="6085" xr:uid="{00000000-0005-0000-0000-00008C1C0000}"/>
    <cellStyle name="Normal 8 2 2 7 3 2" xfId="14527" xr:uid="{DEBCA7DC-1297-4256-B700-12C5999B1CD7}"/>
    <cellStyle name="Normal 8 2 2 7 4" xfId="10309" xr:uid="{CD746834-8741-40A6-8DC8-6D1C4C9D9AE6}"/>
    <cellStyle name="Normal 8 2 2 8" xfId="2191" xr:uid="{00000000-0005-0000-0000-00008D1C0000}"/>
    <cellStyle name="Normal 8 2 2 8 2" xfId="4420" xr:uid="{00000000-0005-0000-0000-00008E1C0000}"/>
    <cellStyle name="Normal 8 2 2 8 2 2" xfId="8643" xr:uid="{00000000-0005-0000-0000-00008F1C0000}"/>
    <cellStyle name="Normal 8 2 2 8 2 2 2" xfId="17085" xr:uid="{29A66AEB-E737-4F79-AA80-3DB44A633295}"/>
    <cellStyle name="Normal 8 2 2 8 2 3" xfId="12867" xr:uid="{39819F74-DF71-4B38-B942-16CA508CF8D0}"/>
    <cellStyle name="Normal 8 2 2 8 3" xfId="6498" xr:uid="{00000000-0005-0000-0000-0000901C0000}"/>
    <cellStyle name="Normal 8 2 2 8 3 2" xfId="14940" xr:uid="{B017AB45-9320-4E62-A432-97435623B25E}"/>
    <cellStyle name="Normal 8 2 2 8 4" xfId="10722" xr:uid="{020FCA5D-AD07-4F0B-A6B8-3D0A5996CD4A}"/>
    <cellStyle name="Normal 8 2 2 9" xfId="2627" xr:uid="{00000000-0005-0000-0000-0000911C0000}"/>
    <cellStyle name="Normal 8 2 2 9 2" xfId="6911" xr:uid="{00000000-0005-0000-0000-0000921C0000}"/>
    <cellStyle name="Normal 8 2 2 9 2 2" xfId="15353" xr:uid="{D988312E-6CE2-428E-A286-5AC9E3B5E9BB}"/>
    <cellStyle name="Normal 8 2 2 9 3" xfId="11135" xr:uid="{442566CC-1506-4EB9-9D14-9784E1A08E48}"/>
    <cellStyle name="Normal 8 2 3" xfId="488" xr:uid="{00000000-0005-0000-0000-0000931C0000}"/>
    <cellStyle name="Normal 8 2 3 10" xfId="9078" xr:uid="{1646C4CA-B702-44FB-AF59-9A2A5B18E4A5}"/>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15856" xr:uid="{EA2AD3F7-5AFE-49A9-A0AF-14690F9CB2D6}"/>
    <cellStyle name="Normal 8 2 3 2 2 2 2 3" xfId="11638" xr:uid="{F76AB6F9-BF58-4220-9E2F-C5A8C5DA0DF7}"/>
    <cellStyle name="Normal 8 2 3 2 2 2 3" xfId="5269" xr:uid="{00000000-0005-0000-0000-0000991C0000}"/>
    <cellStyle name="Normal 8 2 3 2 2 2 3 2" xfId="13711" xr:uid="{CF37DC5A-CF44-493E-AF43-879A2F433CA6}"/>
    <cellStyle name="Normal 8 2 3 2 2 2 4" xfId="9493" xr:uid="{BA807296-A2D1-40CA-8CC5-1D9EF7E9A584}"/>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16269" xr:uid="{9CB13D62-83AD-4F8A-9EE7-91D38D08A99A}"/>
    <cellStyle name="Normal 8 2 3 2 2 3 2 3" xfId="12051" xr:uid="{6397E758-03C4-4380-AA6B-53FF1F4227F8}"/>
    <cellStyle name="Normal 8 2 3 2 2 3 3" xfId="5682" xr:uid="{00000000-0005-0000-0000-00009D1C0000}"/>
    <cellStyle name="Normal 8 2 3 2 2 3 3 2" xfId="14124" xr:uid="{ED989D0F-ED04-4765-91DE-53B945B7EE16}"/>
    <cellStyle name="Normal 8 2 3 2 2 3 4" xfId="9906" xr:uid="{C788995B-7545-4FA3-8E14-C73DE1DA7162}"/>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16682" xr:uid="{4E2FFBCA-83DA-43D2-8F39-D66F796603CD}"/>
    <cellStyle name="Normal 8 2 3 2 2 4 2 3" xfId="12464" xr:uid="{6E84DBD0-E15C-474E-B230-1722E0E31511}"/>
    <cellStyle name="Normal 8 2 3 2 2 4 3" xfId="6095" xr:uid="{00000000-0005-0000-0000-0000A11C0000}"/>
    <cellStyle name="Normal 8 2 3 2 2 4 3 2" xfId="14537" xr:uid="{488A8992-881D-44E4-8BD7-79CE127D6323}"/>
    <cellStyle name="Normal 8 2 3 2 2 4 4" xfId="10319" xr:uid="{103F2C19-F7E5-404A-A112-46EA856C959C}"/>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17095" xr:uid="{BFE9FD2F-94C3-42A0-8CB5-8B80FAC65841}"/>
    <cellStyle name="Normal 8 2 3 2 2 5 2 3" xfId="12877" xr:uid="{D44FE4B5-7BD7-43AA-ABED-23AF825D8704}"/>
    <cellStyle name="Normal 8 2 3 2 2 5 3" xfId="6508" xr:uid="{00000000-0005-0000-0000-0000A51C0000}"/>
    <cellStyle name="Normal 8 2 3 2 2 5 3 2" xfId="14950" xr:uid="{627557C1-3237-4E5F-8D83-0ED2174C81EE}"/>
    <cellStyle name="Normal 8 2 3 2 2 5 4" xfId="10732" xr:uid="{5CD7C18A-D582-4BB1-9AB3-7F1E3F897436}"/>
    <cellStyle name="Normal 8 2 3 2 2 6" xfId="2637" xr:uid="{00000000-0005-0000-0000-0000A61C0000}"/>
    <cellStyle name="Normal 8 2 3 2 2 6 2" xfId="6921" xr:uid="{00000000-0005-0000-0000-0000A71C0000}"/>
    <cellStyle name="Normal 8 2 3 2 2 6 2 2" xfId="15363" xr:uid="{44C93662-E5E7-479B-AEFB-234C51210A3B}"/>
    <cellStyle name="Normal 8 2 3 2 2 6 3" xfId="11145" xr:uid="{FC510C95-CF8B-4DFE-ADDD-786FFC9BF72A}"/>
    <cellStyle name="Normal 8 2 3 2 2 7" xfId="4856" xr:uid="{00000000-0005-0000-0000-0000A81C0000}"/>
    <cellStyle name="Normal 8 2 3 2 2 7 2" xfId="13298" xr:uid="{845C760F-0A9F-4C92-9751-550F99BF1C99}"/>
    <cellStyle name="Normal 8 2 3 2 2 8" xfId="9080" xr:uid="{E1982B03-9032-4630-9362-36A4F5EF35FC}"/>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15855" xr:uid="{5FEDD599-C911-405D-9373-AAAFD9B64554}"/>
    <cellStyle name="Normal 8 2 3 2 3 2 3" xfId="11637" xr:uid="{E76F8DAA-115E-4C62-B8D2-DBDCF3BC272D}"/>
    <cellStyle name="Normal 8 2 3 2 3 3" xfId="5268" xr:uid="{00000000-0005-0000-0000-0000AC1C0000}"/>
    <cellStyle name="Normal 8 2 3 2 3 3 2" xfId="13710" xr:uid="{18AA3DB4-55AC-4AEC-8F9C-19740A65BC73}"/>
    <cellStyle name="Normal 8 2 3 2 3 4" xfId="9492" xr:uid="{510ACA2A-8C39-4F0D-A1EF-92AB4B6A580E}"/>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16268" xr:uid="{F18ABD98-E318-4340-8644-C72FCC8FA47F}"/>
    <cellStyle name="Normal 8 2 3 2 4 2 3" xfId="12050" xr:uid="{7E75A497-EBD0-4695-919E-96F5E993DBB7}"/>
    <cellStyle name="Normal 8 2 3 2 4 3" xfId="5681" xr:uid="{00000000-0005-0000-0000-0000B01C0000}"/>
    <cellStyle name="Normal 8 2 3 2 4 3 2" xfId="14123" xr:uid="{3F23420B-C47B-4535-8E9F-60FE96C3D4A8}"/>
    <cellStyle name="Normal 8 2 3 2 4 4" xfId="9905" xr:uid="{8A972DB7-5849-4ECC-8FF5-A2737CEC4FB1}"/>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16681" xr:uid="{0CFB5602-76BD-4A6A-9E25-B0866F74EDFB}"/>
    <cellStyle name="Normal 8 2 3 2 5 2 3" xfId="12463" xr:uid="{74A7D734-60C1-4A07-9ABB-46D073588B25}"/>
    <cellStyle name="Normal 8 2 3 2 5 3" xfId="6094" xr:uid="{00000000-0005-0000-0000-0000B41C0000}"/>
    <cellStyle name="Normal 8 2 3 2 5 3 2" xfId="14536" xr:uid="{94C31EFA-8213-4383-823B-300EFEADDC22}"/>
    <cellStyle name="Normal 8 2 3 2 5 4" xfId="10318" xr:uid="{EFC2CC05-5632-487F-B76B-A33811097E42}"/>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17094" xr:uid="{70F36D04-8743-4574-BFF5-96A189CB5F87}"/>
    <cellStyle name="Normal 8 2 3 2 6 2 3" xfId="12876" xr:uid="{F355C9B7-7CE9-40C6-BF9D-6507A581FFFF}"/>
    <cellStyle name="Normal 8 2 3 2 6 3" xfId="6507" xr:uid="{00000000-0005-0000-0000-0000B81C0000}"/>
    <cellStyle name="Normal 8 2 3 2 6 3 2" xfId="14949" xr:uid="{AA161B44-238E-4AA3-B20D-30D087F948BA}"/>
    <cellStyle name="Normal 8 2 3 2 6 4" xfId="10731" xr:uid="{61DEB0C5-710C-406A-B0FF-1D7B482EE0DA}"/>
    <cellStyle name="Normal 8 2 3 2 7" xfId="2636" xr:uid="{00000000-0005-0000-0000-0000B91C0000}"/>
    <cellStyle name="Normal 8 2 3 2 7 2" xfId="6920" xr:uid="{00000000-0005-0000-0000-0000BA1C0000}"/>
    <cellStyle name="Normal 8 2 3 2 7 2 2" xfId="15362" xr:uid="{5539D434-0757-4109-8A1A-26EF5D0D07AD}"/>
    <cellStyle name="Normal 8 2 3 2 7 3" xfId="11144" xr:uid="{B3134620-2C71-4B4A-A12B-9DFD783C8C43}"/>
    <cellStyle name="Normal 8 2 3 2 8" xfId="4855" xr:uid="{00000000-0005-0000-0000-0000BB1C0000}"/>
    <cellStyle name="Normal 8 2 3 2 8 2" xfId="13297" xr:uid="{9D7B4A66-B445-4DA3-9300-E525B9A56CED}"/>
    <cellStyle name="Normal 8 2 3 2 9" xfId="9079" xr:uid="{B018AD90-722E-4473-95DA-904E0775C8B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15857" xr:uid="{577406A1-9239-4AC3-BA96-ED2EABCBB8AD}"/>
    <cellStyle name="Normal 8 2 3 3 2 2 3" xfId="11639" xr:uid="{BB421A76-A29E-4D6D-88E2-9BC86E0662D8}"/>
    <cellStyle name="Normal 8 2 3 3 2 3" xfId="5270" xr:uid="{00000000-0005-0000-0000-0000C01C0000}"/>
    <cellStyle name="Normal 8 2 3 3 2 3 2" xfId="13712" xr:uid="{DBF19251-7B1F-4F3D-BBF4-12404B138B26}"/>
    <cellStyle name="Normal 8 2 3 3 2 4" xfId="9494" xr:uid="{A14D1146-1821-43E6-8DFC-1FDC094051A0}"/>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16270" xr:uid="{346AB0B8-A587-42EA-8F81-B6FD5F8AA67E}"/>
    <cellStyle name="Normal 8 2 3 3 3 2 3" xfId="12052" xr:uid="{CFDBF425-6AC4-4FFB-A898-47219635E639}"/>
    <cellStyle name="Normal 8 2 3 3 3 3" xfId="5683" xr:uid="{00000000-0005-0000-0000-0000C41C0000}"/>
    <cellStyle name="Normal 8 2 3 3 3 3 2" xfId="14125" xr:uid="{4EC651DB-6CD3-423F-A9BE-97D8A353F2ED}"/>
    <cellStyle name="Normal 8 2 3 3 3 4" xfId="9907" xr:uid="{11D1D66D-D01A-4011-92CA-D8C7ABCFA60A}"/>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16683" xr:uid="{1B7E40A5-1C11-49B8-99BD-2170697D7C2C}"/>
    <cellStyle name="Normal 8 2 3 3 4 2 3" xfId="12465" xr:uid="{9DE926DC-0028-46EE-82D2-164351612579}"/>
    <cellStyle name="Normal 8 2 3 3 4 3" xfId="6096" xr:uid="{00000000-0005-0000-0000-0000C81C0000}"/>
    <cellStyle name="Normal 8 2 3 3 4 3 2" xfId="14538" xr:uid="{BE82BE63-8235-4CF0-BDF2-35279A6CEFDC}"/>
    <cellStyle name="Normal 8 2 3 3 4 4" xfId="10320" xr:uid="{588A802C-3B64-445D-8999-424E84B7C964}"/>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17096" xr:uid="{91F0F41D-E94B-4276-A8BE-D996DF50FA56}"/>
    <cellStyle name="Normal 8 2 3 3 5 2 3" xfId="12878" xr:uid="{2807B307-6711-486A-B4FA-752C91286027}"/>
    <cellStyle name="Normal 8 2 3 3 5 3" xfId="6509" xr:uid="{00000000-0005-0000-0000-0000CC1C0000}"/>
    <cellStyle name="Normal 8 2 3 3 5 3 2" xfId="14951" xr:uid="{55E49FD3-7D44-4428-A859-AB1CFBFA7CAF}"/>
    <cellStyle name="Normal 8 2 3 3 5 4" xfId="10733" xr:uid="{A3EC3E1D-6230-40B4-846C-54B641269C5D}"/>
    <cellStyle name="Normal 8 2 3 3 6" xfId="2638" xr:uid="{00000000-0005-0000-0000-0000CD1C0000}"/>
    <cellStyle name="Normal 8 2 3 3 6 2" xfId="6922" xr:uid="{00000000-0005-0000-0000-0000CE1C0000}"/>
    <cellStyle name="Normal 8 2 3 3 6 2 2" xfId="15364" xr:uid="{33C56030-E346-40B1-93C1-B16121A04CEA}"/>
    <cellStyle name="Normal 8 2 3 3 6 3" xfId="11146" xr:uid="{639D5717-6131-44B5-BB4B-A1CC527E41D4}"/>
    <cellStyle name="Normal 8 2 3 3 7" xfId="4857" xr:uid="{00000000-0005-0000-0000-0000CF1C0000}"/>
    <cellStyle name="Normal 8 2 3 3 7 2" xfId="13299" xr:uid="{CA61DBF4-612B-4CC0-877C-550E39FA2F41}"/>
    <cellStyle name="Normal 8 2 3 3 8" xfId="9081" xr:uid="{92F6E151-5F0B-4280-A789-138A0C886135}"/>
    <cellStyle name="Normal 8 2 3 4" xfId="955" xr:uid="{00000000-0005-0000-0000-0000D01C0000}"/>
    <cellStyle name="Normal 8 2 3 4 2" xfId="3189" xr:uid="{00000000-0005-0000-0000-0000D11C0000}"/>
    <cellStyle name="Normal 8 2 3 4 2 2" xfId="7412" xr:uid="{00000000-0005-0000-0000-0000D21C0000}"/>
    <cellStyle name="Normal 8 2 3 4 2 2 2" xfId="15854" xr:uid="{55468DED-2A4C-4BC4-BC52-9130CD0FAD84}"/>
    <cellStyle name="Normal 8 2 3 4 2 3" xfId="11636" xr:uid="{467A2DEA-7126-4A5E-91B6-E3F0FCBBD650}"/>
    <cellStyle name="Normal 8 2 3 4 3" xfId="5267" xr:uid="{00000000-0005-0000-0000-0000D31C0000}"/>
    <cellStyle name="Normal 8 2 3 4 3 2" xfId="13709" xr:uid="{827184BC-650A-4EA6-8CC8-F393515357F1}"/>
    <cellStyle name="Normal 8 2 3 4 4" xfId="9491" xr:uid="{B15908ED-335F-467D-BB3F-29680DA753FC}"/>
    <cellStyle name="Normal 8 2 3 5" xfId="1372" xr:uid="{00000000-0005-0000-0000-0000D41C0000}"/>
    <cellStyle name="Normal 8 2 3 5 2" xfId="3602" xr:uid="{00000000-0005-0000-0000-0000D51C0000}"/>
    <cellStyle name="Normal 8 2 3 5 2 2" xfId="7825" xr:uid="{00000000-0005-0000-0000-0000D61C0000}"/>
    <cellStyle name="Normal 8 2 3 5 2 2 2" xfId="16267" xr:uid="{27278931-FA5C-4E3A-B0D7-9D0D87D2E669}"/>
    <cellStyle name="Normal 8 2 3 5 2 3" xfId="12049" xr:uid="{52326F5B-AB6A-46D7-B7D9-520A66D14CEC}"/>
    <cellStyle name="Normal 8 2 3 5 3" xfId="5680" xr:uid="{00000000-0005-0000-0000-0000D71C0000}"/>
    <cellStyle name="Normal 8 2 3 5 3 2" xfId="14122" xr:uid="{99B9E24C-0159-400B-821D-8D108A815AAF}"/>
    <cellStyle name="Normal 8 2 3 5 4" xfId="9904" xr:uid="{1CA3B571-4303-4664-B621-562647FFF72D}"/>
    <cellStyle name="Normal 8 2 3 6" xfId="1785" xr:uid="{00000000-0005-0000-0000-0000D81C0000}"/>
    <cellStyle name="Normal 8 2 3 6 2" xfId="4015" xr:uid="{00000000-0005-0000-0000-0000D91C0000}"/>
    <cellStyle name="Normal 8 2 3 6 2 2" xfId="8238" xr:uid="{00000000-0005-0000-0000-0000DA1C0000}"/>
    <cellStyle name="Normal 8 2 3 6 2 2 2" xfId="16680" xr:uid="{4287E27B-32C0-491F-ACFC-6A2BF509C0A0}"/>
    <cellStyle name="Normal 8 2 3 6 2 3" xfId="12462" xr:uid="{7B35E899-73BD-4C7A-B763-4FE7A17123A7}"/>
    <cellStyle name="Normal 8 2 3 6 3" xfId="6093" xr:uid="{00000000-0005-0000-0000-0000DB1C0000}"/>
    <cellStyle name="Normal 8 2 3 6 3 2" xfId="14535" xr:uid="{DCE0832F-C14E-4496-B784-3EF5F752B6BC}"/>
    <cellStyle name="Normal 8 2 3 6 4" xfId="10317" xr:uid="{5387571D-50D0-428D-91BB-E4F68945BE80}"/>
    <cellStyle name="Normal 8 2 3 7" xfId="2199" xr:uid="{00000000-0005-0000-0000-0000DC1C0000}"/>
    <cellStyle name="Normal 8 2 3 7 2" xfId="4428" xr:uid="{00000000-0005-0000-0000-0000DD1C0000}"/>
    <cellStyle name="Normal 8 2 3 7 2 2" xfId="8651" xr:uid="{00000000-0005-0000-0000-0000DE1C0000}"/>
    <cellStyle name="Normal 8 2 3 7 2 2 2" xfId="17093" xr:uid="{F6DF161C-524B-4508-A3D7-188F1B0CDC2B}"/>
    <cellStyle name="Normal 8 2 3 7 2 3" xfId="12875" xr:uid="{264233B2-03F9-46FE-8A55-0001262E4582}"/>
    <cellStyle name="Normal 8 2 3 7 3" xfId="6506" xr:uid="{00000000-0005-0000-0000-0000DF1C0000}"/>
    <cellStyle name="Normal 8 2 3 7 3 2" xfId="14948" xr:uid="{B8197109-396B-496E-8237-A93598BBBA70}"/>
    <cellStyle name="Normal 8 2 3 7 4" xfId="10730" xr:uid="{FDBB4C06-C9DF-4961-A6CD-4BAC3D67DC50}"/>
    <cellStyle name="Normal 8 2 3 8" xfId="2635" xr:uid="{00000000-0005-0000-0000-0000E01C0000}"/>
    <cellStyle name="Normal 8 2 3 8 2" xfId="6919" xr:uid="{00000000-0005-0000-0000-0000E11C0000}"/>
    <cellStyle name="Normal 8 2 3 8 2 2" xfId="15361" xr:uid="{0A10A918-8FD6-4C37-8758-985C0B512D98}"/>
    <cellStyle name="Normal 8 2 3 8 3" xfId="11143" xr:uid="{F0AA74B0-C3E5-4BD1-9908-B9C2C0F0D2C6}"/>
    <cellStyle name="Normal 8 2 3 9" xfId="4854" xr:uid="{00000000-0005-0000-0000-0000E21C0000}"/>
    <cellStyle name="Normal 8 2 3 9 2" xfId="13296" xr:uid="{CB34AF24-913E-4BED-856B-0A37C33573EF}"/>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15859" xr:uid="{E45F23F6-307C-49A5-AA3A-ADC92C2ABCB9}"/>
    <cellStyle name="Normal 8 2 4 2 2 2 3" xfId="11641" xr:uid="{27D6A579-9585-4D60-B864-14FC17D0F31A}"/>
    <cellStyle name="Normal 8 2 4 2 2 3" xfId="5272" xr:uid="{00000000-0005-0000-0000-0000E81C0000}"/>
    <cellStyle name="Normal 8 2 4 2 2 3 2" xfId="13714" xr:uid="{D8784742-A2A8-4F3F-B6AE-B32CE35888F6}"/>
    <cellStyle name="Normal 8 2 4 2 2 4" xfId="9496" xr:uid="{CE1AC1A6-058A-4163-A502-6599CECF0D6B}"/>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16272" xr:uid="{15AE1571-52CA-48D4-985C-0EA33C6EA3DF}"/>
    <cellStyle name="Normal 8 2 4 2 3 2 3" xfId="12054" xr:uid="{EAB09D20-D072-406A-8D01-9496783B2F68}"/>
    <cellStyle name="Normal 8 2 4 2 3 3" xfId="5685" xr:uid="{00000000-0005-0000-0000-0000EC1C0000}"/>
    <cellStyle name="Normal 8 2 4 2 3 3 2" xfId="14127" xr:uid="{6F06D87A-1003-45C2-97B6-54456CD84379}"/>
    <cellStyle name="Normal 8 2 4 2 3 4" xfId="9909" xr:uid="{FEC60700-4716-4E7C-9835-C8079709D33C}"/>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16685" xr:uid="{00EBF40C-1003-4F9C-9D69-0A5315EAA2D8}"/>
    <cellStyle name="Normal 8 2 4 2 4 2 3" xfId="12467" xr:uid="{E5F5E499-931F-48F2-ABA6-0DFFA73F138A}"/>
    <cellStyle name="Normal 8 2 4 2 4 3" xfId="6098" xr:uid="{00000000-0005-0000-0000-0000F01C0000}"/>
    <cellStyle name="Normal 8 2 4 2 4 3 2" xfId="14540" xr:uid="{5EA0849D-5342-4295-94B4-792516679C12}"/>
    <cellStyle name="Normal 8 2 4 2 4 4" xfId="10322" xr:uid="{A2D18397-87CA-434C-9786-F53CADE5613F}"/>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17098" xr:uid="{563E99DD-742B-48ED-B9F2-99ED8E4C470D}"/>
    <cellStyle name="Normal 8 2 4 2 5 2 3" xfId="12880" xr:uid="{ABA26148-6147-4DF9-8659-B11E9EBBF0CC}"/>
    <cellStyle name="Normal 8 2 4 2 5 3" xfId="6511" xr:uid="{00000000-0005-0000-0000-0000F41C0000}"/>
    <cellStyle name="Normal 8 2 4 2 5 3 2" xfId="14953" xr:uid="{17BEC014-3CF3-4F76-BF05-234613B110FA}"/>
    <cellStyle name="Normal 8 2 4 2 5 4" xfId="10735" xr:uid="{D509E367-2F10-4EEF-BA2A-5CC86307DA07}"/>
    <cellStyle name="Normal 8 2 4 2 6" xfId="2640" xr:uid="{00000000-0005-0000-0000-0000F51C0000}"/>
    <cellStyle name="Normal 8 2 4 2 6 2" xfId="6924" xr:uid="{00000000-0005-0000-0000-0000F61C0000}"/>
    <cellStyle name="Normal 8 2 4 2 6 2 2" xfId="15366" xr:uid="{F244EE05-F9DE-4544-B3E5-18FBD4C497E5}"/>
    <cellStyle name="Normal 8 2 4 2 6 3" xfId="11148" xr:uid="{44430AE1-AE1C-4F14-BFFA-1CB2DFC10620}"/>
    <cellStyle name="Normal 8 2 4 2 7" xfId="4859" xr:uid="{00000000-0005-0000-0000-0000F71C0000}"/>
    <cellStyle name="Normal 8 2 4 2 7 2" xfId="13301" xr:uid="{2D2E59BE-E807-4A0E-8BE4-40BD662F26D4}"/>
    <cellStyle name="Normal 8 2 4 2 8" xfId="9083" xr:uid="{26288E60-6F44-4BE2-B43C-6D7C7693A755}"/>
    <cellStyle name="Normal 8 2 4 3" xfId="959" xr:uid="{00000000-0005-0000-0000-0000F81C0000}"/>
    <cellStyle name="Normal 8 2 4 3 2" xfId="3193" xr:uid="{00000000-0005-0000-0000-0000F91C0000}"/>
    <cellStyle name="Normal 8 2 4 3 2 2" xfId="7416" xr:uid="{00000000-0005-0000-0000-0000FA1C0000}"/>
    <cellStyle name="Normal 8 2 4 3 2 2 2" xfId="15858" xr:uid="{8C844696-42C5-4B23-95C6-67A9C148CEDC}"/>
    <cellStyle name="Normal 8 2 4 3 2 3" xfId="11640" xr:uid="{C74B019A-6085-4A9E-9795-0010D3A31BF4}"/>
    <cellStyle name="Normal 8 2 4 3 3" xfId="5271" xr:uid="{00000000-0005-0000-0000-0000FB1C0000}"/>
    <cellStyle name="Normal 8 2 4 3 3 2" xfId="13713" xr:uid="{512AD1F3-7662-47D6-8992-967D27EF5F50}"/>
    <cellStyle name="Normal 8 2 4 3 4" xfId="9495" xr:uid="{8A81ED5E-220F-40C9-97F8-5429BF644F01}"/>
    <cellStyle name="Normal 8 2 4 4" xfId="1376" xr:uid="{00000000-0005-0000-0000-0000FC1C0000}"/>
    <cellStyle name="Normal 8 2 4 4 2" xfId="3606" xr:uid="{00000000-0005-0000-0000-0000FD1C0000}"/>
    <cellStyle name="Normal 8 2 4 4 2 2" xfId="7829" xr:uid="{00000000-0005-0000-0000-0000FE1C0000}"/>
    <cellStyle name="Normal 8 2 4 4 2 2 2" xfId="16271" xr:uid="{AF63FEFC-A9B2-4907-B0C6-B1D1F1A97693}"/>
    <cellStyle name="Normal 8 2 4 4 2 3" xfId="12053" xr:uid="{629C078F-22C8-4722-B86A-CDBFAD014E49}"/>
    <cellStyle name="Normal 8 2 4 4 3" xfId="5684" xr:uid="{00000000-0005-0000-0000-0000FF1C0000}"/>
    <cellStyle name="Normal 8 2 4 4 3 2" xfId="14126" xr:uid="{C67FAF54-B1D9-4AD1-A4A2-100A1915C73C}"/>
    <cellStyle name="Normal 8 2 4 4 4" xfId="9908" xr:uid="{D985C628-D53D-4209-B5C8-60FB98AAFC37}"/>
    <cellStyle name="Normal 8 2 4 5" xfId="1789" xr:uid="{00000000-0005-0000-0000-0000001D0000}"/>
    <cellStyle name="Normal 8 2 4 5 2" xfId="4019" xr:uid="{00000000-0005-0000-0000-0000011D0000}"/>
    <cellStyle name="Normal 8 2 4 5 2 2" xfId="8242" xr:uid="{00000000-0005-0000-0000-0000021D0000}"/>
    <cellStyle name="Normal 8 2 4 5 2 2 2" xfId="16684" xr:uid="{A4D301C3-EF74-4998-8390-B1AE8B15D9A6}"/>
    <cellStyle name="Normal 8 2 4 5 2 3" xfId="12466" xr:uid="{52A1FC58-830F-41F4-B15C-0CD64B519304}"/>
    <cellStyle name="Normal 8 2 4 5 3" xfId="6097" xr:uid="{00000000-0005-0000-0000-0000031D0000}"/>
    <cellStyle name="Normal 8 2 4 5 3 2" xfId="14539" xr:uid="{AAEE7242-9791-4E0C-A978-17C95180EA0C}"/>
    <cellStyle name="Normal 8 2 4 5 4" xfId="10321" xr:uid="{D324F907-F5D9-430B-A904-3B9E4AD8C51F}"/>
    <cellStyle name="Normal 8 2 4 6" xfId="2203" xr:uid="{00000000-0005-0000-0000-0000041D0000}"/>
    <cellStyle name="Normal 8 2 4 6 2" xfId="4432" xr:uid="{00000000-0005-0000-0000-0000051D0000}"/>
    <cellStyle name="Normal 8 2 4 6 2 2" xfId="8655" xr:uid="{00000000-0005-0000-0000-0000061D0000}"/>
    <cellStyle name="Normal 8 2 4 6 2 2 2" xfId="17097" xr:uid="{938D12B4-5D66-45F7-85FA-026DABCC040C}"/>
    <cellStyle name="Normal 8 2 4 6 2 3" xfId="12879" xr:uid="{77F4BB1A-2776-41A5-927E-906831B73F45}"/>
    <cellStyle name="Normal 8 2 4 6 3" xfId="6510" xr:uid="{00000000-0005-0000-0000-0000071D0000}"/>
    <cellStyle name="Normal 8 2 4 6 3 2" xfId="14952" xr:uid="{3369B7FE-892A-4DF0-89EA-9F250E790036}"/>
    <cellStyle name="Normal 8 2 4 6 4" xfId="10734" xr:uid="{080CA2AA-4B3C-45FF-AC0A-6706BC849250}"/>
    <cellStyle name="Normal 8 2 4 7" xfId="2639" xr:uid="{00000000-0005-0000-0000-0000081D0000}"/>
    <cellStyle name="Normal 8 2 4 7 2" xfId="6923" xr:uid="{00000000-0005-0000-0000-0000091D0000}"/>
    <cellStyle name="Normal 8 2 4 7 2 2" xfId="15365" xr:uid="{71C93960-C4DB-4E18-BB61-A6D43C46B3D6}"/>
    <cellStyle name="Normal 8 2 4 7 3" xfId="11147" xr:uid="{4CA60E15-579D-4932-939B-C32539FA9CEF}"/>
    <cellStyle name="Normal 8 2 4 8" xfId="4858" xr:uid="{00000000-0005-0000-0000-00000A1D0000}"/>
    <cellStyle name="Normal 8 2 4 8 2" xfId="13300" xr:uid="{15FB5CA9-FF1D-4EB2-8F25-2161928A3D7F}"/>
    <cellStyle name="Normal 8 2 4 9" xfId="9082" xr:uid="{139BCD9A-0DE8-4A40-ABC0-8A5F100C8378}"/>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2 2 2" xfId="15860" xr:uid="{8CBBA85F-43C2-4D90-9A2F-3696E8EB066F}"/>
    <cellStyle name="Normal 8 2 5 2 2 3" xfId="11642" xr:uid="{C218720F-ACB3-445A-B4F9-8FC9C8BD0DA5}"/>
    <cellStyle name="Normal 8 2 5 2 3" xfId="5273" xr:uid="{00000000-0005-0000-0000-00000F1D0000}"/>
    <cellStyle name="Normal 8 2 5 2 3 2" xfId="13715" xr:uid="{38C4D3B1-10D4-4746-B8AC-F60765445628}"/>
    <cellStyle name="Normal 8 2 5 2 4" xfId="9497" xr:uid="{7559E87D-D98F-4713-AFDD-4B1B8838A94D}"/>
    <cellStyle name="Normal 8 2 5 3" xfId="1378" xr:uid="{00000000-0005-0000-0000-0000101D0000}"/>
    <cellStyle name="Normal 8 2 5 3 2" xfId="3608" xr:uid="{00000000-0005-0000-0000-0000111D0000}"/>
    <cellStyle name="Normal 8 2 5 3 2 2" xfId="7831" xr:uid="{00000000-0005-0000-0000-0000121D0000}"/>
    <cellStyle name="Normal 8 2 5 3 2 2 2" xfId="16273" xr:uid="{7ACD3B76-60C9-4AFD-AFEA-C00079228635}"/>
    <cellStyle name="Normal 8 2 5 3 2 3" xfId="12055" xr:uid="{E1722694-C582-4E81-A3A3-9E064C2D050B}"/>
    <cellStyle name="Normal 8 2 5 3 3" xfId="5686" xr:uid="{00000000-0005-0000-0000-0000131D0000}"/>
    <cellStyle name="Normal 8 2 5 3 3 2" xfId="14128" xr:uid="{FEE04152-1521-4E9E-8432-08AA510494AD}"/>
    <cellStyle name="Normal 8 2 5 3 4" xfId="9910" xr:uid="{D86A9744-265B-467A-8F02-C8F3ED647596}"/>
    <cellStyle name="Normal 8 2 5 4" xfId="1791" xr:uid="{00000000-0005-0000-0000-0000141D0000}"/>
    <cellStyle name="Normal 8 2 5 4 2" xfId="4021" xr:uid="{00000000-0005-0000-0000-0000151D0000}"/>
    <cellStyle name="Normal 8 2 5 4 2 2" xfId="8244" xr:uid="{00000000-0005-0000-0000-0000161D0000}"/>
    <cellStyle name="Normal 8 2 5 4 2 2 2" xfId="16686" xr:uid="{89A007D4-52E4-43CB-B292-5F1B426B7DD3}"/>
    <cellStyle name="Normal 8 2 5 4 2 3" xfId="12468" xr:uid="{82654522-4FCD-4062-9A5A-83274E904307}"/>
    <cellStyle name="Normal 8 2 5 4 3" xfId="6099" xr:uid="{00000000-0005-0000-0000-0000171D0000}"/>
    <cellStyle name="Normal 8 2 5 4 3 2" xfId="14541" xr:uid="{05121A4A-2FB3-4095-8522-DFF746C28E2E}"/>
    <cellStyle name="Normal 8 2 5 4 4" xfId="10323" xr:uid="{586FAAD5-82BA-4A76-95AD-78A193A9CF24}"/>
    <cellStyle name="Normal 8 2 5 5" xfId="2205" xr:uid="{00000000-0005-0000-0000-0000181D0000}"/>
    <cellStyle name="Normal 8 2 5 5 2" xfId="4434" xr:uid="{00000000-0005-0000-0000-0000191D0000}"/>
    <cellStyle name="Normal 8 2 5 5 2 2" xfId="8657" xr:uid="{00000000-0005-0000-0000-00001A1D0000}"/>
    <cellStyle name="Normal 8 2 5 5 2 2 2" xfId="17099" xr:uid="{5545A564-16F7-4EBC-9C73-FFEC2E100610}"/>
    <cellStyle name="Normal 8 2 5 5 2 3" xfId="12881" xr:uid="{597EC46B-56F7-4290-AA0A-CE74AB81FABD}"/>
    <cellStyle name="Normal 8 2 5 5 3" xfId="6512" xr:uid="{00000000-0005-0000-0000-00001B1D0000}"/>
    <cellStyle name="Normal 8 2 5 5 3 2" xfId="14954" xr:uid="{02458D37-D9F4-47F5-BC78-8E4CADC1B5B7}"/>
    <cellStyle name="Normal 8 2 5 5 4" xfId="10736" xr:uid="{61B615A8-2703-41A4-8DE0-9380E6F984AB}"/>
    <cellStyle name="Normal 8 2 5 6" xfId="2641" xr:uid="{00000000-0005-0000-0000-00001C1D0000}"/>
    <cellStyle name="Normal 8 2 5 6 2" xfId="6925" xr:uid="{00000000-0005-0000-0000-00001D1D0000}"/>
    <cellStyle name="Normal 8 2 5 6 2 2" xfId="15367" xr:uid="{E0E60125-804A-4BF4-977F-05D885506E4A}"/>
    <cellStyle name="Normal 8 2 5 6 3" xfId="11149" xr:uid="{F20B5D48-CC30-4E79-8C61-04A491052C0A}"/>
    <cellStyle name="Normal 8 2 5 7" xfId="4860" xr:uid="{00000000-0005-0000-0000-00001E1D0000}"/>
    <cellStyle name="Normal 8 2 5 7 2" xfId="13302" xr:uid="{07B4132B-C3B3-43BE-8AAA-3FE600E6776F}"/>
    <cellStyle name="Normal 8 2 5 8" xfId="9084" xr:uid="{95D7B892-7D41-47C3-A0D1-11DD12052D72}"/>
    <cellStyle name="Normal 8 2 6" xfId="946" xr:uid="{00000000-0005-0000-0000-00001F1D0000}"/>
    <cellStyle name="Normal 8 2 6 2" xfId="3180" xr:uid="{00000000-0005-0000-0000-0000201D0000}"/>
    <cellStyle name="Normal 8 2 6 2 2" xfId="7403" xr:uid="{00000000-0005-0000-0000-0000211D0000}"/>
    <cellStyle name="Normal 8 2 6 2 2 2" xfId="15845" xr:uid="{82B6313E-96E7-4624-B744-E10F11A20E1B}"/>
    <cellStyle name="Normal 8 2 6 2 3" xfId="11627" xr:uid="{C1B2A0EE-716C-44A0-A06C-301DF4D9BD46}"/>
    <cellStyle name="Normal 8 2 6 3" xfId="5258" xr:uid="{00000000-0005-0000-0000-0000221D0000}"/>
    <cellStyle name="Normal 8 2 6 3 2" xfId="13700" xr:uid="{4075B733-FC66-4EF1-8FC1-4C1ED887697E}"/>
    <cellStyle name="Normal 8 2 6 4" xfId="9482" xr:uid="{E68866B8-83B5-47BE-AA29-7B64B5269E99}"/>
    <cellStyle name="Normal 8 2 7" xfId="1363" xr:uid="{00000000-0005-0000-0000-0000231D0000}"/>
    <cellStyle name="Normal 8 2 7 2" xfId="3593" xr:uid="{00000000-0005-0000-0000-0000241D0000}"/>
    <cellStyle name="Normal 8 2 7 2 2" xfId="7816" xr:uid="{00000000-0005-0000-0000-0000251D0000}"/>
    <cellStyle name="Normal 8 2 7 2 2 2" xfId="16258" xr:uid="{08ACC7DC-A537-49CA-A5AD-4F0804F3E60B}"/>
    <cellStyle name="Normal 8 2 7 2 3" xfId="12040" xr:uid="{B7B0F57D-5755-4A9B-BFBB-17C123A2B1A9}"/>
    <cellStyle name="Normal 8 2 7 3" xfId="5671" xr:uid="{00000000-0005-0000-0000-0000261D0000}"/>
    <cellStyle name="Normal 8 2 7 3 2" xfId="14113" xr:uid="{1E5F2283-1899-4635-A2B5-82442BABD9A0}"/>
    <cellStyle name="Normal 8 2 7 4" xfId="9895" xr:uid="{06A7DE7F-7393-41FD-BDB3-BB17E980A5DA}"/>
    <cellStyle name="Normal 8 2 8" xfId="1776" xr:uid="{00000000-0005-0000-0000-0000271D0000}"/>
    <cellStyle name="Normal 8 2 8 2" xfId="4006" xr:uid="{00000000-0005-0000-0000-0000281D0000}"/>
    <cellStyle name="Normal 8 2 8 2 2" xfId="8229" xr:uid="{00000000-0005-0000-0000-0000291D0000}"/>
    <cellStyle name="Normal 8 2 8 2 2 2" xfId="16671" xr:uid="{26F390B0-D7F0-4561-8D15-4979FAE009A6}"/>
    <cellStyle name="Normal 8 2 8 2 3" xfId="12453" xr:uid="{369C2FD5-6C78-4F6E-AC5B-960F3DC8E17C}"/>
    <cellStyle name="Normal 8 2 8 3" xfId="6084" xr:uid="{00000000-0005-0000-0000-00002A1D0000}"/>
    <cellStyle name="Normal 8 2 8 3 2" xfId="14526" xr:uid="{9684BE84-541C-44FE-827B-11DEA9BB4987}"/>
    <cellStyle name="Normal 8 2 8 4" xfId="10308" xr:uid="{5324EFE5-0DAD-4616-97E3-38256422F56A}"/>
    <cellStyle name="Normal 8 2 9" xfId="2190" xr:uid="{00000000-0005-0000-0000-00002B1D0000}"/>
    <cellStyle name="Normal 8 2 9 2" xfId="4419" xr:uid="{00000000-0005-0000-0000-00002C1D0000}"/>
    <cellStyle name="Normal 8 2 9 2 2" xfId="8642" xr:uid="{00000000-0005-0000-0000-00002D1D0000}"/>
    <cellStyle name="Normal 8 2 9 2 2 2" xfId="17084" xr:uid="{3759C8D2-8C21-461B-8EB4-8FC329DB6885}"/>
    <cellStyle name="Normal 8 2 9 2 3" xfId="12866" xr:uid="{0E6F281B-5867-45F1-AE44-44E04D5C8A6E}"/>
    <cellStyle name="Normal 8 2 9 3" xfId="6497" xr:uid="{00000000-0005-0000-0000-00002E1D0000}"/>
    <cellStyle name="Normal 8 2 9 3 2" xfId="14939" xr:uid="{24E58AAC-7EFD-4196-8D66-DC1A38305159}"/>
    <cellStyle name="Normal 8 2 9 4" xfId="10721" xr:uid="{0583F3C2-0A33-4D4B-8AE8-EC5463028EBE}"/>
    <cellStyle name="Normal 8 3" xfId="495" xr:uid="{00000000-0005-0000-0000-00002F1D0000}"/>
    <cellStyle name="Normal 8 3 10" xfId="4861" xr:uid="{00000000-0005-0000-0000-0000301D0000}"/>
    <cellStyle name="Normal 8 3 10 2" xfId="13303" xr:uid="{370852C5-403C-4EFB-B706-E569A7050D97}"/>
    <cellStyle name="Normal 8 3 11" xfId="9085" xr:uid="{306F99E8-C180-47BC-91A5-D21D272AF5FF}"/>
    <cellStyle name="Normal 8 3 2" xfId="496" xr:uid="{00000000-0005-0000-0000-0000311D0000}"/>
    <cellStyle name="Normal 8 3 2 10" xfId="9086" xr:uid="{356ACB7C-870E-4C76-92FC-65358D4B4932}"/>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15864" xr:uid="{C46C2088-B3A3-4F3A-A7B2-B4F29A336BF5}"/>
    <cellStyle name="Normal 8 3 2 2 2 2 2 3" xfId="11646" xr:uid="{6F7287AF-1A31-47DC-9D44-4A027CD7A547}"/>
    <cellStyle name="Normal 8 3 2 2 2 2 3" xfId="5277" xr:uid="{00000000-0005-0000-0000-0000371D0000}"/>
    <cellStyle name="Normal 8 3 2 2 2 2 3 2" xfId="13719" xr:uid="{1B8F8790-6E58-4D49-9B28-BB31347CEBB0}"/>
    <cellStyle name="Normal 8 3 2 2 2 2 4" xfId="9501" xr:uid="{5B5D87A2-0C26-4DE4-A7B5-05FEA24F8882}"/>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16277" xr:uid="{C66C0E56-2444-4748-8204-055A691102E2}"/>
    <cellStyle name="Normal 8 3 2 2 2 3 2 3" xfId="12059" xr:uid="{611243A6-7B1C-42AE-AD75-D1BC7F1B59F7}"/>
    <cellStyle name="Normal 8 3 2 2 2 3 3" xfId="5690" xr:uid="{00000000-0005-0000-0000-00003B1D0000}"/>
    <cellStyle name="Normal 8 3 2 2 2 3 3 2" xfId="14132" xr:uid="{BD0388CA-34AB-46E3-B956-0FA0A418DAB9}"/>
    <cellStyle name="Normal 8 3 2 2 2 3 4" xfId="9914" xr:uid="{DBC8DE23-AF17-4A3A-83BB-FD3ADF8F5528}"/>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16690" xr:uid="{6B97C271-A60D-455F-89A9-CA37ED5C5EC4}"/>
    <cellStyle name="Normal 8 3 2 2 2 4 2 3" xfId="12472" xr:uid="{0ACDB56D-6B04-4D4F-BA38-F4731A71E5FA}"/>
    <cellStyle name="Normal 8 3 2 2 2 4 3" xfId="6103" xr:uid="{00000000-0005-0000-0000-00003F1D0000}"/>
    <cellStyle name="Normal 8 3 2 2 2 4 3 2" xfId="14545" xr:uid="{2A929187-78F2-4D5B-874D-EB3087303692}"/>
    <cellStyle name="Normal 8 3 2 2 2 4 4" xfId="10327" xr:uid="{53412288-96A4-40FE-884B-AC1398F47391}"/>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17103" xr:uid="{F52789C5-36EC-47D5-B077-AA619D528EE4}"/>
    <cellStyle name="Normal 8 3 2 2 2 5 2 3" xfId="12885" xr:uid="{B3D6ACE9-516B-4D63-BDD1-0D48DB09CB7B}"/>
    <cellStyle name="Normal 8 3 2 2 2 5 3" xfId="6516" xr:uid="{00000000-0005-0000-0000-0000431D0000}"/>
    <cellStyle name="Normal 8 3 2 2 2 5 3 2" xfId="14958" xr:uid="{DF3F934B-CB9B-4E12-8FB6-95FBDBD3E66E}"/>
    <cellStyle name="Normal 8 3 2 2 2 5 4" xfId="10740" xr:uid="{AA0A0481-9CF8-4DD5-A7B5-CFBF5AF513B7}"/>
    <cellStyle name="Normal 8 3 2 2 2 6" xfId="2645" xr:uid="{00000000-0005-0000-0000-0000441D0000}"/>
    <cellStyle name="Normal 8 3 2 2 2 6 2" xfId="6929" xr:uid="{00000000-0005-0000-0000-0000451D0000}"/>
    <cellStyle name="Normal 8 3 2 2 2 6 2 2" xfId="15371" xr:uid="{2D803333-EA99-497D-9E90-738D2EE31385}"/>
    <cellStyle name="Normal 8 3 2 2 2 6 3" xfId="11153" xr:uid="{69ED8259-FA07-4120-A89D-01FDD3775FF5}"/>
    <cellStyle name="Normal 8 3 2 2 2 7" xfId="4864" xr:uid="{00000000-0005-0000-0000-0000461D0000}"/>
    <cellStyle name="Normal 8 3 2 2 2 7 2" xfId="13306" xr:uid="{8A4EC832-4370-4084-B0E8-72AAE09AE766}"/>
    <cellStyle name="Normal 8 3 2 2 2 8" xfId="9088" xr:uid="{0E593D2F-51DA-4209-A903-17CA9F9C71A1}"/>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15863" xr:uid="{82475F6E-5201-41DE-B3B0-DF3975C411B1}"/>
    <cellStyle name="Normal 8 3 2 2 3 2 3" xfId="11645" xr:uid="{FD5D51F4-0065-40FE-82E1-AE839DF605BF}"/>
    <cellStyle name="Normal 8 3 2 2 3 3" xfId="5276" xr:uid="{00000000-0005-0000-0000-00004A1D0000}"/>
    <cellStyle name="Normal 8 3 2 2 3 3 2" xfId="13718" xr:uid="{B3FEA3AD-2FEC-4C9B-BED8-129EBE5BDF02}"/>
    <cellStyle name="Normal 8 3 2 2 3 4" xfId="9500" xr:uid="{C3253C56-1B5A-4027-B8DE-56E1CE8A7F8E}"/>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16276" xr:uid="{62317C2A-9ADD-4A70-B357-E09CFA615C8B}"/>
    <cellStyle name="Normal 8 3 2 2 4 2 3" xfId="12058" xr:uid="{98A265CF-A69D-46BE-8ECE-C7F6514E5D28}"/>
    <cellStyle name="Normal 8 3 2 2 4 3" xfId="5689" xr:uid="{00000000-0005-0000-0000-00004E1D0000}"/>
    <cellStyle name="Normal 8 3 2 2 4 3 2" xfId="14131" xr:uid="{E113EDB7-C0BE-4A3E-9BDF-DF1144503A58}"/>
    <cellStyle name="Normal 8 3 2 2 4 4" xfId="9913" xr:uid="{9BA0865F-B0C1-4974-9F1A-E8D122C9858A}"/>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16689" xr:uid="{830E315B-A6A7-4EDE-8368-B5476E22CCF2}"/>
    <cellStyle name="Normal 8 3 2 2 5 2 3" xfId="12471" xr:uid="{34F55D00-5EA6-4229-8C35-ED80A442B25B}"/>
    <cellStyle name="Normal 8 3 2 2 5 3" xfId="6102" xr:uid="{00000000-0005-0000-0000-0000521D0000}"/>
    <cellStyle name="Normal 8 3 2 2 5 3 2" xfId="14544" xr:uid="{C52AC735-3E15-4936-83BB-610BC08E5AB4}"/>
    <cellStyle name="Normal 8 3 2 2 5 4" xfId="10326" xr:uid="{012A3357-5AEE-450E-AE95-3B989876C2B9}"/>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17102" xr:uid="{477EBDFD-C297-4E2A-964F-853B647DFFDE}"/>
    <cellStyle name="Normal 8 3 2 2 6 2 3" xfId="12884" xr:uid="{E2A08CF2-E657-4716-BEB2-4C5FCAD519CB}"/>
    <cellStyle name="Normal 8 3 2 2 6 3" xfId="6515" xr:uid="{00000000-0005-0000-0000-0000561D0000}"/>
    <cellStyle name="Normal 8 3 2 2 6 3 2" xfId="14957" xr:uid="{184F445B-2636-46E7-B669-5D15FEA5A5A7}"/>
    <cellStyle name="Normal 8 3 2 2 6 4" xfId="10739" xr:uid="{81677890-8F8D-464A-8B41-0532B9A6FE97}"/>
    <cellStyle name="Normal 8 3 2 2 7" xfId="2644" xr:uid="{00000000-0005-0000-0000-0000571D0000}"/>
    <cellStyle name="Normal 8 3 2 2 7 2" xfId="6928" xr:uid="{00000000-0005-0000-0000-0000581D0000}"/>
    <cellStyle name="Normal 8 3 2 2 7 2 2" xfId="15370" xr:uid="{6DD13C75-56A5-4E6B-8E76-CA0A9EC46E60}"/>
    <cellStyle name="Normal 8 3 2 2 7 3" xfId="11152" xr:uid="{E12EBF98-6779-4E6E-89F3-88676727B00F}"/>
    <cellStyle name="Normal 8 3 2 2 8" xfId="4863" xr:uid="{00000000-0005-0000-0000-0000591D0000}"/>
    <cellStyle name="Normal 8 3 2 2 8 2" xfId="13305" xr:uid="{EA1649F5-690B-4436-AA8C-F1E11313931A}"/>
    <cellStyle name="Normal 8 3 2 2 9" xfId="9087" xr:uid="{994D70C6-4B11-4E45-A33C-1B163679D946}"/>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15865" xr:uid="{B64EEFB4-2511-4A62-8E6A-E8EA8EB4EFD8}"/>
    <cellStyle name="Normal 8 3 2 3 2 2 3" xfId="11647" xr:uid="{D80A3580-8E91-4F0F-9816-50FDDABFE747}"/>
    <cellStyle name="Normal 8 3 2 3 2 3" xfId="5278" xr:uid="{00000000-0005-0000-0000-00005E1D0000}"/>
    <cellStyle name="Normal 8 3 2 3 2 3 2" xfId="13720" xr:uid="{49ADB9EE-0335-4997-B32F-17B8DE59B1DE}"/>
    <cellStyle name="Normal 8 3 2 3 2 4" xfId="9502" xr:uid="{85488A46-78FE-46F3-9927-CC259D52306A}"/>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16278" xr:uid="{64F70E25-2FC0-4911-ACB5-2C550C72431C}"/>
    <cellStyle name="Normal 8 3 2 3 3 2 3" xfId="12060" xr:uid="{9E01D585-9979-4942-BBD4-B0578AACE80D}"/>
    <cellStyle name="Normal 8 3 2 3 3 3" xfId="5691" xr:uid="{00000000-0005-0000-0000-0000621D0000}"/>
    <cellStyle name="Normal 8 3 2 3 3 3 2" xfId="14133" xr:uid="{43EEEF0F-393F-4308-B93C-09EF207734ED}"/>
    <cellStyle name="Normal 8 3 2 3 3 4" xfId="9915" xr:uid="{A65FD7A5-E1D0-40BD-A0B0-BA748B9F6E8F}"/>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16691" xr:uid="{5C16F48D-3604-4FCD-A1E7-2B42B551C85F}"/>
    <cellStyle name="Normal 8 3 2 3 4 2 3" xfId="12473" xr:uid="{BCB3D51C-7D2B-4FCB-B511-83D38D8B121A}"/>
    <cellStyle name="Normal 8 3 2 3 4 3" xfId="6104" xr:uid="{00000000-0005-0000-0000-0000661D0000}"/>
    <cellStyle name="Normal 8 3 2 3 4 3 2" xfId="14546" xr:uid="{E151E32A-10B3-4F54-A675-3CECB4DA7ABA}"/>
    <cellStyle name="Normal 8 3 2 3 4 4" xfId="10328" xr:uid="{866F4B8A-925D-4083-9C34-B15858A9BC23}"/>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17104" xr:uid="{37575742-2854-41FA-BB45-B2ACE44CE32D}"/>
    <cellStyle name="Normal 8 3 2 3 5 2 3" xfId="12886" xr:uid="{F27B1242-9FA1-401A-B682-9A25715504A2}"/>
    <cellStyle name="Normal 8 3 2 3 5 3" xfId="6517" xr:uid="{00000000-0005-0000-0000-00006A1D0000}"/>
    <cellStyle name="Normal 8 3 2 3 5 3 2" xfId="14959" xr:uid="{0B3AED62-25F0-4551-9FEC-36946DCC1798}"/>
    <cellStyle name="Normal 8 3 2 3 5 4" xfId="10741" xr:uid="{AE7ED646-5339-4B3C-B817-8B1BAD064826}"/>
    <cellStyle name="Normal 8 3 2 3 6" xfId="2646" xr:uid="{00000000-0005-0000-0000-00006B1D0000}"/>
    <cellStyle name="Normal 8 3 2 3 6 2" xfId="6930" xr:uid="{00000000-0005-0000-0000-00006C1D0000}"/>
    <cellStyle name="Normal 8 3 2 3 6 2 2" xfId="15372" xr:uid="{7002F8C2-68E1-479B-865A-B5D6DF8C3012}"/>
    <cellStyle name="Normal 8 3 2 3 6 3" xfId="11154" xr:uid="{3B477872-7841-4109-978B-C6BC3B1C6293}"/>
    <cellStyle name="Normal 8 3 2 3 7" xfId="4865" xr:uid="{00000000-0005-0000-0000-00006D1D0000}"/>
    <cellStyle name="Normal 8 3 2 3 7 2" xfId="13307" xr:uid="{D76337B9-1A2D-43B2-B599-C3B2F4D4B94F}"/>
    <cellStyle name="Normal 8 3 2 3 8" xfId="9089" xr:uid="{806AA794-94F3-408F-BCE0-5D68625F4A8D}"/>
    <cellStyle name="Normal 8 3 2 4" xfId="963" xr:uid="{00000000-0005-0000-0000-00006E1D0000}"/>
    <cellStyle name="Normal 8 3 2 4 2" xfId="3197" xr:uid="{00000000-0005-0000-0000-00006F1D0000}"/>
    <cellStyle name="Normal 8 3 2 4 2 2" xfId="7420" xr:uid="{00000000-0005-0000-0000-0000701D0000}"/>
    <cellStyle name="Normal 8 3 2 4 2 2 2" xfId="15862" xr:uid="{BABA5F4E-AB46-431B-A4AE-94D901F566F8}"/>
    <cellStyle name="Normal 8 3 2 4 2 3" xfId="11644" xr:uid="{B5F6EB4E-0B8C-4191-A5F2-51795D9BE8D8}"/>
    <cellStyle name="Normal 8 3 2 4 3" xfId="5275" xr:uid="{00000000-0005-0000-0000-0000711D0000}"/>
    <cellStyle name="Normal 8 3 2 4 3 2" xfId="13717" xr:uid="{6967767A-BA40-4496-B627-2BC1C8609BFB}"/>
    <cellStyle name="Normal 8 3 2 4 4" xfId="9499" xr:uid="{04806268-A28E-4F2B-A95C-253077075A75}"/>
    <cellStyle name="Normal 8 3 2 5" xfId="1380" xr:uid="{00000000-0005-0000-0000-0000721D0000}"/>
    <cellStyle name="Normal 8 3 2 5 2" xfId="3610" xr:uid="{00000000-0005-0000-0000-0000731D0000}"/>
    <cellStyle name="Normal 8 3 2 5 2 2" xfId="7833" xr:uid="{00000000-0005-0000-0000-0000741D0000}"/>
    <cellStyle name="Normal 8 3 2 5 2 2 2" xfId="16275" xr:uid="{770D0514-793B-457D-AB84-E915E718F85A}"/>
    <cellStyle name="Normal 8 3 2 5 2 3" xfId="12057" xr:uid="{E87262C8-4088-443F-9544-E68CA0A0FCD2}"/>
    <cellStyle name="Normal 8 3 2 5 3" xfId="5688" xr:uid="{00000000-0005-0000-0000-0000751D0000}"/>
    <cellStyle name="Normal 8 3 2 5 3 2" xfId="14130" xr:uid="{A67258BA-18D6-4915-8643-1B0E0524A1F3}"/>
    <cellStyle name="Normal 8 3 2 5 4" xfId="9912" xr:uid="{747E2548-42B7-480C-9C2B-85324AC55648}"/>
    <cellStyle name="Normal 8 3 2 6" xfId="1793" xr:uid="{00000000-0005-0000-0000-0000761D0000}"/>
    <cellStyle name="Normal 8 3 2 6 2" xfId="4023" xr:uid="{00000000-0005-0000-0000-0000771D0000}"/>
    <cellStyle name="Normal 8 3 2 6 2 2" xfId="8246" xr:uid="{00000000-0005-0000-0000-0000781D0000}"/>
    <cellStyle name="Normal 8 3 2 6 2 2 2" xfId="16688" xr:uid="{504BDC92-CC58-4569-927A-3D60C42DDEBC}"/>
    <cellStyle name="Normal 8 3 2 6 2 3" xfId="12470" xr:uid="{9A487438-6EE3-40E0-9F6F-6E8B3BA9527C}"/>
    <cellStyle name="Normal 8 3 2 6 3" xfId="6101" xr:uid="{00000000-0005-0000-0000-0000791D0000}"/>
    <cellStyle name="Normal 8 3 2 6 3 2" xfId="14543" xr:uid="{3840FE1C-983F-4D66-8EF1-C78C1C6CF95D}"/>
    <cellStyle name="Normal 8 3 2 6 4" xfId="10325" xr:uid="{E8905829-225D-411C-AE62-A48815D6A566}"/>
    <cellStyle name="Normal 8 3 2 7" xfId="2207" xr:uid="{00000000-0005-0000-0000-00007A1D0000}"/>
    <cellStyle name="Normal 8 3 2 7 2" xfId="4436" xr:uid="{00000000-0005-0000-0000-00007B1D0000}"/>
    <cellStyle name="Normal 8 3 2 7 2 2" xfId="8659" xr:uid="{00000000-0005-0000-0000-00007C1D0000}"/>
    <cellStyle name="Normal 8 3 2 7 2 2 2" xfId="17101" xr:uid="{EEB719B3-15B6-4B64-8298-5C3F59482BB3}"/>
    <cellStyle name="Normal 8 3 2 7 2 3" xfId="12883" xr:uid="{69E4685B-2115-49B0-8691-16A2FDDA4CDA}"/>
    <cellStyle name="Normal 8 3 2 7 3" xfId="6514" xr:uid="{00000000-0005-0000-0000-00007D1D0000}"/>
    <cellStyle name="Normal 8 3 2 7 3 2" xfId="14956" xr:uid="{D4990E09-E75C-4A86-AE81-94F9BBDB5B0D}"/>
    <cellStyle name="Normal 8 3 2 7 4" xfId="10738" xr:uid="{3F387912-90C1-4A94-81BD-40B9E1FEE3EE}"/>
    <cellStyle name="Normal 8 3 2 8" xfId="2643" xr:uid="{00000000-0005-0000-0000-00007E1D0000}"/>
    <cellStyle name="Normal 8 3 2 8 2" xfId="6927" xr:uid="{00000000-0005-0000-0000-00007F1D0000}"/>
    <cellStyle name="Normal 8 3 2 8 2 2" xfId="15369" xr:uid="{148F57C2-595D-42A6-ADC9-5512237F7196}"/>
    <cellStyle name="Normal 8 3 2 8 3" xfId="11151" xr:uid="{C9C60938-D926-4A8C-9BBA-D9B02E2A10C5}"/>
    <cellStyle name="Normal 8 3 2 9" xfId="4862" xr:uid="{00000000-0005-0000-0000-0000801D0000}"/>
    <cellStyle name="Normal 8 3 2 9 2" xfId="13304" xr:uid="{B0F813CA-20D6-4C0D-8D8A-0FFABE8ECF43}"/>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15867" xr:uid="{AF2AD713-F0E2-4123-A25B-A3D0EC32275E}"/>
    <cellStyle name="Normal 8 3 3 2 2 2 3" xfId="11649" xr:uid="{96D79605-69DE-43A7-8981-0ADA12CA2FF4}"/>
    <cellStyle name="Normal 8 3 3 2 2 3" xfId="5280" xr:uid="{00000000-0005-0000-0000-0000861D0000}"/>
    <cellStyle name="Normal 8 3 3 2 2 3 2" xfId="13722" xr:uid="{A7FF5B9E-6DB5-4FF3-980C-056F52F0430E}"/>
    <cellStyle name="Normal 8 3 3 2 2 4" xfId="9504" xr:uid="{1AAE7994-335C-4781-9404-AC7F68667368}"/>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16280" xr:uid="{35C7BE64-FEB0-4039-8D3C-10D7B8A2A316}"/>
    <cellStyle name="Normal 8 3 3 2 3 2 3" xfId="12062" xr:uid="{312D4DD9-F5E9-477B-A0CB-926F9EF22E71}"/>
    <cellStyle name="Normal 8 3 3 2 3 3" xfId="5693" xr:uid="{00000000-0005-0000-0000-00008A1D0000}"/>
    <cellStyle name="Normal 8 3 3 2 3 3 2" xfId="14135" xr:uid="{FA400FAD-CE79-4F88-856D-A3E45A2CE46E}"/>
    <cellStyle name="Normal 8 3 3 2 3 4" xfId="9917" xr:uid="{379DC09C-8489-4ECC-95ED-59B0488FE57A}"/>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16693" xr:uid="{FB2FF677-4A73-4971-A95C-F43970B304BB}"/>
    <cellStyle name="Normal 8 3 3 2 4 2 3" xfId="12475" xr:uid="{DE72D454-FAE4-449C-BAB4-B4B3FBBDBCF1}"/>
    <cellStyle name="Normal 8 3 3 2 4 3" xfId="6106" xr:uid="{00000000-0005-0000-0000-00008E1D0000}"/>
    <cellStyle name="Normal 8 3 3 2 4 3 2" xfId="14548" xr:uid="{FB0D9E6F-051E-4ABA-96BD-B05728ED2099}"/>
    <cellStyle name="Normal 8 3 3 2 4 4" xfId="10330" xr:uid="{B7482D6E-92B3-474F-AD30-28A02B4B59D7}"/>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17106" xr:uid="{666557EB-51F7-4445-8989-233C87B211B0}"/>
    <cellStyle name="Normal 8 3 3 2 5 2 3" xfId="12888" xr:uid="{E7A346EA-5689-409F-B2B3-41061E56580B}"/>
    <cellStyle name="Normal 8 3 3 2 5 3" xfId="6519" xr:uid="{00000000-0005-0000-0000-0000921D0000}"/>
    <cellStyle name="Normal 8 3 3 2 5 3 2" xfId="14961" xr:uid="{7D438C1A-54E2-45B1-8420-1720431A6146}"/>
    <cellStyle name="Normal 8 3 3 2 5 4" xfId="10743" xr:uid="{E732BC34-C759-464E-976C-E99C4690D08A}"/>
    <cellStyle name="Normal 8 3 3 2 6" xfId="2648" xr:uid="{00000000-0005-0000-0000-0000931D0000}"/>
    <cellStyle name="Normal 8 3 3 2 6 2" xfId="6932" xr:uid="{00000000-0005-0000-0000-0000941D0000}"/>
    <cellStyle name="Normal 8 3 3 2 6 2 2" xfId="15374" xr:uid="{84501070-5439-4A14-BD34-B748E6DB47A1}"/>
    <cellStyle name="Normal 8 3 3 2 6 3" xfId="11156" xr:uid="{012A89E3-6C7A-4108-A8F0-3D0977FED6F5}"/>
    <cellStyle name="Normal 8 3 3 2 7" xfId="4867" xr:uid="{00000000-0005-0000-0000-0000951D0000}"/>
    <cellStyle name="Normal 8 3 3 2 7 2" xfId="13309" xr:uid="{EB7B32C5-BC0A-44B0-9D7E-E91FCEC6F81F}"/>
    <cellStyle name="Normal 8 3 3 2 8" xfId="9091" xr:uid="{636F1BDE-D69B-40F1-84FF-8267BC95F3D5}"/>
    <cellStyle name="Normal 8 3 3 3" xfId="967" xr:uid="{00000000-0005-0000-0000-0000961D0000}"/>
    <cellStyle name="Normal 8 3 3 3 2" xfId="3201" xr:uid="{00000000-0005-0000-0000-0000971D0000}"/>
    <cellStyle name="Normal 8 3 3 3 2 2" xfId="7424" xr:uid="{00000000-0005-0000-0000-0000981D0000}"/>
    <cellStyle name="Normal 8 3 3 3 2 2 2" xfId="15866" xr:uid="{F24F87E8-EA23-4D17-9F5B-9E5C407EB243}"/>
    <cellStyle name="Normal 8 3 3 3 2 3" xfId="11648" xr:uid="{4B5A75F2-B1BA-4FCC-9B66-A41B3B56CF08}"/>
    <cellStyle name="Normal 8 3 3 3 3" xfId="5279" xr:uid="{00000000-0005-0000-0000-0000991D0000}"/>
    <cellStyle name="Normal 8 3 3 3 3 2" xfId="13721" xr:uid="{4FE05BEF-8533-47D6-9E7B-C34EFF96FE0B}"/>
    <cellStyle name="Normal 8 3 3 3 4" xfId="9503" xr:uid="{D852B37D-14C3-451D-9201-A816E3A7FF1D}"/>
    <cellStyle name="Normal 8 3 3 4" xfId="1384" xr:uid="{00000000-0005-0000-0000-00009A1D0000}"/>
    <cellStyle name="Normal 8 3 3 4 2" xfId="3614" xr:uid="{00000000-0005-0000-0000-00009B1D0000}"/>
    <cellStyle name="Normal 8 3 3 4 2 2" xfId="7837" xr:uid="{00000000-0005-0000-0000-00009C1D0000}"/>
    <cellStyle name="Normal 8 3 3 4 2 2 2" xfId="16279" xr:uid="{1010D098-A454-432F-A3AF-67FEF3FD20EA}"/>
    <cellStyle name="Normal 8 3 3 4 2 3" xfId="12061" xr:uid="{B0E1A20B-ECE3-4BA0-91E1-39C1E06F38D9}"/>
    <cellStyle name="Normal 8 3 3 4 3" xfId="5692" xr:uid="{00000000-0005-0000-0000-00009D1D0000}"/>
    <cellStyle name="Normal 8 3 3 4 3 2" xfId="14134" xr:uid="{C69C69FB-8489-4E8C-8437-3FF98B4A8C76}"/>
    <cellStyle name="Normal 8 3 3 4 4" xfId="9916" xr:uid="{258F5F17-666D-493E-9EA1-93E843DE342F}"/>
    <cellStyle name="Normal 8 3 3 5" xfId="1797" xr:uid="{00000000-0005-0000-0000-00009E1D0000}"/>
    <cellStyle name="Normal 8 3 3 5 2" xfId="4027" xr:uid="{00000000-0005-0000-0000-00009F1D0000}"/>
    <cellStyle name="Normal 8 3 3 5 2 2" xfId="8250" xr:uid="{00000000-0005-0000-0000-0000A01D0000}"/>
    <cellStyle name="Normal 8 3 3 5 2 2 2" xfId="16692" xr:uid="{8B915617-8316-4C57-9FF6-CD593006D7DF}"/>
    <cellStyle name="Normal 8 3 3 5 2 3" xfId="12474" xr:uid="{273EAFC7-0FC9-4C4B-9EF1-F5DD0C5E47E8}"/>
    <cellStyle name="Normal 8 3 3 5 3" xfId="6105" xr:uid="{00000000-0005-0000-0000-0000A11D0000}"/>
    <cellStyle name="Normal 8 3 3 5 3 2" xfId="14547" xr:uid="{1B41E05F-F7B4-4985-BB47-F387D812586F}"/>
    <cellStyle name="Normal 8 3 3 5 4" xfId="10329" xr:uid="{A93A2932-E61B-4173-AE9F-D83A2B43EE8E}"/>
    <cellStyle name="Normal 8 3 3 6" xfId="2211" xr:uid="{00000000-0005-0000-0000-0000A21D0000}"/>
    <cellStyle name="Normal 8 3 3 6 2" xfId="4440" xr:uid="{00000000-0005-0000-0000-0000A31D0000}"/>
    <cellStyle name="Normal 8 3 3 6 2 2" xfId="8663" xr:uid="{00000000-0005-0000-0000-0000A41D0000}"/>
    <cellStyle name="Normal 8 3 3 6 2 2 2" xfId="17105" xr:uid="{123EC6F0-6785-49F2-B139-F1BF8CC34DB5}"/>
    <cellStyle name="Normal 8 3 3 6 2 3" xfId="12887" xr:uid="{D8597C84-8E5E-496B-AEE1-05AFEBBE294E}"/>
    <cellStyle name="Normal 8 3 3 6 3" xfId="6518" xr:uid="{00000000-0005-0000-0000-0000A51D0000}"/>
    <cellStyle name="Normal 8 3 3 6 3 2" xfId="14960" xr:uid="{E3205194-B981-427C-AC68-06096FC1075C}"/>
    <cellStyle name="Normal 8 3 3 6 4" xfId="10742" xr:uid="{423AF36E-255B-46F4-B4CF-1AF8C446C355}"/>
    <cellStyle name="Normal 8 3 3 7" xfId="2647" xr:uid="{00000000-0005-0000-0000-0000A61D0000}"/>
    <cellStyle name="Normal 8 3 3 7 2" xfId="6931" xr:uid="{00000000-0005-0000-0000-0000A71D0000}"/>
    <cellStyle name="Normal 8 3 3 7 2 2" xfId="15373" xr:uid="{C2AE4FE8-8CAD-4B85-8FE1-156AB54516D1}"/>
    <cellStyle name="Normal 8 3 3 7 3" xfId="11155" xr:uid="{1B89652C-C180-4B52-8793-1CD0F1EE9842}"/>
    <cellStyle name="Normal 8 3 3 8" xfId="4866" xr:uid="{00000000-0005-0000-0000-0000A81D0000}"/>
    <cellStyle name="Normal 8 3 3 8 2" xfId="13308" xr:uid="{CD3BE3A7-E96E-4BBE-B044-03E03514BA09}"/>
    <cellStyle name="Normal 8 3 3 9" xfId="9090" xr:uid="{AB2DD21C-8E68-41DC-B587-F8524F1FD2A1}"/>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2 2 2" xfId="15868" xr:uid="{0869A993-3487-4BFC-AF95-D2BA36FC4580}"/>
    <cellStyle name="Normal 8 3 4 2 2 3" xfId="11650" xr:uid="{E8795413-99C1-4312-887B-EC7C36D3CE98}"/>
    <cellStyle name="Normal 8 3 4 2 3" xfId="5281" xr:uid="{00000000-0005-0000-0000-0000AD1D0000}"/>
    <cellStyle name="Normal 8 3 4 2 3 2" xfId="13723" xr:uid="{1CC30AB6-8C55-425E-BD2A-26688815EED7}"/>
    <cellStyle name="Normal 8 3 4 2 4" xfId="9505" xr:uid="{C01B185C-C255-4B60-A6B8-74EEA32FC56B}"/>
    <cellStyle name="Normal 8 3 4 3" xfId="1386" xr:uid="{00000000-0005-0000-0000-0000AE1D0000}"/>
    <cellStyle name="Normal 8 3 4 3 2" xfId="3616" xr:uid="{00000000-0005-0000-0000-0000AF1D0000}"/>
    <cellStyle name="Normal 8 3 4 3 2 2" xfId="7839" xr:uid="{00000000-0005-0000-0000-0000B01D0000}"/>
    <cellStyle name="Normal 8 3 4 3 2 2 2" xfId="16281" xr:uid="{E69BFD26-B05E-49A1-B7C3-B94B54AC9F20}"/>
    <cellStyle name="Normal 8 3 4 3 2 3" xfId="12063" xr:uid="{29BDD658-2299-45DE-A0EF-84D7B22A2CA7}"/>
    <cellStyle name="Normal 8 3 4 3 3" xfId="5694" xr:uid="{00000000-0005-0000-0000-0000B11D0000}"/>
    <cellStyle name="Normal 8 3 4 3 3 2" xfId="14136" xr:uid="{14F42A37-B38E-4FAB-AC57-E75730AA3A8A}"/>
    <cellStyle name="Normal 8 3 4 3 4" xfId="9918" xr:uid="{57B674F2-3065-415F-B6B5-36464386DCFB}"/>
    <cellStyle name="Normal 8 3 4 4" xfId="1799" xr:uid="{00000000-0005-0000-0000-0000B21D0000}"/>
    <cellStyle name="Normal 8 3 4 4 2" xfId="4029" xr:uid="{00000000-0005-0000-0000-0000B31D0000}"/>
    <cellStyle name="Normal 8 3 4 4 2 2" xfId="8252" xr:uid="{00000000-0005-0000-0000-0000B41D0000}"/>
    <cellStyle name="Normal 8 3 4 4 2 2 2" xfId="16694" xr:uid="{64CA64D4-2396-4C3C-A87A-9467C12F800E}"/>
    <cellStyle name="Normal 8 3 4 4 2 3" xfId="12476" xr:uid="{559CF4EF-47F4-4144-AF53-960318C699CF}"/>
    <cellStyle name="Normal 8 3 4 4 3" xfId="6107" xr:uid="{00000000-0005-0000-0000-0000B51D0000}"/>
    <cellStyle name="Normal 8 3 4 4 3 2" xfId="14549" xr:uid="{CBE93D93-60BB-4F80-9C1D-3D57A636906D}"/>
    <cellStyle name="Normal 8 3 4 4 4" xfId="10331" xr:uid="{856C380A-B5A7-4120-86EC-70BEEE238CFE}"/>
    <cellStyle name="Normal 8 3 4 5" xfId="2213" xr:uid="{00000000-0005-0000-0000-0000B61D0000}"/>
    <cellStyle name="Normal 8 3 4 5 2" xfId="4442" xr:uid="{00000000-0005-0000-0000-0000B71D0000}"/>
    <cellStyle name="Normal 8 3 4 5 2 2" xfId="8665" xr:uid="{00000000-0005-0000-0000-0000B81D0000}"/>
    <cellStyle name="Normal 8 3 4 5 2 2 2" xfId="17107" xr:uid="{F9BA3C21-AEB1-4304-95C3-4B6EC37AB12A}"/>
    <cellStyle name="Normal 8 3 4 5 2 3" xfId="12889" xr:uid="{976D0352-9270-4F44-A659-58CB2C532838}"/>
    <cellStyle name="Normal 8 3 4 5 3" xfId="6520" xr:uid="{00000000-0005-0000-0000-0000B91D0000}"/>
    <cellStyle name="Normal 8 3 4 5 3 2" xfId="14962" xr:uid="{9150B948-E16A-4346-9977-BFFE6749EA65}"/>
    <cellStyle name="Normal 8 3 4 5 4" xfId="10744" xr:uid="{DFE34C12-460D-4C34-8AEA-622B0655249D}"/>
    <cellStyle name="Normal 8 3 4 6" xfId="2649" xr:uid="{00000000-0005-0000-0000-0000BA1D0000}"/>
    <cellStyle name="Normal 8 3 4 6 2" xfId="6933" xr:uid="{00000000-0005-0000-0000-0000BB1D0000}"/>
    <cellStyle name="Normal 8 3 4 6 2 2" xfId="15375" xr:uid="{C3CC0457-CAC2-40BA-9E63-0D1228C120EB}"/>
    <cellStyle name="Normal 8 3 4 6 3" xfId="11157" xr:uid="{EE69BE72-1052-4023-8FBA-BE33F7BE03FC}"/>
    <cellStyle name="Normal 8 3 4 7" xfId="4868" xr:uid="{00000000-0005-0000-0000-0000BC1D0000}"/>
    <cellStyle name="Normal 8 3 4 7 2" xfId="13310" xr:uid="{853712D7-46D0-481A-A214-4C92786D3005}"/>
    <cellStyle name="Normal 8 3 4 8" xfId="9092" xr:uid="{9F9458FB-D282-47C1-9730-AB54A8DFC46F}"/>
    <cellStyle name="Normal 8 3 5" xfId="962" xr:uid="{00000000-0005-0000-0000-0000BD1D0000}"/>
    <cellStyle name="Normal 8 3 5 2" xfId="3196" xr:uid="{00000000-0005-0000-0000-0000BE1D0000}"/>
    <cellStyle name="Normal 8 3 5 2 2" xfId="7419" xr:uid="{00000000-0005-0000-0000-0000BF1D0000}"/>
    <cellStyle name="Normal 8 3 5 2 2 2" xfId="15861" xr:uid="{F153243B-D507-414F-9E5A-9569833446DB}"/>
    <cellStyle name="Normal 8 3 5 2 3" xfId="11643" xr:uid="{ACB0011D-C54B-4D79-A30B-C1B7AE348944}"/>
    <cellStyle name="Normal 8 3 5 3" xfId="5274" xr:uid="{00000000-0005-0000-0000-0000C01D0000}"/>
    <cellStyle name="Normal 8 3 5 3 2" xfId="13716" xr:uid="{39350515-C916-44E5-8605-8A5B3B0FB5E3}"/>
    <cellStyle name="Normal 8 3 5 4" xfId="9498" xr:uid="{8FCE012A-1032-44FF-9DF2-6CC9B1FE82A3}"/>
    <cellStyle name="Normal 8 3 6" xfId="1379" xr:uid="{00000000-0005-0000-0000-0000C11D0000}"/>
    <cellStyle name="Normal 8 3 6 2" xfId="3609" xr:uid="{00000000-0005-0000-0000-0000C21D0000}"/>
    <cellStyle name="Normal 8 3 6 2 2" xfId="7832" xr:uid="{00000000-0005-0000-0000-0000C31D0000}"/>
    <cellStyle name="Normal 8 3 6 2 2 2" xfId="16274" xr:uid="{989FCA4E-C95F-4860-8316-069C1ECF936E}"/>
    <cellStyle name="Normal 8 3 6 2 3" xfId="12056" xr:uid="{43583CC7-75A3-4321-9193-9DB17E1ADF56}"/>
    <cellStyle name="Normal 8 3 6 3" xfId="5687" xr:uid="{00000000-0005-0000-0000-0000C41D0000}"/>
    <cellStyle name="Normal 8 3 6 3 2" xfId="14129" xr:uid="{7D377496-60B1-4A50-9E85-F3931DB3A59D}"/>
    <cellStyle name="Normal 8 3 6 4" xfId="9911" xr:uid="{76D33AD9-5899-4DA0-85DE-ACE5617645BA}"/>
    <cellStyle name="Normal 8 3 7" xfId="1792" xr:uid="{00000000-0005-0000-0000-0000C51D0000}"/>
    <cellStyle name="Normal 8 3 7 2" xfId="4022" xr:uid="{00000000-0005-0000-0000-0000C61D0000}"/>
    <cellStyle name="Normal 8 3 7 2 2" xfId="8245" xr:uid="{00000000-0005-0000-0000-0000C71D0000}"/>
    <cellStyle name="Normal 8 3 7 2 2 2" xfId="16687" xr:uid="{AD63B0CF-E01B-41B0-830A-3811D8244539}"/>
    <cellStyle name="Normal 8 3 7 2 3" xfId="12469" xr:uid="{F008DB5E-A5A6-45E2-BA5A-2559B18A2122}"/>
    <cellStyle name="Normal 8 3 7 3" xfId="6100" xr:uid="{00000000-0005-0000-0000-0000C81D0000}"/>
    <cellStyle name="Normal 8 3 7 3 2" xfId="14542" xr:uid="{A87591F3-C9E0-4193-9867-B42308749986}"/>
    <cellStyle name="Normal 8 3 7 4" xfId="10324" xr:uid="{EF226F84-589F-45C2-8243-C2D283BA9373}"/>
    <cellStyle name="Normal 8 3 8" xfId="2206" xr:uid="{00000000-0005-0000-0000-0000C91D0000}"/>
    <cellStyle name="Normal 8 3 8 2" xfId="4435" xr:uid="{00000000-0005-0000-0000-0000CA1D0000}"/>
    <cellStyle name="Normal 8 3 8 2 2" xfId="8658" xr:uid="{00000000-0005-0000-0000-0000CB1D0000}"/>
    <cellStyle name="Normal 8 3 8 2 2 2" xfId="17100" xr:uid="{4F5F9F2E-EC9E-499E-B943-D5B7FA5385D9}"/>
    <cellStyle name="Normal 8 3 8 2 3" xfId="12882" xr:uid="{F5B94677-77B2-439E-A1CA-DA69992B3844}"/>
    <cellStyle name="Normal 8 3 8 3" xfId="6513" xr:uid="{00000000-0005-0000-0000-0000CC1D0000}"/>
    <cellStyle name="Normal 8 3 8 3 2" xfId="14955" xr:uid="{863903B2-7662-43FA-A533-ACDADDD52139}"/>
    <cellStyle name="Normal 8 3 8 4" xfId="10737" xr:uid="{81A96CF7-1045-4930-B29E-9E070850395E}"/>
    <cellStyle name="Normal 8 3 9" xfId="2642" xr:uid="{00000000-0005-0000-0000-0000CD1D0000}"/>
    <cellStyle name="Normal 8 3 9 2" xfId="6926" xr:uid="{00000000-0005-0000-0000-0000CE1D0000}"/>
    <cellStyle name="Normal 8 3 9 2 2" xfId="15368" xr:uid="{8F9C580F-91EA-4654-A120-3956A683C91C}"/>
    <cellStyle name="Normal 8 3 9 3" xfId="11150" xr:uid="{1C02AA63-DB11-4B87-8636-8A5D587AA5E6}"/>
    <cellStyle name="Normal 8 4" xfId="503" xr:uid="{00000000-0005-0000-0000-0000CF1D0000}"/>
    <cellStyle name="Normal 8 4 10" xfId="9093" xr:uid="{6E337219-C8BF-4E82-97CA-DAD4CE124585}"/>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15871" xr:uid="{BB9E0B59-60CF-4078-A17B-6E92E195AA0D}"/>
    <cellStyle name="Normal 8 4 2 2 2 2 3" xfId="11653" xr:uid="{C0937168-DB09-4190-B73E-90D1A6D6C44B}"/>
    <cellStyle name="Normal 8 4 2 2 2 3" xfId="5284" xr:uid="{00000000-0005-0000-0000-0000D51D0000}"/>
    <cellStyle name="Normal 8 4 2 2 2 3 2" xfId="13726" xr:uid="{31844674-0466-4CB3-8DF0-FCC8041EB935}"/>
    <cellStyle name="Normal 8 4 2 2 2 4" xfId="9508" xr:uid="{1D32B31C-2559-4054-B924-3AD8E95BB879}"/>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16284" xr:uid="{D79543F6-AA8D-4EE5-A92E-6B3D87A84211}"/>
    <cellStyle name="Normal 8 4 2 2 3 2 3" xfId="12066" xr:uid="{11FEEEE2-91E5-44F6-9660-F235935AB32D}"/>
    <cellStyle name="Normal 8 4 2 2 3 3" xfId="5697" xr:uid="{00000000-0005-0000-0000-0000D91D0000}"/>
    <cellStyle name="Normal 8 4 2 2 3 3 2" xfId="14139" xr:uid="{A95FB45C-91B8-4BB9-8643-3A1F583F7FFD}"/>
    <cellStyle name="Normal 8 4 2 2 3 4" xfId="9921" xr:uid="{1F95055C-026C-4DD2-B4C9-4B74FBB6C4BD}"/>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16697" xr:uid="{AD3B2191-E592-48E5-A124-4327C6DDBFE4}"/>
    <cellStyle name="Normal 8 4 2 2 4 2 3" xfId="12479" xr:uid="{794CE9FD-DB1B-4283-9EC4-FDCA3FC8CB6E}"/>
    <cellStyle name="Normal 8 4 2 2 4 3" xfId="6110" xr:uid="{00000000-0005-0000-0000-0000DD1D0000}"/>
    <cellStyle name="Normal 8 4 2 2 4 3 2" xfId="14552" xr:uid="{1761A1B4-56B8-43F1-B094-EAB8E258592C}"/>
    <cellStyle name="Normal 8 4 2 2 4 4" xfId="10334" xr:uid="{DC66FFDC-5DD8-486E-8768-01951F8A48C6}"/>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17110" xr:uid="{0310221E-9DF6-4A1D-BCFE-78F1228D697C}"/>
    <cellStyle name="Normal 8 4 2 2 5 2 3" xfId="12892" xr:uid="{4520114B-CBBF-43F6-8C94-0CCF87F68232}"/>
    <cellStyle name="Normal 8 4 2 2 5 3" xfId="6523" xr:uid="{00000000-0005-0000-0000-0000E11D0000}"/>
    <cellStyle name="Normal 8 4 2 2 5 3 2" xfId="14965" xr:uid="{CE7793CF-7A77-40BF-AE71-8F3FC895F756}"/>
    <cellStyle name="Normal 8 4 2 2 5 4" xfId="10747" xr:uid="{57DF83C8-06B0-4992-9FB8-FF49CC13893E}"/>
    <cellStyle name="Normal 8 4 2 2 6" xfId="2652" xr:uid="{00000000-0005-0000-0000-0000E21D0000}"/>
    <cellStyle name="Normal 8 4 2 2 6 2" xfId="6936" xr:uid="{00000000-0005-0000-0000-0000E31D0000}"/>
    <cellStyle name="Normal 8 4 2 2 6 2 2" xfId="15378" xr:uid="{F0E2CA9B-DD71-49AE-BC90-8172CD9EC91F}"/>
    <cellStyle name="Normal 8 4 2 2 6 3" xfId="11160" xr:uid="{E62735CC-68DA-4BB1-8668-05C68F3AEA63}"/>
    <cellStyle name="Normal 8 4 2 2 7" xfId="4871" xr:uid="{00000000-0005-0000-0000-0000E41D0000}"/>
    <cellStyle name="Normal 8 4 2 2 7 2" xfId="13313" xr:uid="{DEB66587-3CCC-4CCF-AEA6-8C5593F93078}"/>
    <cellStyle name="Normal 8 4 2 2 8" xfId="9095" xr:uid="{80FE5D82-D479-4580-9F40-8689BB87B3C6}"/>
    <cellStyle name="Normal 8 4 2 3" xfId="971" xr:uid="{00000000-0005-0000-0000-0000E51D0000}"/>
    <cellStyle name="Normal 8 4 2 3 2" xfId="3205" xr:uid="{00000000-0005-0000-0000-0000E61D0000}"/>
    <cellStyle name="Normal 8 4 2 3 2 2" xfId="7428" xr:uid="{00000000-0005-0000-0000-0000E71D0000}"/>
    <cellStyle name="Normal 8 4 2 3 2 2 2" xfId="15870" xr:uid="{0FC88B28-85D2-4FCF-AB5A-5BAE848ABEBF}"/>
    <cellStyle name="Normal 8 4 2 3 2 3" xfId="11652" xr:uid="{B764DC47-01D7-4093-9590-E041EE530C31}"/>
    <cellStyle name="Normal 8 4 2 3 3" xfId="5283" xr:uid="{00000000-0005-0000-0000-0000E81D0000}"/>
    <cellStyle name="Normal 8 4 2 3 3 2" xfId="13725" xr:uid="{B3F9B0D4-14D1-41FF-A7C3-C92FDC52ED8E}"/>
    <cellStyle name="Normal 8 4 2 3 4" xfId="9507" xr:uid="{1C5A30B7-1C6D-4346-98E2-A23E66DF95C0}"/>
    <cellStyle name="Normal 8 4 2 4" xfId="1388" xr:uid="{00000000-0005-0000-0000-0000E91D0000}"/>
    <cellStyle name="Normal 8 4 2 4 2" xfId="3618" xr:uid="{00000000-0005-0000-0000-0000EA1D0000}"/>
    <cellStyle name="Normal 8 4 2 4 2 2" xfId="7841" xr:uid="{00000000-0005-0000-0000-0000EB1D0000}"/>
    <cellStyle name="Normal 8 4 2 4 2 2 2" xfId="16283" xr:uid="{9C67F1C4-10EB-43A1-8344-22C4E44582A7}"/>
    <cellStyle name="Normal 8 4 2 4 2 3" xfId="12065" xr:uid="{7785C364-952B-4AA6-AEEC-0FCCA5BB3CD9}"/>
    <cellStyle name="Normal 8 4 2 4 3" xfId="5696" xr:uid="{00000000-0005-0000-0000-0000EC1D0000}"/>
    <cellStyle name="Normal 8 4 2 4 3 2" xfId="14138" xr:uid="{391F93A2-9203-49C2-BAF5-6F7D99058B4F}"/>
    <cellStyle name="Normal 8 4 2 4 4" xfId="9920" xr:uid="{5319D0FE-55A1-4CB2-812D-720D69B892B3}"/>
    <cellStyle name="Normal 8 4 2 5" xfId="1801" xr:uid="{00000000-0005-0000-0000-0000ED1D0000}"/>
    <cellStyle name="Normal 8 4 2 5 2" xfId="4031" xr:uid="{00000000-0005-0000-0000-0000EE1D0000}"/>
    <cellStyle name="Normal 8 4 2 5 2 2" xfId="8254" xr:uid="{00000000-0005-0000-0000-0000EF1D0000}"/>
    <cellStyle name="Normal 8 4 2 5 2 2 2" xfId="16696" xr:uid="{A7E440AF-8EE5-4132-B751-DB577FD0CB8D}"/>
    <cellStyle name="Normal 8 4 2 5 2 3" xfId="12478" xr:uid="{109CEBC9-A0E8-4B5C-9A25-4A9C9C563942}"/>
    <cellStyle name="Normal 8 4 2 5 3" xfId="6109" xr:uid="{00000000-0005-0000-0000-0000F01D0000}"/>
    <cellStyle name="Normal 8 4 2 5 3 2" xfId="14551" xr:uid="{C5F1C2FA-0827-4082-927F-C3D13DDFC846}"/>
    <cellStyle name="Normal 8 4 2 5 4" xfId="10333" xr:uid="{2E3FA485-934F-4500-A03F-AD1E6FE3B458}"/>
    <cellStyle name="Normal 8 4 2 6" xfId="2215" xr:uid="{00000000-0005-0000-0000-0000F11D0000}"/>
    <cellStyle name="Normal 8 4 2 6 2" xfId="4444" xr:uid="{00000000-0005-0000-0000-0000F21D0000}"/>
    <cellStyle name="Normal 8 4 2 6 2 2" xfId="8667" xr:uid="{00000000-0005-0000-0000-0000F31D0000}"/>
    <cellStyle name="Normal 8 4 2 6 2 2 2" xfId="17109" xr:uid="{7E43CAA1-D75A-4334-A745-49FCB4B74957}"/>
    <cellStyle name="Normal 8 4 2 6 2 3" xfId="12891" xr:uid="{265DB8DF-5C11-4961-8F2C-300221F6BF48}"/>
    <cellStyle name="Normal 8 4 2 6 3" xfId="6522" xr:uid="{00000000-0005-0000-0000-0000F41D0000}"/>
    <cellStyle name="Normal 8 4 2 6 3 2" xfId="14964" xr:uid="{41B323CE-0103-4967-A44C-CB14B3635336}"/>
    <cellStyle name="Normal 8 4 2 6 4" xfId="10746" xr:uid="{303B14BB-FCB8-4935-A92F-88616C6DEADE}"/>
    <cellStyle name="Normal 8 4 2 7" xfId="2651" xr:uid="{00000000-0005-0000-0000-0000F51D0000}"/>
    <cellStyle name="Normal 8 4 2 7 2" xfId="6935" xr:uid="{00000000-0005-0000-0000-0000F61D0000}"/>
    <cellStyle name="Normal 8 4 2 7 2 2" xfId="15377" xr:uid="{3627F442-94F5-4D3B-9615-049D66D1973D}"/>
    <cellStyle name="Normal 8 4 2 7 3" xfId="11159" xr:uid="{7FB45A5D-D56C-4A80-BB56-109A869B1BBA}"/>
    <cellStyle name="Normal 8 4 2 8" xfId="4870" xr:uid="{00000000-0005-0000-0000-0000F71D0000}"/>
    <cellStyle name="Normal 8 4 2 8 2" xfId="13312" xr:uid="{7693AC88-94B1-4274-99EA-8FCE37B68565}"/>
    <cellStyle name="Normal 8 4 2 9" xfId="9094" xr:uid="{2CAF71DA-6A88-45C7-A95F-4DC9E9D57C33}"/>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2 2 2" xfId="15872" xr:uid="{49FFB908-B3EF-4B7A-B5B2-8CEB7A38E118}"/>
    <cellStyle name="Normal 8 4 3 2 2 3" xfId="11654" xr:uid="{BE437280-BBF4-4D71-A0E6-81E92D578EE8}"/>
    <cellStyle name="Normal 8 4 3 2 3" xfId="5285" xr:uid="{00000000-0005-0000-0000-0000FC1D0000}"/>
    <cellStyle name="Normal 8 4 3 2 3 2" xfId="13727" xr:uid="{FE58C996-5179-4EF3-B57D-E9F3BB69BFBE}"/>
    <cellStyle name="Normal 8 4 3 2 4" xfId="9509" xr:uid="{7331EC87-3EFF-4BC3-AFA4-E935375116DB}"/>
    <cellStyle name="Normal 8 4 3 3" xfId="1390" xr:uid="{00000000-0005-0000-0000-0000FD1D0000}"/>
    <cellStyle name="Normal 8 4 3 3 2" xfId="3620" xr:uid="{00000000-0005-0000-0000-0000FE1D0000}"/>
    <cellStyle name="Normal 8 4 3 3 2 2" xfId="7843" xr:uid="{00000000-0005-0000-0000-0000FF1D0000}"/>
    <cellStyle name="Normal 8 4 3 3 2 2 2" xfId="16285" xr:uid="{9598CF2D-FF93-4E34-97CA-07AE8B7E25AE}"/>
    <cellStyle name="Normal 8 4 3 3 2 3" xfId="12067" xr:uid="{9D915A23-39B5-414B-97DD-D7506DC17DA2}"/>
    <cellStyle name="Normal 8 4 3 3 3" xfId="5698" xr:uid="{00000000-0005-0000-0000-0000001E0000}"/>
    <cellStyle name="Normal 8 4 3 3 3 2" xfId="14140" xr:uid="{E2CA90DD-A776-410E-A950-07F14B28DE45}"/>
    <cellStyle name="Normal 8 4 3 3 4" xfId="9922" xr:uid="{272B348D-B933-47B0-88A2-309B8240FA6B}"/>
    <cellStyle name="Normal 8 4 3 4" xfId="1803" xr:uid="{00000000-0005-0000-0000-0000011E0000}"/>
    <cellStyle name="Normal 8 4 3 4 2" xfId="4033" xr:uid="{00000000-0005-0000-0000-0000021E0000}"/>
    <cellStyle name="Normal 8 4 3 4 2 2" xfId="8256" xr:uid="{00000000-0005-0000-0000-0000031E0000}"/>
    <cellStyle name="Normal 8 4 3 4 2 2 2" xfId="16698" xr:uid="{EFAC2C96-B8EE-4B08-AA35-95F8C3A61129}"/>
    <cellStyle name="Normal 8 4 3 4 2 3" xfId="12480" xr:uid="{D60FF6C9-6926-45EF-B89B-7E2A208A339E}"/>
    <cellStyle name="Normal 8 4 3 4 3" xfId="6111" xr:uid="{00000000-0005-0000-0000-0000041E0000}"/>
    <cellStyle name="Normal 8 4 3 4 3 2" xfId="14553" xr:uid="{7A9A8D69-2FDF-4F2D-948E-46595BB1C5BB}"/>
    <cellStyle name="Normal 8 4 3 4 4" xfId="10335" xr:uid="{44CF6527-1F6B-4F1F-A1B0-590C764C18C1}"/>
    <cellStyle name="Normal 8 4 3 5" xfId="2217" xr:uid="{00000000-0005-0000-0000-0000051E0000}"/>
    <cellStyle name="Normal 8 4 3 5 2" xfId="4446" xr:uid="{00000000-0005-0000-0000-0000061E0000}"/>
    <cellStyle name="Normal 8 4 3 5 2 2" xfId="8669" xr:uid="{00000000-0005-0000-0000-0000071E0000}"/>
    <cellStyle name="Normal 8 4 3 5 2 2 2" xfId="17111" xr:uid="{67E8D8E1-C360-481F-8A87-6FD7E636C5DD}"/>
    <cellStyle name="Normal 8 4 3 5 2 3" xfId="12893" xr:uid="{3351B082-FA96-46EB-AAB4-163A6558E73D}"/>
    <cellStyle name="Normal 8 4 3 5 3" xfId="6524" xr:uid="{00000000-0005-0000-0000-0000081E0000}"/>
    <cellStyle name="Normal 8 4 3 5 3 2" xfId="14966" xr:uid="{B8F7C379-4A9F-4934-B18A-5A1A4E3DB26C}"/>
    <cellStyle name="Normal 8 4 3 5 4" xfId="10748" xr:uid="{13074F30-8B72-4692-8AE5-F92327930E1F}"/>
    <cellStyle name="Normal 8 4 3 6" xfId="2653" xr:uid="{00000000-0005-0000-0000-0000091E0000}"/>
    <cellStyle name="Normal 8 4 3 6 2" xfId="6937" xr:uid="{00000000-0005-0000-0000-00000A1E0000}"/>
    <cellStyle name="Normal 8 4 3 6 2 2" xfId="15379" xr:uid="{159A524A-2016-438C-8D9F-9BF95EE43979}"/>
    <cellStyle name="Normal 8 4 3 6 3" xfId="11161" xr:uid="{95511F69-B17B-41BC-AFFD-2D5448B14F2E}"/>
    <cellStyle name="Normal 8 4 3 7" xfId="4872" xr:uid="{00000000-0005-0000-0000-00000B1E0000}"/>
    <cellStyle name="Normal 8 4 3 7 2" xfId="13314" xr:uid="{83154B55-076B-4742-ADBE-A8756F1EBE3F}"/>
    <cellStyle name="Normal 8 4 3 8" xfId="9096" xr:uid="{7C98FA77-CC7F-4875-B73E-1AEDE5AEDCFF}"/>
    <cellStyle name="Normal 8 4 4" xfId="970" xr:uid="{00000000-0005-0000-0000-00000C1E0000}"/>
    <cellStyle name="Normal 8 4 4 2" xfId="3204" xr:uid="{00000000-0005-0000-0000-00000D1E0000}"/>
    <cellStyle name="Normal 8 4 4 2 2" xfId="7427" xr:uid="{00000000-0005-0000-0000-00000E1E0000}"/>
    <cellStyle name="Normal 8 4 4 2 2 2" xfId="15869" xr:uid="{A54B8B63-2A3F-4E30-BB4F-9F0E3B7760DB}"/>
    <cellStyle name="Normal 8 4 4 2 3" xfId="11651" xr:uid="{A85BB891-3044-4449-9947-B20B5FE6B113}"/>
    <cellStyle name="Normal 8 4 4 3" xfId="5282" xr:uid="{00000000-0005-0000-0000-00000F1E0000}"/>
    <cellStyle name="Normal 8 4 4 3 2" xfId="13724" xr:uid="{548EB209-4657-4831-B74A-BF029DA4EF8A}"/>
    <cellStyle name="Normal 8 4 4 4" xfId="9506" xr:uid="{F8BDAEC2-93D9-4E3E-A75E-E408F9ADB334}"/>
    <cellStyle name="Normal 8 4 5" xfId="1387" xr:uid="{00000000-0005-0000-0000-0000101E0000}"/>
    <cellStyle name="Normal 8 4 5 2" xfId="3617" xr:uid="{00000000-0005-0000-0000-0000111E0000}"/>
    <cellStyle name="Normal 8 4 5 2 2" xfId="7840" xr:uid="{00000000-0005-0000-0000-0000121E0000}"/>
    <cellStyle name="Normal 8 4 5 2 2 2" xfId="16282" xr:uid="{70FF0457-B5D3-4EBB-8538-BDEDC3DD8959}"/>
    <cellStyle name="Normal 8 4 5 2 3" xfId="12064" xr:uid="{7F6509FF-B68E-4FCF-8AB5-4558B4E0CF55}"/>
    <cellStyle name="Normal 8 4 5 3" xfId="5695" xr:uid="{00000000-0005-0000-0000-0000131E0000}"/>
    <cellStyle name="Normal 8 4 5 3 2" xfId="14137" xr:uid="{12CD84A5-81C0-4569-9886-DD2FA7D4FE68}"/>
    <cellStyle name="Normal 8 4 5 4" xfId="9919" xr:uid="{B7DABC4B-87A0-4372-91FA-3A80DA1C26ED}"/>
    <cellStyle name="Normal 8 4 6" xfId="1800" xr:uid="{00000000-0005-0000-0000-0000141E0000}"/>
    <cellStyle name="Normal 8 4 6 2" xfId="4030" xr:uid="{00000000-0005-0000-0000-0000151E0000}"/>
    <cellStyle name="Normal 8 4 6 2 2" xfId="8253" xr:uid="{00000000-0005-0000-0000-0000161E0000}"/>
    <cellStyle name="Normal 8 4 6 2 2 2" xfId="16695" xr:uid="{B730DB4E-EEEE-46D5-8AAA-4B89715BA029}"/>
    <cellStyle name="Normal 8 4 6 2 3" xfId="12477" xr:uid="{22F6D7BF-F139-4E37-8613-FA2BA39A05CE}"/>
    <cellStyle name="Normal 8 4 6 3" xfId="6108" xr:uid="{00000000-0005-0000-0000-0000171E0000}"/>
    <cellStyle name="Normal 8 4 6 3 2" xfId="14550" xr:uid="{9F6DBA26-EC5F-4195-B544-0EC44683B3D5}"/>
    <cellStyle name="Normal 8 4 6 4" xfId="10332" xr:uid="{CAB51CF9-8A72-48F6-A9B4-4C54C4B3CE6D}"/>
    <cellStyle name="Normal 8 4 7" xfId="2214" xr:uid="{00000000-0005-0000-0000-0000181E0000}"/>
    <cellStyle name="Normal 8 4 7 2" xfId="4443" xr:uid="{00000000-0005-0000-0000-0000191E0000}"/>
    <cellStyle name="Normal 8 4 7 2 2" xfId="8666" xr:uid="{00000000-0005-0000-0000-00001A1E0000}"/>
    <cellStyle name="Normal 8 4 7 2 2 2" xfId="17108" xr:uid="{627B3297-A4F5-46CD-B681-797BBE9C16FE}"/>
    <cellStyle name="Normal 8 4 7 2 3" xfId="12890" xr:uid="{E36B8F7A-CF3A-4B3C-9A5F-ADF6AD422870}"/>
    <cellStyle name="Normal 8 4 7 3" xfId="6521" xr:uid="{00000000-0005-0000-0000-00001B1E0000}"/>
    <cellStyle name="Normal 8 4 7 3 2" xfId="14963" xr:uid="{79444CE0-03F9-425C-A4F0-8C9B517DD037}"/>
    <cellStyle name="Normal 8 4 7 4" xfId="10745" xr:uid="{08936DD9-AF98-435A-BCB3-075BF03F1ECC}"/>
    <cellStyle name="Normal 8 4 8" xfId="2650" xr:uid="{00000000-0005-0000-0000-00001C1E0000}"/>
    <cellStyle name="Normal 8 4 8 2" xfId="6934" xr:uid="{00000000-0005-0000-0000-00001D1E0000}"/>
    <cellStyle name="Normal 8 4 8 2 2" xfId="15376" xr:uid="{12A5E172-C953-4CC8-975F-6B52EB7077EA}"/>
    <cellStyle name="Normal 8 4 8 3" xfId="11158" xr:uid="{B726845A-6A57-4364-B94F-E25BFDAB2DDB}"/>
    <cellStyle name="Normal 8 4 9" xfId="4869" xr:uid="{00000000-0005-0000-0000-00001E1E0000}"/>
    <cellStyle name="Normal 8 4 9 2" xfId="13311" xr:uid="{D81D36B1-2FAA-4D25-8FC3-11597163D933}"/>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2 2 2" xfId="15874" xr:uid="{CC1DAAAE-095E-4BF4-930B-F9A4F52E564C}"/>
    <cellStyle name="Normal 8 5 2 2 2 3" xfId="11656" xr:uid="{DAA8F68E-EF7A-47F8-BC13-225F4D501B0B}"/>
    <cellStyle name="Normal 8 5 2 2 3" xfId="5287" xr:uid="{00000000-0005-0000-0000-0000241E0000}"/>
    <cellStyle name="Normal 8 5 2 2 3 2" xfId="13729" xr:uid="{CCB532C2-EAF5-465F-9CB3-41B689BFDF44}"/>
    <cellStyle name="Normal 8 5 2 2 4" xfId="9511" xr:uid="{430A8C4C-2EA9-4B43-AFD0-E5DEADC29204}"/>
    <cellStyle name="Normal 8 5 2 3" xfId="1392" xr:uid="{00000000-0005-0000-0000-0000251E0000}"/>
    <cellStyle name="Normal 8 5 2 3 2" xfId="3622" xr:uid="{00000000-0005-0000-0000-0000261E0000}"/>
    <cellStyle name="Normal 8 5 2 3 2 2" xfId="7845" xr:uid="{00000000-0005-0000-0000-0000271E0000}"/>
    <cellStyle name="Normal 8 5 2 3 2 2 2" xfId="16287" xr:uid="{A3797840-9BE6-4366-B3FA-C36A81B5E0C0}"/>
    <cellStyle name="Normal 8 5 2 3 2 3" xfId="12069" xr:uid="{DC68A637-954E-4B22-BE63-317F3D1C24A5}"/>
    <cellStyle name="Normal 8 5 2 3 3" xfId="5700" xr:uid="{00000000-0005-0000-0000-0000281E0000}"/>
    <cellStyle name="Normal 8 5 2 3 3 2" xfId="14142" xr:uid="{A058C298-E267-4B9C-B61F-BFB86C9C2008}"/>
    <cellStyle name="Normal 8 5 2 3 4" xfId="9924" xr:uid="{F8CF8127-7FA0-4E37-B11D-5CE9CC59CD22}"/>
    <cellStyle name="Normal 8 5 2 4" xfId="1805" xr:uid="{00000000-0005-0000-0000-0000291E0000}"/>
    <cellStyle name="Normal 8 5 2 4 2" xfId="4035" xr:uid="{00000000-0005-0000-0000-00002A1E0000}"/>
    <cellStyle name="Normal 8 5 2 4 2 2" xfId="8258" xr:uid="{00000000-0005-0000-0000-00002B1E0000}"/>
    <cellStyle name="Normal 8 5 2 4 2 2 2" xfId="16700" xr:uid="{8742FB98-EEE5-4101-B4D4-EE506BF6EA39}"/>
    <cellStyle name="Normal 8 5 2 4 2 3" xfId="12482" xr:uid="{895AE56D-3FA2-4096-8A01-E87E5F68B1D6}"/>
    <cellStyle name="Normal 8 5 2 4 3" xfId="6113" xr:uid="{00000000-0005-0000-0000-00002C1E0000}"/>
    <cellStyle name="Normal 8 5 2 4 3 2" xfId="14555" xr:uid="{011A3F7E-2219-4AB3-A2B6-F81AD5823FE4}"/>
    <cellStyle name="Normal 8 5 2 4 4" xfId="10337" xr:uid="{2BB7EB2B-CEBA-45C9-ADD7-ADDAAD240B2C}"/>
    <cellStyle name="Normal 8 5 2 5" xfId="2219" xr:uid="{00000000-0005-0000-0000-00002D1E0000}"/>
    <cellStyle name="Normal 8 5 2 5 2" xfId="4448" xr:uid="{00000000-0005-0000-0000-00002E1E0000}"/>
    <cellStyle name="Normal 8 5 2 5 2 2" xfId="8671" xr:uid="{00000000-0005-0000-0000-00002F1E0000}"/>
    <cellStyle name="Normal 8 5 2 5 2 2 2" xfId="17113" xr:uid="{0C225658-D35B-4894-9223-AF5AE4621E7A}"/>
    <cellStyle name="Normal 8 5 2 5 2 3" xfId="12895" xr:uid="{8BA7B63A-D96E-4E14-9F76-3E208111E174}"/>
    <cellStyle name="Normal 8 5 2 5 3" xfId="6526" xr:uid="{00000000-0005-0000-0000-0000301E0000}"/>
    <cellStyle name="Normal 8 5 2 5 3 2" xfId="14968" xr:uid="{363E62CB-6055-45CA-A5EF-B945B3D358CF}"/>
    <cellStyle name="Normal 8 5 2 5 4" xfId="10750" xr:uid="{07B0C701-AFBD-45ED-8223-605B8B4A6BA6}"/>
    <cellStyle name="Normal 8 5 2 6" xfId="2655" xr:uid="{00000000-0005-0000-0000-0000311E0000}"/>
    <cellStyle name="Normal 8 5 2 6 2" xfId="6939" xr:uid="{00000000-0005-0000-0000-0000321E0000}"/>
    <cellStyle name="Normal 8 5 2 6 2 2" xfId="15381" xr:uid="{1487A64B-7290-4F36-809F-ADB36A598C46}"/>
    <cellStyle name="Normal 8 5 2 6 3" xfId="11163" xr:uid="{96F554AD-9818-497B-AD50-83A25E15C18C}"/>
    <cellStyle name="Normal 8 5 2 7" xfId="4874" xr:uid="{00000000-0005-0000-0000-0000331E0000}"/>
    <cellStyle name="Normal 8 5 2 7 2" xfId="13316" xr:uid="{439122C8-B8D1-4DD4-8299-8755512AC8A4}"/>
    <cellStyle name="Normal 8 5 2 8" xfId="9098" xr:uid="{5290C6B9-D8CF-4921-AE95-2DD0C169D27C}"/>
    <cellStyle name="Normal 8 5 3" xfId="974" xr:uid="{00000000-0005-0000-0000-0000341E0000}"/>
    <cellStyle name="Normal 8 5 3 2" xfId="3208" xr:uid="{00000000-0005-0000-0000-0000351E0000}"/>
    <cellStyle name="Normal 8 5 3 2 2" xfId="7431" xr:uid="{00000000-0005-0000-0000-0000361E0000}"/>
    <cellStyle name="Normal 8 5 3 2 2 2" xfId="15873" xr:uid="{943C5058-6A6B-41B1-82E5-FD5CA52E85ED}"/>
    <cellStyle name="Normal 8 5 3 2 3" xfId="11655" xr:uid="{158BA72D-45CB-4336-9733-2283DD62D1B0}"/>
    <cellStyle name="Normal 8 5 3 3" xfId="5286" xr:uid="{00000000-0005-0000-0000-0000371E0000}"/>
    <cellStyle name="Normal 8 5 3 3 2" xfId="13728" xr:uid="{12B184D3-47E8-45DA-A8EE-6CC030CE7794}"/>
    <cellStyle name="Normal 8 5 3 4" xfId="9510" xr:uid="{29A532A7-58AE-49FA-8872-B0900F16A352}"/>
    <cellStyle name="Normal 8 5 4" xfId="1391" xr:uid="{00000000-0005-0000-0000-0000381E0000}"/>
    <cellStyle name="Normal 8 5 4 2" xfId="3621" xr:uid="{00000000-0005-0000-0000-0000391E0000}"/>
    <cellStyle name="Normal 8 5 4 2 2" xfId="7844" xr:uid="{00000000-0005-0000-0000-00003A1E0000}"/>
    <cellStyle name="Normal 8 5 4 2 2 2" xfId="16286" xr:uid="{A0B7049B-8A26-48B0-9928-9DB555AF0EA1}"/>
    <cellStyle name="Normal 8 5 4 2 3" xfId="12068" xr:uid="{5FDDA6FF-93F4-4E10-8FBB-4CE70FAD02E4}"/>
    <cellStyle name="Normal 8 5 4 3" xfId="5699" xr:uid="{00000000-0005-0000-0000-00003B1E0000}"/>
    <cellStyle name="Normal 8 5 4 3 2" xfId="14141" xr:uid="{B4EB375C-930A-4EAB-BAFD-6648FC7ADC7B}"/>
    <cellStyle name="Normal 8 5 4 4" xfId="9923" xr:uid="{D578584E-C134-47DE-BB8E-DC48C8312444}"/>
    <cellStyle name="Normal 8 5 5" xfId="1804" xr:uid="{00000000-0005-0000-0000-00003C1E0000}"/>
    <cellStyle name="Normal 8 5 5 2" xfId="4034" xr:uid="{00000000-0005-0000-0000-00003D1E0000}"/>
    <cellStyle name="Normal 8 5 5 2 2" xfId="8257" xr:uid="{00000000-0005-0000-0000-00003E1E0000}"/>
    <cellStyle name="Normal 8 5 5 2 2 2" xfId="16699" xr:uid="{D19DAAEB-95D8-4AC9-A89E-DB330DA85F47}"/>
    <cellStyle name="Normal 8 5 5 2 3" xfId="12481" xr:uid="{A82B6DD9-9BD4-454A-82CB-86C58B07B013}"/>
    <cellStyle name="Normal 8 5 5 3" xfId="6112" xr:uid="{00000000-0005-0000-0000-00003F1E0000}"/>
    <cellStyle name="Normal 8 5 5 3 2" xfId="14554" xr:uid="{A8746B60-19FB-4633-8B4A-3A418486FA5B}"/>
    <cellStyle name="Normal 8 5 5 4" xfId="10336" xr:uid="{FD9A7CC2-80B0-40CC-936D-7AA215FE6CB0}"/>
    <cellStyle name="Normal 8 5 6" xfId="2218" xr:uid="{00000000-0005-0000-0000-0000401E0000}"/>
    <cellStyle name="Normal 8 5 6 2" xfId="4447" xr:uid="{00000000-0005-0000-0000-0000411E0000}"/>
    <cellStyle name="Normal 8 5 6 2 2" xfId="8670" xr:uid="{00000000-0005-0000-0000-0000421E0000}"/>
    <cellStyle name="Normal 8 5 6 2 2 2" xfId="17112" xr:uid="{9CE2E19C-3665-41A7-BEA1-02727526A578}"/>
    <cellStyle name="Normal 8 5 6 2 3" xfId="12894" xr:uid="{CBD22AEE-088A-42E4-9752-732FFDE6C5EC}"/>
    <cellStyle name="Normal 8 5 6 3" xfId="6525" xr:uid="{00000000-0005-0000-0000-0000431E0000}"/>
    <cellStyle name="Normal 8 5 6 3 2" xfId="14967" xr:uid="{09B235B1-B037-4596-BCCE-2D4570D0B070}"/>
    <cellStyle name="Normal 8 5 6 4" xfId="10749" xr:uid="{73B5EF57-D396-4262-AD0B-D8E9C7D42ED9}"/>
    <cellStyle name="Normal 8 5 7" xfId="2654" xr:uid="{00000000-0005-0000-0000-0000441E0000}"/>
    <cellStyle name="Normal 8 5 7 2" xfId="6938" xr:uid="{00000000-0005-0000-0000-0000451E0000}"/>
    <cellStyle name="Normal 8 5 7 2 2" xfId="15380" xr:uid="{BE0091B3-D377-4DB1-AC7E-402655505A72}"/>
    <cellStyle name="Normal 8 5 7 3" xfId="11162" xr:uid="{1FB44AFE-601D-4D02-B55F-B6080A73C481}"/>
    <cellStyle name="Normal 8 5 8" xfId="4873" xr:uid="{00000000-0005-0000-0000-0000461E0000}"/>
    <cellStyle name="Normal 8 5 8 2" xfId="13315" xr:uid="{75385A22-94F5-4124-8F46-377EFB07E707}"/>
    <cellStyle name="Normal 8 5 9" xfId="9097" xr:uid="{9ED589D0-9736-4EB8-AC4E-EC63A297A473}"/>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2 2 2" xfId="15875" xr:uid="{25BBA348-66EE-4A12-BAFA-04282CF3ACC8}"/>
    <cellStyle name="Normal 8 6 2 2 3" xfId="11657" xr:uid="{61288BAA-5DB3-4089-98F5-C7DA419032D8}"/>
    <cellStyle name="Normal 8 6 2 3" xfId="5288" xr:uid="{00000000-0005-0000-0000-00004B1E0000}"/>
    <cellStyle name="Normal 8 6 2 3 2" xfId="13730" xr:uid="{8238876B-C55C-4365-8EE5-70DB23C995F4}"/>
    <cellStyle name="Normal 8 6 2 4" xfId="9512" xr:uid="{5C98F83F-EFA2-4AFB-B5CF-EA3720E51FD6}"/>
    <cellStyle name="Normal 8 6 3" xfId="1393" xr:uid="{00000000-0005-0000-0000-00004C1E0000}"/>
    <cellStyle name="Normal 8 6 3 2" xfId="3623" xr:uid="{00000000-0005-0000-0000-00004D1E0000}"/>
    <cellStyle name="Normal 8 6 3 2 2" xfId="7846" xr:uid="{00000000-0005-0000-0000-00004E1E0000}"/>
    <cellStyle name="Normal 8 6 3 2 2 2" xfId="16288" xr:uid="{1FFA3EA1-25D8-4614-8DD8-F72CADC730A4}"/>
    <cellStyle name="Normal 8 6 3 2 3" xfId="12070" xr:uid="{EC4D549C-00D6-4009-9E59-2AB52D9403BC}"/>
    <cellStyle name="Normal 8 6 3 3" xfId="5701" xr:uid="{00000000-0005-0000-0000-00004F1E0000}"/>
    <cellStyle name="Normal 8 6 3 3 2" xfId="14143" xr:uid="{915D3496-589C-4BDC-90F2-B7E0194B0367}"/>
    <cellStyle name="Normal 8 6 3 4" xfId="9925" xr:uid="{0B9C5D01-0023-4226-B83F-3252DEFB5D99}"/>
    <cellStyle name="Normal 8 6 4" xfId="1806" xr:uid="{00000000-0005-0000-0000-0000501E0000}"/>
    <cellStyle name="Normal 8 6 4 2" xfId="4036" xr:uid="{00000000-0005-0000-0000-0000511E0000}"/>
    <cellStyle name="Normal 8 6 4 2 2" xfId="8259" xr:uid="{00000000-0005-0000-0000-0000521E0000}"/>
    <cellStyle name="Normal 8 6 4 2 2 2" xfId="16701" xr:uid="{D0073BAE-2628-482A-91FD-8841BCBF391B}"/>
    <cellStyle name="Normal 8 6 4 2 3" xfId="12483" xr:uid="{DBF3FD7A-7CA9-4B9F-8602-6BA5EDBFF310}"/>
    <cellStyle name="Normal 8 6 4 3" xfId="6114" xr:uid="{00000000-0005-0000-0000-0000531E0000}"/>
    <cellStyle name="Normal 8 6 4 3 2" xfId="14556" xr:uid="{B7BEBA50-F2AF-4F0E-94B7-A52D2145B66C}"/>
    <cellStyle name="Normal 8 6 4 4" xfId="10338" xr:uid="{665EAD31-001F-409A-B5E6-A6796A90F2FD}"/>
    <cellStyle name="Normal 8 6 5" xfId="2220" xr:uid="{00000000-0005-0000-0000-0000541E0000}"/>
    <cellStyle name="Normal 8 6 5 2" xfId="4449" xr:uid="{00000000-0005-0000-0000-0000551E0000}"/>
    <cellStyle name="Normal 8 6 5 2 2" xfId="8672" xr:uid="{00000000-0005-0000-0000-0000561E0000}"/>
    <cellStyle name="Normal 8 6 5 2 2 2" xfId="17114" xr:uid="{62B715F2-51B3-4893-8774-90ACD44EBAB9}"/>
    <cellStyle name="Normal 8 6 5 2 3" xfId="12896" xr:uid="{F5B4E9A5-5DAF-4332-8D7C-4BA284051BE8}"/>
    <cellStyle name="Normal 8 6 5 3" xfId="6527" xr:uid="{00000000-0005-0000-0000-0000571E0000}"/>
    <cellStyle name="Normal 8 6 5 3 2" xfId="14969" xr:uid="{CF93F7B9-8B50-4268-B46F-8B3DB207240A}"/>
    <cellStyle name="Normal 8 6 5 4" xfId="10751" xr:uid="{0AFA8433-4A1C-481E-B5FD-E8EBDF3818EF}"/>
    <cellStyle name="Normal 8 6 6" xfId="2656" xr:uid="{00000000-0005-0000-0000-0000581E0000}"/>
    <cellStyle name="Normal 8 6 6 2" xfId="6940" xr:uid="{00000000-0005-0000-0000-0000591E0000}"/>
    <cellStyle name="Normal 8 6 6 2 2" xfId="15382" xr:uid="{0EA40AA6-C2B8-4580-BC39-E11D578B2133}"/>
    <cellStyle name="Normal 8 6 6 3" xfId="11164" xr:uid="{BBD3B2B6-2B46-4747-97F9-669262C72D3D}"/>
    <cellStyle name="Normal 8 6 7" xfId="4875" xr:uid="{00000000-0005-0000-0000-00005A1E0000}"/>
    <cellStyle name="Normal 8 6 7 2" xfId="13317" xr:uid="{79CB8C42-DC58-4886-8DD3-7954F1257F17}"/>
    <cellStyle name="Normal 8 6 8" xfId="9099" xr:uid="{628DEAA8-7CEF-48D0-AEC8-7D5565C089DA}"/>
    <cellStyle name="Normal 8 7" xfId="945" xr:uid="{00000000-0005-0000-0000-00005B1E0000}"/>
    <cellStyle name="Normal 8 7 2" xfId="3179" xr:uid="{00000000-0005-0000-0000-00005C1E0000}"/>
    <cellStyle name="Normal 8 7 2 2" xfId="7402" xr:uid="{00000000-0005-0000-0000-00005D1E0000}"/>
    <cellStyle name="Normal 8 7 2 2 2" xfId="15844" xr:uid="{64CDA32B-C196-4649-A121-1CAD2B876BFF}"/>
    <cellStyle name="Normal 8 7 2 3" xfId="11626" xr:uid="{24B00AE7-5C1E-43FC-82D2-906E448E9C86}"/>
    <cellStyle name="Normal 8 7 3" xfId="5257" xr:uid="{00000000-0005-0000-0000-00005E1E0000}"/>
    <cellStyle name="Normal 8 7 3 2" xfId="13699" xr:uid="{2D8FF87E-E5AD-47AA-B0FA-A4D5ABF71B12}"/>
    <cellStyle name="Normal 8 7 4" xfId="9481" xr:uid="{6A672CED-EAFE-41BB-8B98-6B54517D6721}"/>
    <cellStyle name="Normal 8 8" xfId="1362" xr:uid="{00000000-0005-0000-0000-00005F1E0000}"/>
    <cellStyle name="Normal 8 8 2" xfId="3592" xr:uid="{00000000-0005-0000-0000-0000601E0000}"/>
    <cellStyle name="Normal 8 8 2 2" xfId="7815" xr:uid="{00000000-0005-0000-0000-0000611E0000}"/>
    <cellStyle name="Normal 8 8 2 2 2" xfId="16257" xr:uid="{5E62591D-EEC1-4888-BC30-4EE6800C193A}"/>
    <cellStyle name="Normal 8 8 2 3" xfId="12039" xr:uid="{C1B39982-4B74-456A-90ED-A706E9B8E515}"/>
    <cellStyle name="Normal 8 8 3" xfId="5670" xr:uid="{00000000-0005-0000-0000-0000621E0000}"/>
    <cellStyle name="Normal 8 8 3 2" xfId="14112" xr:uid="{8FE7B4D2-3A38-415A-9663-71DBF6B7789A}"/>
    <cellStyle name="Normal 8 8 4" xfId="9894" xr:uid="{DDB79115-5FCF-47AD-97C6-2A12D455D58C}"/>
    <cellStyle name="Normal 8 9" xfId="1775" xr:uid="{00000000-0005-0000-0000-0000631E0000}"/>
    <cellStyle name="Normal 8 9 2" xfId="4005" xr:uid="{00000000-0005-0000-0000-0000641E0000}"/>
    <cellStyle name="Normal 8 9 2 2" xfId="8228" xr:uid="{00000000-0005-0000-0000-0000651E0000}"/>
    <cellStyle name="Normal 8 9 2 2 2" xfId="16670" xr:uid="{D20E10F3-5561-4DE4-8416-C43F31DA3371}"/>
    <cellStyle name="Normal 8 9 2 3" xfId="12452" xr:uid="{8D9E7F38-B653-4BA5-AB43-8D05136CC2FC}"/>
    <cellStyle name="Normal 8 9 3" xfId="6083" xr:uid="{00000000-0005-0000-0000-0000661E0000}"/>
    <cellStyle name="Normal 8 9 3 2" xfId="14525" xr:uid="{74C6C0FF-382A-4500-A0D0-192BD27A8123}"/>
    <cellStyle name="Normal 8 9 4" xfId="10307" xr:uid="{C766C195-20C9-40A1-9EEB-7BD65910D17C}"/>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15383" xr:uid="{46AEA4C3-1D67-496B-89F5-0609DCCF8D29}"/>
    <cellStyle name="Normal 9 2 10 3" xfId="11165" xr:uid="{50822F0F-C463-4A3E-94EA-F7F27894A698}"/>
    <cellStyle name="Normal 9 2 11" xfId="4876" xr:uid="{00000000-0005-0000-0000-00006B1E0000}"/>
    <cellStyle name="Normal 9 2 11 2" xfId="13318" xr:uid="{80ED7DAA-ED29-46CA-AB23-894E82023D50}"/>
    <cellStyle name="Normal 9 2 12" xfId="9100" xr:uid="{9A486210-0955-409A-8CBD-0326DBC8E7F4}"/>
    <cellStyle name="Normal 9 2 2" xfId="512" xr:uid="{00000000-0005-0000-0000-00006C1E0000}"/>
    <cellStyle name="Normal 9 2 2 10" xfId="4877" xr:uid="{00000000-0005-0000-0000-00006D1E0000}"/>
    <cellStyle name="Normal 9 2 2 10 2" xfId="13319" xr:uid="{D5E02CC7-C1D8-4A16-B074-29DD59224838}"/>
    <cellStyle name="Normal 9 2 2 11" xfId="9101" xr:uid="{D9105DB7-B9D0-4F97-8C01-9CB9100A40F2}"/>
    <cellStyle name="Normal 9 2 2 2" xfId="513" xr:uid="{00000000-0005-0000-0000-00006E1E0000}"/>
    <cellStyle name="Normal 9 2 2 2 10" xfId="9102" xr:uid="{69EF8621-6378-4199-A05D-571373194448}"/>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15880" xr:uid="{46B1F1BF-6BEE-4968-BA23-5064607DDA8E}"/>
    <cellStyle name="Normal 9 2 2 2 2 2 2 2 3" xfId="11662" xr:uid="{A026A50F-C0AF-4D4F-85DD-4CA5420B35C9}"/>
    <cellStyle name="Normal 9 2 2 2 2 2 2 3" xfId="5293" xr:uid="{00000000-0005-0000-0000-0000741E0000}"/>
    <cellStyle name="Normal 9 2 2 2 2 2 2 3 2" xfId="13735" xr:uid="{ADF96FA9-8463-47EC-BAE6-14CD8D70A008}"/>
    <cellStyle name="Normal 9 2 2 2 2 2 2 4" xfId="9517" xr:uid="{6F23F0B9-673A-472A-A803-8545EF216C7B}"/>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16293" xr:uid="{1B3B271A-FFAC-4CE2-884F-7BA7B1180666}"/>
    <cellStyle name="Normal 9 2 2 2 2 2 3 2 3" xfId="12075" xr:uid="{C3766DAD-A1A2-477C-BF02-4A90ED029304}"/>
    <cellStyle name="Normal 9 2 2 2 2 2 3 3" xfId="5706" xr:uid="{00000000-0005-0000-0000-0000781E0000}"/>
    <cellStyle name="Normal 9 2 2 2 2 2 3 3 2" xfId="14148" xr:uid="{FDE7DEE2-F641-4C42-9D2B-4A38916DE0F4}"/>
    <cellStyle name="Normal 9 2 2 2 2 2 3 4" xfId="9930" xr:uid="{EAAC272F-7C70-4062-BEC3-00F73608D9B2}"/>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16706" xr:uid="{FD3E84D4-01BC-4277-BA68-87E4916C8742}"/>
    <cellStyle name="Normal 9 2 2 2 2 2 4 2 3" xfId="12488" xr:uid="{EDB7888F-C7A7-4DFF-9EEF-898E4F7FD0A9}"/>
    <cellStyle name="Normal 9 2 2 2 2 2 4 3" xfId="6119" xr:uid="{00000000-0005-0000-0000-00007C1E0000}"/>
    <cellStyle name="Normal 9 2 2 2 2 2 4 3 2" xfId="14561" xr:uid="{D5802D46-6976-4D3C-8A39-2E0D5394DA98}"/>
    <cellStyle name="Normal 9 2 2 2 2 2 4 4" xfId="10343" xr:uid="{1619ABC5-9331-4A87-AFE6-F615D4AD3E6E}"/>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17119" xr:uid="{B125459E-90D4-44D6-B918-651A37762DB6}"/>
    <cellStyle name="Normal 9 2 2 2 2 2 5 2 3" xfId="12901" xr:uid="{2A485AB1-83D1-40FD-BB73-E523A1E7E603}"/>
    <cellStyle name="Normal 9 2 2 2 2 2 5 3" xfId="6532" xr:uid="{00000000-0005-0000-0000-0000801E0000}"/>
    <cellStyle name="Normal 9 2 2 2 2 2 5 3 2" xfId="14974" xr:uid="{949622C0-12A1-4C6D-84F2-7089B95C2FCB}"/>
    <cellStyle name="Normal 9 2 2 2 2 2 5 4" xfId="10756" xr:uid="{0C08A93B-28D8-4D2E-998C-B451C2DD21E7}"/>
    <cellStyle name="Normal 9 2 2 2 2 2 6" xfId="2661" xr:uid="{00000000-0005-0000-0000-0000811E0000}"/>
    <cellStyle name="Normal 9 2 2 2 2 2 6 2" xfId="6945" xr:uid="{00000000-0005-0000-0000-0000821E0000}"/>
    <cellStyle name="Normal 9 2 2 2 2 2 6 2 2" xfId="15387" xr:uid="{01B0FB02-580B-4730-A9A4-1C12B50C4F6D}"/>
    <cellStyle name="Normal 9 2 2 2 2 2 6 3" xfId="11169" xr:uid="{75996351-83F7-4D90-9493-82AA54AED9F8}"/>
    <cellStyle name="Normal 9 2 2 2 2 2 7" xfId="4880" xr:uid="{00000000-0005-0000-0000-0000831E0000}"/>
    <cellStyle name="Normal 9 2 2 2 2 2 7 2" xfId="13322" xr:uid="{BC4ABCCC-7101-4CE4-BBD1-F05401B3C71B}"/>
    <cellStyle name="Normal 9 2 2 2 2 2 8" xfId="9104" xr:uid="{C813E428-ADDA-41D9-8425-2F90DDB59223}"/>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15879" xr:uid="{8C689132-CD6B-4D09-91C3-7BE366D64FF8}"/>
    <cellStyle name="Normal 9 2 2 2 2 3 2 3" xfId="11661" xr:uid="{BAF6A5B9-0CE9-45DF-A19F-27CC45CF83FB}"/>
    <cellStyle name="Normal 9 2 2 2 2 3 3" xfId="5292" xr:uid="{00000000-0005-0000-0000-0000871E0000}"/>
    <cellStyle name="Normal 9 2 2 2 2 3 3 2" xfId="13734" xr:uid="{729D1733-2D34-460B-BE79-CFD8B20D1614}"/>
    <cellStyle name="Normal 9 2 2 2 2 3 4" xfId="9516" xr:uid="{97893962-55BC-41C8-89DA-6AAF8259BF08}"/>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16292" xr:uid="{999C60E0-5243-4FB2-9C2A-B8E9DEC73125}"/>
    <cellStyle name="Normal 9 2 2 2 2 4 2 3" xfId="12074" xr:uid="{8BAD7098-12CC-4FF5-87AC-961E7741DB17}"/>
    <cellStyle name="Normal 9 2 2 2 2 4 3" xfId="5705" xr:uid="{00000000-0005-0000-0000-00008B1E0000}"/>
    <cellStyle name="Normal 9 2 2 2 2 4 3 2" xfId="14147" xr:uid="{C4E215AB-F7A0-4E73-A279-AA218461C3F6}"/>
    <cellStyle name="Normal 9 2 2 2 2 4 4" xfId="9929" xr:uid="{59C12B7A-4F19-4EFC-9EFB-18D7A0F9389D}"/>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16705" xr:uid="{7784F129-3F57-4294-A512-77FF4956AF98}"/>
    <cellStyle name="Normal 9 2 2 2 2 5 2 3" xfId="12487" xr:uid="{C4E71E9B-E953-405B-AEA3-73814D981709}"/>
    <cellStyle name="Normal 9 2 2 2 2 5 3" xfId="6118" xr:uid="{00000000-0005-0000-0000-00008F1E0000}"/>
    <cellStyle name="Normal 9 2 2 2 2 5 3 2" xfId="14560" xr:uid="{B9BFD26E-30AA-4DEB-B475-6F6CAEC0C191}"/>
    <cellStyle name="Normal 9 2 2 2 2 5 4" xfId="10342" xr:uid="{0C3A6226-F9EF-4D86-A620-601B3AD87913}"/>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17118" xr:uid="{7EDB29F2-BB21-43BC-A581-820EC7216766}"/>
    <cellStyle name="Normal 9 2 2 2 2 6 2 3" xfId="12900" xr:uid="{7139B618-AA28-4E1E-A0E4-22D41A978606}"/>
    <cellStyle name="Normal 9 2 2 2 2 6 3" xfId="6531" xr:uid="{00000000-0005-0000-0000-0000931E0000}"/>
    <cellStyle name="Normal 9 2 2 2 2 6 3 2" xfId="14973" xr:uid="{5F63E810-61B5-48F2-A7A1-095F1F5ED568}"/>
    <cellStyle name="Normal 9 2 2 2 2 6 4" xfId="10755" xr:uid="{7D81E34C-77E5-42EA-8452-DD3515D2C315}"/>
    <cellStyle name="Normal 9 2 2 2 2 7" xfId="2660" xr:uid="{00000000-0005-0000-0000-0000941E0000}"/>
    <cellStyle name="Normal 9 2 2 2 2 7 2" xfId="6944" xr:uid="{00000000-0005-0000-0000-0000951E0000}"/>
    <cellStyle name="Normal 9 2 2 2 2 7 2 2" xfId="15386" xr:uid="{B1FB0222-D251-4483-8903-7240AB8BEDFB}"/>
    <cellStyle name="Normal 9 2 2 2 2 7 3" xfId="11168" xr:uid="{E8023F94-42AA-4C4F-869E-7CA942E0F056}"/>
    <cellStyle name="Normal 9 2 2 2 2 8" xfId="4879" xr:uid="{00000000-0005-0000-0000-0000961E0000}"/>
    <cellStyle name="Normal 9 2 2 2 2 8 2" xfId="13321" xr:uid="{77D167E7-DFFE-47B8-B13E-1322014D4FD6}"/>
    <cellStyle name="Normal 9 2 2 2 2 9" xfId="9103" xr:uid="{9B1F99EB-CDCD-42B1-A2DC-4B010772E648}"/>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15881" xr:uid="{40C992DC-82E2-47C7-92FE-8B64654107B2}"/>
    <cellStyle name="Normal 9 2 2 2 3 2 2 3" xfId="11663" xr:uid="{BA1CA338-C3E9-40BD-89DF-6F4EAE103465}"/>
    <cellStyle name="Normal 9 2 2 2 3 2 3" xfId="5294" xr:uid="{00000000-0005-0000-0000-00009B1E0000}"/>
    <cellStyle name="Normal 9 2 2 2 3 2 3 2" xfId="13736" xr:uid="{D89A045A-0888-4AD4-AA38-2F5A1B763049}"/>
    <cellStyle name="Normal 9 2 2 2 3 2 4" xfId="9518" xr:uid="{FBFDC9EC-DAEF-4442-AC7F-CE60F9A1455E}"/>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16294" xr:uid="{AF39CC96-5F53-4BA4-93A3-B2EC5B626DE3}"/>
    <cellStyle name="Normal 9 2 2 2 3 3 2 3" xfId="12076" xr:uid="{4F1C2B5A-7326-4FF8-873C-4084E0A57747}"/>
    <cellStyle name="Normal 9 2 2 2 3 3 3" xfId="5707" xr:uid="{00000000-0005-0000-0000-00009F1E0000}"/>
    <cellStyle name="Normal 9 2 2 2 3 3 3 2" xfId="14149" xr:uid="{51653602-4C7E-4F5C-96BA-BCB41D71B29C}"/>
    <cellStyle name="Normal 9 2 2 2 3 3 4" xfId="9931" xr:uid="{D4D468A8-4504-445C-A2BA-903643AE3816}"/>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16707" xr:uid="{E9FB6E6B-ECA6-49D2-8495-4C42D1736F69}"/>
    <cellStyle name="Normal 9 2 2 2 3 4 2 3" xfId="12489" xr:uid="{DF47961C-0EA0-44AC-84C6-8CB59ADD1CB6}"/>
    <cellStyle name="Normal 9 2 2 2 3 4 3" xfId="6120" xr:uid="{00000000-0005-0000-0000-0000A31E0000}"/>
    <cellStyle name="Normal 9 2 2 2 3 4 3 2" xfId="14562" xr:uid="{6A48EAF1-A7E0-4FB5-8C48-10A805213A72}"/>
    <cellStyle name="Normal 9 2 2 2 3 4 4" xfId="10344" xr:uid="{A6D98705-C320-41F5-ADD0-FA9FE7B56438}"/>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17120" xr:uid="{562E4C0A-3A07-4FAD-AC5D-D5763FBDCD34}"/>
    <cellStyle name="Normal 9 2 2 2 3 5 2 3" xfId="12902" xr:uid="{47CD1AC9-4439-4607-ADEF-529F376338DE}"/>
    <cellStyle name="Normal 9 2 2 2 3 5 3" xfId="6533" xr:uid="{00000000-0005-0000-0000-0000A71E0000}"/>
    <cellStyle name="Normal 9 2 2 2 3 5 3 2" xfId="14975" xr:uid="{F83AF12A-D83E-4697-BEB1-0E7643DD74F2}"/>
    <cellStyle name="Normal 9 2 2 2 3 5 4" xfId="10757" xr:uid="{5FFAD08A-0826-4CD1-832B-EB4286231C05}"/>
    <cellStyle name="Normal 9 2 2 2 3 6" xfId="2662" xr:uid="{00000000-0005-0000-0000-0000A81E0000}"/>
    <cellStyle name="Normal 9 2 2 2 3 6 2" xfId="6946" xr:uid="{00000000-0005-0000-0000-0000A91E0000}"/>
    <cellStyle name="Normal 9 2 2 2 3 6 2 2" xfId="15388" xr:uid="{B14BA86E-A8E3-47BA-A886-B178E202A55A}"/>
    <cellStyle name="Normal 9 2 2 2 3 6 3" xfId="11170" xr:uid="{C142FF93-FDFD-4867-AABE-EB8F5C6EBA0F}"/>
    <cellStyle name="Normal 9 2 2 2 3 7" xfId="4881" xr:uid="{00000000-0005-0000-0000-0000AA1E0000}"/>
    <cellStyle name="Normal 9 2 2 2 3 7 2" xfId="13323" xr:uid="{A04ACB7B-CCBC-49BC-9008-35453F1695D2}"/>
    <cellStyle name="Normal 9 2 2 2 3 8" xfId="9105" xr:uid="{F3AE6F6C-95C5-4413-A119-1842896A1534}"/>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15878" xr:uid="{2002DE53-B4D1-4E52-BA9C-EF68B27834FB}"/>
    <cellStyle name="Normal 9 2 2 2 4 2 3" xfId="11660" xr:uid="{96C0069B-3A76-4929-8629-97E67C61D59F}"/>
    <cellStyle name="Normal 9 2 2 2 4 3" xfId="5291" xr:uid="{00000000-0005-0000-0000-0000AE1E0000}"/>
    <cellStyle name="Normal 9 2 2 2 4 3 2" xfId="13733" xr:uid="{14CEF7C7-33A5-4623-9886-5E8B2BD9D905}"/>
    <cellStyle name="Normal 9 2 2 2 4 4" xfId="9515" xr:uid="{8A7EA6B6-7483-499F-BDBD-33F087988D49}"/>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16291" xr:uid="{DDF92F05-E227-4113-97EB-7A0A738AF551}"/>
    <cellStyle name="Normal 9 2 2 2 5 2 3" xfId="12073" xr:uid="{331D5D29-03FD-4772-9AA3-A69D2D4A6C6C}"/>
    <cellStyle name="Normal 9 2 2 2 5 3" xfId="5704" xr:uid="{00000000-0005-0000-0000-0000B21E0000}"/>
    <cellStyle name="Normal 9 2 2 2 5 3 2" xfId="14146" xr:uid="{DC922593-FD63-4AB8-A19E-DD893FCABEB4}"/>
    <cellStyle name="Normal 9 2 2 2 5 4" xfId="9928" xr:uid="{57E8671D-D7A8-4C3F-A8B3-731A6E56DBB1}"/>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16704" xr:uid="{AD519C5E-9952-4365-9016-A3B8341C33E4}"/>
    <cellStyle name="Normal 9 2 2 2 6 2 3" xfId="12486" xr:uid="{83DF0067-2EC8-4AAB-98DD-728D13E09E1C}"/>
    <cellStyle name="Normal 9 2 2 2 6 3" xfId="6117" xr:uid="{00000000-0005-0000-0000-0000B61E0000}"/>
    <cellStyle name="Normal 9 2 2 2 6 3 2" xfId="14559" xr:uid="{A2C5CDF9-7BE4-49DF-A403-61419A5DB59D}"/>
    <cellStyle name="Normal 9 2 2 2 6 4" xfId="10341" xr:uid="{FA4E2A9D-A075-41B0-9036-EA9CD58AFC04}"/>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17117" xr:uid="{AD90D9F9-CA50-4FAA-8E6B-12CCAED51148}"/>
    <cellStyle name="Normal 9 2 2 2 7 2 3" xfId="12899" xr:uid="{5851A3AC-5FAE-4512-ACC3-829F47B7592A}"/>
    <cellStyle name="Normal 9 2 2 2 7 3" xfId="6530" xr:uid="{00000000-0005-0000-0000-0000BA1E0000}"/>
    <cellStyle name="Normal 9 2 2 2 7 3 2" xfId="14972" xr:uid="{AEE1FD02-B5CD-4AEE-B6B1-7BF75872AC64}"/>
    <cellStyle name="Normal 9 2 2 2 7 4" xfId="10754" xr:uid="{3E0CCEC4-7EAA-4B76-89FD-EC004821F283}"/>
    <cellStyle name="Normal 9 2 2 2 8" xfId="2659" xr:uid="{00000000-0005-0000-0000-0000BB1E0000}"/>
    <cellStyle name="Normal 9 2 2 2 8 2" xfId="6943" xr:uid="{00000000-0005-0000-0000-0000BC1E0000}"/>
    <cellStyle name="Normal 9 2 2 2 8 2 2" xfId="15385" xr:uid="{EDDB8E81-FFF4-474D-80B3-E30D2A4AE87B}"/>
    <cellStyle name="Normal 9 2 2 2 8 3" xfId="11167" xr:uid="{FFA6502B-0C4E-4032-BCE2-F8C8537F2499}"/>
    <cellStyle name="Normal 9 2 2 2 9" xfId="4878" xr:uid="{00000000-0005-0000-0000-0000BD1E0000}"/>
    <cellStyle name="Normal 9 2 2 2 9 2" xfId="13320" xr:uid="{0B28F0F7-A40A-426D-B63A-3622FC9E09CD}"/>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15883" xr:uid="{7A603293-9F9B-4DBC-9E17-A6F772E3402A}"/>
    <cellStyle name="Normal 9 2 2 3 2 2 2 3" xfId="11665" xr:uid="{8931EAE4-B562-46BE-8148-4F25FD16FDD4}"/>
    <cellStyle name="Normal 9 2 2 3 2 2 3" xfId="5296" xr:uid="{00000000-0005-0000-0000-0000C31E0000}"/>
    <cellStyle name="Normal 9 2 2 3 2 2 3 2" xfId="13738" xr:uid="{4CB6DB3A-82C1-4F1D-B373-E2DD461F926B}"/>
    <cellStyle name="Normal 9 2 2 3 2 2 4" xfId="9520" xr:uid="{1C74FF34-FB02-4CEA-A92D-344A94ADE9FA}"/>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16296" xr:uid="{CAD798ED-E6B0-4C63-B160-C2B0EEDCC57B}"/>
    <cellStyle name="Normal 9 2 2 3 2 3 2 3" xfId="12078" xr:uid="{C380A2DF-D29C-4B0A-8707-73B5C00840B5}"/>
    <cellStyle name="Normal 9 2 2 3 2 3 3" xfId="5709" xr:uid="{00000000-0005-0000-0000-0000C71E0000}"/>
    <cellStyle name="Normal 9 2 2 3 2 3 3 2" xfId="14151" xr:uid="{30C5E412-4928-4531-9709-94DDDB95F58F}"/>
    <cellStyle name="Normal 9 2 2 3 2 3 4" xfId="9933" xr:uid="{FF23E471-4609-45A2-A8BD-BBD04D1F7F2D}"/>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16709" xr:uid="{3AAD945C-42EB-4033-A61D-C05073DBD56C}"/>
    <cellStyle name="Normal 9 2 2 3 2 4 2 3" xfId="12491" xr:uid="{89C4B6DE-9C24-4E85-A499-82479332C506}"/>
    <cellStyle name="Normal 9 2 2 3 2 4 3" xfId="6122" xr:uid="{00000000-0005-0000-0000-0000CB1E0000}"/>
    <cellStyle name="Normal 9 2 2 3 2 4 3 2" xfId="14564" xr:uid="{87224B5A-E394-4D78-AEFA-53C5E4B534C1}"/>
    <cellStyle name="Normal 9 2 2 3 2 4 4" xfId="10346" xr:uid="{44B6E648-BD21-4D01-8488-F27F14E80B21}"/>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17122" xr:uid="{B2EAAC17-9073-49B3-BE41-6FB97E236B61}"/>
    <cellStyle name="Normal 9 2 2 3 2 5 2 3" xfId="12904" xr:uid="{BE1156EF-E61E-49A8-8F5B-02C040B87D89}"/>
    <cellStyle name="Normal 9 2 2 3 2 5 3" xfId="6535" xr:uid="{00000000-0005-0000-0000-0000CF1E0000}"/>
    <cellStyle name="Normal 9 2 2 3 2 5 3 2" xfId="14977" xr:uid="{BEAC18E0-4C60-4BC6-89D1-930D542AD565}"/>
    <cellStyle name="Normal 9 2 2 3 2 5 4" xfId="10759" xr:uid="{21F248AE-D4EC-42EA-8B03-049EC762E114}"/>
    <cellStyle name="Normal 9 2 2 3 2 6" xfId="2664" xr:uid="{00000000-0005-0000-0000-0000D01E0000}"/>
    <cellStyle name="Normal 9 2 2 3 2 6 2" xfId="6948" xr:uid="{00000000-0005-0000-0000-0000D11E0000}"/>
    <cellStyle name="Normal 9 2 2 3 2 6 2 2" xfId="15390" xr:uid="{82897CB4-FD02-401B-9A5A-B0FC6D044A74}"/>
    <cellStyle name="Normal 9 2 2 3 2 6 3" xfId="11172" xr:uid="{EAD7C2A0-9D60-4192-871F-8CDB3983B041}"/>
    <cellStyle name="Normal 9 2 2 3 2 7" xfId="4883" xr:uid="{00000000-0005-0000-0000-0000D21E0000}"/>
    <cellStyle name="Normal 9 2 2 3 2 7 2" xfId="13325" xr:uid="{35BF2677-EF44-449F-919A-0E63AE29F6BE}"/>
    <cellStyle name="Normal 9 2 2 3 2 8" xfId="9107" xr:uid="{0A2F9FE3-8583-492F-9AE1-D01BDF7E53FF}"/>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15882" xr:uid="{52E2D2AD-3476-4669-A972-132296A5BCF2}"/>
    <cellStyle name="Normal 9 2 2 3 3 2 3" xfId="11664" xr:uid="{EA93CAB8-738C-4832-9A26-1C627D98CAD2}"/>
    <cellStyle name="Normal 9 2 2 3 3 3" xfId="5295" xr:uid="{00000000-0005-0000-0000-0000D61E0000}"/>
    <cellStyle name="Normal 9 2 2 3 3 3 2" xfId="13737" xr:uid="{3F3DA559-637E-4AD3-B86E-6F5197E99D84}"/>
    <cellStyle name="Normal 9 2 2 3 3 4" xfId="9519" xr:uid="{6CB7DE60-8A33-4D7B-8E7A-7EA1990FEA09}"/>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16295" xr:uid="{8A455D4D-A533-447D-A3D7-6C52F80B20FF}"/>
    <cellStyle name="Normal 9 2 2 3 4 2 3" xfId="12077" xr:uid="{FFA3C600-91BA-477F-AE23-F71AEA7BB5E8}"/>
    <cellStyle name="Normal 9 2 2 3 4 3" xfId="5708" xr:uid="{00000000-0005-0000-0000-0000DA1E0000}"/>
    <cellStyle name="Normal 9 2 2 3 4 3 2" xfId="14150" xr:uid="{12D2F3DC-F0B3-4A8C-B670-14816236B737}"/>
    <cellStyle name="Normal 9 2 2 3 4 4" xfId="9932" xr:uid="{927D4407-EE7C-498B-A979-C92A312E73FF}"/>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16708" xr:uid="{6FCE55CF-140A-484A-AA76-FDA73FC03620}"/>
    <cellStyle name="Normal 9 2 2 3 5 2 3" xfId="12490" xr:uid="{BE1CB7B1-2B09-4855-9CF8-100F9D0CB375}"/>
    <cellStyle name="Normal 9 2 2 3 5 3" xfId="6121" xr:uid="{00000000-0005-0000-0000-0000DE1E0000}"/>
    <cellStyle name="Normal 9 2 2 3 5 3 2" xfId="14563" xr:uid="{9693A190-E0B5-48C9-BCC1-D7B63D3C24DC}"/>
    <cellStyle name="Normal 9 2 2 3 5 4" xfId="10345" xr:uid="{CF598BCD-59F0-470B-892A-4196FA6482F2}"/>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17121" xr:uid="{85781947-0CAC-4F47-A961-0667E456B18C}"/>
    <cellStyle name="Normal 9 2 2 3 6 2 3" xfId="12903" xr:uid="{6F74B936-B382-4C8F-81E0-CF7E65A03E30}"/>
    <cellStyle name="Normal 9 2 2 3 6 3" xfId="6534" xr:uid="{00000000-0005-0000-0000-0000E21E0000}"/>
    <cellStyle name="Normal 9 2 2 3 6 3 2" xfId="14976" xr:uid="{0FB39545-870B-4E41-8CA8-DFD07B7B3475}"/>
    <cellStyle name="Normal 9 2 2 3 6 4" xfId="10758" xr:uid="{F6C6E429-D43A-47C5-863E-DB0266B50D96}"/>
    <cellStyle name="Normal 9 2 2 3 7" xfId="2663" xr:uid="{00000000-0005-0000-0000-0000E31E0000}"/>
    <cellStyle name="Normal 9 2 2 3 7 2" xfId="6947" xr:uid="{00000000-0005-0000-0000-0000E41E0000}"/>
    <cellStyle name="Normal 9 2 2 3 7 2 2" xfId="15389" xr:uid="{25E1DCE2-1FF8-4310-B498-D5BB751B6730}"/>
    <cellStyle name="Normal 9 2 2 3 7 3" xfId="11171" xr:uid="{64B359A6-36A9-44F8-9C46-985939F4E0D4}"/>
    <cellStyle name="Normal 9 2 2 3 8" xfId="4882" xr:uid="{00000000-0005-0000-0000-0000E51E0000}"/>
    <cellStyle name="Normal 9 2 2 3 8 2" xfId="13324" xr:uid="{7BBE2BC7-FE0B-4A67-952B-17B3FA69D6A3}"/>
    <cellStyle name="Normal 9 2 2 3 9" xfId="9106" xr:uid="{18355E8A-7140-4963-8AFC-6448B274E6C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15884" xr:uid="{5571C91F-695E-491D-84C6-9C8B7BAC85C2}"/>
    <cellStyle name="Normal 9 2 2 4 2 2 3" xfId="11666" xr:uid="{C268C4B6-DFC6-40EA-89B4-DBA1115CD62F}"/>
    <cellStyle name="Normal 9 2 2 4 2 3" xfId="5297" xr:uid="{00000000-0005-0000-0000-0000EA1E0000}"/>
    <cellStyle name="Normal 9 2 2 4 2 3 2" xfId="13739" xr:uid="{FD45C090-90FA-4625-85C5-7343DBC4E640}"/>
    <cellStyle name="Normal 9 2 2 4 2 4" xfId="9521" xr:uid="{3B85A6E4-6CF4-4B73-9AE5-024B23C794B8}"/>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16297" xr:uid="{70B26817-8958-4FEE-9B1C-96E02920C4A1}"/>
    <cellStyle name="Normal 9 2 2 4 3 2 3" xfId="12079" xr:uid="{A85F8F9B-8B3C-490D-AC54-DC6E08A453B4}"/>
    <cellStyle name="Normal 9 2 2 4 3 3" xfId="5710" xr:uid="{00000000-0005-0000-0000-0000EE1E0000}"/>
    <cellStyle name="Normal 9 2 2 4 3 3 2" xfId="14152" xr:uid="{69EC7AE3-9466-430E-AB51-F1552F3F5188}"/>
    <cellStyle name="Normal 9 2 2 4 3 4" xfId="9934" xr:uid="{F0010363-8559-4616-ADD3-E1FD5F9CE2E2}"/>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16710" xr:uid="{3253DB1F-8D69-49FC-BEDB-0CDDAFC37B0C}"/>
    <cellStyle name="Normal 9 2 2 4 4 2 3" xfId="12492" xr:uid="{51F70780-14C0-4E22-A1AD-150CB0C55D1D}"/>
    <cellStyle name="Normal 9 2 2 4 4 3" xfId="6123" xr:uid="{00000000-0005-0000-0000-0000F21E0000}"/>
    <cellStyle name="Normal 9 2 2 4 4 3 2" xfId="14565" xr:uid="{B80E9E88-A91E-4657-B70D-1C170D5494F8}"/>
    <cellStyle name="Normal 9 2 2 4 4 4" xfId="10347" xr:uid="{C55C1409-FFDD-4710-B955-10F8308679B0}"/>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17123" xr:uid="{FD21665E-D6AA-4BA5-BAE9-06CE0F7E1A01}"/>
    <cellStyle name="Normal 9 2 2 4 5 2 3" xfId="12905" xr:uid="{C2D3271E-C6E0-4590-8DA1-5FCC2E658B1B}"/>
    <cellStyle name="Normal 9 2 2 4 5 3" xfId="6536" xr:uid="{00000000-0005-0000-0000-0000F61E0000}"/>
    <cellStyle name="Normal 9 2 2 4 5 3 2" xfId="14978" xr:uid="{D49B319D-010B-4794-BCFB-58C4DEF914FE}"/>
    <cellStyle name="Normal 9 2 2 4 5 4" xfId="10760" xr:uid="{023B623A-CD28-4EEA-B27C-AB33F2A2E150}"/>
    <cellStyle name="Normal 9 2 2 4 6" xfId="2665" xr:uid="{00000000-0005-0000-0000-0000F71E0000}"/>
    <cellStyle name="Normal 9 2 2 4 6 2" xfId="6949" xr:uid="{00000000-0005-0000-0000-0000F81E0000}"/>
    <cellStyle name="Normal 9 2 2 4 6 2 2" xfId="15391" xr:uid="{7D2FFF81-70D0-4F50-88CC-30DB764A172D}"/>
    <cellStyle name="Normal 9 2 2 4 6 3" xfId="11173" xr:uid="{C55A931F-6771-4709-8195-BCD1A361650A}"/>
    <cellStyle name="Normal 9 2 2 4 7" xfId="4884" xr:uid="{00000000-0005-0000-0000-0000F91E0000}"/>
    <cellStyle name="Normal 9 2 2 4 7 2" xfId="13326" xr:uid="{E6D2B22D-F6D2-414B-B780-6C6C13535210}"/>
    <cellStyle name="Normal 9 2 2 4 8" xfId="9108" xr:uid="{73D2E096-2467-435A-B353-13E55240194C}"/>
    <cellStyle name="Normal 9 2 2 5" xfId="979" xr:uid="{00000000-0005-0000-0000-0000FA1E0000}"/>
    <cellStyle name="Normal 9 2 2 5 2" xfId="3212" xr:uid="{00000000-0005-0000-0000-0000FB1E0000}"/>
    <cellStyle name="Normal 9 2 2 5 2 2" xfId="7435" xr:uid="{00000000-0005-0000-0000-0000FC1E0000}"/>
    <cellStyle name="Normal 9 2 2 5 2 2 2" xfId="15877" xr:uid="{233E2817-D17F-4572-A57B-B339DD8969C0}"/>
    <cellStyle name="Normal 9 2 2 5 2 3" xfId="11659" xr:uid="{5A3A910F-A8EA-4E7C-8098-D0C4A06870B3}"/>
    <cellStyle name="Normal 9 2 2 5 3" xfId="5290" xr:uid="{00000000-0005-0000-0000-0000FD1E0000}"/>
    <cellStyle name="Normal 9 2 2 5 3 2" xfId="13732" xr:uid="{FBCE46A3-CFF8-4E9C-AB78-223D237D07D2}"/>
    <cellStyle name="Normal 9 2 2 5 4" xfId="9514" xr:uid="{9505EEE9-00FD-4C60-BD90-9FB4E0FBB935}"/>
    <cellStyle name="Normal 9 2 2 6" xfId="1395" xr:uid="{00000000-0005-0000-0000-0000FE1E0000}"/>
    <cellStyle name="Normal 9 2 2 6 2" xfId="3625" xr:uid="{00000000-0005-0000-0000-0000FF1E0000}"/>
    <cellStyle name="Normal 9 2 2 6 2 2" xfId="7848" xr:uid="{00000000-0005-0000-0000-0000001F0000}"/>
    <cellStyle name="Normal 9 2 2 6 2 2 2" xfId="16290" xr:uid="{9DDDDD51-107A-4BA7-95CA-A1F9D3C82809}"/>
    <cellStyle name="Normal 9 2 2 6 2 3" xfId="12072" xr:uid="{8D39B1B1-0DD7-477E-8804-EB82C284D581}"/>
    <cellStyle name="Normal 9 2 2 6 3" xfId="5703" xr:uid="{00000000-0005-0000-0000-0000011F0000}"/>
    <cellStyle name="Normal 9 2 2 6 3 2" xfId="14145" xr:uid="{23F2F487-8A3D-45A9-A322-A6702305F9A6}"/>
    <cellStyle name="Normal 9 2 2 6 4" xfId="9927" xr:uid="{4AF3684A-56DF-4BFB-B655-2568861AAC6C}"/>
    <cellStyle name="Normal 9 2 2 7" xfId="1808" xr:uid="{00000000-0005-0000-0000-0000021F0000}"/>
    <cellStyle name="Normal 9 2 2 7 2" xfId="4038" xr:uid="{00000000-0005-0000-0000-0000031F0000}"/>
    <cellStyle name="Normal 9 2 2 7 2 2" xfId="8261" xr:uid="{00000000-0005-0000-0000-0000041F0000}"/>
    <cellStyle name="Normal 9 2 2 7 2 2 2" xfId="16703" xr:uid="{61A2A0BF-34E3-4A17-81CE-B9C6EF423896}"/>
    <cellStyle name="Normal 9 2 2 7 2 3" xfId="12485" xr:uid="{5E746E9E-0615-4F30-AD49-D430324ACBE6}"/>
    <cellStyle name="Normal 9 2 2 7 3" xfId="6116" xr:uid="{00000000-0005-0000-0000-0000051F0000}"/>
    <cellStyle name="Normal 9 2 2 7 3 2" xfId="14558" xr:uid="{07B3BC14-FF88-42B2-938C-D02A6364F282}"/>
    <cellStyle name="Normal 9 2 2 7 4" xfId="10340" xr:uid="{3162E069-600A-4364-878C-F10F6116A41F}"/>
    <cellStyle name="Normal 9 2 2 8" xfId="2222" xr:uid="{00000000-0005-0000-0000-0000061F0000}"/>
    <cellStyle name="Normal 9 2 2 8 2" xfId="4451" xr:uid="{00000000-0005-0000-0000-0000071F0000}"/>
    <cellStyle name="Normal 9 2 2 8 2 2" xfId="8674" xr:uid="{00000000-0005-0000-0000-0000081F0000}"/>
    <cellStyle name="Normal 9 2 2 8 2 2 2" xfId="17116" xr:uid="{E776E45D-3C91-4270-9BFF-EB6125A4EF56}"/>
    <cellStyle name="Normal 9 2 2 8 2 3" xfId="12898" xr:uid="{6D7FDE65-B6D1-444C-8386-F823F3F5BF36}"/>
    <cellStyle name="Normal 9 2 2 8 3" xfId="6529" xr:uid="{00000000-0005-0000-0000-0000091F0000}"/>
    <cellStyle name="Normal 9 2 2 8 3 2" xfId="14971" xr:uid="{E2A4D3D9-77B9-4A10-AB63-0C02B298CCC8}"/>
    <cellStyle name="Normal 9 2 2 8 4" xfId="10753" xr:uid="{AE4B1849-DE56-4AD0-B05B-DDF29385F53E}"/>
    <cellStyle name="Normal 9 2 2 9" xfId="2658" xr:uid="{00000000-0005-0000-0000-00000A1F0000}"/>
    <cellStyle name="Normal 9 2 2 9 2" xfId="6942" xr:uid="{00000000-0005-0000-0000-00000B1F0000}"/>
    <cellStyle name="Normal 9 2 2 9 2 2" xfId="15384" xr:uid="{29310099-6631-4CC5-860D-25C0DE88A1FE}"/>
    <cellStyle name="Normal 9 2 2 9 3" xfId="11166" xr:uid="{1F245B4D-B495-43C4-AA18-CCDED43AC9E1}"/>
    <cellStyle name="Normal 9 2 3" xfId="520" xr:uid="{00000000-0005-0000-0000-00000C1F0000}"/>
    <cellStyle name="Normal 9 2 3 10" xfId="9109" xr:uid="{B2B61503-112C-4F11-A22F-C68BAB1E928E}"/>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15887" xr:uid="{BB688C17-D836-4B27-8088-C67CE3A022B5}"/>
    <cellStyle name="Normal 9 2 3 2 2 2 2 3" xfId="11669" xr:uid="{84294500-FA94-4F1D-B849-4B82436E88EE}"/>
    <cellStyle name="Normal 9 2 3 2 2 2 3" xfId="5300" xr:uid="{00000000-0005-0000-0000-0000121F0000}"/>
    <cellStyle name="Normal 9 2 3 2 2 2 3 2" xfId="13742" xr:uid="{8904263F-A330-454C-8D54-D602424C670B}"/>
    <cellStyle name="Normal 9 2 3 2 2 2 4" xfId="9524" xr:uid="{DBC73131-DD06-40F6-8888-4055A605BD6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16300" xr:uid="{8FEBAFFC-4509-44ED-9342-743B363C43C1}"/>
    <cellStyle name="Normal 9 2 3 2 2 3 2 3" xfId="12082" xr:uid="{2E41944D-CDC2-4C2B-ABBB-F07F955C5CDB}"/>
    <cellStyle name="Normal 9 2 3 2 2 3 3" xfId="5713" xr:uid="{00000000-0005-0000-0000-0000161F0000}"/>
    <cellStyle name="Normal 9 2 3 2 2 3 3 2" xfId="14155" xr:uid="{60443878-DEEE-4B30-A0F0-560D0DCE713B}"/>
    <cellStyle name="Normal 9 2 3 2 2 3 4" xfId="9937" xr:uid="{8109EE6A-2567-4D6E-AF26-077E08C5A50F}"/>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16713" xr:uid="{4487719E-AA10-407D-BAD5-85B824946E84}"/>
    <cellStyle name="Normal 9 2 3 2 2 4 2 3" xfId="12495" xr:uid="{3732B4B3-1029-442F-93A5-F5334E674292}"/>
    <cellStyle name="Normal 9 2 3 2 2 4 3" xfId="6126" xr:uid="{00000000-0005-0000-0000-00001A1F0000}"/>
    <cellStyle name="Normal 9 2 3 2 2 4 3 2" xfId="14568" xr:uid="{6F77703B-1D82-4E5D-91AF-C12AA1CD9BC2}"/>
    <cellStyle name="Normal 9 2 3 2 2 4 4" xfId="10350" xr:uid="{FB23528F-0E1D-421E-A9A8-B1B73AB5C7A6}"/>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17126" xr:uid="{809915FE-2C10-42C7-A166-B6DACFBCB612}"/>
    <cellStyle name="Normal 9 2 3 2 2 5 2 3" xfId="12908" xr:uid="{C7F90374-408E-4484-A613-5A1EF6DEC0AA}"/>
    <cellStyle name="Normal 9 2 3 2 2 5 3" xfId="6539" xr:uid="{00000000-0005-0000-0000-00001E1F0000}"/>
    <cellStyle name="Normal 9 2 3 2 2 5 3 2" xfId="14981" xr:uid="{576117B4-09A2-42AC-951E-06A8434AD726}"/>
    <cellStyle name="Normal 9 2 3 2 2 5 4" xfId="10763" xr:uid="{315EFDD9-40AA-4FDA-934F-E43B18A1D5D5}"/>
    <cellStyle name="Normal 9 2 3 2 2 6" xfId="2668" xr:uid="{00000000-0005-0000-0000-00001F1F0000}"/>
    <cellStyle name="Normal 9 2 3 2 2 6 2" xfId="6952" xr:uid="{00000000-0005-0000-0000-0000201F0000}"/>
    <cellStyle name="Normal 9 2 3 2 2 6 2 2" xfId="15394" xr:uid="{1B269D33-AABB-455E-82C3-D7FAB185F587}"/>
    <cellStyle name="Normal 9 2 3 2 2 6 3" xfId="11176" xr:uid="{4A6828F7-75E4-4C2A-909A-D5E7D14081BB}"/>
    <cellStyle name="Normal 9 2 3 2 2 7" xfId="4887" xr:uid="{00000000-0005-0000-0000-0000211F0000}"/>
    <cellStyle name="Normal 9 2 3 2 2 7 2" xfId="13329" xr:uid="{2A880459-DC5F-4DBA-9544-5F29A142125A}"/>
    <cellStyle name="Normal 9 2 3 2 2 8" xfId="9111" xr:uid="{4CB34D27-4397-4F94-869E-A5FC0D2A4C91}"/>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15886" xr:uid="{A9E3D5D8-786B-4774-AADD-5CE0CE9E672D}"/>
    <cellStyle name="Normal 9 2 3 2 3 2 3" xfId="11668" xr:uid="{2417DD34-7D86-4D1C-89F6-14DE2691F8BA}"/>
    <cellStyle name="Normal 9 2 3 2 3 3" xfId="5299" xr:uid="{00000000-0005-0000-0000-0000251F0000}"/>
    <cellStyle name="Normal 9 2 3 2 3 3 2" xfId="13741" xr:uid="{1683E160-368A-4B83-9B69-D94AE33E4D3E}"/>
    <cellStyle name="Normal 9 2 3 2 3 4" xfId="9523" xr:uid="{387A85C2-432A-422A-ADC4-92F80FAFC582}"/>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16299" xr:uid="{CD482669-6BF1-4B3A-BBEC-1B72C577D057}"/>
    <cellStyle name="Normal 9 2 3 2 4 2 3" xfId="12081" xr:uid="{57189433-36E7-406B-8876-98AA249DA65A}"/>
    <cellStyle name="Normal 9 2 3 2 4 3" xfId="5712" xr:uid="{00000000-0005-0000-0000-0000291F0000}"/>
    <cellStyle name="Normal 9 2 3 2 4 3 2" xfId="14154" xr:uid="{79204345-9101-434A-95E2-724FD164B80E}"/>
    <cellStyle name="Normal 9 2 3 2 4 4" xfId="9936" xr:uid="{E1C67280-A716-42B5-BC66-EE7F0CA1D405}"/>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16712" xr:uid="{CEB3AC8A-ACE7-4FD0-9810-9EEC64E811C7}"/>
    <cellStyle name="Normal 9 2 3 2 5 2 3" xfId="12494" xr:uid="{27D6DB22-9671-46E9-A64C-C0B9BC239924}"/>
    <cellStyle name="Normal 9 2 3 2 5 3" xfId="6125" xr:uid="{00000000-0005-0000-0000-00002D1F0000}"/>
    <cellStyle name="Normal 9 2 3 2 5 3 2" xfId="14567" xr:uid="{CE9D8BC1-8231-4A68-91B9-FC81CD6B61B4}"/>
    <cellStyle name="Normal 9 2 3 2 5 4" xfId="10349" xr:uid="{369ADF52-F8C5-4C01-A471-4B28D6CE72F4}"/>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17125" xr:uid="{2BCB6DBD-72A1-48A3-B147-1A98148D5C47}"/>
    <cellStyle name="Normal 9 2 3 2 6 2 3" xfId="12907" xr:uid="{B734632E-47D7-4ABE-87BD-933E1EC6879B}"/>
    <cellStyle name="Normal 9 2 3 2 6 3" xfId="6538" xr:uid="{00000000-0005-0000-0000-0000311F0000}"/>
    <cellStyle name="Normal 9 2 3 2 6 3 2" xfId="14980" xr:uid="{9E4CB1E4-7072-4F67-A312-DDF29A87E9C3}"/>
    <cellStyle name="Normal 9 2 3 2 6 4" xfId="10762" xr:uid="{30BA80D3-4B7C-4494-81E8-D80F7BA2B086}"/>
    <cellStyle name="Normal 9 2 3 2 7" xfId="2667" xr:uid="{00000000-0005-0000-0000-0000321F0000}"/>
    <cellStyle name="Normal 9 2 3 2 7 2" xfId="6951" xr:uid="{00000000-0005-0000-0000-0000331F0000}"/>
    <cellStyle name="Normal 9 2 3 2 7 2 2" xfId="15393" xr:uid="{030F29B3-2E82-4904-AE8C-012FF4D70215}"/>
    <cellStyle name="Normal 9 2 3 2 7 3" xfId="11175" xr:uid="{495D3877-4EAA-41E3-ADFE-16DED51A673E}"/>
    <cellStyle name="Normal 9 2 3 2 8" xfId="4886" xr:uid="{00000000-0005-0000-0000-0000341F0000}"/>
    <cellStyle name="Normal 9 2 3 2 8 2" xfId="13328" xr:uid="{998B3508-6400-4755-B59B-51FC9FEC6AC5}"/>
    <cellStyle name="Normal 9 2 3 2 9" xfId="9110" xr:uid="{E4139A20-EF04-4D46-A119-3AE6F12F451E}"/>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15888" xr:uid="{300696AC-A7D5-4747-9C6E-7737DB38BDE8}"/>
    <cellStyle name="Normal 9 2 3 3 2 2 3" xfId="11670" xr:uid="{5D72C92A-2CB3-4B87-BF58-F8B737CDBD91}"/>
    <cellStyle name="Normal 9 2 3 3 2 3" xfId="5301" xr:uid="{00000000-0005-0000-0000-0000391F0000}"/>
    <cellStyle name="Normal 9 2 3 3 2 3 2" xfId="13743" xr:uid="{4835A0DF-A286-4311-9722-0124600E0B95}"/>
    <cellStyle name="Normal 9 2 3 3 2 4" xfId="9525" xr:uid="{C5E4F4F9-5CA5-4978-B655-670C51D333BE}"/>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16301" xr:uid="{133C1D14-1445-4602-9B12-4FED8969175C}"/>
    <cellStyle name="Normal 9 2 3 3 3 2 3" xfId="12083" xr:uid="{0EEF831C-9809-44A5-9E52-76BE5E268C64}"/>
    <cellStyle name="Normal 9 2 3 3 3 3" xfId="5714" xr:uid="{00000000-0005-0000-0000-00003D1F0000}"/>
    <cellStyle name="Normal 9 2 3 3 3 3 2" xfId="14156" xr:uid="{FB97C6A4-038A-4541-BC0B-5118C75022C2}"/>
    <cellStyle name="Normal 9 2 3 3 3 4" xfId="9938" xr:uid="{F1CB2B77-F520-4308-8A44-646544131451}"/>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16714" xr:uid="{2E56FFD3-A2AF-4631-BE32-FB89C79945F3}"/>
    <cellStyle name="Normal 9 2 3 3 4 2 3" xfId="12496" xr:uid="{5166EDD4-B2FC-4886-A4B9-73F69695C934}"/>
    <cellStyle name="Normal 9 2 3 3 4 3" xfId="6127" xr:uid="{00000000-0005-0000-0000-0000411F0000}"/>
    <cellStyle name="Normal 9 2 3 3 4 3 2" xfId="14569" xr:uid="{9DEF5766-602A-430D-8477-7F14306EAA4A}"/>
    <cellStyle name="Normal 9 2 3 3 4 4" xfId="10351" xr:uid="{DFC3B233-668F-4EA9-9B91-2E44FDBC72FE}"/>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17127" xr:uid="{0B51AE02-C309-45FF-A8C0-6AFB07A09DEB}"/>
    <cellStyle name="Normal 9 2 3 3 5 2 3" xfId="12909" xr:uid="{45C044DD-E33D-4FA7-876E-092F5AD3BAAD}"/>
    <cellStyle name="Normal 9 2 3 3 5 3" xfId="6540" xr:uid="{00000000-0005-0000-0000-0000451F0000}"/>
    <cellStyle name="Normal 9 2 3 3 5 3 2" xfId="14982" xr:uid="{3D54B347-C680-4264-B6DD-1752EE25367D}"/>
    <cellStyle name="Normal 9 2 3 3 5 4" xfId="10764" xr:uid="{6B5C3760-7F3A-4884-BCEE-DE2C0DB130AE}"/>
    <cellStyle name="Normal 9 2 3 3 6" xfId="2669" xr:uid="{00000000-0005-0000-0000-0000461F0000}"/>
    <cellStyle name="Normal 9 2 3 3 6 2" xfId="6953" xr:uid="{00000000-0005-0000-0000-0000471F0000}"/>
    <cellStyle name="Normal 9 2 3 3 6 2 2" xfId="15395" xr:uid="{3D93D42B-D95A-45E8-8F21-16976BF15E6E}"/>
    <cellStyle name="Normal 9 2 3 3 6 3" xfId="11177" xr:uid="{09CDB818-10BB-4F5C-8D68-A21716DA982C}"/>
    <cellStyle name="Normal 9 2 3 3 7" xfId="4888" xr:uid="{00000000-0005-0000-0000-0000481F0000}"/>
    <cellStyle name="Normal 9 2 3 3 7 2" xfId="13330" xr:uid="{F7396E61-A5C0-4C74-A505-7205815083FF}"/>
    <cellStyle name="Normal 9 2 3 3 8" xfId="9112" xr:uid="{AB8BB61A-113A-468B-A460-F9FEFCE5663E}"/>
    <cellStyle name="Normal 9 2 3 4" xfId="987" xr:uid="{00000000-0005-0000-0000-0000491F0000}"/>
    <cellStyle name="Normal 9 2 3 4 2" xfId="3220" xr:uid="{00000000-0005-0000-0000-00004A1F0000}"/>
    <cellStyle name="Normal 9 2 3 4 2 2" xfId="7443" xr:uid="{00000000-0005-0000-0000-00004B1F0000}"/>
    <cellStyle name="Normal 9 2 3 4 2 2 2" xfId="15885" xr:uid="{297DDD7E-30D9-4B91-8BC5-A83BDF351099}"/>
    <cellStyle name="Normal 9 2 3 4 2 3" xfId="11667" xr:uid="{31950F64-240B-4D32-8A58-F4E70FEBF74B}"/>
    <cellStyle name="Normal 9 2 3 4 3" xfId="5298" xr:uid="{00000000-0005-0000-0000-00004C1F0000}"/>
    <cellStyle name="Normal 9 2 3 4 3 2" xfId="13740" xr:uid="{0D8D17B6-18B0-4BD4-B926-4ED7B5A9B911}"/>
    <cellStyle name="Normal 9 2 3 4 4" xfId="9522" xr:uid="{22A020FE-C4B7-486C-8109-44D29DCD4DCE}"/>
    <cellStyle name="Normal 9 2 3 5" xfId="1403" xr:uid="{00000000-0005-0000-0000-00004D1F0000}"/>
    <cellStyle name="Normal 9 2 3 5 2" xfId="3633" xr:uid="{00000000-0005-0000-0000-00004E1F0000}"/>
    <cellStyle name="Normal 9 2 3 5 2 2" xfId="7856" xr:uid="{00000000-0005-0000-0000-00004F1F0000}"/>
    <cellStyle name="Normal 9 2 3 5 2 2 2" xfId="16298" xr:uid="{523043DC-240A-40B6-B4A5-01A88D052837}"/>
    <cellStyle name="Normal 9 2 3 5 2 3" xfId="12080" xr:uid="{353D2D90-6493-43F0-8C63-6719BD0A847C}"/>
    <cellStyle name="Normal 9 2 3 5 3" xfId="5711" xr:uid="{00000000-0005-0000-0000-0000501F0000}"/>
    <cellStyle name="Normal 9 2 3 5 3 2" xfId="14153" xr:uid="{A5EE5FA8-CEBC-44ED-B4FB-90C4C9E41173}"/>
    <cellStyle name="Normal 9 2 3 5 4" xfId="9935" xr:uid="{29983F8C-1C8A-4FEB-A0AC-4A7399C2572C}"/>
    <cellStyle name="Normal 9 2 3 6" xfId="1816" xr:uid="{00000000-0005-0000-0000-0000511F0000}"/>
    <cellStyle name="Normal 9 2 3 6 2" xfId="4046" xr:uid="{00000000-0005-0000-0000-0000521F0000}"/>
    <cellStyle name="Normal 9 2 3 6 2 2" xfId="8269" xr:uid="{00000000-0005-0000-0000-0000531F0000}"/>
    <cellStyle name="Normal 9 2 3 6 2 2 2" xfId="16711" xr:uid="{A45F0143-BBA0-4F97-9C93-7A1D4BA5D790}"/>
    <cellStyle name="Normal 9 2 3 6 2 3" xfId="12493" xr:uid="{15A1BC48-9FBF-4695-B541-242ABC1A9DD6}"/>
    <cellStyle name="Normal 9 2 3 6 3" xfId="6124" xr:uid="{00000000-0005-0000-0000-0000541F0000}"/>
    <cellStyle name="Normal 9 2 3 6 3 2" xfId="14566" xr:uid="{96160030-5558-4E94-825D-CB85574E6DB4}"/>
    <cellStyle name="Normal 9 2 3 6 4" xfId="10348" xr:uid="{8C364CA3-5189-4231-8007-08BDEE6B6D99}"/>
    <cellStyle name="Normal 9 2 3 7" xfId="2230" xr:uid="{00000000-0005-0000-0000-0000551F0000}"/>
    <cellStyle name="Normal 9 2 3 7 2" xfId="4459" xr:uid="{00000000-0005-0000-0000-0000561F0000}"/>
    <cellStyle name="Normal 9 2 3 7 2 2" xfId="8682" xr:uid="{00000000-0005-0000-0000-0000571F0000}"/>
    <cellStyle name="Normal 9 2 3 7 2 2 2" xfId="17124" xr:uid="{B2F1A70B-4763-4136-87C3-C00A1022C691}"/>
    <cellStyle name="Normal 9 2 3 7 2 3" xfId="12906" xr:uid="{D0FD7345-E480-4E5A-B84E-E5B454D18F82}"/>
    <cellStyle name="Normal 9 2 3 7 3" xfId="6537" xr:uid="{00000000-0005-0000-0000-0000581F0000}"/>
    <cellStyle name="Normal 9 2 3 7 3 2" xfId="14979" xr:uid="{A2036CFB-E9D4-4A56-B87E-8C7B9DF43A93}"/>
    <cellStyle name="Normal 9 2 3 7 4" xfId="10761" xr:uid="{A5990659-1047-4BE7-9A5A-FDE39B797A14}"/>
    <cellStyle name="Normal 9 2 3 8" xfId="2666" xr:uid="{00000000-0005-0000-0000-0000591F0000}"/>
    <cellStyle name="Normal 9 2 3 8 2" xfId="6950" xr:uid="{00000000-0005-0000-0000-00005A1F0000}"/>
    <cellStyle name="Normal 9 2 3 8 2 2" xfId="15392" xr:uid="{0E815F62-4356-482B-95B7-5A97130E8C03}"/>
    <cellStyle name="Normal 9 2 3 8 3" xfId="11174" xr:uid="{FB8AEEE0-5506-4192-87C1-AE1CDF1F4F73}"/>
    <cellStyle name="Normal 9 2 3 9" xfId="4885" xr:uid="{00000000-0005-0000-0000-00005B1F0000}"/>
    <cellStyle name="Normal 9 2 3 9 2" xfId="13327" xr:uid="{7DA7C09D-D502-4C3C-883A-FF708F92621F}"/>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15890" xr:uid="{4907B2EF-6DED-45A2-87C9-B8BFC493ED1D}"/>
    <cellStyle name="Normal 9 2 4 2 2 2 3" xfId="11672" xr:uid="{84250EE0-F1C9-446F-8C8E-06B46E29EEFE}"/>
    <cellStyle name="Normal 9 2 4 2 2 3" xfId="5303" xr:uid="{00000000-0005-0000-0000-0000611F0000}"/>
    <cellStyle name="Normal 9 2 4 2 2 3 2" xfId="13745" xr:uid="{E285CABD-6809-4295-BD96-4DE5967E00BE}"/>
    <cellStyle name="Normal 9 2 4 2 2 4" xfId="9527" xr:uid="{6D1636DF-C9F9-4F1F-8C67-A33938C0FE9E}"/>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16303" xr:uid="{762BD241-8CAA-437A-9A7A-8C85F6032E10}"/>
    <cellStyle name="Normal 9 2 4 2 3 2 3" xfId="12085" xr:uid="{7ED933F3-9F7B-4929-9043-3736738AC83A}"/>
    <cellStyle name="Normal 9 2 4 2 3 3" xfId="5716" xr:uid="{00000000-0005-0000-0000-0000651F0000}"/>
    <cellStyle name="Normal 9 2 4 2 3 3 2" xfId="14158" xr:uid="{A0828301-438C-48A0-B2AB-4EE56F780942}"/>
    <cellStyle name="Normal 9 2 4 2 3 4" xfId="9940" xr:uid="{98BCA060-8EC0-46AC-A20A-D651587DD252}"/>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16716" xr:uid="{5CC44E69-14A2-4E77-A91F-9C929468FCA4}"/>
    <cellStyle name="Normal 9 2 4 2 4 2 3" xfId="12498" xr:uid="{EA302CC2-089B-4068-8ADD-F3DB68E930BD}"/>
    <cellStyle name="Normal 9 2 4 2 4 3" xfId="6129" xr:uid="{00000000-0005-0000-0000-0000691F0000}"/>
    <cellStyle name="Normal 9 2 4 2 4 3 2" xfId="14571" xr:uid="{452BAC31-C973-4689-8DDC-C4E71B720413}"/>
    <cellStyle name="Normal 9 2 4 2 4 4" xfId="10353" xr:uid="{15B150CE-CFC6-4FF7-AD0E-BA3F3718837F}"/>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17129" xr:uid="{915B4731-C049-41CA-A39B-1C092EEBD912}"/>
    <cellStyle name="Normal 9 2 4 2 5 2 3" xfId="12911" xr:uid="{F683A620-8C86-4D96-AE56-767A63ADFE6E}"/>
    <cellStyle name="Normal 9 2 4 2 5 3" xfId="6542" xr:uid="{00000000-0005-0000-0000-00006D1F0000}"/>
    <cellStyle name="Normal 9 2 4 2 5 3 2" xfId="14984" xr:uid="{DBE3CC6A-926B-4EA5-9865-51E48FC98DFB}"/>
    <cellStyle name="Normal 9 2 4 2 5 4" xfId="10766" xr:uid="{B1E127FF-6AC4-4AC9-9C91-9270C97A5687}"/>
    <cellStyle name="Normal 9 2 4 2 6" xfId="2671" xr:uid="{00000000-0005-0000-0000-00006E1F0000}"/>
    <cellStyle name="Normal 9 2 4 2 6 2" xfId="6955" xr:uid="{00000000-0005-0000-0000-00006F1F0000}"/>
    <cellStyle name="Normal 9 2 4 2 6 2 2" xfId="15397" xr:uid="{CBD61FE2-8A96-44F9-9398-545FA44BEC2D}"/>
    <cellStyle name="Normal 9 2 4 2 6 3" xfId="11179" xr:uid="{D028FF8D-2A1F-4942-A783-BAA8C7AC1C85}"/>
    <cellStyle name="Normal 9 2 4 2 7" xfId="4890" xr:uid="{00000000-0005-0000-0000-0000701F0000}"/>
    <cellStyle name="Normal 9 2 4 2 7 2" xfId="13332" xr:uid="{AF856BD8-824E-4E4D-A624-A36FF44A5F70}"/>
    <cellStyle name="Normal 9 2 4 2 8" xfId="9114" xr:uid="{0D16E668-EAC8-4013-98B3-CA449F41EB35}"/>
    <cellStyle name="Normal 9 2 4 3" xfId="991" xr:uid="{00000000-0005-0000-0000-0000711F0000}"/>
    <cellStyle name="Normal 9 2 4 3 2" xfId="3224" xr:uid="{00000000-0005-0000-0000-0000721F0000}"/>
    <cellStyle name="Normal 9 2 4 3 2 2" xfId="7447" xr:uid="{00000000-0005-0000-0000-0000731F0000}"/>
    <cellStyle name="Normal 9 2 4 3 2 2 2" xfId="15889" xr:uid="{10E64861-53CA-4975-9726-2D106EF8C43C}"/>
    <cellStyle name="Normal 9 2 4 3 2 3" xfId="11671" xr:uid="{91001901-ECAB-4923-868A-4CD606EAC909}"/>
    <cellStyle name="Normal 9 2 4 3 3" xfId="5302" xr:uid="{00000000-0005-0000-0000-0000741F0000}"/>
    <cellStyle name="Normal 9 2 4 3 3 2" xfId="13744" xr:uid="{DCA381C6-840A-482D-8E27-7AC97D2D7A6F}"/>
    <cellStyle name="Normal 9 2 4 3 4" xfId="9526" xr:uid="{EA856415-2EE0-48AF-A8CB-3D7BA35FA6EE}"/>
    <cellStyle name="Normal 9 2 4 4" xfId="1407" xr:uid="{00000000-0005-0000-0000-0000751F0000}"/>
    <cellStyle name="Normal 9 2 4 4 2" xfId="3637" xr:uid="{00000000-0005-0000-0000-0000761F0000}"/>
    <cellStyle name="Normal 9 2 4 4 2 2" xfId="7860" xr:uid="{00000000-0005-0000-0000-0000771F0000}"/>
    <cellStyle name="Normal 9 2 4 4 2 2 2" xfId="16302" xr:uid="{8BDCA28E-9C61-4B36-9112-04436A029790}"/>
    <cellStyle name="Normal 9 2 4 4 2 3" xfId="12084" xr:uid="{5A5A49DB-94A8-4717-900B-724E2768E6BA}"/>
    <cellStyle name="Normal 9 2 4 4 3" xfId="5715" xr:uid="{00000000-0005-0000-0000-0000781F0000}"/>
    <cellStyle name="Normal 9 2 4 4 3 2" xfId="14157" xr:uid="{BF2AFA00-4391-4C07-8FDC-B585252BFE2B}"/>
    <cellStyle name="Normal 9 2 4 4 4" xfId="9939" xr:uid="{464F45E1-2DAF-441C-9C97-BFDDF32FF117}"/>
    <cellStyle name="Normal 9 2 4 5" xfId="1820" xr:uid="{00000000-0005-0000-0000-0000791F0000}"/>
    <cellStyle name="Normal 9 2 4 5 2" xfId="4050" xr:uid="{00000000-0005-0000-0000-00007A1F0000}"/>
    <cellStyle name="Normal 9 2 4 5 2 2" xfId="8273" xr:uid="{00000000-0005-0000-0000-00007B1F0000}"/>
    <cellStyle name="Normal 9 2 4 5 2 2 2" xfId="16715" xr:uid="{BDC6FCE5-E2BF-404F-9732-BB152006A781}"/>
    <cellStyle name="Normal 9 2 4 5 2 3" xfId="12497" xr:uid="{A9F0B488-772B-4637-929D-39B31835F8C2}"/>
    <cellStyle name="Normal 9 2 4 5 3" xfId="6128" xr:uid="{00000000-0005-0000-0000-00007C1F0000}"/>
    <cellStyle name="Normal 9 2 4 5 3 2" xfId="14570" xr:uid="{88711051-8CF3-48A6-AEA6-CD22BF5A3DC6}"/>
    <cellStyle name="Normal 9 2 4 5 4" xfId="10352" xr:uid="{28F39A6F-BC9F-4125-9CEE-0F10917F0B53}"/>
    <cellStyle name="Normal 9 2 4 6" xfId="2234" xr:uid="{00000000-0005-0000-0000-00007D1F0000}"/>
    <cellStyle name="Normal 9 2 4 6 2" xfId="4463" xr:uid="{00000000-0005-0000-0000-00007E1F0000}"/>
    <cellStyle name="Normal 9 2 4 6 2 2" xfId="8686" xr:uid="{00000000-0005-0000-0000-00007F1F0000}"/>
    <cellStyle name="Normal 9 2 4 6 2 2 2" xfId="17128" xr:uid="{453373BB-62DC-44A9-915C-F659C4A231DE}"/>
    <cellStyle name="Normal 9 2 4 6 2 3" xfId="12910" xr:uid="{0BB0DAB3-AD1C-4767-ABB0-382963A2E7C4}"/>
    <cellStyle name="Normal 9 2 4 6 3" xfId="6541" xr:uid="{00000000-0005-0000-0000-0000801F0000}"/>
    <cellStyle name="Normal 9 2 4 6 3 2" xfId="14983" xr:uid="{B07869BB-42AF-435F-947C-C6161AC46CFD}"/>
    <cellStyle name="Normal 9 2 4 6 4" xfId="10765" xr:uid="{83DCBF30-CB9A-40B8-BE65-2A9D522EED4D}"/>
    <cellStyle name="Normal 9 2 4 7" xfId="2670" xr:uid="{00000000-0005-0000-0000-0000811F0000}"/>
    <cellStyle name="Normal 9 2 4 7 2" xfId="6954" xr:uid="{00000000-0005-0000-0000-0000821F0000}"/>
    <cellStyle name="Normal 9 2 4 7 2 2" xfId="15396" xr:uid="{4279BA31-58EE-4FB8-9A56-7A3E1A16294F}"/>
    <cellStyle name="Normal 9 2 4 7 3" xfId="11178" xr:uid="{F6524D7A-8783-4C04-9081-E2FA83E69436}"/>
    <cellStyle name="Normal 9 2 4 8" xfId="4889" xr:uid="{00000000-0005-0000-0000-0000831F0000}"/>
    <cellStyle name="Normal 9 2 4 8 2" xfId="13331" xr:uid="{AF3294F2-E88B-48D7-8B8B-9F6A3102E311}"/>
    <cellStyle name="Normal 9 2 4 9" xfId="9113" xr:uid="{D8F8266F-0C71-4EF4-9E1A-B565D9CDBC17}"/>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2 2 2" xfId="15891" xr:uid="{60835A0A-0206-4E0E-B885-65482B1B25AC}"/>
    <cellStyle name="Normal 9 2 5 2 2 3" xfId="11673" xr:uid="{6E3D90C8-8B59-4F94-9A41-163CD115ABA8}"/>
    <cellStyle name="Normal 9 2 5 2 3" xfId="5304" xr:uid="{00000000-0005-0000-0000-0000881F0000}"/>
    <cellStyle name="Normal 9 2 5 2 3 2" xfId="13746" xr:uid="{16723B25-B0DB-427F-8241-2A9BDB0145C8}"/>
    <cellStyle name="Normal 9 2 5 2 4" xfId="9528" xr:uid="{8A596A47-E367-4362-8EBE-CBC8CE7B0668}"/>
    <cellStyle name="Normal 9 2 5 3" xfId="1409" xr:uid="{00000000-0005-0000-0000-0000891F0000}"/>
    <cellStyle name="Normal 9 2 5 3 2" xfId="3639" xr:uid="{00000000-0005-0000-0000-00008A1F0000}"/>
    <cellStyle name="Normal 9 2 5 3 2 2" xfId="7862" xr:uid="{00000000-0005-0000-0000-00008B1F0000}"/>
    <cellStyle name="Normal 9 2 5 3 2 2 2" xfId="16304" xr:uid="{284EAA62-9D9E-4B1A-B3F2-93186C6CD380}"/>
    <cellStyle name="Normal 9 2 5 3 2 3" xfId="12086" xr:uid="{D6AAC580-1275-4E5A-962C-35D1C24EEAC1}"/>
    <cellStyle name="Normal 9 2 5 3 3" xfId="5717" xr:uid="{00000000-0005-0000-0000-00008C1F0000}"/>
    <cellStyle name="Normal 9 2 5 3 3 2" xfId="14159" xr:uid="{F172E6D0-1CAE-487F-9710-102EB10B0732}"/>
    <cellStyle name="Normal 9 2 5 3 4" xfId="9941" xr:uid="{1AE7FE84-753A-4739-AA12-92070FCB0E0D}"/>
    <cellStyle name="Normal 9 2 5 4" xfId="1822" xr:uid="{00000000-0005-0000-0000-00008D1F0000}"/>
    <cellStyle name="Normal 9 2 5 4 2" xfId="4052" xr:uid="{00000000-0005-0000-0000-00008E1F0000}"/>
    <cellStyle name="Normal 9 2 5 4 2 2" xfId="8275" xr:uid="{00000000-0005-0000-0000-00008F1F0000}"/>
    <cellStyle name="Normal 9 2 5 4 2 2 2" xfId="16717" xr:uid="{37878585-DE39-401B-82EE-2404DE947C31}"/>
    <cellStyle name="Normal 9 2 5 4 2 3" xfId="12499" xr:uid="{C419CEC7-FC95-417B-B28F-B376B560C715}"/>
    <cellStyle name="Normal 9 2 5 4 3" xfId="6130" xr:uid="{00000000-0005-0000-0000-0000901F0000}"/>
    <cellStyle name="Normal 9 2 5 4 3 2" xfId="14572" xr:uid="{FBA2FC26-AB36-4E82-9653-9BA50863FDD7}"/>
    <cellStyle name="Normal 9 2 5 4 4" xfId="10354" xr:uid="{5E914A80-E08D-463F-BC56-28DA8BD4C281}"/>
    <cellStyle name="Normal 9 2 5 5" xfId="2236" xr:uid="{00000000-0005-0000-0000-0000911F0000}"/>
    <cellStyle name="Normal 9 2 5 5 2" xfId="4465" xr:uid="{00000000-0005-0000-0000-0000921F0000}"/>
    <cellStyle name="Normal 9 2 5 5 2 2" xfId="8688" xr:uid="{00000000-0005-0000-0000-0000931F0000}"/>
    <cellStyle name="Normal 9 2 5 5 2 2 2" xfId="17130" xr:uid="{5E843503-4DAE-4C95-81C3-CFC79E1A7712}"/>
    <cellStyle name="Normal 9 2 5 5 2 3" xfId="12912" xr:uid="{F57F23E5-7129-47A1-B0B1-27E21A90FD68}"/>
    <cellStyle name="Normal 9 2 5 5 3" xfId="6543" xr:uid="{00000000-0005-0000-0000-0000941F0000}"/>
    <cellStyle name="Normal 9 2 5 5 3 2" xfId="14985" xr:uid="{A7E59ECF-F330-4CA5-A3F6-0414421EE831}"/>
    <cellStyle name="Normal 9 2 5 5 4" xfId="10767" xr:uid="{B08A4CB4-52D2-4BF2-8CF7-AB916323A606}"/>
    <cellStyle name="Normal 9 2 5 6" xfId="2672" xr:uid="{00000000-0005-0000-0000-0000951F0000}"/>
    <cellStyle name="Normal 9 2 5 6 2" xfId="6956" xr:uid="{00000000-0005-0000-0000-0000961F0000}"/>
    <cellStyle name="Normal 9 2 5 6 2 2" xfId="15398" xr:uid="{3C33295C-E0E4-48D2-BED0-FD02F24ECF22}"/>
    <cellStyle name="Normal 9 2 5 6 3" xfId="11180" xr:uid="{26DA225E-A0A5-4E6F-AFDD-146DE234EA6B}"/>
    <cellStyle name="Normal 9 2 5 7" xfId="4891" xr:uid="{00000000-0005-0000-0000-0000971F0000}"/>
    <cellStyle name="Normal 9 2 5 7 2" xfId="13333" xr:uid="{9D709CD8-08A0-47F9-A84F-57457EA0B2FD}"/>
    <cellStyle name="Normal 9 2 5 8" xfId="9115" xr:uid="{FA8E411B-A48F-4DEB-A3AC-FD42F6FD3F19}"/>
    <cellStyle name="Normal 9 2 6" xfId="978" xr:uid="{00000000-0005-0000-0000-0000981F0000}"/>
    <cellStyle name="Normal 9 2 6 2" xfId="3211" xr:uid="{00000000-0005-0000-0000-0000991F0000}"/>
    <cellStyle name="Normal 9 2 6 2 2" xfId="7434" xr:uid="{00000000-0005-0000-0000-00009A1F0000}"/>
    <cellStyle name="Normal 9 2 6 2 2 2" xfId="15876" xr:uid="{A2A9643A-E162-4510-B98A-5E0666201949}"/>
    <cellStyle name="Normal 9 2 6 2 3" xfId="11658" xr:uid="{23001C94-2909-4494-B643-02A287899B2E}"/>
    <cellStyle name="Normal 9 2 6 3" xfId="5289" xr:uid="{00000000-0005-0000-0000-00009B1F0000}"/>
    <cellStyle name="Normal 9 2 6 3 2" xfId="13731" xr:uid="{F95C387A-9CA3-4D73-92FB-F1666DF614BB}"/>
    <cellStyle name="Normal 9 2 6 4" xfId="9513" xr:uid="{24C1D925-6FD2-47BE-8E0E-826D1C9C4107}"/>
    <cellStyle name="Normal 9 2 7" xfId="1394" xr:uid="{00000000-0005-0000-0000-00009C1F0000}"/>
    <cellStyle name="Normal 9 2 7 2" xfId="3624" xr:uid="{00000000-0005-0000-0000-00009D1F0000}"/>
    <cellStyle name="Normal 9 2 7 2 2" xfId="7847" xr:uid="{00000000-0005-0000-0000-00009E1F0000}"/>
    <cellStyle name="Normal 9 2 7 2 2 2" xfId="16289" xr:uid="{BA17C2E7-95E0-433D-82FE-4A81E93970B8}"/>
    <cellStyle name="Normal 9 2 7 2 3" xfId="12071" xr:uid="{875EFA9D-940A-4C1B-B0BB-ACE5015196B9}"/>
    <cellStyle name="Normal 9 2 7 3" xfId="5702" xr:uid="{00000000-0005-0000-0000-00009F1F0000}"/>
    <cellStyle name="Normal 9 2 7 3 2" xfId="14144" xr:uid="{51B4B71B-CDE9-4E60-880B-774B498C8B35}"/>
    <cellStyle name="Normal 9 2 7 4" xfId="9926" xr:uid="{4209D245-BD55-442D-8E6D-CFFE20C67F2A}"/>
    <cellStyle name="Normal 9 2 8" xfId="1807" xr:uid="{00000000-0005-0000-0000-0000A01F0000}"/>
    <cellStyle name="Normal 9 2 8 2" xfId="4037" xr:uid="{00000000-0005-0000-0000-0000A11F0000}"/>
    <cellStyle name="Normal 9 2 8 2 2" xfId="8260" xr:uid="{00000000-0005-0000-0000-0000A21F0000}"/>
    <cellStyle name="Normal 9 2 8 2 2 2" xfId="16702" xr:uid="{7E460C52-C565-4CB1-9D95-BC9F96F3F967}"/>
    <cellStyle name="Normal 9 2 8 2 3" xfId="12484" xr:uid="{6179053F-9EEB-4A51-8055-04640CCC925E}"/>
    <cellStyle name="Normal 9 2 8 3" xfId="6115" xr:uid="{00000000-0005-0000-0000-0000A31F0000}"/>
    <cellStyle name="Normal 9 2 8 3 2" xfId="14557" xr:uid="{3F64DB37-8D93-4AF5-89D2-4DA9BF00A2CF}"/>
    <cellStyle name="Normal 9 2 8 4" xfId="10339" xr:uid="{94319121-2C62-4376-91DB-9F0FFCDD1C30}"/>
    <cellStyle name="Normal 9 2 9" xfId="2221" xr:uid="{00000000-0005-0000-0000-0000A41F0000}"/>
    <cellStyle name="Normal 9 2 9 2" xfId="4450" xr:uid="{00000000-0005-0000-0000-0000A51F0000}"/>
    <cellStyle name="Normal 9 2 9 2 2" xfId="8673" xr:uid="{00000000-0005-0000-0000-0000A61F0000}"/>
    <cellStyle name="Normal 9 2 9 2 2 2" xfId="17115" xr:uid="{81A63603-BB81-40A3-BF1C-27C95DE03F5D}"/>
    <cellStyle name="Normal 9 2 9 2 3" xfId="12897" xr:uid="{0149A49B-D26E-47BB-BA78-F7F5B10A41BD}"/>
    <cellStyle name="Normal 9 2 9 3" xfId="6528" xr:uid="{00000000-0005-0000-0000-0000A71F0000}"/>
    <cellStyle name="Normal 9 2 9 3 2" xfId="14970" xr:uid="{DFA56ABB-FD5F-459E-B883-4AD7F1554613}"/>
    <cellStyle name="Normal 9 2 9 4" xfId="10752" xr:uid="{5BE00BAD-07E4-4FDF-B535-F0E408E664B3}"/>
    <cellStyle name="Normal 9 3" xfId="527" xr:uid="{00000000-0005-0000-0000-0000A81F0000}"/>
    <cellStyle name="Normal 9 3 10" xfId="4892" xr:uid="{00000000-0005-0000-0000-0000A91F0000}"/>
    <cellStyle name="Normal 9 3 10 2" xfId="13334" xr:uid="{0159F362-23DB-49A2-8696-E4AE0AC3D6E3}"/>
    <cellStyle name="Normal 9 3 11" xfId="9116" xr:uid="{BC82EE10-8C9A-45F8-A397-98446AA4666C}"/>
    <cellStyle name="Normal 9 3 2" xfId="528" xr:uid="{00000000-0005-0000-0000-0000AA1F0000}"/>
    <cellStyle name="Normal 9 3 2 10" xfId="9117" xr:uid="{6BAE673E-B6D6-487E-8265-54F92747ACF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15895" xr:uid="{5E2528D6-C071-4F74-825D-ED6C0C898F76}"/>
    <cellStyle name="Normal 9 3 2 2 2 2 2 3" xfId="11677" xr:uid="{CB2E7255-5FCB-4F5F-B79F-9C3E35AB60FB}"/>
    <cellStyle name="Normal 9 3 2 2 2 2 3" xfId="5308" xr:uid="{00000000-0005-0000-0000-0000B01F0000}"/>
    <cellStyle name="Normal 9 3 2 2 2 2 3 2" xfId="13750" xr:uid="{7A4B433A-4BC8-40B2-A4C0-1FF7B824C917}"/>
    <cellStyle name="Normal 9 3 2 2 2 2 4" xfId="9532" xr:uid="{2D11D3CD-D281-45FD-8D2B-3F5C728504A4}"/>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16308" xr:uid="{9E5FEFF4-87DF-4904-95E1-DD816BFB4057}"/>
    <cellStyle name="Normal 9 3 2 2 2 3 2 3" xfId="12090" xr:uid="{DB902B8A-13FC-455E-AF49-596F489B2B31}"/>
    <cellStyle name="Normal 9 3 2 2 2 3 3" xfId="5721" xr:uid="{00000000-0005-0000-0000-0000B41F0000}"/>
    <cellStyle name="Normal 9 3 2 2 2 3 3 2" xfId="14163" xr:uid="{0D8FCC0F-8CE7-4CDA-9E6F-F778430BA488}"/>
    <cellStyle name="Normal 9 3 2 2 2 3 4" xfId="9945" xr:uid="{15151DA7-538A-4AA9-9870-62EBC2F38527}"/>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16721" xr:uid="{0F34EFBC-E033-4AA5-89A4-BB6D3D1A7AB2}"/>
    <cellStyle name="Normal 9 3 2 2 2 4 2 3" xfId="12503" xr:uid="{9551A22C-1ABE-4400-A501-A5C2575904A7}"/>
    <cellStyle name="Normal 9 3 2 2 2 4 3" xfId="6134" xr:uid="{00000000-0005-0000-0000-0000B81F0000}"/>
    <cellStyle name="Normal 9 3 2 2 2 4 3 2" xfId="14576" xr:uid="{83B5771E-466A-4ACF-BBC1-243DA401566D}"/>
    <cellStyle name="Normal 9 3 2 2 2 4 4" xfId="10358" xr:uid="{D4A418F3-ED11-4041-8A78-39981EE6D38E}"/>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17134" xr:uid="{3382F01C-0D6F-4BC6-BA68-DC6AFA381E31}"/>
    <cellStyle name="Normal 9 3 2 2 2 5 2 3" xfId="12916" xr:uid="{817269B1-6CC2-46F4-8133-4B5843A4BD50}"/>
    <cellStyle name="Normal 9 3 2 2 2 5 3" xfId="6547" xr:uid="{00000000-0005-0000-0000-0000BC1F0000}"/>
    <cellStyle name="Normal 9 3 2 2 2 5 3 2" xfId="14989" xr:uid="{DFB5486C-5DAA-45B9-A78D-04D82C846AFB}"/>
    <cellStyle name="Normal 9 3 2 2 2 5 4" xfId="10771" xr:uid="{E71331A5-AD5D-4D36-841F-D84691C03612}"/>
    <cellStyle name="Normal 9 3 2 2 2 6" xfId="2676" xr:uid="{00000000-0005-0000-0000-0000BD1F0000}"/>
    <cellStyle name="Normal 9 3 2 2 2 6 2" xfId="6960" xr:uid="{00000000-0005-0000-0000-0000BE1F0000}"/>
    <cellStyle name="Normal 9 3 2 2 2 6 2 2" xfId="15402" xr:uid="{63BFF651-6AA6-4934-8A2C-E5548B74F575}"/>
    <cellStyle name="Normal 9 3 2 2 2 6 3" xfId="11184" xr:uid="{27322098-15F2-4F16-870B-A5EBD57C607B}"/>
    <cellStyle name="Normal 9 3 2 2 2 7" xfId="4895" xr:uid="{00000000-0005-0000-0000-0000BF1F0000}"/>
    <cellStyle name="Normal 9 3 2 2 2 7 2" xfId="13337" xr:uid="{6A6F0CFC-9770-4506-87AC-2095DFC0DCDD}"/>
    <cellStyle name="Normal 9 3 2 2 2 8" xfId="9119" xr:uid="{76B5E775-BB76-4D9A-B314-EB537E03F25E}"/>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15894" xr:uid="{6AFACE6D-B3A1-4306-8671-A59D2E55DA8B}"/>
    <cellStyle name="Normal 9 3 2 2 3 2 3" xfId="11676" xr:uid="{4F62DF6E-3D6A-492D-A819-BFA2C59580D5}"/>
    <cellStyle name="Normal 9 3 2 2 3 3" xfId="5307" xr:uid="{00000000-0005-0000-0000-0000C31F0000}"/>
    <cellStyle name="Normal 9 3 2 2 3 3 2" xfId="13749" xr:uid="{BF16EB11-5C65-4164-8154-3718DB08293E}"/>
    <cellStyle name="Normal 9 3 2 2 3 4" xfId="9531" xr:uid="{6A8508C7-F4B5-4DAF-83DA-C5EE4DDF2756}"/>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16307" xr:uid="{0113D005-6E0F-4123-BC38-4611D2F83B38}"/>
    <cellStyle name="Normal 9 3 2 2 4 2 3" xfId="12089" xr:uid="{F4B70928-D809-4551-8122-7516B2D597A0}"/>
    <cellStyle name="Normal 9 3 2 2 4 3" xfId="5720" xr:uid="{00000000-0005-0000-0000-0000C71F0000}"/>
    <cellStyle name="Normal 9 3 2 2 4 3 2" xfId="14162" xr:uid="{516A8BA8-7709-4F91-AE37-61E45FE48D27}"/>
    <cellStyle name="Normal 9 3 2 2 4 4" xfId="9944" xr:uid="{A1827703-D859-468F-A691-D2E397E85D96}"/>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16720" xr:uid="{089C91FF-3EDB-4C45-8D6E-73C7036477C2}"/>
    <cellStyle name="Normal 9 3 2 2 5 2 3" xfId="12502" xr:uid="{22FA2555-76BC-4A30-99CF-E190395649F1}"/>
    <cellStyle name="Normal 9 3 2 2 5 3" xfId="6133" xr:uid="{00000000-0005-0000-0000-0000CB1F0000}"/>
    <cellStyle name="Normal 9 3 2 2 5 3 2" xfId="14575" xr:uid="{5A655E56-5B95-4D11-A1CE-97B842350BB4}"/>
    <cellStyle name="Normal 9 3 2 2 5 4" xfId="10357" xr:uid="{B8E244B4-7E04-465F-9405-CC083927AB3C}"/>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17133" xr:uid="{6343D5D2-8BED-45EA-88B1-7B51D80CD767}"/>
    <cellStyle name="Normal 9 3 2 2 6 2 3" xfId="12915" xr:uid="{AAAB7F62-7A4B-4BCC-9DDB-4508C3C5D397}"/>
    <cellStyle name="Normal 9 3 2 2 6 3" xfId="6546" xr:uid="{00000000-0005-0000-0000-0000CF1F0000}"/>
    <cellStyle name="Normal 9 3 2 2 6 3 2" xfId="14988" xr:uid="{822DAB9F-E435-44CE-A0FD-38B2BFB31755}"/>
    <cellStyle name="Normal 9 3 2 2 6 4" xfId="10770" xr:uid="{8CEA161E-9B81-4C6E-9341-0AE565B5E4B5}"/>
    <cellStyle name="Normal 9 3 2 2 7" xfId="2675" xr:uid="{00000000-0005-0000-0000-0000D01F0000}"/>
    <cellStyle name="Normal 9 3 2 2 7 2" xfId="6959" xr:uid="{00000000-0005-0000-0000-0000D11F0000}"/>
    <cellStyle name="Normal 9 3 2 2 7 2 2" xfId="15401" xr:uid="{DCA7D658-23F4-4BDF-A906-B5E62ED8F7B8}"/>
    <cellStyle name="Normal 9 3 2 2 7 3" xfId="11183" xr:uid="{00D066B4-E5A1-41C0-AEE6-0B42BA3D87C0}"/>
    <cellStyle name="Normal 9 3 2 2 8" xfId="4894" xr:uid="{00000000-0005-0000-0000-0000D21F0000}"/>
    <cellStyle name="Normal 9 3 2 2 8 2" xfId="13336" xr:uid="{69B12293-BE2B-4B04-9375-5EE24553088F}"/>
    <cellStyle name="Normal 9 3 2 2 9" xfId="9118" xr:uid="{71791127-4631-4BEB-B0A7-20C53F971573}"/>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15896" xr:uid="{85BC74B0-A60B-4356-A3ED-56B39D4EEAFF}"/>
    <cellStyle name="Normal 9 3 2 3 2 2 3" xfId="11678" xr:uid="{EC8EEED6-9C74-49F0-9F9E-8E2FA7B9C13D}"/>
    <cellStyle name="Normal 9 3 2 3 2 3" xfId="5309" xr:uid="{00000000-0005-0000-0000-0000D71F0000}"/>
    <cellStyle name="Normal 9 3 2 3 2 3 2" xfId="13751" xr:uid="{FF54120D-6892-46C1-84CF-86EFCF7D5D35}"/>
    <cellStyle name="Normal 9 3 2 3 2 4" xfId="9533" xr:uid="{E5B8781E-0532-4EF5-B646-627611002CF7}"/>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16309" xr:uid="{38A65CC4-8C23-4C83-A5D7-80B533CAF948}"/>
    <cellStyle name="Normal 9 3 2 3 3 2 3" xfId="12091" xr:uid="{3A91ED47-A3AE-47F3-955E-1AB5E1450CCA}"/>
    <cellStyle name="Normal 9 3 2 3 3 3" xfId="5722" xr:uid="{00000000-0005-0000-0000-0000DB1F0000}"/>
    <cellStyle name="Normal 9 3 2 3 3 3 2" xfId="14164" xr:uid="{1C69B2D4-CF69-4C45-A4AE-68673AAEE240}"/>
    <cellStyle name="Normal 9 3 2 3 3 4" xfId="9946" xr:uid="{DA1334B1-F13B-43E7-A591-1CB4FFAFAEF9}"/>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16722" xr:uid="{E69BF327-5605-4A93-8099-0A98CC92D058}"/>
    <cellStyle name="Normal 9 3 2 3 4 2 3" xfId="12504" xr:uid="{3F9C41A0-25D8-4738-93E3-668D4DAF2818}"/>
    <cellStyle name="Normal 9 3 2 3 4 3" xfId="6135" xr:uid="{00000000-0005-0000-0000-0000DF1F0000}"/>
    <cellStyle name="Normal 9 3 2 3 4 3 2" xfId="14577" xr:uid="{02CA86AF-7947-40E1-AFE8-7DD7A9818D2E}"/>
    <cellStyle name="Normal 9 3 2 3 4 4" xfId="10359" xr:uid="{EBC0CBA4-5CF8-4A3C-89F1-7E605F99B4A7}"/>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17135" xr:uid="{63F8C2AD-0ACC-488E-A0A9-EB0233D0172D}"/>
    <cellStyle name="Normal 9 3 2 3 5 2 3" xfId="12917" xr:uid="{3C758823-6FF6-47AE-9E43-DBAFBF6027BC}"/>
    <cellStyle name="Normal 9 3 2 3 5 3" xfId="6548" xr:uid="{00000000-0005-0000-0000-0000E31F0000}"/>
    <cellStyle name="Normal 9 3 2 3 5 3 2" xfId="14990" xr:uid="{1A5327C6-DE1C-42BE-AEE4-B89C2C8E9099}"/>
    <cellStyle name="Normal 9 3 2 3 5 4" xfId="10772" xr:uid="{038EA22F-92BE-42DB-AB28-91E8A0B5B213}"/>
    <cellStyle name="Normal 9 3 2 3 6" xfId="2677" xr:uid="{00000000-0005-0000-0000-0000E41F0000}"/>
    <cellStyle name="Normal 9 3 2 3 6 2" xfId="6961" xr:uid="{00000000-0005-0000-0000-0000E51F0000}"/>
    <cellStyle name="Normal 9 3 2 3 6 2 2" xfId="15403" xr:uid="{142538E9-5C65-4C5A-A17E-FFF5DCB57B94}"/>
    <cellStyle name="Normal 9 3 2 3 6 3" xfId="11185" xr:uid="{3A075EB4-6BBC-49F2-938C-AEB1FF2298CE}"/>
    <cellStyle name="Normal 9 3 2 3 7" xfId="4896" xr:uid="{00000000-0005-0000-0000-0000E61F0000}"/>
    <cellStyle name="Normal 9 3 2 3 7 2" xfId="13338" xr:uid="{2FC85C24-54AD-4E15-8784-225C6488D443}"/>
    <cellStyle name="Normal 9 3 2 3 8" xfId="9120" xr:uid="{129F774F-1485-42B5-BA1C-29667888FEB1}"/>
    <cellStyle name="Normal 9 3 2 4" xfId="995" xr:uid="{00000000-0005-0000-0000-0000E71F0000}"/>
    <cellStyle name="Normal 9 3 2 4 2" xfId="3228" xr:uid="{00000000-0005-0000-0000-0000E81F0000}"/>
    <cellStyle name="Normal 9 3 2 4 2 2" xfId="7451" xr:uid="{00000000-0005-0000-0000-0000E91F0000}"/>
    <cellStyle name="Normal 9 3 2 4 2 2 2" xfId="15893" xr:uid="{8F8DAB79-B543-4F36-87C1-B62036D8843A}"/>
    <cellStyle name="Normal 9 3 2 4 2 3" xfId="11675" xr:uid="{CAEFCAEC-6AD2-44EE-930C-814FF3DACEDF}"/>
    <cellStyle name="Normal 9 3 2 4 3" xfId="5306" xr:uid="{00000000-0005-0000-0000-0000EA1F0000}"/>
    <cellStyle name="Normal 9 3 2 4 3 2" xfId="13748" xr:uid="{EE90FC61-983C-4432-9FBC-0D4C9172F3F3}"/>
    <cellStyle name="Normal 9 3 2 4 4" xfId="9530" xr:uid="{C550C322-8510-436B-9DA5-FE3ADC2A9B49}"/>
    <cellStyle name="Normal 9 3 2 5" xfId="1411" xr:uid="{00000000-0005-0000-0000-0000EB1F0000}"/>
    <cellStyle name="Normal 9 3 2 5 2" xfId="3641" xr:uid="{00000000-0005-0000-0000-0000EC1F0000}"/>
    <cellStyle name="Normal 9 3 2 5 2 2" xfId="7864" xr:uid="{00000000-0005-0000-0000-0000ED1F0000}"/>
    <cellStyle name="Normal 9 3 2 5 2 2 2" xfId="16306" xr:uid="{DC49CD27-61C0-47B3-A246-FE8343424316}"/>
    <cellStyle name="Normal 9 3 2 5 2 3" xfId="12088" xr:uid="{43EA92CD-C086-47F4-941D-361887833E21}"/>
    <cellStyle name="Normal 9 3 2 5 3" xfId="5719" xr:uid="{00000000-0005-0000-0000-0000EE1F0000}"/>
    <cellStyle name="Normal 9 3 2 5 3 2" xfId="14161" xr:uid="{3E32F50E-28B7-45D0-B1B1-F55CB2CE3C87}"/>
    <cellStyle name="Normal 9 3 2 5 4" xfId="9943" xr:uid="{BD2F97CF-8D73-4011-9236-FD20A90FDA08}"/>
    <cellStyle name="Normal 9 3 2 6" xfId="1824" xr:uid="{00000000-0005-0000-0000-0000EF1F0000}"/>
    <cellStyle name="Normal 9 3 2 6 2" xfId="4054" xr:uid="{00000000-0005-0000-0000-0000F01F0000}"/>
    <cellStyle name="Normal 9 3 2 6 2 2" xfId="8277" xr:uid="{00000000-0005-0000-0000-0000F11F0000}"/>
    <cellStyle name="Normal 9 3 2 6 2 2 2" xfId="16719" xr:uid="{49AFEF6A-17ED-4A56-8F84-00A5B786C637}"/>
    <cellStyle name="Normal 9 3 2 6 2 3" xfId="12501" xr:uid="{39C95489-F056-45AF-9472-FFF6CDB28E6F}"/>
    <cellStyle name="Normal 9 3 2 6 3" xfId="6132" xr:uid="{00000000-0005-0000-0000-0000F21F0000}"/>
    <cellStyle name="Normal 9 3 2 6 3 2" xfId="14574" xr:uid="{0A4045A8-3B3D-4B7D-8D3A-D81453D94BA6}"/>
    <cellStyle name="Normal 9 3 2 6 4" xfId="10356" xr:uid="{9FC83CA7-A668-4447-9F68-7E7C92091674}"/>
    <cellStyle name="Normal 9 3 2 7" xfId="2238" xr:uid="{00000000-0005-0000-0000-0000F31F0000}"/>
    <cellStyle name="Normal 9 3 2 7 2" xfId="4467" xr:uid="{00000000-0005-0000-0000-0000F41F0000}"/>
    <cellStyle name="Normal 9 3 2 7 2 2" xfId="8690" xr:uid="{00000000-0005-0000-0000-0000F51F0000}"/>
    <cellStyle name="Normal 9 3 2 7 2 2 2" xfId="17132" xr:uid="{14EB3C5E-647F-47F9-B3AF-9A4EF4D915A9}"/>
    <cellStyle name="Normal 9 3 2 7 2 3" xfId="12914" xr:uid="{9E54B34B-1E85-497F-92B9-252D8E238B54}"/>
    <cellStyle name="Normal 9 3 2 7 3" xfId="6545" xr:uid="{00000000-0005-0000-0000-0000F61F0000}"/>
    <cellStyle name="Normal 9 3 2 7 3 2" xfId="14987" xr:uid="{5DA50CF6-688D-4057-BF8B-9682CE5F967D}"/>
    <cellStyle name="Normal 9 3 2 7 4" xfId="10769" xr:uid="{D001A142-75EE-4626-9698-8A8EE98FF692}"/>
    <cellStyle name="Normal 9 3 2 8" xfId="2674" xr:uid="{00000000-0005-0000-0000-0000F71F0000}"/>
    <cellStyle name="Normal 9 3 2 8 2" xfId="6958" xr:uid="{00000000-0005-0000-0000-0000F81F0000}"/>
    <cellStyle name="Normal 9 3 2 8 2 2" xfId="15400" xr:uid="{9205C2EC-F19A-4B68-9B18-D566D8BC8C23}"/>
    <cellStyle name="Normal 9 3 2 8 3" xfId="11182" xr:uid="{B65D0DA8-76AA-4632-AC64-D0F240EDF0E2}"/>
    <cellStyle name="Normal 9 3 2 9" xfId="4893" xr:uid="{00000000-0005-0000-0000-0000F91F0000}"/>
    <cellStyle name="Normal 9 3 2 9 2" xfId="13335" xr:uid="{245C928F-FDDB-4543-A252-234F3AB77047}"/>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15898" xr:uid="{B3181870-AD47-44C0-96EF-5EF7E0D283FA}"/>
    <cellStyle name="Normal 9 3 3 2 2 2 3" xfId="11680" xr:uid="{3336D2A3-7C04-43BD-8EF0-F6568205A339}"/>
    <cellStyle name="Normal 9 3 3 2 2 3" xfId="5311" xr:uid="{00000000-0005-0000-0000-0000FF1F0000}"/>
    <cellStyle name="Normal 9 3 3 2 2 3 2" xfId="13753" xr:uid="{6E02F0A2-9EAA-4FC9-9AF4-27D06D0ED3FA}"/>
    <cellStyle name="Normal 9 3 3 2 2 4" xfId="9535" xr:uid="{6859AEA4-EBDB-41A6-A357-3A4D09B6A85A}"/>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16311" xr:uid="{6ECAAD50-F6FB-429A-948E-48939B7AC84C}"/>
    <cellStyle name="Normal 9 3 3 2 3 2 3" xfId="12093" xr:uid="{15ACC364-FB4B-4062-AF31-8BB82B4F2743}"/>
    <cellStyle name="Normal 9 3 3 2 3 3" xfId="5724" xr:uid="{00000000-0005-0000-0000-000003200000}"/>
    <cellStyle name="Normal 9 3 3 2 3 3 2" xfId="14166" xr:uid="{8F90086D-CC39-4FF2-BB44-E9966A68FB8D}"/>
    <cellStyle name="Normal 9 3 3 2 3 4" xfId="9948" xr:uid="{A0504C3D-D0DB-4D07-AB64-712D5033C47E}"/>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16724" xr:uid="{6388BEB7-E08A-4E14-96D4-9DE1443569DC}"/>
    <cellStyle name="Normal 9 3 3 2 4 2 3" xfId="12506" xr:uid="{8145019A-C0FD-48D7-9556-3953FC31EBC3}"/>
    <cellStyle name="Normal 9 3 3 2 4 3" xfId="6137" xr:uid="{00000000-0005-0000-0000-000007200000}"/>
    <cellStyle name="Normal 9 3 3 2 4 3 2" xfId="14579" xr:uid="{ED14240A-FC4F-468E-8A6E-4EFC27460612}"/>
    <cellStyle name="Normal 9 3 3 2 4 4" xfId="10361" xr:uid="{3AB6DF6F-3260-45D6-80C0-8C5E1124E490}"/>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17137" xr:uid="{E7E03F05-214C-47CB-9A86-C68978DF5E34}"/>
    <cellStyle name="Normal 9 3 3 2 5 2 3" xfId="12919" xr:uid="{8CBDCC22-E796-4FD2-B337-6E52DD76EEEC}"/>
    <cellStyle name="Normal 9 3 3 2 5 3" xfId="6550" xr:uid="{00000000-0005-0000-0000-00000B200000}"/>
    <cellStyle name="Normal 9 3 3 2 5 3 2" xfId="14992" xr:uid="{7B0A3377-BE52-4A28-BD81-BE625C95A060}"/>
    <cellStyle name="Normal 9 3 3 2 5 4" xfId="10774" xr:uid="{EBC80454-69D2-475A-B08F-C259083A3EF7}"/>
    <cellStyle name="Normal 9 3 3 2 6" xfId="2679" xr:uid="{00000000-0005-0000-0000-00000C200000}"/>
    <cellStyle name="Normal 9 3 3 2 6 2" xfId="6963" xr:uid="{00000000-0005-0000-0000-00000D200000}"/>
    <cellStyle name="Normal 9 3 3 2 6 2 2" xfId="15405" xr:uid="{4F4516D6-B2BB-49B6-B74E-1BB59A90CC48}"/>
    <cellStyle name="Normal 9 3 3 2 6 3" xfId="11187" xr:uid="{EC120A04-9AA3-4E90-AF15-CC09AC601310}"/>
    <cellStyle name="Normal 9 3 3 2 7" xfId="4898" xr:uid="{00000000-0005-0000-0000-00000E200000}"/>
    <cellStyle name="Normal 9 3 3 2 7 2" xfId="13340" xr:uid="{7EE43754-4E2C-463E-91DD-DF7CD999A493}"/>
    <cellStyle name="Normal 9 3 3 2 8" xfId="9122" xr:uid="{EC649043-4EDA-438B-AB08-E61277B60700}"/>
    <cellStyle name="Normal 9 3 3 3" xfId="999" xr:uid="{00000000-0005-0000-0000-00000F200000}"/>
    <cellStyle name="Normal 9 3 3 3 2" xfId="3232" xr:uid="{00000000-0005-0000-0000-000010200000}"/>
    <cellStyle name="Normal 9 3 3 3 2 2" xfId="7455" xr:uid="{00000000-0005-0000-0000-000011200000}"/>
    <cellStyle name="Normal 9 3 3 3 2 2 2" xfId="15897" xr:uid="{62EF2FB7-17D1-4766-868D-BF875A64A0A7}"/>
    <cellStyle name="Normal 9 3 3 3 2 3" xfId="11679" xr:uid="{322C4D63-EA99-40AD-9BB4-CF689D092E6F}"/>
    <cellStyle name="Normal 9 3 3 3 3" xfId="5310" xr:uid="{00000000-0005-0000-0000-000012200000}"/>
    <cellStyle name="Normal 9 3 3 3 3 2" xfId="13752" xr:uid="{3904E9A9-0080-4476-B067-5C4A3A67EA36}"/>
    <cellStyle name="Normal 9 3 3 3 4" xfId="9534" xr:uid="{7AD45B4C-6C61-4B72-A987-E61DD09794FC}"/>
    <cellStyle name="Normal 9 3 3 4" xfId="1415" xr:uid="{00000000-0005-0000-0000-000013200000}"/>
    <cellStyle name="Normal 9 3 3 4 2" xfId="3645" xr:uid="{00000000-0005-0000-0000-000014200000}"/>
    <cellStyle name="Normal 9 3 3 4 2 2" xfId="7868" xr:uid="{00000000-0005-0000-0000-000015200000}"/>
    <cellStyle name="Normal 9 3 3 4 2 2 2" xfId="16310" xr:uid="{E7CFC570-C2B4-4E59-B771-F4A6AB24BE31}"/>
    <cellStyle name="Normal 9 3 3 4 2 3" xfId="12092" xr:uid="{0375E878-7918-481D-9D76-EC7CDC1B3291}"/>
    <cellStyle name="Normal 9 3 3 4 3" xfId="5723" xr:uid="{00000000-0005-0000-0000-000016200000}"/>
    <cellStyle name="Normal 9 3 3 4 3 2" xfId="14165" xr:uid="{588ED830-6EFF-48AE-9234-E251FBD4B79C}"/>
    <cellStyle name="Normal 9 3 3 4 4" xfId="9947" xr:uid="{2425BAA6-8263-4874-A101-8AD2901A715A}"/>
    <cellStyle name="Normal 9 3 3 5" xfId="1828" xr:uid="{00000000-0005-0000-0000-000017200000}"/>
    <cellStyle name="Normal 9 3 3 5 2" xfId="4058" xr:uid="{00000000-0005-0000-0000-000018200000}"/>
    <cellStyle name="Normal 9 3 3 5 2 2" xfId="8281" xr:uid="{00000000-0005-0000-0000-000019200000}"/>
    <cellStyle name="Normal 9 3 3 5 2 2 2" xfId="16723" xr:uid="{F9F98931-E8BD-4022-96D2-60D6709E9651}"/>
    <cellStyle name="Normal 9 3 3 5 2 3" xfId="12505" xr:uid="{E5697A9A-8592-4090-B3DE-66BBD4FA0C57}"/>
    <cellStyle name="Normal 9 3 3 5 3" xfId="6136" xr:uid="{00000000-0005-0000-0000-00001A200000}"/>
    <cellStyle name="Normal 9 3 3 5 3 2" xfId="14578" xr:uid="{6806D1A7-86AC-49CF-86AB-5201C35A6A65}"/>
    <cellStyle name="Normal 9 3 3 5 4" xfId="10360" xr:uid="{34B56B01-40DE-4482-BE62-ACAC5664A5E5}"/>
    <cellStyle name="Normal 9 3 3 6" xfId="2242" xr:uid="{00000000-0005-0000-0000-00001B200000}"/>
    <cellStyle name="Normal 9 3 3 6 2" xfId="4471" xr:uid="{00000000-0005-0000-0000-00001C200000}"/>
    <cellStyle name="Normal 9 3 3 6 2 2" xfId="8694" xr:uid="{00000000-0005-0000-0000-00001D200000}"/>
    <cellStyle name="Normal 9 3 3 6 2 2 2" xfId="17136" xr:uid="{5F50B8C3-55D0-4525-9BD4-35ABFF59EC67}"/>
    <cellStyle name="Normal 9 3 3 6 2 3" xfId="12918" xr:uid="{BAE08734-F2B8-47B4-9B8D-4F276B22967C}"/>
    <cellStyle name="Normal 9 3 3 6 3" xfId="6549" xr:uid="{00000000-0005-0000-0000-00001E200000}"/>
    <cellStyle name="Normal 9 3 3 6 3 2" xfId="14991" xr:uid="{65676B93-FBA8-4256-8780-03A8AC4B085C}"/>
    <cellStyle name="Normal 9 3 3 6 4" xfId="10773" xr:uid="{88DC8A1C-6D80-4313-BE81-33807D74FE2D}"/>
    <cellStyle name="Normal 9 3 3 7" xfId="2678" xr:uid="{00000000-0005-0000-0000-00001F200000}"/>
    <cellStyle name="Normal 9 3 3 7 2" xfId="6962" xr:uid="{00000000-0005-0000-0000-000020200000}"/>
    <cellStyle name="Normal 9 3 3 7 2 2" xfId="15404" xr:uid="{687E8DD2-C617-4CFE-879F-90205A093903}"/>
    <cellStyle name="Normal 9 3 3 7 3" xfId="11186" xr:uid="{BC1ED18A-E8CC-4531-BC9A-7BD3EED69D59}"/>
    <cellStyle name="Normal 9 3 3 8" xfId="4897" xr:uid="{00000000-0005-0000-0000-000021200000}"/>
    <cellStyle name="Normal 9 3 3 8 2" xfId="13339" xr:uid="{3CDCE3B0-839F-48D0-ABEA-2779B7A964D1}"/>
    <cellStyle name="Normal 9 3 3 9" xfId="9121" xr:uid="{F7AA722A-5502-440D-AA2F-2FF2E3F8A2C1}"/>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2 2 2" xfId="15899" xr:uid="{1EAE9D1C-14C4-4529-87F5-18B2893328F0}"/>
    <cellStyle name="Normal 9 3 4 2 2 3" xfId="11681" xr:uid="{D2B97267-8E31-4C0D-8D84-5FA7EED8203D}"/>
    <cellStyle name="Normal 9 3 4 2 3" xfId="5312" xr:uid="{00000000-0005-0000-0000-000026200000}"/>
    <cellStyle name="Normal 9 3 4 2 3 2" xfId="13754" xr:uid="{88DA4C9A-6BF8-44C9-8D68-E228A367B1CD}"/>
    <cellStyle name="Normal 9 3 4 2 4" xfId="9536" xr:uid="{4EB5B74B-B7BB-4F0E-B728-761EB2FD28BB}"/>
    <cellStyle name="Normal 9 3 4 3" xfId="1417" xr:uid="{00000000-0005-0000-0000-000027200000}"/>
    <cellStyle name="Normal 9 3 4 3 2" xfId="3647" xr:uid="{00000000-0005-0000-0000-000028200000}"/>
    <cellStyle name="Normal 9 3 4 3 2 2" xfId="7870" xr:uid="{00000000-0005-0000-0000-000029200000}"/>
    <cellStyle name="Normal 9 3 4 3 2 2 2" xfId="16312" xr:uid="{E28EC477-9C6C-4E61-8851-4B72CD3F6C46}"/>
    <cellStyle name="Normal 9 3 4 3 2 3" xfId="12094" xr:uid="{8CD0FB57-AAD3-4284-90F8-9A75C72DE460}"/>
    <cellStyle name="Normal 9 3 4 3 3" xfId="5725" xr:uid="{00000000-0005-0000-0000-00002A200000}"/>
    <cellStyle name="Normal 9 3 4 3 3 2" xfId="14167" xr:uid="{60AECDC6-A7F2-4B95-AA52-6F0830D51D8A}"/>
    <cellStyle name="Normal 9 3 4 3 4" xfId="9949" xr:uid="{A645D8CF-5A3F-456D-BAFD-75BE7B0FE565}"/>
    <cellStyle name="Normal 9 3 4 4" xfId="1830" xr:uid="{00000000-0005-0000-0000-00002B200000}"/>
    <cellStyle name="Normal 9 3 4 4 2" xfId="4060" xr:uid="{00000000-0005-0000-0000-00002C200000}"/>
    <cellStyle name="Normal 9 3 4 4 2 2" xfId="8283" xr:uid="{00000000-0005-0000-0000-00002D200000}"/>
    <cellStyle name="Normal 9 3 4 4 2 2 2" xfId="16725" xr:uid="{F7FB1E75-597E-436C-8C36-F77A3F32950A}"/>
    <cellStyle name="Normal 9 3 4 4 2 3" xfId="12507" xr:uid="{9660A600-B0C0-4800-86AE-2A20EDBE99F6}"/>
    <cellStyle name="Normal 9 3 4 4 3" xfId="6138" xr:uid="{00000000-0005-0000-0000-00002E200000}"/>
    <cellStyle name="Normal 9 3 4 4 3 2" xfId="14580" xr:uid="{4071AD26-BE86-4FCF-8479-B954E4C4D4FA}"/>
    <cellStyle name="Normal 9 3 4 4 4" xfId="10362" xr:uid="{463D4EE0-9FD1-4523-B38F-4245B0A9FA6D}"/>
    <cellStyle name="Normal 9 3 4 5" xfId="2244" xr:uid="{00000000-0005-0000-0000-00002F200000}"/>
    <cellStyle name="Normal 9 3 4 5 2" xfId="4473" xr:uid="{00000000-0005-0000-0000-000030200000}"/>
    <cellStyle name="Normal 9 3 4 5 2 2" xfId="8696" xr:uid="{00000000-0005-0000-0000-000031200000}"/>
    <cellStyle name="Normal 9 3 4 5 2 2 2" xfId="17138" xr:uid="{C338089A-5B46-4E8F-8A60-BA7C501D2C39}"/>
    <cellStyle name="Normal 9 3 4 5 2 3" xfId="12920" xr:uid="{10AD6B11-6897-4984-8CF7-F0AE2138F800}"/>
    <cellStyle name="Normal 9 3 4 5 3" xfId="6551" xr:uid="{00000000-0005-0000-0000-000032200000}"/>
    <cellStyle name="Normal 9 3 4 5 3 2" xfId="14993" xr:uid="{2A17EDBD-2678-45AD-8991-FB5B01B3C38C}"/>
    <cellStyle name="Normal 9 3 4 5 4" xfId="10775" xr:uid="{B1256B0D-C73B-4F76-AE79-CD4EB09DB2AB}"/>
    <cellStyle name="Normal 9 3 4 6" xfId="2680" xr:uid="{00000000-0005-0000-0000-000033200000}"/>
    <cellStyle name="Normal 9 3 4 6 2" xfId="6964" xr:uid="{00000000-0005-0000-0000-000034200000}"/>
    <cellStyle name="Normal 9 3 4 6 2 2" xfId="15406" xr:uid="{C154A3AA-813A-4C0D-9A07-49608855A7D2}"/>
    <cellStyle name="Normal 9 3 4 6 3" xfId="11188" xr:uid="{364672DA-71DB-4C58-9867-C9EE6CAF7BB2}"/>
    <cellStyle name="Normal 9 3 4 7" xfId="4899" xr:uid="{00000000-0005-0000-0000-000035200000}"/>
    <cellStyle name="Normal 9 3 4 7 2" xfId="13341" xr:uid="{A8ACA4DF-785C-4459-95EC-5688F0974898}"/>
    <cellStyle name="Normal 9 3 4 8" xfId="9123" xr:uid="{FEA4FFDF-6033-4414-B196-C1B59FBA5271}"/>
    <cellStyle name="Normal 9 3 5" xfId="994" xr:uid="{00000000-0005-0000-0000-000036200000}"/>
    <cellStyle name="Normal 9 3 5 2" xfId="3227" xr:uid="{00000000-0005-0000-0000-000037200000}"/>
    <cellStyle name="Normal 9 3 5 2 2" xfId="7450" xr:uid="{00000000-0005-0000-0000-000038200000}"/>
    <cellStyle name="Normal 9 3 5 2 2 2" xfId="15892" xr:uid="{7C9B3F01-DA07-4A00-8B16-9CF241AC2436}"/>
    <cellStyle name="Normal 9 3 5 2 3" xfId="11674" xr:uid="{2AB9F7F0-43EF-40CF-BB79-7382A8BA0028}"/>
    <cellStyle name="Normal 9 3 5 3" xfId="5305" xr:uid="{00000000-0005-0000-0000-000039200000}"/>
    <cellStyle name="Normal 9 3 5 3 2" xfId="13747" xr:uid="{FC375661-0812-43E9-8878-5F34B7E0D1AC}"/>
    <cellStyle name="Normal 9 3 5 4" xfId="9529" xr:uid="{25712F7E-5C54-4F18-92B6-93425D3EFE0A}"/>
    <cellStyle name="Normal 9 3 6" xfId="1410" xr:uid="{00000000-0005-0000-0000-00003A200000}"/>
    <cellStyle name="Normal 9 3 6 2" xfId="3640" xr:uid="{00000000-0005-0000-0000-00003B200000}"/>
    <cellStyle name="Normal 9 3 6 2 2" xfId="7863" xr:uid="{00000000-0005-0000-0000-00003C200000}"/>
    <cellStyle name="Normal 9 3 6 2 2 2" xfId="16305" xr:uid="{830B9198-099B-4964-AAE9-AF86E518A08D}"/>
    <cellStyle name="Normal 9 3 6 2 3" xfId="12087" xr:uid="{E6D2ABE3-3201-4C90-923B-78C0E2522528}"/>
    <cellStyle name="Normal 9 3 6 3" xfId="5718" xr:uid="{00000000-0005-0000-0000-00003D200000}"/>
    <cellStyle name="Normal 9 3 6 3 2" xfId="14160" xr:uid="{8A831E84-7BDB-42B8-9A43-BD4741C02395}"/>
    <cellStyle name="Normal 9 3 6 4" xfId="9942" xr:uid="{04677848-657A-408E-BCED-1430585BD43D}"/>
    <cellStyle name="Normal 9 3 7" xfId="1823" xr:uid="{00000000-0005-0000-0000-00003E200000}"/>
    <cellStyle name="Normal 9 3 7 2" xfId="4053" xr:uid="{00000000-0005-0000-0000-00003F200000}"/>
    <cellStyle name="Normal 9 3 7 2 2" xfId="8276" xr:uid="{00000000-0005-0000-0000-000040200000}"/>
    <cellStyle name="Normal 9 3 7 2 2 2" xfId="16718" xr:uid="{754ACC07-CA61-48E6-BC9E-9A6680B1C6BD}"/>
    <cellStyle name="Normal 9 3 7 2 3" xfId="12500" xr:uid="{AA0C2FCD-CBA3-4E05-9435-3C4D813EE67E}"/>
    <cellStyle name="Normal 9 3 7 3" xfId="6131" xr:uid="{00000000-0005-0000-0000-000041200000}"/>
    <cellStyle name="Normal 9 3 7 3 2" xfId="14573" xr:uid="{53707188-B300-4670-BF82-A43ACB61DB08}"/>
    <cellStyle name="Normal 9 3 7 4" xfId="10355" xr:uid="{503F724D-27FE-495A-8245-CB75A5360E35}"/>
    <cellStyle name="Normal 9 3 8" xfId="2237" xr:uid="{00000000-0005-0000-0000-000042200000}"/>
    <cellStyle name="Normal 9 3 8 2" xfId="4466" xr:uid="{00000000-0005-0000-0000-000043200000}"/>
    <cellStyle name="Normal 9 3 8 2 2" xfId="8689" xr:uid="{00000000-0005-0000-0000-000044200000}"/>
    <cellStyle name="Normal 9 3 8 2 2 2" xfId="17131" xr:uid="{37FB1154-69E6-4D9D-B52B-A28B772085D6}"/>
    <cellStyle name="Normal 9 3 8 2 3" xfId="12913" xr:uid="{5F63800F-E423-41F1-BD49-4D0AFB415CB3}"/>
    <cellStyle name="Normal 9 3 8 3" xfId="6544" xr:uid="{00000000-0005-0000-0000-000045200000}"/>
    <cellStyle name="Normal 9 3 8 3 2" xfId="14986" xr:uid="{1C9A2E9A-843D-44F0-B4D8-AEE19D62352E}"/>
    <cellStyle name="Normal 9 3 8 4" xfId="10768" xr:uid="{CDBDF790-45F0-4293-A79A-D6F08E9A5710}"/>
    <cellStyle name="Normal 9 3 9" xfId="2673" xr:uid="{00000000-0005-0000-0000-000046200000}"/>
    <cellStyle name="Normal 9 3 9 2" xfId="6957" xr:uid="{00000000-0005-0000-0000-000047200000}"/>
    <cellStyle name="Normal 9 3 9 2 2" xfId="15399" xr:uid="{EDB10F5E-89BB-474A-873D-BF597DCCAC40}"/>
    <cellStyle name="Normal 9 3 9 3" xfId="11181" xr:uid="{271C0E27-8608-485D-B42F-42064A01C2C9}"/>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2 2 2" xfId="15901" xr:uid="{590348C2-060A-4655-9C17-A1275A4A96E8}"/>
    <cellStyle name="Normal 9 5 2 2 2 3" xfId="11683" xr:uid="{7813FFC1-C3F1-48BC-9714-606659473EB6}"/>
    <cellStyle name="Normal 9 5 2 2 3" xfId="5314" xr:uid="{00000000-0005-0000-0000-00004F200000}"/>
    <cellStyle name="Normal 9 5 2 2 3 2" xfId="13756" xr:uid="{D2F9D080-FCE0-4F91-B49A-5B4CFCBF955B}"/>
    <cellStyle name="Normal 9 5 2 2 4" xfId="9538" xr:uid="{7A504E05-AA7F-43E8-B4E1-B67B40AC8000}"/>
    <cellStyle name="Normal 9 5 2 3" xfId="1419" xr:uid="{00000000-0005-0000-0000-000050200000}"/>
    <cellStyle name="Normal 9 5 2 3 2" xfId="3649" xr:uid="{00000000-0005-0000-0000-000051200000}"/>
    <cellStyle name="Normal 9 5 2 3 2 2" xfId="7872" xr:uid="{00000000-0005-0000-0000-000052200000}"/>
    <cellStyle name="Normal 9 5 2 3 2 2 2" xfId="16314" xr:uid="{90379E7A-55B6-476A-93BC-2C050F0E59C8}"/>
    <cellStyle name="Normal 9 5 2 3 2 3" xfId="12096" xr:uid="{D4A13357-4BA9-4003-8CFD-E0739DEE8A2D}"/>
    <cellStyle name="Normal 9 5 2 3 3" xfId="5727" xr:uid="{00000000-0005-0000-0000-000053200000}"/>
    <cellStyle name="Normal 9 5 2 3 3 2" xfId="14169" xr:uid="{11DDC4EA-8640-4A0D-B0E2-5FA73DD7778F}"/>
    <cellStyle name="Normal 9 5 2 3 4" xfId="9951" xr:uid="{620199E8-955F-4CC9-96A7-983DFA5081BF}"/>
    <cellStyle name="Normal 9 5 2 4" xfId="1832" xr:uid="{00000000-0005-0000-0000-000054200000}"/>
    <cellStyle name="Normal 9 5 2 4 2" xfId="4062" xr:uid="{00000000-0005-0000-0000-000055200000}"/>
    <cellStyle name="Normal 9 5 2 4 2 2" xfId="8285" xr:uid="{00000000-0005-0000-0000-000056200000}"/>
    <cellStyle name="Normal 9 5 2 4 2 2 2" xfId="16727" xr:uid="{7028B92D-6662-49B7-8726-6283CCEE5025}"/>
    <cellStyle name="Normal 9 5 2 4 2 3" xfId="12509" xr:uid="{A4C01B5E-D1E7-462B-B461-B407C2C70ED2}"/>
    <cellStyle name="Normal 9 5 2 4 3" xfId="6140" xr:uid="{00000000-0005-0000-0000-000057200000}"/>
    <cellStyle name="Normal 9 5 2 4 3 2" xfId="14582" xr:uid="{EAF78F11-0A25-4DAF-A954-AF130C422C26}"/>
    <cellStyle name="Normal 9 5 2 4 4" xfId="10364" xr:uid="{30CBC144-C1FE-4F8D-A9D9-5232951B5DC6}"/>
    <cellStyle name="Normal 9 5 2 5" xfId="2246" xr:uid="{00000000-0005-0000-0000-000058200000}"/>
    <cellStyle name="Normal 9 5 2 5 2" xfId="4475" xr:uid="{00000000-0005-0000-0000-000059200000}"/>
    <cellStyle name="Normal 9 5 2 5 2 2" xfId="8698" xr:uid="{00000000-0005-0000-0000-00005A200000}"/>
    <cellStyle name="Normal 9 5 2 5 2 2 2" xfId="17140" xr:uid="{B98661EF-8B5C-4B2F-B24C-7E170A6227B0}"/>
    <cellStyle name="Normal 9 5 2 5 2 3" xfId="12922" xr:uid="{B4763C71-7AAC-4C84-997E-BDB8B102E60F}"/>
    <cellStyle name="Normal 9 5 2 5 3" xfId="6553" xr:uid="{00000000-0005-0000-0000-00005B200000}"/>
    <cellStyle name="Normal 9 5 2 5 3 2" xfId="14995" xr:uid="{8F60EB4F-0925-4F19-89B8-4D89F2E37810}"/>
    <cellStyle name="Normal 9 5 2 5 4" xfId="10777" xr:uid="{8DD5D81E-6669-4336-92E4-B3C38C78D26D}"/>
    <cellStyle name="Normal 9 5 2 6" xfId="2682" xr:uid="{00000000-0005-0000-0000-00005C200000}"/>
    <cellStyle name="Normal 9 5 2 6 2" xfId="6966" xr:uid="{00000000-0005-0000-0000-00005D200000}"/>
    <cellStyle name="Normal 9 5 2 6 2 2" xfId="15408" xr:uid="{9FD10B18-4718-4419-82ED-5DBC69333680}"/>
    <cellStyle name="Normal 9 5 2 6 3" xfId="11190" xr:uid="{F65C4E09-5C7A-4316-9EAC-A5B64D64544F}"/>
    <cellStyle name="Normal 9 5 2 7" xfId="4901" xr:uid="{00000000-0005-0000-0000-00005E200000}"/>
    <cellStyle name="Normal 9 5 2 7 2" xfId="13343" xr:uid="{C94042FC-E8EB-4236-84B6-56EFAA157250}"/>
    <cellStyle name="Normal 9 5 2 8" xfId="9125" xr:uid="{A69D7BA4-5736-4208-B7E7-E95ACA6C0CF9}"/>
    <cellStyle name="Normal 9 5 3" xfId="1003" xr:uid="{00000000-0005-0000-0000-00005F200000}"/>
    <cellStyle name="Normal 9 5 3 2" xfId="3235" xr:uid="{00000000-0005-0000-0000-000060200000}"/>
    <cellStyle name="Normal 9 5 3 2 2" xfId="7458" xr:uid="{00000000-0005-0000-0000-000061200000}"/>
    <cellStyle name="Normal 9 5 3 2 2 2" xfId="15900" xr:uid="{65327068-5BDE-4904-BA82-DFD02767C2F5}"/>
    <cellStyle name="Normal 9 5 3 2 3" xfId="11682" xr:uid="{FBE58D0A-AF39-4586-9150-CC8B01528B51}"/>
    <cellStyle name="Normal 9 5 3 3" xfId="5313" xr:uid="{00000000-0005-0000-0000-000062200000}"/>
    <cellStyle name="Normal 9 5 3 3 2" xfId="13755" xr:uid="{8CEA3894-CBC3-4AEC-A858-9B986BE8F2F9}"/>
    <cellStyle name="Normal 9 5 3 4" xfId="9537" xr:uid="{3B1AB447-2B58-4778-843E-82E0E2D468A8}"/>
    <cellStyle name="Normal 9 5 4" xfId="1418" xr:uid="{00000000-0005-0000-0000-000063200000}"/>
    <cellStyle name="Normal 9 5 4 2" xfId="3648" xr:uid="{00000000-0005-0000-0000-000064200000}"/>
    <cellStyle name="Normal 9 5 4 2 2" xfId="7871" xr:uid="{00000000-0005-0000-0000-000065200000}"/>
    <cellStyle name="Normal 9 5 4 2 2 2" xfId="16313" xr:uid="{7A17EE13-831F-4E6D-BD11-C45946E071BB}"/>
    <cellStyle name="Normal 9 5 4 2 3" xfId="12095" xr:uid="{65DDA241-769C-4BB8-83B5-5D9B866D6878}"/>
    <cellStyle name="Normal 9 5 4 3" xfId="5726" xr:uid="{00000000-0005-0000-0000-000066200000}"/>
    <cellStyle name="Normal 9 5 4 3 2" xfId="14168" xr:uid="{B2215594-F31B-4D9E-8F00-10F3CE947AF4}"/>
    <cellStyle name="Normal 9 5 4 4" xfId="9950" xr:uid="{0C617787-456B-42D2-9791-277D31FD4408}"/>
    <cellStyle name="Normal 9 5 5" xfId="1831" xr:uid="{00000000-0005-0000-0000-000067200000}"/>
    <cellStyle name="Normal 9 5 5 2" xfId="4061" xr:uid="{00000000-0005-0000-0000-000068200000}"/>
    <cellStyle name="Normal 9 5 5 2 2" xfId="8284" xr:uid="{00000000-0005-0000-0000-000069200000}"/>
    <cellStyle name="Normal 9 5 5 2 2 2" xfId="16726" xr:uid="{C58101B5-9C90-4017-BE6A-26E173015BF3}"/>
    <cellStyle name="Normal 9 5 5 2 3" xfId="12508" xr:uid="{FDE551E0-939A-4BD3-A873-4331C539C9A5}"/>
    <cellStyle name="Normal 9 5 5 3" xfId="6139" xr:uid="{00000000-0005-0000-0000-00006A200000}"/>
    <cellStyle name="Normal 9 5 5 3 2" xfId="14581" xr:uid="{AD1CD321-1D80-4C10-A9B3-438C07F89A9A}"/>
    <cellStyle name="Normal 9 5 5 4" xfId="10363" xr:uid="{B4B028C1-8AD9-4E45-80B9-8A5A825C290C}"/>
    <cellStyle name="Normal 9 5 6" xfId="2245" xr:uid="{00000000-0005-0000-0000-00006B200000}"/>
    <cellStyle name="Normal 9 5 6 2" xfId="4474" xr:uid="{00000000-0005-0000-0000-00006C200000}"/>
    <cellStyle name="Normal 9 5 6 2 2" xfId="8697" xr:uid="{00000000-0005-0000-0000-00006D200000}"/>
    <cellStyle name="Normal 9 5 6 2 2 2" xfId="17139" xr:uid="{4EC0A398-2213-48F3-B7F5-610AB1B846CF}"/>
    <cellStyle name="Normal 9 5 6 2 3" xfId="12921" xr:uid="{8CD5330B-8F46-4507-9EE3-5EF8492DEB36}"/>
    <cellStyle name="Normal 9 5 6 3" xfId="6552" xr:uid="{00000000-0005-0000-0000-00006E200000}"/>
    <cellStyle name="Normal 9 5 6 3 2" xfId="14994" xr:uid="{592B4BA6-B7D8-4B61-BDCE-DAC466CBDDF1}"/>
    <cellStyle name="Normal 9 5 6 4" xfId="10776" xr:uid="{B6775C1B-5628-44A5-8A77-9F24D49A61A5}"/>
    <cellStyle name="Normal 9 5 7" xfId="2681" xr:uid="{00000000-0005-0000-0000-00006F200000}"/>
    <cellStyle name="Normal 9 5 7 2" xfId="6965" xr:uid="{00000000-0005-0000-0000-000070200000}"/>
    <cellStyle name="Normal 9 5 7 2 2" xfId="15407" xr:uid="{9D5485F4-1D3D-414B-BBFA-3C2753AFCFD5}"/>
    <cellStyle name="Normal 9 5 7 3" xfId="11189" xr:uid="{2332A5F1-79B5-4AB0-8EF4-E65FE47E2724}"/>
    <cellStyle name="Normal 9 5 8" xfId="4900" xr:uid="{00000000-0005-0000-0000-000071200000}"/>
    <cellStyle name="Normal 9 5 8 2" xfId="13342" xr:uid="{67DE571D-7194-49DA-9614-324EB5D24F3C}"/>
    <cellStyle name="Normal 9 5 9" xfId="9124" xr:uid="{7687FBAF-C798-48A9-83AF-FCEBC90F9144}"/>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2 2 2" xfId="15902" xr:uid="{D2350CA9-FDB4-4198-9756-559135BB51C5}"/>
    <cellStyle name="Normal 9 6 2 2 3" xfId="11684" xr:uid="{004BF304-370D-4D4F-8D30-F17FF63BCBE9}"/>
    <cellStyle name="Normal 9 6 2 3" xfId="5315" xr:uid="{00000000-0005-0000-0000-000076200000}"/>
    <cellStyle name="Normal 9 6 2 3 2" xfId="13757" xr:uid="{9921647E-AA12-49C3-9CC4-72D960BF525C}"/>
    <cellStyle name="Normal 9 6 2 4" xfId="9539" xr:uid="{C30A25FD-609F-465A-AD20-78BD660CE32A}"/>
    <cellStyle name="Normal 9 6 3" xfId="1420" xr:uid="{00000000-0005-0000-0000-000077200000}"/>
    <cellStyle name="Normal 9 6 3 2" xfId="3650" xr:uid="{00000000-0005-0000-0000-000078200000}"/>
    <cellStyle name="Normal 9 6 3 2 2" xfId="7873" xr:uid="{00000000-0005-0000-0000-000079200000}"/>
    <cellStyle name="Normal 9 6 3 2 2 2" xfId="16315" xr:uid="{720FA9BB-3379-47D2-99DA-23344534DDB8}"/>
    <cellStyle name="Normal 9 6 3 2 3" xfId="12097" xr:uid="{56E3990A-4E39-4D58-9B2F-3C904454588F}"/>
    <cellStyle name="Normal 9 6 3 3" xfId="5728" xr:uid="{00000000-0005-0000-0000-00007A200000}"/>
    <cellStyle name="Normal 9 6 3 3 2" xfId="14170" xr:uid="{FD635A1C-3C73-4E48-BEDB-F7EA2CFF55AA}"/>
    <cellStyle name="Normal 9 6 3 4" xfId="9952" xr:uid="{496DB8A5-71FC-4C6D-9112-9888118A5EC2}"/>
    <cellStyle name="Normal 9 6 4" xfId="1833" xr:uid="{00000000-0005-0000-0000-00007B200000}"/>
    <cellStyle name="Normal 9 6 4 2" xfId="4063" xr:uid="{00000000-0005-0000-0000-00007C200000}"/>
    <cellStyle name="Normal 9 6 4 2 2" xfId="8286" xr:uid="{00000000-0005-0000-0000-00007D200000}"/>
    <cellStyle name="Normal 9 6 4 2 2 2" xfId="16728" xr:uid="{F43FC4E4-339D-4609-98E8-0E7C5F3F81C4}"/>
    <cellStyle name="Normal 9 6 4 2 3" xfId="12510" xr:uid="{FE8632B7-7934-46D9-85A2-52542C3E4957}"/>
    <cellStyle name="Normal 9 6 4 3" xfId="6141" xr:uid="{00000000-0005-0000-0000-00007E200000}"/>
    <cellStyle name="Normal 9 6 4 3 2" xfId="14583" xr:uid="{54B024B5-F0B1-4307-9B1C-A99CA9324EE4}"/>
    <cellStyle name="Normal 9 6 4 4" xfId="10365" xr:uid="{8C8B5E18-4192-4C37-92BB-2C20EF5C5583}"/>
    <cellStyle name="Normal 9 6 5" xfId="2247" xr:uid="{00000000-0005-0000-0000-00007F200000}"/>
    <cellStyle name="Normal 9 6 5 2" xfId="4476" xr:uid="{00000000-0005-0000-0000-000080200000}"/>
    <cellStyle name="Normal 9 6 5 2 2" xfId="8699" xr:uid="{00000000-0005-0000-0000-000081200000}"/>
    <cellStyle name="Normal 9 6 5 2 2 2" xfId="17141" xr:uid="{784D0941-5397-4788-BBDE-4736434DE4A3}"/>
    <cellStyle name="Normal 9 6 5 2 3" xfId="12923" xr:uid="{2A18FF64-6249-48B4-A346-CBA237FFE152}"/>
    <cellStyle name="Normal 9 6 5 3" xfId="6554" xr:uid="{00000000-0005-0000-0000-000082200000}"/>
    <cellStyle name="Normal 9 6 5 3 2" xfId="14996" xr:uid="{28E511CD-37EB-4475-B259-9A312D7FDBEA}"/>
    <cellStyle name="Normal 9 6 5 4" xfId="10778" xr:uid="{9689A6A1-76F8-4154-B7B9-03A2E1790373}"/>
    <cellStyle name="Normal 9 6 6" xfId="2683" xr:uid="{00000000-0005-0000-0000-000083200000}"/>
    <cellStyle name="Normal 9 6 6 2" xfId="6967" xr:uid="{00000000-0005-0000-0000-000084200000}"/>
    <cellStyle name="Normal 9 6 6 2 2" xfId="15409" xr:uid="{E42B661B-FBFD-4928-861E-2CCDCB83503E}"/>
    <cellStyle name="Normal 9 6 6 3" xfId="11191" xr:uid="{9ABD9B31-D5CB-40FD-B648-4E2BBA26DDA3}"/>
    <cellStyle name="Normal 9 6 7" xfId="4902" xr:uid="{00000000-0005-0000-0000-000085200000}"/>
    <cellStyle name="Normal 9 6 7 2" xfId="13344" xr:uid="{D8A4DFC1-F3FD-4F38-8EEC-FD5C4FD21303}"/>
    <cellStyle name="Normal 9 6 8" xfId="9126" xr:uid="{512E5A1D-8C42-47FA-AD15-1FF02FE67313}"/>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15490" xr:uid="{25436F39-B94F-4469-AA58-BFC50F7F00A7}"/>
    <cellStyle name="Note 2 2 10 3" xfId="11272" xr:uid="{FE19F6BE-00FB-45C2-9BFB-776DD3108621}"/>
    <cellStyle name="Note 2 2 11" xfId="4903" xr:uid="{00000000-0005-0000-0000-000094200000}"/>
    <cellStyle name="Note 2 2 11 2" xfId="13345" xr:uid="{7028FAAE-DC0E-4F8C-AF5B-4FED58F9153A}"/>
    <cellStyle name="Note 2 2 12" xfId="9127" xr:uid="{C7676BC8-5EFB-44BE-8FAD-B0575B29C048}"/>
    <cellStyle name="Note 2 2 2" xfId="546" xr:uid="{00000000-0005-0000-0000-000095200000}"/>
    <cellStyle name="Note 2 2 2 10" xfId="4904" xr:uid="{00000000-0005-0000-0000-000096200000}"/>
    <cellStyle name="Note 2 2 2 10 2" xfId="13346" xr:uid="{BB0CACE0-9DD8-4543-8E34-C16AB149085A}"/>
    <cellStyle name="Note 2 2 2 11" xfId="9128" xr:uid="{3E302DE7-3D4F-498F-9175-6EEE43DEE50F}"/>
    <cellStyle name="Note 2 2 2 2" xfId="547" xr:uid="{00000000-0005-0000-0000-000097200000}"/>
    <cellStyle name="Note 2 2 2 2 10" xfId="9129" xr:uid="{E3014E66-3188-44A3-838C-60DC904EB29E}"/>
    <cellStyle name="Note 2 2 2 2 2" xfId="1008" xr:uid="{00000000-0005-0000-0000-000098200000}"/>
    <cellStyle name="Note 2 2 2 2 2 2" xfId="3240" xr:uid="{00000000-0005-0000-0000-000099200000}"/>
    <cellStyle name="Note 2 2 2 2 2 2 2" xfId="7463" xr:uid="{00000000-0005-0000-0000-00009A200000}"/>
    <cellStyle name="Note 2 2 2 2 2 2 2 2" xfId="15905" xr:uid="{63728315-7830-4A33-A64E-774E623D8F9C}"/>
    <cellStyle name="Note 2 2 2 2 2 2 3" xfId="11687" xr:uid="{7587EB43-4E0B-4364-823B-E71552173C39}"/>
    <cellStyle name="Note 2 2 2 2 2 3" xfId="5318" xr:uid="{00000000-0005-0000-0000-00009B200000}"/>
    <cellStyle name="Note 2 2 2 2 2 3 2" xfId="13760" xr:uid="{22EBAA10-7A83-4964-BFD8-C90EC1FFA7EA}"/>
    <cellStyle name="Note 2 2 2 2 2 4" xfId="9542" xr:uid="{EE21651F-BE28-4920-B5B2-0A50598D3F47}"/>
    <cellStyle name="Note 2 2 2 2 3" xfId="1423" xr:uid="{00000000-0005-0000-0000-00009C200000}"/>
    <cellStyle name="Note 2 2 2 2 3 2" xfId="3653" xr:uid="{00000000-0005-0000-0000-00009D200000}"/>
    <cellStyle name="Note 2 2 2 2 3 2 2" xfId="7876" xr:uid="{00000000-0005-0000-0000-00009E200000}"/>
    <cellStyle name="Note 2 2 2 2 3 2 2 2" xfId="16318" xr:uid="{92B4367F-DE33-40CB-B6D5-4CA192373549}"/>
    <cellStyle name="Note 2 2 2 2 3 2 3" xfId="12100" xr:uid="{8552D346-4BF6-4894-9E4E-E37BF092CBF0}"/>
    <cellStyle name="Note 2 2 2 2 3 3" xfId="5731" xr:uid="{00000000-0005-0000-0000-00009F200000}"/>
    <cellStyle name="Note 2 2 2 2 3 3 2" xfId="14173" xr:uid="{CA45B035-8269-4DDC-BF50-5C9E805044B2}"/>
    <cellStyle name="Note 2 2 2 2 3 4" xfId="9955" xr:uid="{99442FD4-8417-4E91-864B-4AA1C25F1724}"/>
    <cellStyle name="Note 2 2 2 2 4" xfId="1837" xr:uid="{00000000-0005-0000-0000-0000A0200000}"/>
    <cellStyle name="Note 2 2 2 2 4 2" xfId="4066" xr:uid="{00000000-0005-0000-0000-0000A1200000}"/>
    <cellStyle name="Note 2 2 2 2 4 2 2" xfId="8289" xr:uid="{00000000-0005-0000-0000-0000A2200000}"/>
    <cellStyle name="Note 2 2 2 2 4 2 2 2" xfId="16731" xr:uid="{365A5D94-5654-434F-AFF1-068393DDA68E}"/>
    <cellStyle name="Note 2 2 2 2 4 2 3" xfId="12513" xr:uid="{56C0EC0D-1926-4D00-AC2E-C7632A5A496A}"/>
    <cellStyle name="Note 2 2 2 2 4 3" xfId="6144" xr:uid="{00000000-0005-0000-0000-0000A3200000}"/>
    <cellStyle name="Note 2 2 2 2 4 3 2" xfId="14586" xr:uid="{F4E7B7F3-E4DB-47C3-8DDE-C1BE912D27D9}"/>
    <cellStyle name="Note 2 2 2 2 4 4" xfId="10368" xr:uid="{5D430C60-6E8D-41B9-8AFF-6922F1DB1076}"/>
    <cellStyle name="Note 2 2 2 2 5" xfId="2250" xr:uid="{00000000-0005-0000-0000-0000A4200000}"/>
    <cellStyle name="Note 2 2 2 2 5 2" xfId="4479" xr:uid="{00000000-0005-0000-0000-0000A5200000}"/>
    <cellStyle name="Note 2 2 2 2 5 2 2" xfId="8702" xr:uid="{00000000-0005-0000-0000-0000A6200000}"/>
    <cellStyle name="Note 2 2 2 2 5 2 2 2" xfId="17144" xr:uid="{5D5CDD15-E363-475E-8465-8B5F6A304FA9}"/>
    <cellStyle name="Note 2 2 2 2 5 2 3" xfId="12926" xr:uid="{8EB32263-9981-4F9C-9861-2DE42FEE956D}"/>
    <cellStyle name="Note 2 2 2 2 5 3" xfId="6557" xr:uid="{00000000-0005-0000-0000-0000A7200000}"/>
    <cellStyle name="Note 2 2 2 2 5 3 2" xfId="14999" xr:uid="{1C809AA6-F7C1-4265-8C16-2ABBF6E07C12}"/>
    <cellStyle name="Note 2 2 2 2 5 4" xfId="10781" xr:uid="{90175097-098A-4057-8B7E-F9AAB52386E1}"/>
    <cellStyle name="Note 2 2 2 2 6" xfId="2686" xr:uid="{00000000-0005-0000-0000-0000A8200000}"/>
    <cellStyle name="Note 2 2 2 2 6 2" xfId="6970" xr:uid="{00000000-0005-0000-0000-0000A9200000}"/>
    <cellStyle name="Note 2 2 2 2 6 2 2" xfId="15412" xr:uid="{4EACB903-A762-4A7F-87A5-438B2EFBF744}"/>
    <cellStyle name="Note 2 2 2 2 6 3" xfId="11194" xr:uid="{ED4AA2E3-41C1-4775-9512-987B0A4518A2}"/>
    <cellStyle name="Note 2 2 2 2 7" xfId="2745" xr:uid="{00000000-0005-0000-0000-0000AA200000}"/>
    <cellStyle name="Note 2 2 2 2 8" xfId="2826" xr:uid="{00000000-0005-0000-0000-0000AB200000}"/>
    <cellStyle name="Note 2 2 2 2 8 2" xfId="7050" xr:uid="{00000000-0005-0000-0000-0000AC200000}"/>
    <cellStyle name="Note 2 2 2 2 8 2 2" xfId="15492" xr:uid="{86B9333A-1786-406F-B158-2206C84D4DEF}"/>
    <cellStyle name="Note 2 2 2 2 8 3" xfId="11274" xr:uid="{BB998C54-66BF-48FD-9809-AEC2C95FC170}"/>
    <cellStyle name="Note 2 2 2 2 9" xfId="4905" xr:uid="{00000000-0005-0000-0000-0000AD200000}"/>
    <cellStyle name="Note 2 2 2 2 9 2" xfId="13347" xr:uid="{5DD59DD2-3BB9-4424-B442-A61E5A45B0F1}"/>
    <cellStyle name="Note 2 2 2 3" xfId="1007" xr:uid="{00000000-0005-0000-0000-0000AE200000}"/>
    <cellStyle name="Note 2 2 2 3 2" xfId="3239" xr:uid="{00000000-0005-0000-0000-0000AF200000}"/>
    <cellStyle name="Note 2 2 2 3 2 2" xfId="7462" xr:uid="{00000000-0005-0000-0000-0000B0200000}"/>
    <cellStyle name="Note 2 2 2 3 2 2 2" xfId="15904" xr:uid="{67E397F0-6FD6-40D4-9CC3-9C29DFE12207}"/>
    <cellStyle name="Note 2 2 2 3 2 3" xfId="11686" xr:uid="{2DA0F4CD-7D4F-4F13-A7B7-B9A2E4AF8C6B}"/>
    <cellStyle name="Note 2 2 2 3 3" xfId="5317" xr:uid="{00000000-0005-0000-0000-0000B1200000}"/>
    <cellStyle name="Note 2 2 2 3 3 2" xfId="13759" xr:uid="{DC772393-F802-4C0B-B65C-43F430258675}"/>
    <cellStyle name="Note 2 2 2 3 4" xfId="9541" xr:uid="{84A5BBFF-A78E-48C8-A5AA-377937BFE651}"/>
    <cellStyle name="Note 2 2 2 4" xfId="1422" xr:uid="{00000000-0005-0000-0000-0000B2200000}"/>
    <cellStyle name="Note 2 2 2 4 2" xfId="3652" xr:uid="{00000000-0005-0000-0000-0000B3200000}"/>
    <cellStyle name="Note 2 2 2 4 2 2" xfId="7875" xr:uid="{00000000-0005-0000-0000-0000B4200000}"/>
    <cellStyle name="Note 2 2 2 4 2 2 2" xfId="16317" xr:uid="{070A9C4B-44B3-457D-8A8E-19BA73588C88}"/>
    <cellStyle name="Note 2 2 2 4 2 3" xfId="12099" xr:uid="{254F9AA5-6190-463A-BABC-EADF7C92EEF9}"/>
    <cellStyle name="Note 2 2 2 4 3" xfId="5730" xr:uid="{00000000-0005-0000-0000-0000B5200000}"/>
    <cellStyle name="Note 2 2 2 4 3 2" xfId="14172" xr:uid="{D5BC33B8-D9ED-4E3C-A679-23BFCD04ABE9}"/>
    <cellStyle name="Note 2 2 2 4 4" xfId="9954" xr:uid="{E93B05C9-498A-4864-BD3F-690CF391DC1B}"/>
    <cellStyle name="Note 2 2 2 5" xfId="1836" xr:uid="{00000000-0005-0000-0000-0000B6200000}"/>
    <cellStyle name="Note 2 2 2 5 2" xfId="4065" xr:uid="{00000000-0005-0000-0000-0000B7200000}"/>
    <cellStyle name="Note 2 2 2 5 2 2" xfId="8288" xr:uid="{00000000-0005-0000-0000-0000B8200000}"/>
    <cellStyle name="Note 2 2 2 5 2 2 2" xfId="16730" xr:uid="{57667333-1491-4BAC-AAC0-F963378A9DD6}"/>
    <cellStyle name="Note 2 2 2 5 2 3" xfId="12512" xr:uid="{4DA49DFF-A855-4318-A436-C5B9B1238FCB}"/>
    <cellStyle name="Note 2 2 2 5 3" xfId="6143" xr:uid="{00000000-0005-0000-0000-0000B9200000}"/>
    <cellStyle name="Note 2 2 2 5 3 2" xfId="14585" xr:uid="{4B6D8A95-90A8-48E7-B2D8-18BECB3DD516}"/>
    <cellStyle name="Note 2 2 2 5 4" xfId="10367" xr:uid="{1BA34307-D8CD-49E6-A24C-58F3BCE6CF08}"/>
    <cellStyle name="Note 2 2 2 6" xfId="2249" xr:uid="{00000000-0005-0000-0000-0000BA200000}"/>
    <cellStyle name="Note 2 2 2 6 2" xfId="4478" xr:uid="{00000000-0005-0000-0000-0000BB200000}"/>
    <cellStyle name="Note 2 2 2 6 2 2" xfId="8701" xr:uid="{00000000-0005-0000-0000-0000BC200000}"/>
    <cellStyle name="Note 2 2 2 6 2 2 2" xfId="17143" xr:uid="{3F3DCF58-95E0-4BEE-8039-7D21276861A9}"/>
    <cellStyle name="Note 2 2 2 6 2 3" xfId="12925" xr:uid="{7E992D80-7B8C-49E6-B8D5-83A0197B03BD}"/>
    <cellStyle name="Note 2 2 2 6 3" xfId="6556" xr:uid="{00000000-0005-0000-0000-0000BD200000}"/>
    <cellStyle name="Note 2 2 2 6 3 2" xfId="14998" xr:uid="{B39A0137-31ED-4AFF-ADFD-A17D77262FAC}"/>
    <cellStyle name="Note 2 2 2 6 4" xfId="10780" xr:uid="{BC59660B-7F1B-4AA5-B85F-352BAAC5704D}"/>
    <cellStyle name="Note 2 2 2 7" xfId="2685" xr:uid="{00000000-0005-0000-0000-0000BE200000}"/>
    <cellStyle name="Note 2 2 2 7 2" xfId="6969" xr:uid="{00000000-0005-0000-0000-0000BF200000}"/>
    <cellStyle name="Note 2 2 2 7 2 2" xfId="15411" xr:uid="{676BF9B7-8A6C-4545-8AC0-13645BE8341A}"/>
    <cellStyle name="Note 2 2 2 7 3" xfId="11193" xr:uid="{5DA0BDB0-9AA0-4780-8FD1-C3D9810CFA2E}"/>
    <cellStyle name="Note 2 2 2 8" xfId="2744" xr:uid="{00000000-0005-0000-0000-0000C0200000}"/>
    <cellStyle name="Note 2 2 2 9" xfId="2825" xr:uid="{00000000-0005-0000-0000-0000C1200000}"/>
    <cellStyle name="Note 2 2 2 9 2" xfId="7049" xr:uid="{00000000-0005-0000-0000-0000C2200000}"/>
    <cellStyle name="Note 2 2 2 9 2 2" xfId="15491" xr:uid="{2465E4A2-AA48-42BA-AEBC-31BB191EF72E}"/>
    <cellStyle name="Note 2 2 2 9 3" xfId="11273" xr:uid="{FC4FC3C0-0C24-4A4E-8B32-DB94EC5E2E3D}"/>
    <cellStyle name="Note 2 2 3" xfId="548" xr:uid="{00000000-0005-0000-0000-0000C3200000}"/>
    <cellStyle name="Note 2 2 3 10" xfId="9130" xr:uid="{784F9FDE-3F5F-4CD4-A11A-7BF2AA450DDD}"/>
    <cellStyle name="Note 2 2 3 2" xfId="1009" xr:uid="{00000000-0005-0000-0000-0000C4200000}"/>
    <cellStyle name="Note 2 2 3 2 2" xfId="3241" xr:uid="{00000000-0005-0000-0000-0000C5200000}"/>
    <cellStyle name="Note 2 2 3 2 2 2" xfId="7464" xr:uid="{00000000-0005-0000-0000-0000C6200000}"/>
    <cellStyle name="Note 2 2 3 2 2 2 2" xfId="15906" xr:uid="{876F3C70-36BB-49B9-A2F7-2CEE6059BC4D}"/>
    <cellStyle name="Note 2 2 3 2 2 3" xfId="11688" xr:uid="{98480F67-CC8E-477F-A514-FF510DF0FFD8}"/>
    <cellStyle name="Note 2 2 3 2 3" xfId="5319" xr:uid="{00000000-0005-0000-0000-0000C7200000}"/>
    <cellStyle name="Note 2 2 3 2 3 2" xfId="13761" xr:uid="{7BE99F80-9575-4CD5-BEC4-11B4E56A5493}"/>
    <cellStyle name="Note 2 2 3 2 4" xfId="9543" xr:uid="{91FB2F78-9CD9-4A47-8A1F-223EB253C31B}"/>
    <cellStyle name="Note 2 2 3 3" xfId="1424" xr:uid="{00000000-0005-0000-0000-0000C8200000}"/>
    <cellStyle name="Note 2 2 3 3 2" xfId="3654" xr:uid="{00000000-0005-0000-0000-0000C9200000}"/>
    <cellStyle name="Note 2 2 3 3 2 2" xfId="7877" xr:uid="{00000000-0005-0000-0000-0000CA200000}"/>
    <cellStyle name="Note 2 2 3 3 2 2 2" xfId="16319" xr:uid="{87C0FE02-A955-414D-9877-E6AE9A8D6079}"/>
    <cellStyle name="Note 2 2 3 3 2 3" xfId="12101" xr:uid="{30AF9859-4EB4-40BC-A3AC-BD487674B6D8}"/>
    <cellStyle name="Note 2 2 3 3 3" xfId="5732" xr:uid="{00000000-0005-0000-0000-0000CB200000}"/>
    <cellStyle name="Note 2 2 3 3 3 2" xfId="14174" xr:uid="{A2A5C40A-489A-44A8-81C0-EF9CA9015785}"/>
    <cellStyle name="Note 2 2 3 3 4" xfId="9956" xr:uid="{8812DA36-20A5-48D6-8266-2FA1A5051C42}"/>
    <cellStyle name="Note 2 2 3 4" xfId="1838" xr:uid="{00000000-0005-0000-0000-0000CC200000}"/>
    <cellStyle name="Note 2 2 3 4 2" xfId="4067" xr:uid="{00000000-0005-0000-0000-0000CD200000}"/>
    <cellStyle name="Note 2 2 3 4 2 2" xfId="8290" xr:uid="{00000000-0005-0000-0000-0000CE200000}"/>
    <cellStyle name="Note 2 2 3 4 2 2 2" xfId="16732" xr:uid="{BC0C4992-76D1-4850-9969-99116EED5E49}"/>
    <cellStyle name="Note 2 2 3 4 2 3" xfId="12514" xr:uid="{BA01BCA2-4ADE-476D-83B1-0D8CFB31B946}"/>
    <cellStyle name="Note 2 2 3 4 3" xfId="6145" xr:uid="{00000000-0005-0000-0000-0000CF200000}"/>
    <cellStyle name="Note 2 2 3 4 3 2" xfId="14587" xr:uid="{F6AB2E7E-B8F4-4317-BB4B-1BC30F1B566E}"/>
    <cellStyle name="Note 2 2 3 4 4" xfId="10369" xr:uid="{F8926BAA-22E4-4BB9-90BD-DFB8BF787B01}"/>
    <cellStyle name="Note 2 2 3 5" xfId="2251" xr:uid="{00000000-0005-0000-0000-0000D0200000}"/>
    <cellStyle name="Note 2 2 3 5 2" xfId="4480" xr:uid="{00000000-0005-0000-0000-0000D1200000}"/>
    <cellStyle name="Note 2 2 3 5 2 2" xfId="8703" xr:uid="{00000000-0005-0000-0000-0000D2200000}"/>
    <cellStyle name="Note 2 2 3 5 2 2 2" xfId="17145" xr:uid="{99966271-75E1-4C3F-B710-6A16BBA938EA}"/>
    <cellStyle name="Note 2 2 3 5 2 3" xfId="12927" xr:uid="{8ADFA649-E695-42A4-A277-51A7D051F82C}"/>
    <cellStyle name="Note 2 2 3 5 3" xfId="6558" xr:uid="{00000000-0005-0000-0000-0000D3200000}"/>
    <cellStyle name="Note 2 2 3 5 3 2" xfId="15000" xr:uid="{568E7296-1A81-4977-87F3-EEDAB3896E2C}"/>
    <cellStyle name="Note 2 2 3 5 4" xfId="10782" xr:uid="{894003E1-308B-41B0-A1EC-AB454AA72FEB}"/>
    <cellStyle name="Note 2 2 3 6" xfId="2687" xr:uid="{00000000-0005-0000-0000-0000D4200000}"/>
    <cellStyle name="Note 2 2 3 6 2" xfId="6971" xr:uid="{00000000-0005-0000-0000-0000D5200000}"/>
    <cellStyle name="Note 2 2 3 6 2 2" xfId="15413" xr:uid="{3F1841A6-D206-465A-89F3-3A443563487E}"/>
    <cellStyle name="Note 2 2 3 6 3" xfId="11195" xr:uid="{8522D732-12C0-429B-AF8F-78924369FA4C}"/>
    <cellStyle name="Note 2 2 3 7" xfId="2746" xr:uid="{00000000-0005-0000-0000-0000D6200000}"/>
    <cellStyle name="Note 2 2 3 8" xfId="2827" xr:uid="{00000000-0005-0000-0000-0000D7200000}"/>
    <cellStyle name="Note 2 2 3 8 2" xfId="7051" xr:uid="{00000000-0005-0000-0000-0000D8200000}"/>
    <cellStyle name="Note 2 2 3 8 2 2" xfId="15493" xr:uid="{10378583-FB00-4FC5-81D0-CB8E7247AA1F}"/>
    <cellStyle name="Note 2 2 3 8 3" xfId="11275" xr:uid="{A7F8AB04-DA08-4B04-8DF5-0FE9BAB1BA95}"/>
    <cellStyle name="Note 2 2 3 9" xfId="4906" xr:uid="{00000000-0005-0000-0000-0000D9200000}"/>
    <cellStyle name="Note 2 2 3 9 2" xfId="13348" xr:uid="{849CF82D-A67C-4FC2-A61F-AD5D1BD6A0E8}"/>
    <cellStyle name="Note 2 2 4" xfId="1006" xr:uid="{00000000-0005-0000-0000-0000DA200000}"/>
    <cellStyle name="Note 2 2 4 2" xfId="3238" xr:uid="{00000000-0005-0000-0000-0000DB200000}"/>
    <cellStyle name="Note 2 2 4 2 2" xfId="7461" xr:uid="{00000000-0005-0000-0000-0000DC200000}"/>
    <cellStyle name="Note 2 2 4 2 2 2" xfId="15903" xr:uid="{309B3744-58AB-4ADE-87E8-A4FB893CB77C}"/>
    <cellStyle name="Note 2 2 4 2 3" xfId="11685" xr:uid="{3D822D41-D5B3-4833-8DAA-26A6468A729F}"/>
    <cellStyle name="Note 2 2 4 3" xfId="5316" xr:uid="{00000000-0005-0000-0000-0000DD200000}"/>
    <cellStyle name="Note 2 2 4 3 2" xfId="13758" xr:uid="{978DD39B-4028-4BEF-BC0B-F95E3FE83C98}"/>
    <cellStyle name="Note 2 2 4 4" xfId="9540" xr:uid="{676BDB3B-3840-4ABC-A95C-80EE34F4DFF2}"/>
    <cellStyle name="Note 2 2 5" xfId="1421" xr:uid="{00000000-0005-0000-0000-0000DE200000}"/>
    <cellStyle name="Note 2 2 5 2" xfId="3651" xr:uid="{00000000-0005-0000-0000-0000DF200000}"/>
    <cellStyle name="Note 2 2 5 2 2" xfId="7874" xr:uid="{00000000-0005-0000-0000-0000E0200000}"/>
    <cellStyle name="Note 2 2 5 2 2 2" xfId="16316" xr:uid="{A88CA130-3716-43E2-8EDF-76BBB57DB110}"/>
    <cellStyle name="Note 2 2 5 2 3" xfId="12098" xr:uid="{4AF9A7FD-B211-46F6-81BF-5C1ACC563142}"/>
    <cellStyle name="Note 2 2 5 3" xfId="5729" xr:uid="{00000000-0005-0000-0000-0000E1200000}"/>
    <cellStyle name="Note 2 2 5 3 2" xfId="14171" xr:uid="{094416E9-CE24-4F3C-B97A-590887EECA29}"/>
    <cellStyle name="Note 2 2 5 4" xfId="9953" xr:uid="{25718EAA-3417-4084-9C1F-4B2154D7869E}"/>
    <cellStyle name="Note 2 2 6" xfId="1835" xr:uid="{00000000-0005-0000-0000-0000E2200000}"/>
    <cellStyle name="Note 2 2 6 2" xfId="4064" xr:uid="{00000000-0005-0000-0000-0000E3200000}"/>
    <cellStyle name="Note 2 2 6 2 2" xfId="8287" xr:uid="{00000000-0005-0000-0000-0000E4200000}"/>
    <cellStyle name="Note 2 2 6 2 2 2" xfId="16729" xr:uid="{66AA3704-6FFD-4EC0-8866-BAE5B335FB22}"/>
    <cellStyle name="Note 2 2 6 2 3" xfId="12511" xr:uid="{3A114D7C-36AB-48C0-8352-CE0AF67EB712}"/>
    <cellStyle name="Note 2 2 6 3" xfId="6142" xr:uid="{00000000-0005-0000-0000-0000E5200000}"/>
    <cellStyle name="Note 2 2 6 3 2" xfId="14584" xr:uid="{1296F7C8-A4F2-46BC-AFDB-7BA919C85D44}"/>
    <cellStyle name="Note 2 2 6 4" xfId="10366" xr:uid="{E9E767BD-5181-4479-A32E-7F308B925AB4}"/>
    <cellStyle name="Note 2 2 7" xfId="2248" xr:uid="{00000000-0005-0000-0000-0000E6200000}"/>
    <cellStyle name="Note 2 2 7 2" xfId="4477" xr:uid="{00000000-0005-0000-0000-0000E7200000}"/>
    <cellStyle name="Note 2 2 7 2 2" xfId="8700" xr:uid="{00000000-0005-0000-0000-0000E8200000}"/>
    <cellStyle name="Note 2 2 7 2 2 2" xfId="17142" xr:uid="{D548C919-A9A9-4EC6-8B72-6EB48FF62D40}"/>
    <cellStyle name="Note 2 2 7 2 3" xfId="12924" xr:uid="{746B2D18-3C73-4DEA-8478-E36F5D5AC5C2}"/>
    <cellStyle name="Note 2 2 7 3" xfId="6555" xr:uid="{00000000-0005-0000-0000-0000E9200000}"/>
    <cellStyle name="Note 2 2 7 3 2" xfId="14997" xr:uid="{6E1F6A41-B80E-4C16-8406-3742C485E635}"/>
    <cellStyle name="Note 2 2 7 4" xfId="10779" xr:uid="{70FAAED4-4F9A-462D-A47E-7D9B5E949BC8}"/>
    <cellStyle name="Note 2 2 8" xfId="2684" xr:uid="{00000000-0005-0000-0000-0000EA200000}"/>
    <cellStyle name="Note 2 2 8 2" xfId="6968" xr:uid="{00000000-0005-0000-0000-0000EB200000}"/>
    <cellStyle name="Note 2 2 8 2 2" xfId="15410" xr:uid="{C8028EFC-FFB1-42C1-8311-DEA5670D7542}"/>
    <cellStyle name="Note 2 2 8 3" xfId="11192" xr:uid="{6957828B-0176-4F77-9912-AB9F4C6FC343}"/>
    <cellStyle name="Note 2 2 9" xfId="2743" xr:uid="{00000000-0005-0000-0000-0000EC200000}"/>
    <cellStyle name="Note 2 3" xfId="549" xr:uid="{00000000-0005-0000-0000-0000ED200000}"/>
    <cellStyle name="Note 2 3 10" xfId="4907" xr:uid="{00000000-0005-0000-0000-0000EE200000}"/>
    <cellStyle name="Note 2 3 10 2" xfId="13349" xr:uid="{4E32151A-5960-4B75-88B9-C664A328C3F3}"/>
    <cellStyle name="Note 2 3 11" xfId="9131" xr:uid="{B66A3C9A-282E-4BE9-BD17-076E430281CB}"/>
    <cellStyle name="Note 2 3 2" xfId="550" xr:uid="{00000000-0005-0000-0000-0000EF200000}"/>
    <cellStyle name="Note 2 3 2 10" xfId="9132" xr:uid="{992A2D7A-1F07-4EFA-B356-30303750C639}"/>
    <cellStyle name="Note 2 3 2 2" xfId="1011" xr:uid="{00000000-0005-0000-0000-0000F0200000}"/>
    <cellStyle name="Note 2 3 2 2 2" xfId="3243" xr:uid="{00000000-0005-0000-0000-0000F1200000}"/>
    <cellStyle name="Note 2 3 2 2 2 2" xfId="7466" xr:uid="{00000000-0005-0000-0000-0000F2200000}"/>
    <cellStyle name="Note 2 3 2 2 2 2 2" xfId="15908" xr:uid="{4922FC5B-EF08-420D-9E84-0E2F17857519}"/>
    <cellStyle name="Note 2 3 2 2 2 3" xfId="11690" xr:uid="{2611C234-E30B-40B6-A3A9-52546DCF5878}"/>
    <cellStyle name="Note 2 3 2 2 3" xfId="5321" xr:uid="{00000000-0005-0000-0000-0000F3200000}"/>
    <cellStyle name="Note 2 3 2 2 3 2" xfId="13763" xr:uid="{A1F5DD88-88B9-47B3-B339-7DC3DBE09B5B}"/>
    <cellStyle name="Note 2 3 2 2 4" xfId="9545" xr:uid="{5C512338-3843-4442-A177-A956EC2A3F8A}"/>
    <cellStyle name="Note 2 3 2 3" xfId="1426" xr:uid="{00000000-0005-0000-0000-0000F4200000}"/>
    <cellStyle name="Note 2 3 2 3 2" xfId="3656" xr:uid="{00000000-0005-0000-0000-0000F5200000}"/>
    <cellStyle name="Note 2 3 2 3 2 2" xfId="7879" xr:uid="{00000000-0005-0000-0000-0000F6200000}"/>
    <cellStyle name="Note 2 3 2 3 2 2 2" xfId="16321" xr:uid="{D374F95B-6313-4E0A-95F1-8AC19FBD1D68}"/>
    <cellStyle name="Note 2 3 2 3 2 3" xfId="12103" xr:uid="{AEFC5C54-66A2-450B-AE09-AD8F16051BDF}"/>
    <cellStyle name="Note 2 3 2 3 3" xfId="5734" xr:uid="{00000000-0005-0000-0000-0000F7200000}"/>
    <cellStyle name="Note 2 3 2 3 3 2" xfId="14176" xr:uid="{3DD5425D-C253-403D-9981-6FF1D7370402}"/>
    <cellStyle name="Note 2 3 2 3 4" xfId="9958" xr:uid="{57634A25-3472-4DC0-8A77-5E87CE547439}"/>
    <cellStyle name="Note 2 3 2 4" xfId="1840" xr:uid="{00000000-0005-0000-0000-0000F8200000}"/>
    <cellStyle name="Note 2 3 2 4 2" xfId="4069" xr:uid="{00000000-0005-0000-0000-0000F9200000}"/>
    <cellStyle name="Note 2 3 2 4 2 2" xfId="8292" xr:uid="{00000000-0005-0000-0000-0000FA200000}"/>
    <cellStyle name="Note 2 3 2 4 2 2 2" xfId="16734" xr:uid="{14426D36-CCC3-4D65-A988-E14248644FA2}"/>
    <cellStyle name="Note 2 3 2 4 2 3" xfId="12516" xr:uid="{DB851DA9-1923-4744-B753-DE63ACD268CE}"/>
    <cellStyle name="Note 2 3 2 4 3" xfId="6147" xr:uid="{00000000-0005-0000-0000-0000FB200000}"/>
    <cellStyle name="Note 2 3 2 4 3 2" xfId="14589" xr:uid="{26CE0C02-5F43-487B-A08A-7BD3DFD69E14}"/>
    <cellStyle name="Note 2 3 2 4 4" xfId="10371" xr:uid="{D1F05E2D-291D-4800-86AC-26F996AF8D3A}"/>
    <cellStyle name="Note 2 3 2 5" xfId="2253" xr:uid="{00000000-0005-0000-0000-0000FC200000}"/>
    <cellStyle name="Note 2 3 2 5 2" xfId="4482" xr:uid="{00000000-0005-0000-0000-0000FD200000}"/>
    <cellStyle name="Note 2 3 2 5 2 2" xfId="8705" xr:uid="{00000000-0005-0000-0000-0000FE200000}"/>
    <cellStyle name="Note 2 3 2 5 2 2 2" xfId="17147" xr:uid="{4CF3D6D6-C9FF-418F-9443-148561D8EB4A}"/>
    <cellStyle name="Note 2 3 2 5 2 3" xfId="12929" xr:uid="{89F18ADE-A871-4799-8EAE-0DCF38F42193}"/>
    <cellStyle name="Note 2 3 2 5 3" xfId="6560" xr:uid="{00000000-0005-0000-0000-0000FF200000}"/>
    <cellStyle name="Note 2 3 2 5 3 2" xfId="15002" xr:uid="{AFCAE486-EA30-43C1-93A2-F5694FDC56F6}"/>
    <cellStyle name="Note 2 3 2 5 4" xfId="10784" xr:uid="{DD5DD6A7-99AA-418F-A350-E2FD35B190B5}"/>
    <cellStyle name="Note 2 3 2 6" xfId="2689" xr:uid="{00000000-0005-0000-0000-000000210000}"/>
    <cellStyle name="Note 2 3 2 6 2" xfId="6973" xr:uid="{00000000-0005-0000-0000-000001210000}"/>
    <cellStyle name="Note 2 3 2 6 2 2" xfId="15415" xr:uid="{09A67DA6-0AB7-48A4-BB3C-ED7B74BC02CB}"/>
    <cellStyle name="Note 2 3 2 6 3" xfId="11197" xr:uid="{B1A7037B-D523-4831-814C-FBA967D89037}"/>
    <cellStyle name="Note 2 3 2 7" xfId="2748" xr:uid="{00000000-0005-0000-0000-000002210000}"/>
    <cellStyle name="Note 2 3 2 8" xfId="2829" xr:uid="{00000000-0005-0000-0000-000003210000}"/>
    <cellStyle name="Note 2 3 2 8 2" xfId="7053" xr:uid="{00000000-0005-0000-0000-000004210000}"/>
    <cellStyle name="Note 2 3 2 8 2 2" xfId="15495" xr:uid="{7D394317-3206-4851-B379-E380605EF46D}"/>
    <cellStyle name="Note 2 3 2 8 3" xfId="11277" xr:uid="{6EEC9B50-7FF4-4872-8A92-D00A3E5C44CA}"/>
    <cellStyle name="Note 2 3 2 9" xfId="4908" xr:uid="{00000000-0005-0000-0000-000005210000}"/>
    <cellStyle name="Note 2 3 2 9 2" xfId="13350" xr:uid="{7DB80940-DB68-46A3-90EB-79237D3BBCD3}"/>
    <cellStyle name="Note 2 3 3" xfId="1010" xr:uid="{00000000-0005-0000-0000-000006210000}"/>
    <cellStyle name="Note 2 3 3 2" xfId="3242" xr:uid="{00000000-0005-0000-0000-000007210000}"/>
    <cellStyle name="Note 2 3 3 2 2" xfId="7465" xr:uid="{00000000-0005-0000-0000-000008210000}"/>
    <cellStyle name="Note 2 3 3 2 2 2" xfId="15907" xr:uid="{43431147-94C9-4421-A494-06F8C66B17F5}"/>
    <cellStyle name="Note 2 3 3 2 3" xfId="11689" xr:uid="{34D067A9-3B5B-4258-90D9-92687833B729}"/>
    <cellStyle name="Note 2 3 3 3" xfId="5320" xr:uid="{00000000-0005-0000-0000-000009210000}"/>
    <cellStyle name="Note 2 3 3 3 2" xfId="13762" xr:uid="{25C463B8-1E1C-4E90-A7BF-81B388F3CB18}"/>
    <cellStyle name="Note 2 3 3 4" xfId="9544" xr:uid="{D33FD482-F663-4BCB-A350-640D4D35DCF5}"/>
    <cellStyle name="Note 2 3 4" xfId="1425" xr:uid="{00000000-0005-0000-0000-00000A210000}"/>
    <cellStyle name="Note 2 3 4 2" xfId="3655" xr:uid="{00000000-0005-0000-0000-00000B210000}"/>
    <cellStyle name="Note 2 3 4 2 2" xfId="7878" xr:uid="{00000000-0005-0000-0000-00000C210000}"/>
    <cellStyle name="Note 2 3 4 2 2 2" xfId="16320" xr:uid="{932F4149-ED44-436D-9B0B-1C357B923133}"/>
    <cellStyle name="Note 2 3 4 2 3" xfId="12102" xr:uid="{BD13A077-072F-4FA4-A61F-D36A9BD22E27}"/>
    <cellStyle name="Note 2 3 4 3" xfId="5733" xr:uid="{00000000-0005-0000-0000-00000D210000}"/>
    <cellStyle name="Note 2 3 4 3 2" xfId="14175" xr:uid="{89A422A5-D182-41C3-B670-ED7FE6A1F618}"/>
    <cellStyle name="Note 2 3 4 4" xfId="9957" xr:uid="{C56C4390-AEFE-4B09-8FF4-625A075477A0}"/>
    <cellStyle name="Note 2 3 5" xfId="1839" xr:uid="{00000000-0005-0000-0000-00000E210000}"/>
    <cellStyle name="Note 2 3 5 2" xfId="4068" xr:uid="{00000000-0005-0000-0000-00000F210000}"/>
    <cellStyle name="Note 2 3 5 2 2" xfId="8291" xr:uid="{00000000-0005-0000-0000-000010210000}"/>
    <cellStyle name="Note 2 3 5 2 2 2" xfId="16733" xr:uid="{0341C81F-0CA6-48D5-A278-CB6AB238A1DC}"/>
    <cellStyle name="Note 2 3 5 2 3" xfId="12515" xr:uid="{D6B39158-272C-4448-8A98-609D19F162B5}"/>
    <cellStyle name="Note 2 3 5 3" xfId="6146" xr:uid="{00000000-0005-0000-0000-000011210000}"/>
    <cellStyle name="Note 2 3 5 3 2" xfId="14588" xr:uid="{40A87A50-07A0-4434-8D23-9652BD34C523}"/>
    <cellStyle name="Note 2 3 5 4" xfId="10370" xr:uid="{C4BF2476-AA01-4EA6-BE34-D08B2FFFD0B9}"/>
    <cellStyle name="Note 2 3 6" xfId="2252" xr:uid="{00000000-0005-0000-0000-000012210000}"/>
    <cellStyle name="Note 2 3 6 2" xfId="4481" xr:uid="{00000000-0005-0000-0000-000013210000}"/>
    <cellStyle name="Note 2 3 6 2 2" xfId="8704" xr:uid="{00000000-0005-0000-0000-000014210000}"/>
    <cellStyle name="Note 2 3 6 2 2 2" xfId="17146" xr:uid="{8801704D-AAA3-4291-81B2-CA9160B91B3C}"/>
    <cellStyle name="Note 2 3 6 2 3" xfId="12928" xr:uid="{1D513739-2052-467A-BD73-55F037E6341F}"/>
    <cellStyle name="Note 2 3 6 3" xfId="6559" xr:uid="{00000000-0005-0000-0000-000015210000}"/>
    <cellStyle name="Note 2 3 6 3 2" xfId="15001" xr:uid="{3CF155FF-9D3F-4BB7-B807-4D663114F00F}"/>
    <cellStyle name="Note 2 3 6 4" xfId="10783" xr:uid="{30F756E5-BFDB-435D-9837-6173E1D99491}"/>
    <cellStyle name="Note 2 3 7" xfId="2688" xr:uid="{00000000-0005-0000-0000-000016210000}"/>
    <cellStyle name="Note 2 3 7 2" xfId="6972" xr:uid="{00000000-0005-0000-0000-000017210000}"/>
    <cellStyle name="Note 2 3 7 2 2" xfId="15414" xr:uid="{ADD37929-4190-4FDB-A375-AC36FE207B67}"/>
    <cellStyle name="Note 2 3 7 3" xfId="11196" xr:uid="{E97AD41F-D098-42F1-8F33-D37B7426A1C2}"/>
    <cellStyle name="Note 2 3 8" xfId="2747" xr:uid="{00000000-0005-0000-0000-000018210000}"/>
    <cellStyle name="Note 2 3 9" xfId="2828" xr:uid="{00000000-0005-0000-0000-000019210000}"/>
    <cellStyle name="Note 2 3 9 2" xfId="7052" xr:uid="{00000000-0005-0000-0000-00001A210000}"/>
    <cellStyle name="Note 2 3 9 2 2" xfId="15494" xr:uid="{95FCB7C9-56F1-4DB6-A9CE-76459E8E36BA}"/>
    <cellStyle name="Note 2 3 9 3" xfId="11276" xr:uid="{193802B9-A884-4762-826F-0799AEF9E09A}"/>
    <cellStyle name="Note 2 4" xfId="551" xr:uid="{00000000-0005-0000-0000-00001B210000}"/>
    <cellStyle name="Note 2 4 10" xfId="9133" xr:uid="{74CDA8DE-B6BD-4AB6-BA05-F7F5F47D0A73}"/>
    <cellStyle name="Note 2 4 2" xfId="1012" xr:uid="{00000000-0005-0000-0000-00001C210000}"/>
    <cellStyle name="Note 2 4 2 2" xfId="3244" xr:uid="{00000000-0005-0000-0000-00001D210000}"/>
    <cellStyle name="Note 2 4 2 2 2" xfId="7467" xr:uid="{00000000-0005-0000-0000-00001E210000}"/>
    <cellStyle name="Note 2 4 2 2 2 2" xfId="15909" xr:uid="{9454DD02-148D-4F77-A633-1633BC7BE0AD}"/>
    <cellStyle name="Note 2 4 2 2 3" xfId="11691" xr:uid="{09C2D688-9EE9-4C68-AD5F-B8E399DBB2CA}"/>
    <cellStyle name="Note 2 4 2 3" xfId="5322" xr:uid="{00000000-0005-0000-0000-00001F210000}"/>
    <cellStyle name="Note 2 4 2 3 2" xfId="13764" xr:uid="{47A90BD2-C831-45DB-BA95-BA18B5C90278}"/>
    <cellStyle name="Note 2 4 2 4" xfId="9546" xr:uid="{E2383985-F40D-4692-8833-5FA281B29101}"/>
    <cellStyle name="Note 2 4 3" xfId="1427" xr:uid="{00000000-0005-0000-0000-000020210000}"/>
    <cellStyle name="Note 2 4 3 2" xfId="3657" xr:uid="{00000000-0005-0000-0000-000021210000}"/>
    <cellStyle name="Note 2 4 3 2 2" xfId="7880" xr:uid="{00000000-0005-0000-0000-000022210000}"/>
    <cellStyle name="Note 2 4 3 2 2 2" xfId="16322" xr:uid="{5EFA8F37-26CD-46DC-83BD-693DC0F76B88}"/>
    <cellStyle name="Note 2 4 3 2 3" xfId="12104" xr:uid="{3DD9CF26-8C61-425A-B57A-19DB72770349}"/>
    <cellStyle name="Note 2 4 3 3" xfId="5735" xr:uid="{00000000-0005-0000-0000-000023210000}"/>
    <cellStyle name="Note 2 4 3 3 2" xfId="14177" xr:uid="{F1735E75-BC63-4730-8E60-36A98E6A12FB}"/>
    <cellStyle name="Note 2 4 3 4" xfId="9959" xr:uid="{D2639E2A-6A7B-478F-9AE3-B094FDEB60D6}"/>
    <cellStyle name="Note 2 4 4" xfId="1841" xr:uid="{00000000-0005-0000-0000-000024210000}"/>
    <cellStyle name="Note 2 4 4 2" xfId="4070" xr:uid="{00000000-0005-0000-0000-000025210000}"/>
    <cellStyle name="Note 2 4 4 2 2" xfId="8293" xr:uid="{00000000-0005-0000-0000-000026210000}"/>
    <cellStyle name="Note 2 4 4 2 2 2" xfId="16735" xr:uid="{BBFF5A1F-1B5D-4FEE-A6BD-367D5E0EF6A0}"/>
    <cellStyle name="Note 2 4 4 2 3" xfId="12517" xr:uid="{7DAD551A-251B-4941-A5F2-3F6112F01FB3}"/>
    <cellStyle name="Note 2 4 4 3" xfId="6148" xr:uid="{00000000-0005-0000-0000-000027210000}"/>
    <cellStyle name="Note 2 4 4 3 2" xfId="14590" xr:uid="{4FA3FDB1-AC6B-429A-9A52-57EC45C74EAE}"/>
    <cellStyle name="Note 2 4 4 4" xfId="10372" xr:uid="{AB366B90-A3B8-4C89-B36C-EFD72C4C3F7B}"/>
    <cellStyle name="Note 2 4 5" xfId="2254" xr:uid="{00000000-0005-0000-0000-000028210000}"/>
    <cellStyle name="Note 2 4 5 2" xfId="4483" xr:uid="{00000000-0005-0000-0000-000029210000}"/>
    <cellStyle name="Note 2 4 5 2 2" xfId="8706" xr:uid="{00000000-0005-0000-0000-00002A210000}"/>
    <cellStyle name="Note 2 4 5 2 2 2" xfId="17148" xr:uid="{76066DC1-B1FA-49B5-AAB7-2FFF6A52AF89}"/>
    <cellStyle name="Note 2 4 5 2 3" xfId="12930" xr:uid="{8927417B-4336-4A7D-BF96-DA6986ED26E0}"/>
    <cellStyle name="Note 2 4 5 3" xfId="6561" xr:uid="{00000000-0005-0000-0000-00002B210000}"/>
    <cellStyle name="Note 2 4 5 3 2" xfId="15003" xr:uid="{4401F8A3-8C7C-440C-BE80-A846216BBADE}"/>
    <cellStyle name="Note 2 4 5 4" xfId="10785" xr:uid="{5F0DC160-BA93-4724-B89C-EFD03670A2BE}"/>
    <cellStyle name="Note 2 4 6" xfId="2690" xr:uid="{00000000-0005-0000-0000-00002C210000}"/>
    <cellStyle name="Note 2 4 6 2" xfId="6974" xr:uid="{00000000-0005-0000-0000-00002D210000}"/>
    <cellStyle name="Note 2 4 6 2 2" xfId="15416" xr:uid="{3333DD5F-D094-40AC-8D1D-3CB5F5ECD4A5}"/>
    <cellStyle name="Note 2 4 6 3" xfId="11198" xr:uid="{90120177-658B-48C9-954B-A831B819651A}"/>
    <cellStyle name="Note 2 4 7" xfId="2749" xr:uid="{00000000-0005-0000-0000-00002E210000}"/>
    <cellStyle name="Note 2 4 8" xfId="2830" xr:uid="{00000000-0005-0000-0000-00002F210000}"/>
    <cellStyle name="Note 2 4 8 2" xfId="7054" xr:uid="{00000000-0005-0000-0000-000030210000}"/>
    <cellStyle name="Note 2 4 8 2 2" xfId="15496" xr:uid="{D7FCC72C-66AA-499B-B624-CA5B88340643}"/>
    <cellStyle name="Note 2 4 8 3" xfId="11278" xr:uid="{685CA9FD-2CF9-4DA5-8D78-0567990AD491}"/>
    <cellStyle name="Note 2 4 9" xfId="4909" xr:uid="{00000000-0005-0000-0000-000031210000}"/>
    <cellStyle name="Note 2 4 9 2" xfId="13351" xr:uid="{F633FFA1-AAC9-4528-9088-7BB8930F68DF}"/>
    <cellStyle name="Note 2 5" xfId="552" xr:uid="{00000000-0005-0000-0000-000032210000}"/>
    <cellStyle name="Note 2 5 10" xfId="9134" xr:uid="{DE3AC9D9-9402-4FE0-B549-7EB5868B6EFC}"/>
    <cellStyle name="Note 2 5 2" xfId="1013" xr:uid="{00000000-0005-0000-0000-000033210000}"/>
    <cellStyle name="Note 2 5 2 2" xfId="3245" xr:uid="{00000000-0005-0000-0000-000034210000}"/>
    <cellStyle name="Note 2 5 2 2 2" xfId="7468" xr:uid="{00000000-0005-0000-0000-000035210000}"/>
    <cellStyle name="Note 2 5 2 2 2 2" xfId="15910" xr:uid="{7F65E103-E6BC-4E5D-9790-702DFBED06DC}"/>
    <cellStyle name="Note 2 5 2 2 3" xfId="11692" xr:uid="{DBA1582D-9C35-450D-AACC-932B55696842}"/>
    <cellStyle name="Note 2 5 2 3" xfId="5323" xr:uid="{00000000-0005-0000-0000-000036210000}"/>
    <cellStyle name="Note 2 5 2 3 2" xfId="13765" xr:uid="{C3EC102A-47F0-45C0-9366-02D8ED3FCD4B}"/>
    <cellStyle name="Note 2 5 2 4" xfId="9547" xr:uid="{8096C5CF-4DCC-4C5D-8DBC-C433F3AD10A1}"/>
    <cellStyle name="Note 2 5 3" xfId="1428" xr:uid="{00000000-0005-0000-0000-000037210000}"/>
    <cellStyle name="Note 2 5 3 2" xfId="3658" xr:uid="{00000000-0005-0000-0000-000038210000}"/>
    <cellStyle name="Note 2 5 3 2 2" xfId="7881" xr:uid="{00000000-0005-0000-0000-000039210000}"/>
    <cellStyle name="Note 2 5 3 2 2 2" xfId="16323" xr:uid="{83B9DF87-ED2C-43F2-BBB6-CD86CFB1D313}"/>
    <cellStyle name="Note 2 5 3 2 3" xfId="12105" xr:uid="{29A01CC1-9191-451D-A80E-456AF7B4428C}"/>
    <cellStyle name="Note 2 5 3 3" xfId="5736" xr:uid="{00000000-0005-0000-0000-00003A210000}"/>
    <cellStyle name="Note 2 5 3 3 2" xfId="14178" xr:uid="{12A52BE0-4BDF-44D1-BAAC-A4468CCABAF2}"/>
    <cellStyle name="Note 2 5 3 4" xfId="9960" xr:uid="{18C9E61E-678B-4A24-AE0F-E0B299841D35}"/>
    <cellStyle name="Note 2 5 4" xfId="1842" xr:uid="{00000000-0005-0000-0000-00003B210000}"/>
    <cellStyle name="Note 2 5 4 2" xfId="4071" xr:uid="{00000000-0005-0000-0000-00003C210000}"/>
    <cellStyle name="Note 2 5 4 2 2" xfId="8294" xr:uid="{00000000-0005-0000-0000-00003D210000}"/>
    <cellStyle name="Note 2 5 4 2 2 2" xfId="16736" xr:uid="{216AB6A2-7CBD-48EA-88D9-C12098BD21B8}"/>
    <cellStyle name="Note 2 5 4 2 3" xfId="12518" xr:uid="{46051EA2-8337-4D97-A0B4-D8EC75646B82}"/>
    <cellStyle name="Note 2 5 4 3" xfId="6149" xr:uid="{00000000-0005-0000-0000-00003E210000}"/>
    <cellStyle name="Note 2 5 4 3 2" xfId="14591" xr:uid="{CF0FF92B-BE9F-411B-80BF-CD66483C0063}"/>
    <cellStyle name="Note 2 5 4 4" xfId="10373" xr:uid="{99E1922A-B20D-4CC9-821F-8DD6D600E6A8}"/>
    <cellStyle name="Note 2 5 5" xfId="2255" xr:uid="{00000000-0005-0000-0000-00003F210000}"/>
    <cellStyle name="Note 2 5 5 2" xfId="4484" xr:uid="{00000000-0005-0000-0000-000040210000}"/>
    <cellStyle name="Note 2 5 5 2 2" xfId="8707" xr:uid="{00000000-0005-0000-0000-000041210000}"/>
    <cellStyle name="Note 2 5 5 2 2 2" xfId="17149" xr:uid="{D8A2D67A-F82B-49F2-8465-5E3D9DD7F2CA}"/>
    <cellStyle name="Note 2 5 5 2 3" xfId="12931" xr:uid="{8E078803-6AC0-4FE2-84E3-EDB5FA6DCAF4}"/>
    <cellStyle name="Note 2 5 5 3" xfId="6562" xr:uid="{00000000-0005-0000-0000-000042210000}"/>
    <cellStyle name="Note 2 5 5 3 2" xfId="15004" xr:uid="{53FAC0F1-B283-455D-9FA4-B944C97E1EA3}"/>
    <cellStyle name="Note 2 5 5 4" xfId="10786" xr:uid="{2AB53FBE-DFE9-442E-A42A-2F343D2779AD}"/>
    <cellStyle name="Note 2 5 6" xfId="2691" xr:uid="{00000000-0005-0000-0000-000043210000}"/>
    <cellStyle name="Note 2 5 6 2" xfId="6975" xr:uid="{00000000-0005-0000-0000-000044210000}"/>
    <cellStyle name="Note 2 5 6 2 2" xfId="15417" xr:uid="{37429D42-400A-484E-BC21-B00073117070}"/>
    <cellStyle name="Note 2 5 6 3" xfId="11199" xr:uid="{64C905B5-E126-4057-967B-42A803FC0278}"/>
    <cellStyle name="Note 2 5 7" xfId="2750" xr:uid="{00000000-0005-0000-0000-000045210000}"/>
    <cellStyle name="Note 2 5 8" xfId="2831" xr:uid="{00000000-0005-0000-0000-000046210000}"/>
    <cellStyle name="Note 2 5 8 2" xfId="7055" xr:uid="{00000000-0005-0000-0000-000047210000}"/>
    <cellStyle name="Note 2 5 8 2 2" xfId="15497" xr:uid="{7A7E1FE7-3F37-47D9-927D-53DD29A1ADA6}"/>
    <cellStyle name="Note 2 5 8 3" xfId="11279" xr:uid="{F57AFDD9-CEC7-445B-8FC7-8A56250E76F4}"/>
    <cellStyle name="Note 2 5 9" xfId="4910" xr:uid="{00000000-0005-0000-0000-000048210000}"/>
    <cellStyle name="Note 2 5 9 2" xfId="13352" xr:uid="{A5B54550-38BB-4CC5-A54C-06D84C08659B}"/>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15498" xr:uid="{C51949CA-7FAF-4EA3-AC71-0D3E81CF7994}"/>
    <cellStyle name="Note 3 2 10 3" xfId="11280" xr:uid="{986AA796-5276-4558-A852-35A18FBA5C37}"/>
    <cellStyle name="Note 3 2 11" xfId="4911" xr:uid="{00000000-0005-0000-0000-00004D210000}"/>
    <cellStyle name="Note 3 2 11 2" xfId="13353" xr:uid="{297B2BDB-FBE6-4DB8-98EF-18B7D6E63136}"/>
    <cellStyle name="Note 3 2 12" xfId="9135" xr:uid="{A0ABD76D-B53F-45C6-BEFB-2525EB12F484}"/>
    <cellStyle name="Note 3 2 2" xfId="555" xr:uid="{00000000-0005-0000-0000-00004E210000}"/>
    <cellStyle name="Note 3 2 2 10" xfId="4912" xr:uid="{00000000-0005-0000-0000-00004F210000}"/>
    <cellStyle name="Note 3 2 2 10 2" xfId="13354" xr:uid="{AEFF9E77-AFE7-465A-BDC0-A0D3525CD345}"/>
    <cellStyle name="Note 3 2 2 11" xfId="9136" xr:uid="{05D081C8-E484-49A8-B4F2-C42CFF17C9AE}"/>
    <cellStyle name="Note 3 2 2 2" xfId="556" xr:uid="{00000000-0005-0000-0000-000050210000}"/>
    <cellStyle name="Note 3 2 2 2 10" xfId="9137" xr:uid="{F3C7E478-2449-4C90-91DA-66B188B675E0}"/>
    <cellStyle name="Note 3 2 2 2 2" xfId="1016" xr:uid="{00000000-0005-0000-0000-000051210000}"/>
    <cellStyle name="Note 3 2 2 2 2 2" xfId="3248" xr:uid="{00000000-0005-0000-0000-000052210000}"/>
    <cellStyle name="Note 3 2 2 2 2 2 2" xfId="7471" xr:uid="{00000000-0005-0000-0000-000053210000}"/>
    <cellStyle name="Note 3 2 2 2 2 2 2 2" xfId="15913" xr:uid="{C164AB5F-5776-46F5-B657-39D2D7FD5C48}"/>
    <cellStyle name="Note 3 2 2 2 2 2 3" xfId="11695" xr:uid="{99E0B739-CE36-4261-B9EC-DBED29D6446D}"/>
    <cellStyle name="Note 3 2 2 2 2 3" xfId="5326" xr:uid="{00000000-0005-0000-0000-000054210000}"/>
    <cellStyle name="Note 3 2 2 2 2 3 2" xfId="13768" xr:uid="{F477C64D-095C-4C90-A696-D2593484FD26}"/>
    <cellStyle name="Note 3 2 2 2 2 4" xfId="9550" xr:uid="{BDE8D691-5AF4-44D9-9895-6FCC01E4AD58}"/>
    <cellStyle name="Note 3 2 2 2 3" xfId="1431" xr:uid="{00000000-0005-0000-0000-000055210000}"/>
    <cellStyle name="Note 3 2 2 2 3 2" xfId="3661" xr:uid="{00000000-0005-0000-0000-000056210000}"/>
    <cellStyle name="Note 3 2 2 2 3 2 2" xfId="7884" xr:uid="{00000000-0005-0000-0000-000057210000}"/>
    <cellStyle name="Note 3 2 2 2 3 2 2 2" xfId="16326" xr:uid="{198352A2-D5A2-4AD6-8697-361A547A04DA}"/>
    <cellStyle name="Note 3 2 2 2 3 2 3" xfId="12108" xr:uid="{C2A79B32-50A6-4183-989B-01A6344EBBE8}"/>
    <cellStyle name="Note 3 2 2 2 3 3" xfId="5739" xr:uid="{00000000-0005-0000-0000-000058210000}"/>
    <cellStyle name="Note 3 2 2 2 3 3 2" xfId="14181" xr:uid="{2B7E71E5-73AB-44AB-901E-7D1E9FCBCA1E}"/>
    <cellStyle name="Note 3 2 2 2 3 4" xfId="9963" xr:uid="{F6902F83-904E-4CCC-99CA-AE2DFAE9F870}"/>
    <cellStyle name="Note 3 2 2 2 4" xfId="1845" xr:uid="{00000000-0005-0000-0000-000059210000}"/>
    <cellStyle name="Note 3 2 2 2 4 2" xfId="4074" xr:uid="{00000000-0005-0000-0000-00005A210000}"/>
    <cellStyle name="Note 3 2 2 2 4 2 2" xfId="8297" xr:uid="{00000000-0005-0000-0000-00005B210000}"/>
    <cellStyle name="Note 3 2 2 2 4 2 2 2" xfId="16739" xr:uid="{4B4304C2-DC20-4081-8DFF-97BEA2E451C5}"/>
    <cellStyle name="Note 3 2 2 2 4 2 3" xfId="12521" xr:uid="{F07A634E-9935-450C-807E-C986DD04B5E3}"/>
    <cellStyle name="Note 3 2 2 2 4 3" xfId="6152" xr:uid="{00000000-0005-0000-0000-00005C210000}"/>
    <cellStyle name="Note 3 2 2 2 4 3 2" xfId="14594" xr:uid="{80EB032B-EC52-44B5-8453-C86805423CDF}"/>
    <cellStyle name="Note 3 2 2 2 4 4" xfId="10376" xr:uid="{E5201563-1D12-425D-B016-49D04A06FEBD}"/>
    <cellStyle name="Note 3 2 2 2 5" xfId="2258" xr:uid="{00000000-0005-0000-0000-00005D210000}"/>
    <cellStyle name="Note 3 2 2 2 5 2" xfId="4487" xr:uid="{00000000-0005-0000-0000-00005E210000}"/>
    <cellStyle name="Note 3 2 2 2 5 2 2" xfId="8710" xr:uid="{00000000-0005-0000-0000-00005F210000}"/>
    <cellStyle name="Note 3 2 2 2 5 2 2 2" xfId="17152" xr:uid="{3C637A09-F4B2-4342-A7AE-1732A70FD7F0}"/>
    <cellStyle name="Note 3 2 2 2 5 2 3" xfId="12934" xr:uid="{670B291E-EC42-47A5-9B93-C6FB5B0AC062}"/>
    <cellStyle name="Note 3 2 2 2 5 3" xfId="6565" xr:uid="{00000000-0005-0000-0000-000060210000}"/>
    <cellStyle name="Note 3 2 2 2 5 3 2" xfId="15007" xr:uid="{59ADC465-8793-490C-B1D5-01A54D121843}"/>
    <cellStyle name="Note 3 2 2 2 5 4" xfId="10789" xr:uid="{FB0941A1-1320-4EFE-8841-C24B4622F218}"/>
    <cellStyle name="Note 3 2 2 2 6" xfId="2694" xr:uid="{00000000-0005-0000-0000-000061210000}"/>
    <cellStyle name="Note 3 2 2 2 6 2" xfId="6978" xr:uid="{00000000-0005-0000-0000-000062210000}"/>
    <cellStyle name="Note 3 2 2 2 6 2 2" xfId="15420" xr:uid="{28387355-B368-4954-8365-732FD51ADE71}"/>
    <cellStyle name="Note 3 2 2 2 6 3" xfId="11202" xr:uid="{B9186469-7844-4C58-AEB2-7C668B02DCF5}"/>
    <cellStyle name="Note 3 2 2 2 7" xfId="2753" xr:uid="{00000000-0005-0000-0000-000063210000}"/>
    <cellStyle name="Note 3 2 2 2 8" xfId="2834" xr:uid="{00000000-0005-0000-0000-000064210000}"/>
    <cellStyle name="Note 3 2 2 2 8 2" xfId="7058" xr:uid="{00000000-0005-0000-0000-000065210000}"/>
    <cellStyle name="Note 3 2 2 2 8 2 2" xfId="15500" xr:uid="{7AA6B4C9-07F3-455B-A160-CA2D4C22403E}"/>
    <cellStyle name="Note 3 2 2 2 8 3" xfId="11282" xr:uid="{53D3B002-CD0E-463C-BC7C-3CEDA9775E38}"/>
    <cellStyle name="Note 3 2 2 2 9" xfId="4913" xr:uid="{00000000-0005-0000-0000-000066210000}"/>
    <cellStyle name="Note 3 2 2 2 9 2" xfId="13355" xr:uid="{4F985BC9-9CE5-4992-B6C6-1ABDC891CD1F}"/>
    <cellStyle name="Note 3 2 2 3" xfId="1015" xr:uid="{00000000-0005-0000-0000-000067210000}"/>
    <cellStyle name="Note 3 2 2 3 2" xfId="3247" xr:uid="{00000000-0005-0000-0000-000068210000}"/>
    <cellStyle name="Note 3 2 2 3 2 2" xfId="7470" xr:uid="{00000000-0005-0000-0000-000069210000}"/>
    <cellStyle name="Note 3 2 2 3 2 2 2" xfId="15912" xr:uid="{CF73956D-40D3-4A3C-BB27-FF22ED23DAF8}"/>
    <cellStyle name="Note 3 2 2 3 2 3" xfId="11694" xr:uid="{D4C7DB8B-0922-4D19-BAEF-EC8456273444}"/>
    <cellStyle name="Note 3 2 2 3 3" xfId="5325" xr:uid="{00000000-0005-0000-0000-00006A210000}"/>
    <cellStyle name="Note 3 2 2 3 3 2" xfId="13767" xr:uid="{F714C61A-8212-485F-83F2-009ABCBEBC50}"/>
    <cellStyle name="Note 3 2 2 3 4" xfId="9549" xr:uid="{F609196D-5504-43D5-9898-529114DD669C}"/>
    <cellStyle name="Note 3 2 2 4" xfId="1430" xr:uid="{00000000-0005-0000-0000-00006B210000}"/>
    <cellStyle name="Note 3 2 2 4 2" xfId="3660" xr:uid="{00000000-0005-0000-0000-00006C210000}"/>
    <cellStyle name="Note 3 2 2 4 2 2" xfId="7883" xr:uid="{00000000-0005-0000-0000-00006D210000}"/>
    <cellStyle name="Note 3 2 2 4 2 2 2" xfId="16325" xr:uid="{93DE36AE-6160-46D1-8289-58F1770D1DE1}"/>
    <cellStyle name="Note 3 2 2 4 2 3" xfId="12107" xr:uid="{7D1AE864-ECE9-4320-85E9-6EDF65DDEEC9}"/>
    <cellStyle name="Note 3 2 2 4 3" xfId="5738" xr:uid="{00000000-0005-0000-0000-00006E210000}"/>
    <cellStyle name="Note 3 2 2 4 3 2" xfId="14180" xr:uid="{A608A428-0A67-4784-954E-EBE03AF9BF85}"/>
    <cellStyle name="Note 3 2 2 4 4" xfId="9962" xr:uid="{C4C85E74-DA67-41E0-89A4-F718906DE69C}"/>
    <cellStyle name="Note 3 2 2 5" xfId="1844" xr:uid="{00000000-0005-0000-0000-00006F210000}"/>
    <cellStyle name="Note 3 2 2 5 2" xfId="4073" xr:uid="{00000000-0005-0000-0000-000070210000}"/>
    <cellStyle name="Note 3 2 2 5 2 2" xfId="8296" xr:uid="{00000000-0005-0000-0000-000071210000}"/>
    <cellStyle name="Note 3 2 2 5 2 2 2" xfId="16738" xr:uid="{BD98FA2F-B79D-409E-93FE-83F982B9A745}"/>
    <cellStyle name="Note 3 2 2 5 2 3" xfId="12520" xr:uid="{60803CBB-20DA-4150-8139-44C3BC58530E}"/>
    <cellStyle name="Note 3 2 2 5 3" xfId="6151" xr:uid="{00000000-0005-0000-0000-000072210000}"/>
    <cellStyle name="Note 3 2 2 5 3 2" xfId="14593" xr:uid="{A38DE93E-4DBA-4B05-A2DA-2D609FC1A2C2}"/>
    <cellStyle name="Note 3 2 2 5 4" xfId="10375" xr:uid="{319642A0-6BD1-415A-B76D-7721AB78CEA3}"/>
    <cellStyle name="Note 3 2 2 6" xfId="2257" xr:uid="{00000000-0005-0000-0000-000073210000}"/>
    <cellStyle name="Note 3 2 2 6 2" xfId="4486" xr:uid="{00000000-0005-0000-0000-000074210000}"/>
    <cellStyle name="Note 3 2 2 6 2 2" xfId="8709" xr:uid="{00000000-0005-0000-0000-000075210000}"/>
    <cellStyle name="Note 3 2 2 6 2 2 2" xfId="17151" xr:uid="{F6C4E65F-A966-4889-9313-3EEAF5388BB6}"/>
    <cellStyle name="Note 3 2 2 6 2 3" xfId="12933" xr:uid="{CE48BFCE-3E98-4220-B57E-FE8EAD5F008A}"/>
    <cellStyle name="Note 3 2 2 6 3" xfId="6564" xr:uid="{00000000-0005-0000-0000-000076210000}"/>
    <cellStyle name="Note 3 2 2 6 3 2" xfId="15006" xr:uid="{689755B5-F0BA-466E-9F1A-7FAEB15F3E8F}"/>
    <cellStyle name="Note 3 2 2 6 4" xfId="10788" xr:uid="{9C0A75B0-D5BB-445A-BCC1-3EA386E45F9C}"/>
    <cellStyle name="Note 3 2 2 7" xfId="2693" xr:uid="{00000000-0005-0000-0000-000077210000}"/>
    <cellStyle name="Note 3 2 2 7 2" xfId="6977" xr:uid="{00000000-0005-0000-0000-000078210000}"/>
    <cellStyle name="Note 3 2 2 7 2 2" xfId="15419" xr:uid="{0C46E8E9-887A-40AF-8B18-8CC946ED33CA}"/>
    <cellStyle name="Note 3 2 2 7 3" xfId="11201" xr:uid="{43357532-FB46-4E92-A06E-587C43461235}"/>
    <cellStyle name="Note 3 2 2 8" xfId="2752" xr:uid="{00000000-0005-0000-0000-000079210000}"/>
    <cellStyle name="Note 3 2 2 9" xfId="2833" xr:uid="{00000000-0005-0000-0000-00007A210000}"/>
    <cellStyle name="Note 3 2 2 9 2" xfId="7057" xr:uid="{00000000-0005-0000-0000-00007B210000}"/>
    <cellStyle name="Note 3 2 2 9 2 2" xfId="15499" xr:uid="{2B010071-22A2-4B19-8CA9-C5C7CCCA1A23}"/>
    <cellStyle name="Note 3 2 2 9 3" xfId="11281" xr:uid="{2E4FC17B-C04E-414E-9C92-96F797E92FB6}"/>
    <cellStyle name="Note 3 2 3" xfId="557" xr:uid="{00000000-0005-0000-0000-00007C210000}"/>
    <cellStyle name="Note 3 2 3 10" xfId="9138" xr:uid="{B6B350BE-F1FD-4DFE-AA99-D0E898693BE8}"/>
    <cellStyle name="Note 3 2 3 2" xfId="1017" xr:uid="{00000000-0005-0000-0000-00007D210000}"/>
    <cellStyle name="Note 3 2 3 2 2" xfId="3249" xr:uid="{00000000-0005-0000-0000-00007E210000}"/>
    <cellStyle name="Note 3 2 3 2 2 2" xfId="7472" xr:uid="{00000000-0005-0000-0000-00007F210000}"/>
    <cellStyle name="Note 3 2 3 2 2 2 2" xfId="15914" xr:uid="{EB8652FB-3707-4139-809A-25C0EE7D373C}"/>
    <cellStyle name="Note 3 2 3 2 2 3" xfId="11696" xr:uid="{F129645C-254F-4A32-AB09-ADEF911B63B3}"/>
    <cellStyle name="Note 3 2 3 2 3" xfId="5327" xr:uid="{00000000-0005-0000-0000-000080210000}"/>
    <cellStyle name="Note 3 2 3 2 3 2" xfId="13769" xr:uid="{42E0FEC2-5D42-44E0-9D23-2258524EA438}"/>
    <cellStyle name="Note 3 2 3 2 4" xfId="9551" xr:uid="{1BAEC722-96A2-43B7-80F5-21C06DFDE8C8}"/>
    <cellStyle name="Note 3 2 3 3" xfId="1432" xr:uid="{00000000-0005-0000-0000-000081210000}"/>
    <cellStyle name="Note 3 2 3 3 2" xfId="3662" xr:uid="{00000000-0005-0000-0000-000082210000}"/>
    <cellStyle name="Note 3 2 3 3 2 2" xfId="7885" xr:uid="{00000000-0005-0000-0000-000083210000}"/>
    <cellStyle name="Note 3 2 3 3 2 2 2" xfId="16327" xr:uid="{83CACD19-7949-46F3-9C03-ACA50D1C0986}"/>
    <cellStyle name="Note 3 2 3 3 2 3" xfId="12109" xr:uid="{DBA865FF-C0CC-45C9-B972-C5E7AEFF9FEC}"/>
    <cellStyle name="Note 3 2 3 3 3" xfId="5740" xr:uid="{00000000-0005-0000-0000-000084210000}"/>
    <cellStyle name="Note 3 2 3 3 3 2" xfId="14182" xr:uid="{8235363F-6F72-4BA9-B5F0-CEB3A3CB1736}"/>
    <cellStyle name="Note 3 2 3 3 4" xfId="9964" xr:uid="{FB6E2EC2-9897-4F0D-94C8-42A4BEA9476B}"/>
    <cellStyle name="Note 3 2 3 4" xfId="1846" xr:uid="{00000000-0005-0000-0000-000085210000}"/>
    <cellStyle name="Note 3 2 3 4 2" xfId="4075" xr:uid="{00000000-0005-0000-0000-000086210000}"/>
    <cellStyle name="Note 3 2 3 4 2 2" xfId="8298" xr:uid="{00000000-0005-0000-0000-000087210000}"/>
    <cellStyle name="Note 3 2 3 4 2 2 2" xfId="16740" xr:uid="{756076C8-7A3E-4CEB-A76D-FF992142CF34}"/>
    <cellStyle name="Note 3 2 3 4 2 3" xfId="12522" xr:uid="{1B81EC96-23D1-4A46-AF51-5A0BFCE4F344}"/>
    <cellStyle name="Note 3 2 3 4 3" xfId="6153" xr:uid="{00000000-0005-0000-0000-000088210000}"/>
    <cellStyle name="Note 3 2 3 4 3 2" xfId="14595" xr:uid="{122B9D52-8760-49B7-824B-C345B134F14E}"/>
    <cellStyle name="Note 3 2 3 4 4" xfId="10377" xr:uid="{AD159CA9-B85C-46BB-87E1-92377500E83A}"/>
    <cellStyle name="Note 3 2 3 5" xfId="2259" xr:uid="{00000000-0005-0000-0000-000089210000}"/>
    <cellStyle name="Note 3 2 3 5 2" xfId="4488" xr:uid="{00000000-0005-0000-0000-00008A210000}"/>
    <cellStyle name="Note 3 2 3 5 2 2" xfId="8711" xr:uid="{00000000-0005-0000-0000-00008B210000}"/>
    <cellStyle name="Note 3 2 3 5 2 2 2" xfId="17153" xr:uid="{63634FC2-74B6-4448-86AA-2F10FAA8710E}"/>
    <cellStyle name="Note 3 2 3 5 2 3" xfId="12935" xr:uid="{9E98AB4E-305A-4773-8637-58BC5E25D0CA}"/>
    <cellStyle name="Note 3 2 3 5 3" xfId="6566" xr:uid="{00000000-0005-0000-0000-00008C210000}"/>
    <cellStyle name="Note 3 2 3 5 3 2" xfId="15008" xr:uid="{36B2DD7D-05EF-432B-AE43-D551CE23CFF9}"/>
    <cellStyle name="Note 3 2 3 5 4" xfId="10790" xr:uid="{4DC5FDD5-DA58-4D4E-812E-D63844D4AB58}"/>
    <cellStyle name="Note 3 2 3 6" xfId="2695" xr:uid="{00000000-0005-0000-0000-00008D210000}"/>
    <cellStyle name="Note 3 2 3 6 2" xfId="6979" xr:uid="{00000000-0005-0000-0000-00008E210000}"/>
    <cellStyle name="Note 3 2 3 6 2 2" xfId="15421" xr:uid="{4771CC61-389D-4A3B-8C10-C8CEC0094835}"/>
    <cellStyle name="Note 3 2 3 6 3" xfId="11203" xr:uid="{84D7DCFE-291C-494F-A53F-7C4E1BC13922}"/>
    <cellStyle name="Note 3 2 3 7" xfId="2754" xr:uid="{00000000-0005-0000-0000-00008F210000}"/>
    <cellStyle name="Note 3 2 3 8" xfId="2835" xr:uid="{00000000-0005-0000-0000-000090210000}"/>
    <cellStyle name="Note 3 2 3 8 2" xfId="7059" xr:uid="{00000000-0005-0000-0000-000091210000}"/>
    <cellStyle name="Note 3 2 3 8 2 2" xfId="15501" xr:uid="{1A093E9D-317E-4117-8B44-A4C68C120260}"/>
    <cellStyle name="Note 3 2 3 8 3" xfId="11283" xr:uid="{5A5401D7-0F79-48E3-A841-3D0C7CD9E839}"/>
    <cellStyle name="Note 3 2 3 9" xfId="4914" xr:uid="{00000000-0005-0000-0000-000092210000}"/>
    <cellStyle name="Note 3 2 3 9 2" xfId="13356" xr:uid="{EC6456CF-74C5-45FA-8549-9606B23D8C5F}"/>
    <cellStyle name="Note 3 2 4" xfId="1014" xr:uid="{00000000-0005-0000-0000-000093210000}"/>
    <cellStyle name="Note 3 2 4 2" xfId="3246" xr:uid="{00000000-0005-0000-0000-000094210000}"/>
    <cellStyle name="Note 3 2 4 2 2" xfId="7469" xr:uid="{00000000-0005-0000-0000-000095210000}"/>
    <cellStyle name="Note 3 2 4 2 2 2" xfId="15911" xr:uid="{CF86EC9C-F770-4A23-90C6-E67D18996483}"/>
    <cellStyle name="Note 3 2 4 2 3" xfId="11693" xr:uid="{EEDB1BD8-BF7C-430C-9799-7E5BE7D0D00E}"/>
    <cellStyle name="Note 3 2 4 3" xfId="5324" xr:uid="{00000000-0005-0000-0000-000096210000}"/>
    <cellStyle name="Note 3 2 4 3 2" xfId="13766" xr:uid="{9C081749-8A50-4913-9EE2-3F4BEDE4C81C}"/>
    <cellStyle name="Note 3 2 4 4" xfId="9548" xr:uid="{7477436D-7009-45BA-B761-52CB68C89CA6}"/>
    <cellStyle name="Note 3 2 5" xfId="1429" xr:uid="{00000000-0005-0000-0000-000097210000}"/>
    <cellStyle name="Note 3 2 5 2" xfId="3659" xr:uid="{00000000-0005-0000-0000-000098210000}"/>
    <cellStyle name="Note 3 2 5 2 2" xfId="7882" xr:uid="{00000000-0005-0000-0000-000099210000}"/>
    <cellStyle name="Note 3 2 5 2 2 2" xfId="16324" xr:uid="{38EF2872-362D-4A73-935F-98B5261330C7}"/>
    <cellStyle name="Note 3 2 5 2 3" xfId="12106" xr:uid="{C14AC9FD-7360-4F9C-992C-C1A3A2971281}"/>
    <cellStyle name="Note 3 2 5 3" xfId="5737" xr:uid="{00000000-0005-0000-0000-00009A210000}"/>
    <cellStyle name="Note 3 2 5 3 2" xfId="14179" xr:uid="{281A7B6A-EC07-4595-9D08-9AD10C6CAD59}"/>
    <cellStyle name="Note 3 2 5 4" xfId="9961" xr:uid="{15F4F14B-6C38-404A-930D-78B1112C3F8E}"/>
    <cellStyle name="Note 3 2 6" xfId="1843" xr:uid="{00000000-0005-0000-0000-00009B210000}"/>
    <cellStyle name="Note 3 2 6 2" xfId="4072" xr:uid="{00000000-0005-0000-0000-00009C210000}"/>
    <cellStyle name="Note 3 2 6 2 2" xfId="8295" xr:uid="{00000000-0005-0000-0000-00009D210000}"/>
    <cellStyle name="Note 3 2 6 2 2 2" xfId="16737" xr:uid="{518CDBC4-6350-4534-818A-401F314DCED0}"/>
    <cellStyle name="Note 3 2 6 2 3" xfId="12519" xr:uid="{B39CFB37-093A-409A-B4C0-629C8A35FA7D}"/>
    <cellStyle name="Note 3 2 6 3" xfId="6150" xr:uid="{00000000-0005-0000-0000-00009E210000}"/>
    <cellStyle name="Note 3 2 6 3 2" xfId="14592" xr:uid="{A61A021C-459A-488A-BB2F-6C167243F1C4}"/>
    <cellStyle name="Note 3 2 6 4" xfId="10374" xr:uid="{02C89163-0BD1-4B5C-8C41-9E9BC9B13FE9}"/>
    <cellStyle name="Note 3 2 7" xfId="2256" xr:uid="{00000000-0005-0000-0000-00009F210000}"/>
    <cellStyle name="Note 3 2 7 2" xfId="4485" xr:uid="{00000000-0005-0000-0000-0000A0210000}"/>
    <cellStyle name="Note 3 2 7 2 2" xfId="8708" xr:uid="{00000000-0005-0000-0000-0000A1210000}"/>
    <cellStyle name="Note 3 2 7 2 2 2" xfId="17150" xr:uid="{567A5A8F-F807-4282-8091-C56A3F845CB3}"/>
    <cellStyle name="Note 3 2 7 2 3" xfId="12932" xr:uid="{0F93841E-F99A-4BE3-BE79-6370D5F9AEEB}"/>
    <cellStyle name="Note 3 2 7 3" xfId="6563" xr:uid="{00000000-0005-0000-0000-0000A2210000}"/>
    <cellStyle name="Note 3 2 7 3 2" xfId="15005" xr:uid="{FD7A5AAB-32B2-45E4-899B-C73E066BEADA}"/>
    <cellStyle name="Note 3 2 7 4" xfId="10787" xr:uid="{A88235EF-724E-499C-A1C5-57882E01EBB2}"/>
    <cellStyle name="Note 3 2 8" xfId="2692" xr:uid="{00000000-0005-0000-0000-0000A3210000}"/>
    <cellStyle name="Note 3 2 8 2" xfId="6976" xr:uid="{00000000-0005-0000-0000-0000A4210000}"/>
    <cellStyle name="Note 3 2 8 2 2" xfId="15418" xr:uid="{8A10D3F6-30D3-4495-B677-DDA39EB477EF}"/>
    <cellStyle name="Note 3 2 8 3" xfId="11200" xr:uid="{0ABA1D82-F172-436A-B409-777C05D226F0}"/>
    <cellStyle name="Note 3 2 9" xfId="2751" xr:uid="{00000000-0005-0000-0000-0000A5210000}"/>
    <cellStyle name="Note 3 3" xfId="558" xr:uid="{00000000-0005-0000-0000-0000A6210000}"/>
    <cellStyle name="Note 3 3 10" xfId="4915" xr:uid="{00000000-0005-0000-0000-0000A7210000}"/>
    <cellStyle name="Note 3 3 10 2" xfId="13357" xr:uid="{FCDB7C09-E898-4408-B2B8-073F34ABFE0B}"/>
    <cellStyle name="Note 3 3 11" xfId="9139" xr:uid="{93E38FA8-1C10-42DA-AA30-FC0D38F89DA8}"/>
    <cellStyle name="Note 3 3 2" xfId="559" xr:uid="{00000000-0005-0000-0000-0000A8210000}"/>
    <cellStyle name="Note 3 3 2 10" xfId="9140" xr:uid="{BD9CD511-105B-4D9D-A0F4-A5E432E5C5CF}"/>
    <cellStyle name="Note 3 3 2 2" xfId="1019" xr:uid="{00000000-0005-0000-0000-0000A9210000}"/>
    <cellStyle name="Note 3 3 2 2 2" xfId="3251" xr:uid="{00000000-0005-0000-0000-0000AA210000}"/>
    <cellStyle name="Note 3 3 2 2 2 2" xfId="7474" xr:uid="{00000000-0005-0000-0000-0000AB210000}"/>
    <cellStyle name="Note 3 3 2 2 2 2 2" xfId="15916" xr:uid="{D2FD8B57-167F-40B6-89B0-2CEABE5B631C}"/>
    <cellStyle name="Note 3 3 2 2 2 3" xfId="11698" xr:uid="{5835778C-7E5A-4CA8-B34A-27A9CE4FEF51}"/>
    <cellStyle name="Note 3 3 2 2 3" xfId="5329" xr:uid="{00000000-0005-0000-0000-0000AC210000}"/>
    <cellStyle name="Note 3 3 2 2 3 2" xfId="13771" xr:uid="{27179CF4-5DB8-46F5-88B4-B38166A72AA5}"/>
    <cellStyle name="Note 3 3 2 2 4" xfId="9553" xr:uid="{DCD85CB1-360F-44A1-B9AF-39E3149E974D}"/>
    <cellStyle name="Note 3 3 2 3" xfId="1434" xr:uid="{00000000-0005-0000-0000-0000AD210000}"/>
    <cellStyle name="Note 3 3 2 3 2" xfId="3664" xr:uid="{00000000-0005-0000-0000-0000AE210000}"/>
    <cellStyle name="Note 3 3 2 3 2 2" xfId="7887" xr:uid="{00000000-0005-0000-0000-0000AF210000}"/>
    <cellStyle name="Note 3 3 2 3 2 2 2" xfId="16329" xr:uid="{72A02339-0A20-4228-AE18-43A7B6AA2065}"/>
    <cellStyle name="Note 3 3 2 3 2 3" xfId="12111" xr:uid="{E574DF02-C4B8-45B2-9A5C-D04F391310F2}"/>
    <cellStyle name="Note 3 3 2 3 3" xfId="5742" xr:uid="{00000000-0005-0000-0000-0000B0210000}"/>
    <cellStyle name="Note 3 3 2 3 3 2" xfId="14184" xr:uid="{D55A7F13-D392-4B2D-9044-D4582B40B927}"/>
    <cellStyle name="Note 3 3 2 3 4" xfId="9966" xr:uid="{BA39C2B8-C80E-43EB-BB1F-E706FA57B0D9}"/>
    <cellStyle name="Note 3 3 2 4" xfId="1848" xr:uid="{00000000-0005-0000-0000-0000B1210000}"/>
    <cellStyle name="Note 3 3 2 4 2" xfId="4077" xr:uid="{00000000-0005-0000-0000-0000B2210000}"/>
    <cellStyle name="Note 3 3 2 4 2 2" xfId="8300" xr:uid="{00000000-0005-0000-0000-0000B3210000}"/>
    <cellStyle name="Note 3 3 2 4 2 2 2" xfId="16742" xr:uid="{CB32AB3A-AE6C-4CA4-ADC2-69EFA1BC856F}"/>
    <cellStyle name="Note 3 3 2 4 2 3" xfId="12524" xr:uid="{79E6DB66-F108-4BD5-A342-0890A8948A39}"/>
    <cellStyle name="Note 3 3 2 4 3" xfId="6155" xr:uid="{00000000-0005-0000-0000-0000B4210000}"/>
    <cellStyle name="Note 3 3 2 4 3 2" xfId="14597" xr:uid="{1C0B1EDC-D11C-4B88-AEFF-C4ECE3FD7CB9}"/>
    <cellStyle name="Note 3 3 2 4 4" xfId="10379" xr:uid="{70B63CB0-CDD4-4046-999A-E5F28DD78B44}"/>
    <cellStyle name="Note 3 3 2 5" xfId="2261" xr:uid="{00000000-0005-0000-0000-0000B5210000}"/>
    <cellStyle name="Note 3 3 2 5 2" xfId="4490" xr:uid="{00000000-0005-0000-0000-0000B6210000}"/>
    <cellStyle name="Note 3 3 2 5 2 2" xfId="8713" xr:uid="{00000000-0005-0000-0000-0000B7210000}"/>
    <cellStyle name="Note 3 3 2 5 2 2 2" xfId="17155" xr:uid="{4986B61B-9628-44AB-94BF-0BB243460F13}"/>
    <cellStyle name="Note 3 3 2 5 2 3" xfId="12937" xr:uid="{2B0CF1E3-6FB2-4301-B601-ECAEF8F11590}"/>
    <cellStyle name="Note 3 3 2 5 3" xfId="6568" xr:uid="{00000000-0005-0000-0000-0000B8210000}"/>
    <cellStyle name="Note 3 3 2 5 3 2" xfId="15010" xr:uid="{A22A47F2-A03E-46A4-A707-C6F8423A5FB9}"/>
    <cellStyle name="Note 3 3 2 5 4" xfId="10792" xr:uid="{1B1070B1-985E-4DA8-9A93-0D834FCCECBF}"/>
    <cellStyle name="Note 3 3 2 6" xfId="2697" xr:uid="{00000000-0005-0000-0000-0000B9210000}"/>
    <cellStyle name="Note 3 3 2 6 2" xfId="6981" xr:uid="{00000000-0005-0000-0000-0000BA210000}"/>
    <cellStyle name="Note 3 3 2 6 2 2" xfId="15423" xr:uid="{C0E7372C-9718-4F30-8CAC-DD50EC98669C}"/>
    <cellStyle name="Note 3 3 2 6 3" xfId="11205" xr:uid="{1E83431C-C256-42F7-BAA7-665AF7F7ABE4}"/>
    <cellStyle name="Note 3 3 2 7" xfId="2756" xr:uid="{00000000-0005-0000-0000-0000BB210000}"/>
    <cellStyle name="Note 3 3 2 8" xfId="2837" xr:uid="{00000000-0005-0000-0000-0000BC210000}"/>
    <cellStyle name="Note 3 3 2 8 2" xfId="7061" xr:uid="{00000000-0005-0000-0000-0000BD210000}"/>
    <cellStyle name="Note 3 3 2 8 2 2" xfId="15503" xr:uid="{E03AEB57-B131-4C52-A2A6-D4C65DDAD545}"/>
    <cellStyle name="Note 3 3 2 8 3" xfId="11285" xr:uid="{6BA040EC-58E3-40A9-ADA1-958EAE7332AC}"/>
    <cellStyle name="Note 3 3 2 9" xfId="4916" xr:uid="{00000000-0005-0000-0000-0000BE210000}"/>
    <cellStyle name="Note 3 3 2 9 2" xfId="13358" xr:uid="{D903F6BC-5359-4A7D-B82D-8EF959B0D4E1}"/>
    <cellStyle name="Note 3 3 3" xfId="1018" xr:uid="{00000000-0005-0000-0000-0000BF210000}"/>
    <cellStyle name="Note 3 3 3 2" xfId="3250" xr:uid="{00000000-0005-0000-0000-0000C0210000}"/>
    <cellStyle name="Note 3 3 3 2 2" xfId="7473" xr:uid="{00000000-0005-0000-0000-0000C1210000}"/>
    <cellStyle name="Note 3 3 3 2 2 2" xfId="15915" xr:uid="{03A65475-008C-45E1-A49D-FC77C883775F}"/>
    <cellStyle name="Note 3 3 3 2 3" xfId="11697" xr:uid="{50E7E329-199C-4615-9D8A-39373014473D}"/>
    <cellStyle name="Note 3 3 3 3" xfId="5328" xr:uid="{00000000-0005-0000-0000-0000C2210000}"/>
    <cellStyle name="Note 3 3 3 3 2" xfId="13770" xr:uid="{4B8B991C-817A-4BFD-9E25-0DDD0236E6AC}"/>
    <cellStyle name="Note 3 3 3 4" xfId="9552" xr:uid="{3AF3EA6A-D5DB-4F3F-8C7A-9B21AAFFD435}"/>
    <cellStyle name="Note 3 3 4" xfId="1433" xr:uid="{00000000-0005-0000-0000-0000C3210000}"/>
    <cellStyle name="Note 3 3 4 2" xfId="3663" xr:uid="{00000000-0005-0000-0000-0000C4210000}"/>
    <cellStyle name="Note 3 3 4 2 2" xfId="7886" xr:uid="{00000000-0005-0000-0000-0000C5210000}"/>
    <cellStyle name="Note 3 3 4 2 2 2" xfId="16328" xr:uid="{DA69010C-7227-4FA7-A847-FF5511E65B45}"/>
    <cellStyle name="Note 3 3 4 2 3" xfId="12110" xr:uid="{270BF5C6-5DEB-453E-8C72-D517C14FEB05}"/>
    <cellStyle name="Note 3 3 4 3" xfId="5741" xr:uid="{00000000-0005-0000-0000-0000C6210000}"/>
    <cellStyle name="Note 3 3 4 3 2" xfId="14183" xr:uid="{823D34F3-E53B-46C8-B7A8-BA4D379D689F}"/>
    <cellStyle name="Note 3 3 4 4" xfId="9965" xr:uid="{D1B0C899-5FEA-4DAB-9BF1-05BBCDCC3D7C}"/>
    <cellStyle name="Note 3 3 5" xfId="1847" xr:uid="{00000000-0005-0000-0000-0000C7210000}"/>
    <cellStyle name="Note 3 3 5 2" xfId="4076" xr:uid="{00000000-0005-0000-0000-0000C8210000}"/>
    <cellStyle name="Note 3 3 5 2 2" xfId="8299" xr:uid="{00000000-0005-0000-0000-0000C9210000}"/>
    <cellStyle name="Note 3 3 5 2 2 2" xfId="16741" xr:uid="{8119FBAB-9C0A-42B3-B60C-9720CFD8711B}"/>
    <cellStyle name="Note 3 3 5 2 3" xfId="12523" xr:uid="{37EF8856-4FC0-4D81-929D-6863FE5F56CA}"/>
    <cellStyle name="Note 3 3 5 3" xfId="6154" xr:uid="{00000000-0005-0000-0000-0000CA210000}"/>
    <cellStyle name="Note 3 3 5 3 2" xfId="14596" xr:uid="{3C6BC216-26F2-47E4-AB50-A26708404305}"/>
    <cellStyle name="Note 3 3 5 4" xfId="10378" xr:uid="{07B76AC5-777E-4AD3-B18C-F2163C0DF0D8}"/>
    <cellStyle name="Note 3 3 6" xfId="2260" xr:uid="{00000000-0005-0000-0000-0000CB210000}"/>
    <cellStyle name="Note 3 3 6 2" xfId="4489" xr:uid="{00000000-0005-0000-0000-0000CC210000}"/>
    <cellStyle name="Note 3 3 6 2 2" xfId="8712" xr:uid="{00000000-0005-0000-0000-0000CD210000}"/>
    <cellStyle name="Note 3 3 6 2 2 2" xfId="17154" xr:uid="{B6BE701A-DFC0-4F7F-9C57-45803621F189}"/>
    <cellStyle name="Note 3 3 6 2 3" xfId="12936" xr:uid="{E8E46DA8-32FF-4C29-A43D-69CB15DC806F}"/>
    <cellStyle name="Note 3 3 6 3" xfId="6567" xr:uid="{00000000-0005-0000-0000-0000CE210000}"/>
    <cellStyle name="Note 3 3 6 3 2" xfId="15009" xr:uid="{9B0A20B6-8297-4D53-A929-BB024FF00EFF}"/>
    <cellStyle name="Note 3 3 6 4" xfId="10791" xr:uid="{0EE16A0E-C982-4F3B-A60A-424EB442C1D5}"/>
    <cellStyle name="Note 3 3 7" xfId="2696" xr:uid="{00000000-0005-0000-0000-0000CF210000}"/>
    <cellStyle name="Note 3 3 7 2" xfId="6980" xr:uid="{00000000-0005-0000-0000-0000D0210000}"/>
    <cellStyle name="Note 3 3 7 2 2" xfId="15422" xr:uid="{1D8E9D39-E98F-4AC4-BC86-B14CDDF4CCCC}"/>
    <cellStyle name="Note 3 3 7 3" xfId="11204" xr:uid="{7247DD3E-CC86-40FE-A252-2D26F5BB7080}"/>
    <cellStyle name="Note 3 3 8" xfId="2755" xr:uid="{00000000-0005-0000-0000-0000D1210000}"/>
    <cellStyle name="Note 3 3 9" xfId="2836" xr:uid="{00000000-0005-0000-0000-0000D2210000}"/>
    <cellStyle name="Note 3 3 9 2" xfId="7060" xr:uid="{00000000-0005-0000-0000-0000D3210000}"/>
    <cellStyle name="Note 3 3 9 2 2" xfId="15502" xr:uid="{DD57B6F1-9062-4B6B-AD31-0CE0C3105C4F}"/>
    <cellStyle name="Note 3 3 9 3" xfId="11284" xr:uid="{6603F2E2-E854-4B56-A704-1F3BD3AA5A0F}"/>
    <cellStyle name="Note 3 4" xfId="560" xr:uid="{00000000-0005-0000-0000-0000D4210000}"/>
    <cellStyle name="Note 3 4 10" xfId="9141" xr:uid="{07046F03-E5B5-4245-B788-23D0B39414C2}"/>
    <cellStyle name="Note 3 4 2" xfId="1020" xr:uid="{00000000-0005-0000-0000-0000D5210000}"/>
    <cellStyle name="Note 3 4 2 2" xfId="3252" xr:uid="{00000000-0005-0000-0000-0000D6210000}"/>
    <cellStyle name="Note 3 4 2 2 2" xfId="7475" xr:uid="{00000000-0005-0000-0000-0000D7210000}"/>
    <cellStyle name="Note 3 4 2 2 2 2" xfId="15917" xr:uid="{147E3663-BA70-47C3-A0C6-4539A9ECBC45}"/>
    <cellStyle name="Note 3 4 2 2 3" xfId="11699" xr:uid="{35A5AACB-DA9B-4F96-BCE6-B264291A6021}"/>
    <cellStyle name="Note 3 4 2 3" xfId="5330" xr:uid="{00000000-0005-0000-0000-0000D8210000}"/>
    <cellStyle name="Note 3 4 2 3 2" xfId="13772" xr:uid="{F57123F5-EDC2-4423-A90B-C6B475D8CC86}"/>
    <cellStyle name="Note 3 4 2 4" xfId="9554" xr:uid="{A9CA5628-464B-4836-A3E6-96B58AA86140}"/>
    <cellStyle name="Note 3 4 3" xfId="1435" xr:uid="{00000000-0005-0000-0000-0000D9210000}"/>
    <cellStyle name="Note 3 4 3 2" xfId="3665" xr:uid="{00000000-0005-0000-0000-0000DA210000}"/>
    <cellStyle name="Note 3 4 3 2 2" xfId="7888" xr:uid="{00000000-0005-0000-0000-0000DB210000}"/>
    <cellStyle name="Note 3 4 3 2 2 2" xfId="16330" xr:uid="{30F53FE2-1A32-4245-8FA1-F8AB37A2AE0F}"/>
    <cellStyle name="Note 3 4 3 2 3" xfId="12112" xr:uid="{BC1B01DC-DD24-4F11-BB31-EEA312B4FC5A}"/>
    <cellStyle name="Note 3 4 3 3" xfId="5743" xr:uid="{00000000-0005-0000-0000-0000DC210000}"/>
    <cellStyle name="Note 3 4 3 3 2" xfId="14185" xr:uid="{2D367B93-BBCE-45FB-8721-650A27369C0D}"/>
    <cellStyle name="Note 3 4 3 4" xfId="9967" xr:uid="{76657C62-D1C8-476E-8891-BB3E0EC5F026}"/>
    <cellStyle name="Note 3 4 4" xfId="1849" xr:uid="{00000000-0005-0000-0000-0000DD210000}"/>
    <cellStyle name="Note 3 4 4 2" xfId="4078" xr:uid="{00000000-0005-0000-0000-0000DE210000}"/>
    <cellStyle name="Note 3 4 4 2 2" xfId="8301" xr:uid="{00000000-0005-0000-0000-0000DF210000}"/>
    <cellStyle name="Note 3 4 4 2 2 2" xfId="16743" xr:uid="{360F766F-C21B-410C-BC46-886A9C112B71}"/>
    <cellStyle name="Note 3 4 4 2 3" xfId="12525" xr:uid="{9B4AE60B-3C4C-4771-9F8C-E2454B88291F}"/>
    <cellStyle name="Note 3 4 4 3" xfId="6156" xr:uid="{00000000-0005-0000-0000-0000E0210000}"/>
    <cellStyle name="Note 3 4 4 3 2" xfId="14598" xr:uid="{D53E1960-A090-44E0-B90D-CD67E4D0CE7A}"/>
    <cellStyle name="Note 3 4 4 4" xfId="10380" xr:uid="{AE257AEC-505F-4AEC-9C88-46398A9DACD8}"/>
    <cellStyle name="Note 3 4 5" xfId="2262" xr:uid="{00000000-0005-0000-0000-0000E1210000}"/>
    <cellStyle name="Note 3 4 5 2" xfId="4491" xr:uid="{00000000-0005-0000-0000-0000E2210000}"/>
    <cellStyle name="Note 3 4 5 2 2" xfId="8714" xr:uid="{00000000-0005-0000-0000-0000E3210000}"/>
    <cellStyle name="Note 3 4 5 2 2 2" xfId="17156" xr:uid="{348EE0A9-BF5E-411D-9B36-91253717EABF}"/>
    <cellStyle name="Note 3 4 5 2 3" xfId="12938" xr:uid="{26CBFF59-691C-4979-96DB-42A0B57731B0}"/>
    <cellStyle name="Note 3 4 5 3" xfId="6569" xr:uid="{00000000-0005-0000-0000-0000E4210000}"/>
    <cellStyle name="Note 3 4 5 3 2" xfId="15011" xr:uid="{15546784-FC64-486B-A188-981C17BF31CA}"/>
    <cellStyle name="Note 3 4 5 4" xfId="10793" xr:uid="{B917A0A5-9360-4F67-BFB5-2B3F10E4A323}"/>
    <cellStyle name="Note 3 4 6" xfId="2698" xr:uid="{00000000-0005-0000-0000-0000E5210000}"/>
    <cellStyle name="Note 3 4 6 2" xfId="6982" xr:uid="{00000000-0005-0000-0000-0000E6210000}"/>
    <cellStyle name="Note 3 4 6 2 2" xfId="15424" xr:uid="{604B8173-1482-49A5-B828-1046D1D4FD56}"/>
    <cellStyle name="Note 3 4 6 3" xfId="11206" xr:uid="{E9696CE5-164D-44A6-BB32-816811B3827E}"/>
    <cellStyle name="Note 3 4 7" xfId="2757" xr:uid="{00000000-0005-0000-0000-0000E7210000}"/>
    <cellStyle name="Note 3 4 8" xfId="2838" xr:uid="{00000000-0005-0000-0000-0000E8210000}"/>
    <cellStyle name="Note 3 4 8 2" xfId="7062" xr:uid="{00000000-0005-0000-0000-0000E9210000}"/>
    <cellStyle name="Note 3 4 8 2 2" xfId="15504" xr:uid="{72D59E4C-0E25-4932-924A-3F3D0775EBF9}"/>
    <cellStyle name="Note 3 4 8 3" xfId="11286" xr:uid="{A316A961-6A69-444C-98B5-5028EE256E7D}"/>
    <cellStyle name="Note 3 4 9" xfId="4917" xr:uid="{00000000-0005-0000-0000-0000EA210000}"/>
    <cellStyle name="Note 3 4 9 2" xfId="13359" xr:uid="{5F55B084-A4F6-403B-A717-3132D5ED5F6B}"/>
    <cellStyle name="Note 3 5" xfId="561" xr:uid="{00000000-0005-0000-0000-0000EB210000}"/>
    <cellStyle name="Note 3 5 10" xfId="9142" xr:uid="{3CB57FD9-8592-4379-BFCB-540FD9F1D972}"/>
    <cellStyle name="Note 3 5 2" xfId="1021" xr:uid="{00000000-0005-0000-0000-0000EC210000}"/>
    <cellStyle name="Note 3 5 2 2" xfId="3253" xr:uid="{00000000-0005-0000-0000-0000ED210000}"/>
    <cellStyle name="Note 3 5 2 2 2" xfId="7476" xr:uid="{00000000-0005-0000-0000-0000EE210000}"/>
    <cellStyle name="Note 3 5 2 2 2 2" xfId="15918" xr:uid="{26A6E0AD-5EA6-44C0-A799-B8C321367E9E}"/>
    <cellStyle name="Note 3 5 2 2 3" xfId="11700" xr:uid="{9D002B6F-288F-4E0C-9E4B-6C18F77A0341}"/>
    <cellStyle name="Note 3 5 2 3" xfId="5331" xr:uid="{00000000-0005-0000-0000-0000EF210000}"/>
    <cellStyle name="Note 3 5 2 3 2" xfId="13773" xr:uid="{8CFA3A32-E7A4-4764-B148-16CB87EB6DC1}"/>
    <cellStyle name="Note 3 5 2 4" xfId="9555" xr:uid="{B1C97E9D-5A6D-47FE-8801-12800731CEFF}"/>
    <cellStyle name="Note 3 5 3" xfId="1436" xr:uid="{00000000-0005-0000-0000-0000F0210000}"/>
    <cellStyle name="Note 3 5 3 2" xfId="3666" xr:uid="{00000000-0005-0000-0000-0000F1210000}"/>
    <cellStyle name="Note 3 5 3 2 2" xfId="7889" xr:uid="{00000000-0005-0000-0000-0000F2210000}"/>
    <cellStyle name="Note 3 5 3 2 2 2" xfId="16331" xr:uid="{0C0336D2-1574-4FFD-A26C-DFE84FB6A6EF}"/>
    <cellStyle name="Note 3 5 3 2 3" xfId="12113" xr:uid="{93BC9CE8-C7AE-4C53-A5D4-41E2534246A9}"/>
    <cellStyle name="Note 3 5 3 3" xfId="5744" xr:uid="{00000000-0005-0000-0000-0000F3210000}"/>
    <cellStyle name="Note 3 5 3 3 2" xfId="14186" xr:uid="{840092BE-B86F-4B7C-8425-C2E9B75968C0}"/>
    <cellStyle name="Note 3 5 3 4" xfId="9968" xr:uid="{AA755480-C16C-4C9F-9942-FAD93805E655}"/>
    <cellStyle name="Note 3 5 4" xfId="1850" xr:uid="{00000000-0005-0000-0000-0000F4210000}"/>
    <cellStyle name="Note 3 5 4 2" xfId="4079" xr:uid="{00000000-0005-0000-0000-0000F5210000}"/>
    <cellStyle name="Note 3 5 4 2 2" xfId="8302" xr:uid="{00000000-0005-0000-0000-0000F6210000}"/>
    <cellStyle name="Note 3 5 4 2 2 2" xfId="16744" xr:uid="{97DF03DE-3CEE-46EE-96F2-84C61A2933BC}"/>
    <cellStyle name="Note 3 5 4 2 3" xfId="12526" xr:uid="{29D30028-61A2-4933-9967-7AEE3CEB6567}"/>
    <cellStyle name="Note 3 5 4 3" xfId="6157" xr:uid="{00000000-0005-0000-0000-0000F7210000}"/>
    <cellStyle name="Note 3 5 4 3 2" xfId="14599" xr:uid="{4865992B-C244-4985-ABFA-0254608C5504}"/>
    <cellStyle name="Note 3 5 4 4" xfId="10381" xr:uid="{E74BB867-34E6-4D48-A1A0-E8A29993602B}"/>
    <cellStyle name="Note 3 5 5" xfId="2263" xr:uid="{00000000-0005-0000-0000-0000F8210000}"/>
    <cellStyle name="Note 3 5 5 2" xfId="4492" xr:uid="{00000000-0005-0000-0000-0000F9210000}"/>
    <cellStyle name="Note 3 5 5 2 2" xfId="8715" xr:uid="{00000000-0005-0000-0000-0000FA210000}"/>
    <cellStyle name="Note 3 5 5 2 2 2" xfId="17157" xr:uid="{6B84D5C1-646B-432A-BFA3-46725CD52727}"/>
    <cellStyle name="Note 3 5 5 2 3" xfId="12939" xr:uid="{425D05EC-E84E-4B22-8449-EDB2746BA1EF}"/>
    <cellStyle name="Note 3 5 5 3" xfId="6570" xr:uid="{00000000-0005-0000-0000-0000FB210000}"/>
    <cellStyle name="Note 3 5 5 3 2" xfId="15012" xr:uid="{705D20E9-38CD-4C44-9EE4-2054A0E3F0AB}"/>
    <cellStyle name="Note 3 5 5 4" xfId="10794" xr:uid="{06F5D45C-321F-47BD-B1C5-6A1BEC7B5404}"/>
    <cellStyle name="Note 3 5 6" xfId="2699" xr:uid="{00000000-0005-0000-0000-0000FC210000}"/>
    <cellStyle name="Note 3 5 6 2" xfId="6983" xr:uid="{00000000-0005-0000-0000-0000FD210000}"/>
    <cellStyle name="Note 3 5 6 2 2" xfId="15425" xr:uid="{67D7806D-E916-41E2-A26B-0E044D41BA0A}"/>
    <cellStyle name="Note 3 5 6 3" xfId="11207" xr:uid="{589E9EDF-97DF-427B-B23B-6C8B4379F0D6}"/>
    <cellStyle name="Note 3 5 7" xfId="2758" xr:uid="{00000000-0005-0000-0000-0000FE210000}"/>
    <cellStyle name="Note 3 5 8" xfId="2839" xr:uid="{00000000-0005-0000-0000-0000FF210000}"/>
    <cellStyle name="Note 3 5 8 2" xfId="7063" xr:uid="{00000000-0005-0000-0000-000000220000}"/>
    <cellStyle name="Note 3 5 8 2 2" xfId="15505" xr:uid="{FCD68E72-0A36-4FE0-B581-22C5D7874CAD}"/>
    <cellStyle name="Note 3 5 8 3" xfId="11287" xr:uid="{31EE4064-F3B8-432F-B87F-8069255F4B6C}"/>
    <cellStyle name="Note 3 5 9" xfId="4918" xr:uid="{00000000-0005-0000-0000-000001220000}"/>
    <cellStyle name="Note 3 5 9 2" xfId="13360" xr:uid="{6F94FC90-71A8-4BA9-BF3D-94C349865B5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43" xr:uid="{A3B6F926-05CE-4162-A1A0-E7FE556CD15E}"/>
    <cellStyle name="Percent 4" xfId="4502" xr:uid="{00000000-0005-0000-0000-000007220000}"/>
    <cellStyle name="Percent 4 2" xfId="8718" xr:uid="{00000000-0005-0000-0000-000008220000}"/>
    <cellStyle name="Percent 4 2 2" xfId="17160" xr:uid="{5CA16E78-7A30-4E2C-BC43-AEBCE425C234}"/>
    <cellStyle name="Percent 4 3" xfId="8721" xr:uid="{D09CD3FC-D632-4B66-A68A-5CC92F993799}"/>
    <cellStyle name="Percent 4 3 2" xfId="8725" xr:uid="{D57AE941-8E59-43F0-AB73-09B3BCCFA234}"/>
    <cellStyle name="Percent 4 3 2 2" xfId="8728" xr:uid="{D24D76A7-D076-4554-9944-551B122393DE}"/>
    <cellStyle name="Percent 4 3 2 2 2" xfId="17169" xr:uid="{9C4FE60E-2474-4BE9-A996-E0D9F789D557}"/>
    <cellStyle name="Percent 4 3 2 3" xfId="17166" xr:uid="{E93EA6F8-9F7C-403F-98BA-F15B87B24C7E}"/>
    <cellStyle name="Percent 4 3 3" xfId="17163" xr:uid="{327197ED-49A6-4390-95B3-9A539B0F5C50}"/>
    <cellStyle name="Percent 4 4" xfId="12946" xr:uid="{0988E82E-421E-483B-AF0B-0779839CD1F2}"/>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7620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75" t="s">
        <v>557</v>
      </c>
      <c r="B1" s="1275"/>
      <c r="C1" s="1275"/>
      <c r="D1" s="1275"/>
      <c r="E1" s="1275"/>
      <c r="F1" s="1275"/>
      <c r="G1" s="1275"/>
      <c r="H1" s="1275"/>
      <c r="I1" s="1275"/>
      <c r="J1" s="1275"/>
      <c r="K1" s="1275"/>
      <c r="L1" s="1275"/>
      <c r="M1" s="1275"/>
      <c r="N1" s="1275"/>
      <c r="O1" s="1275"/>
      <c r="P1" s="1275"/>
      <c r="Q1" s="1275"/>
      <c r="R1" s="1275"/>
      <c r="S1" s="1275"/>
      <c r="T1" s="1275"/>
      <c r="U1" s="1275"/>
      <c r="V1" s="1275"/>
      <c r="W1" s="1275"/>
      <c r="X1" s="1275"/>
      <c r="Y1" s="1275"/>
      <c r="Z1" s="1275"/>
      <c r="AA1" s="1275"/>
      <c r="AB1" s="1275"/>
      <c r="AC1" s="1275"/>
      <c r="AD1" s="1275"/>
      <c r="AE1" s="1275"/>
      <c r="AF1" s="1275"/>
      <c r="AG1" s="1275"/>
      <c r="AH1" s="1275"/>
      <c r="AI1" s="1275"/>
      <c r="AJ1" s="1275"/>
      <c r="AK1" s="1275"/>
      <c r="AL1" s="1275"/>
    </row>
    <row r="2" spans="1:38" ht="13.8" thickBot="1">
      <c r="A2" s="1276"/>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c r="AB2" s="1276"/>
      <c r="AC2" s="1276"/>
      <c r="AD2" s="1276"/>
      <c r="AE2" s="1276"/>
      <c r="AF2" s="1276"/>
      <c r="AG2" s="1276"/>
      <c r="AH2" s="1276"/>
      <c r="AI2" s="1276"/>
      <c r="AJ2" s="1276"/>
      <c r="AK2" s="1276"/>
      <c r="AL2" s="1276"/>
    </row>
    <row r="3" spans="1:38" ht="13.8"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 customHeight="1">
      <c r="A7" s="218"/>
      <c r="B7" s="218"/>
      <c r="C7" s="219"/>
      <c r="D7" s="1265" t="s">
        <v>2347</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89"/>
    </row>
    <row r="8" spans="1:38">
      <c r="A8" s="218"/>
      <c r="B8" s="218"/>
      <c r="C8" s="219"/>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89"/>
    </row>
    <row r="9" spans="1:38">
      <c r="A9" s="218"/>
      <c r="B9" s="218"/>
      <c r="C9" s="219"/>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 customHeight="1">
      <c r="A11" s="218"/>
      <c r="B11" s="218"/>
      <c r="C11" s="219"/>
      <c r="D11" s="1265" t="s">
        <v>2348</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89"/>
    </row>
    <row r="12" spans="1:38">
      <c r="A12" s="218"/>
      <c r="B12" s="218"/>
      <c r="C12" s="219"/>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89"/>
    </row>
    <row r="13" spans="1:38">
      <c r="A13" s="218"/>
      <c r="B13" s="218"/>
      <c r="C13" s="219"/>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89"/>
    </row>
    <row r="14" spans="1:38" ht="13.2" customHeight="1">
      <c r="A14" s="218"/>
      <c r="B14" s="218"/>
      <c r="C14" s="219"/>
      <c r="E14" s="1265" t="s">
        <v>2575</v>
      </c>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489"/>
    </row>
    <row r="15" spans="1:38" ht="13.2" customHeight="1">
      <c r="A15" s="218"/>
      <c r="B15" s="218"/>
      <c r="C15" s="219"/>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89"/>
    </row>
    <row r="16" spans="1:38">
      <c r="A16" s="218"/>
      <c r="B16" s="218"/>
      <c r="C16" s="219"/>
      <c r="D16" s="489"/>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 customHeight="1">
      <c r="A18" s="218"/>
      <c r="B18" s="218"/>
      <c r="C18" s="219"/>
      <c r="D18" s="1265" t="s">
        <v>2349</v>
      </c>
      <c r="E18" s="1265"/>
      <c r="F18" s="1265"/>
      <c r="G18" s="1265"/>
      <c r="H18" s="1265"/>
      <c r="I18" s="1265"/>
      <c r="J18" s="1265"/>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218"/>
    </row>
    <row r="19" spans="1:38">
      <c r="A19" s="218"/>
      <c r="B19" s="218"/>
      <c r="C19" s="219"/>
      <c r="D19" s="1265"/>
      <c r="E19" s="1265"/>
      <c r="F19" s="1265"/>
      <c r="G19" s="1265"/>
      <c r="H19" s="1265"/>
      <c r="I19" s="1265"/>
      <c r="J19" s="1265"/>
      <c r="K19" s="1265"/>
      <c r="L19" s="1265"/>
      <c r="M19" s="1265"/>
      <c r="N19" s="1265"/>
      <c r="O19" s="1265"/>
      <c r="P19" s="1265"/>
      <c r="Q19" s="1265"/>
      <c r="R19" s="1265"/>
      <c r="S19" s="1265"/>
      <c r="T19" s="1265"/>
      <c r="U19" s="1265"/>
      <c r="V19" s="1265"/>
      <c r="W19" s="1265"/>
      <c r="X19" s="1265"/>
      <c r="Y19" s="1265"/>
      <c r="Z19" s="1265"/>
      <c r="AA19" s="1265"/>
      <c r="AB19" s="1265"/>
      <c r="AC19" s="1265"/>
      <c r="AD19" s="1265"/>
      <c r="AE19" s="1265"/>
      <c r="AF19" s="1265"/>
      <c r="AG19" s="1265"/>
      <c r="AH19" s="1265"/>
      <c r="AI19" s="1265"/>
      <c r="AJ19" s="1265"/>
      <c r="AK19" s="1265"/>
      <c r="AL19" s="218"/>
    </row>
    <row r="20" spans="1:38">
      <c r="A20" s="218"/>
      <c r="B20" s="218"/>
      <c r="C20" s="219"/>
      <c r="D20" s="1265"/>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18"/>
    </row>
    <row r="21" spans="1:38" ht="13.2" customHeight="1">
      <c r="A21" s="218"/>
      <c r="B21" s="218"/>
      <c r="C21" s="219"/>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18"/>
    </row>
    <row r="22" spans="1:38">
      <c r="A22" s="218"/>
      <c r="B22" s="218"/>
      <c r="C22" s="219"/>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18"/>
    </row>
    <row r="23" spans="1:38">
      <c r="A23" s="218"/>
      <c r="B23" s="218"/>
      <c r="C23" s="219"/>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18"/>
    </row>
    <row r="24" spans="1:38">
      <c r="A24" s="218"/>
      <c r="B24" s="218"/>
      <c r="C24" s="219"/>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18"/>
    </row>
    <row r="25" spans="1:38">
      <c r="A25" s="218"/>
      <c r="B25" s="218"/>
      <c r="C25" s="219"/>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18"/>
    </row>
    <row r="26" spans="1:38">
      <c r="A26" s="218"/>
      <c r="B26" s="218"/>
      <c r="C26" s="219"/>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18"/>
    </row>
    <row r="27" spans="1:38" ht="11.85" customHeight="1">
      <c r="A27" s="218"/>
      <c r="B27" s="218"/>
      <c r="C27" s="219"/>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18"/>
    </row>
    <row r="28" spans="1:38" ht="13.2" hidden="1" customHeight="1">
      <c r="A28" s="218"/>
      <c r="B28" s="218"/>
      <c r="C28" s="219"/>
      <c r="E28" s="1265" t="s">
        <v>2504</v>
      </c>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18"/>
    </row>
    <row r="29" spans="1:38" ht="13.2" hidden="1" customHeight="1">
      <c r="A29" s="218"/>
      <c r="B29" s="218"/>
      <c r="C29" s="219"/>
      <c r="E29" s="1265"/>
      <c r="F29" s="1265"/>
      <c r="G29" s="1265"/>
      <c r="H29" s="1265"/>
      <c r="I29" s="1265"/>
      <c r="J29" s="1265"/>
      <c r="K29" s="1265"/>
      <c r="L29" s="1265"/>
      <c r="M29" s="1265"/>
      <c r="N29" s="1265"/>
      <c r="O29" s="1265"/>
      <c r="P29" s="1265"/>
      <c r="Q29" s="1265"/>
      <c r="R29" s="1265"/>
      <c r="S29" s="1265"/>
      <c r="T29" s="1265"/>
      <c r="U29" s="1265"/>
      <c r="V29" s="1265"/>
      <c r="W29" s="1265"/>
      <c r="X29" s="1265"/>
      <c r="Y29" s="1265"/>
      <c r="Z29" s="1265"/>
      <c r="AA29" s="1265"/>
      <c r="AB29" s="1265"/>
      <c r="AC29" s="1265"/>
      <c r="AD29" s="1265"/>
      <c r="AE29" s="1265"/>
      <c r="AF29" s="1265"/>
      <c r="AG29" s="1265"/>
      <c r="AH29" s="1265"/>
      <c r="AI29" s="1265"/>
      <c r="AJ29" s="1265"/>
      <c r="AK29" s="1265"/>
      <c r="AL29" s="218"/>
    </row>
    <row r="30" spans="1:38" hidden="1">
      <c r="A30" s="218"/>
      <c r="B30" s="218"/>
      <c r="C30" s="219"/>
      <c r="D30" s="489"/>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 customHeight="1">
      <c r="A32" s="218"/>
      <c r="B32" s="218"/>
      <c r="C32" s="219"/>
      <c r="D32" s="1265" t="s">
        <v>2350</v>
      </c>
      <c r="E32" s="1265"/>
      <c r="F32" s="1265"/>
      <c r="G32" s="1265"/>
      <c r="H32" s="1265"/>
      <c r="I32" s="1265"/>
      <c r="J32" s="1265"/>
      <c r="K32" s="1265"/>
      <c r="L32" s="1265"/>
      <c r="M32" s="1265"/>
      <c r="N32" s="1265"/>
      <c r="O32" s="1265"/>
      <c r="P32" s="1265"/>
      <c r="Q32" s="1265"/>
      <c r="R32" s="1265"/>
      <c r="S32" s="1265"/>
      <c r="T32" s="1265"/>
      <c r="U32" s="1265"/>
      <c r="V32" s="1265"/>
      <c r="W32" s="1265"/>
      <c r="X32" s="1265"/>
      <c r="Y32" s="1265"/>
      <c r="Z32" s="1265"/>
      <c r="AA32" s="1265"/>
      <c r="AB32" s="1265"/>
      <c r="AC32" s="1265"/>
      <c r="AD32" s="1265"/>
      <c r="AE32" s="1265"/>
      <c r="AF32" s="1265"/>
      <c r="AG32" s="1265"/>
      <c r="AH32" s="1265"/>
      <c r="AI32" s="1265"/>
      <c r="AJ32" s="1265"/>
      <c r="AK32" s="1265"/>
      <c r="AL32" s="218"/>
    </row>
    <row r="33" spans="1:38">
      <c r="A33" s="218"/>
      <c r="B33" s="218"/>
      <c r="C33" s="219"/>
      <c r="D33" s="489"/>
      <c r="E33" s="1266" t="s">
        <v>2581</v>
      </c>
      <c r="F33" s="1267"/>
      <c r="G33" s="1267"/>
      <c r="H33" s="1267"/>
      <c r="I33" s="1267"/>
      <c r="J33" s="1267"/>
      <c r="K33" s="1267"/>
      <c r="L33" s="1267"/>
      <c r="M33" s="1267"/>
      <c r="N33" s="1267"/>
      <c r="O33" s="1267"/>
      <c r="P33" s="1267"/>
      <c r="Q33" s="1267"/>
      <c r="R33" s="1267"/>
      <c r="S33" s="1267"/>
      <c r="T33" s="1267"/>
      <c r="U33" s="1267"/>
      <c r="V33" s="1267"/>
      <c r="W33" s="1267"/>
      <c r="X33" s="1267"/>
      <c r="Y33" s="1267"/>
      <c r="Z33" s="1267"/>
      <c r="AA33" s="1267"/>
      <c r="AB33" s="1267"/>
      <c r="AC33" s="1267"/>
      <c r="AD33" s="1267"/>
      <c r="AE33" s="1267"/>
      <c r="AF33" s="1267"/>
      <c r="AG33" s="1267"/>
      <c r="AH33" s="1267"/>
      <c r="AI33" s="1267"/>
      <c r="AJ33" s="1267"/>
      <c r="AK33" s="1267"/>
      <c r="AL33" s="218"/>
    </row>
    <row r="34" spans="1:38">
      <c r="A34" s="4"/>
      <c r="C34" s="2"/>
    </row>
    <row r="35" spans="1:38">
      <c r="A35" s="4"/>
      <c r="D35" s="1277" t="s">
        <v>2499</v>
      </c>
      <c r="E35" s="1277"/>
      <c r="F35" s="1277"/>
      <c r="G35" s="1277"/>
      <c r="H35" s="1277"/>
      <c r="I35" s="1277"/>
      <c r="J35" s="1277"/>
      <c r="K35" s="1277"/>
      <c r="L35" s="1277"/>
      <c r="M35" s="1277"/>
      <c r="N35" s="1277"/>
      <c r="O35" s="1277"/>
      <c r="P35" s="1277"/>
      <c r="Q35" s="1277"/>
      <c r="R35" s="1277"/>
      <c r="S35" s="1277"/>
      <c r="T35" s="1277"/>
      <c r="U35" s="1277"/>
      <c r="V35" s="1277"/>
      <c r="W35" s="1277"/>
      <c r="X35" s="1277"/>
      <c r="Y35" s="1277"/>
      <c r="Z35" s="1277"/>
      <c r="AA35" s="1277"/>
      <c r="AB35" s="1277"/>
      <c r="AC35" s="1277"/>
      <c r="AD35" s="1277"/>
      <c r="AE35" s="1277"/>
      <c r="AF35" s="1277"/>
      <c r="AG35" s="1277"/>
      <c r="AH35" s="1277"/>
      <c r="AI35" s="1277"/>
      <c r="AJ35" s="1277"/>
      <c r="AK35" s="1277"/>
    </row>
    <row r="36" spans="1:38">
      <c r="A36" s="4"/>
      <c r="D36" s="1277"/>
      <c r="E36" s="1277"/>
      <c r="F36" s="1277"/>
      <c r="G36" s="1277"/>
      <c r="H36" s="1277"/>
      <c r="I36" s="1277"/>
      <c r="J36" s="1277"/>
      <c r="K36" s="1277"/>
      <c r="L36" s="1277"/>
      <c r="M36" s="1277"/>
      <c r="N36" s="1277"/>
      <c r="O36" s="1277"/>
      <c r="P36" s="1277"/>
      <c r="Q36" s="1277"/>
      <c r="R36" s="1277"/>
      <c r="S36" s="1277"/>
      <c r="T36" s="1277"/>
      <c r="U36" s="1277"/>
      <c r="V36" s="1277"/>
      <c r="W36" s="1277"/>
      <c r="X36" s="1277"/>
      <c r="Y36" s="1277"/>
      <c r="Z36" s="1277"/>
      <c r="AA36" s="1277"/>
      <c r="AB36" s="1277"/>
      <c r="AC36" s="1277"/>
      <c r="AD36" s="1277"/>
      <c r="AE36" s="1277"/>
      <c r="AF36" s="1277"/>
      <c r="AG36" s="1277"/>
      <c r="AH36" s="1277"/>
      <c r="AI36" s="1277"/>
      <c r="AJ36" s="1277"/>
      <c r="AK36" s="1277"/>
    </row>
    <row r="37" spans="1:38">
      <c r="A37" s="4"/>
      <c r="D37" s="120"/>
      <c r="E37" s="1272" t="s">
        <v>2357</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2358</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5" customFormat="1" ht="13.2" customHeight="1">
      <c r="A42" s="4"/>
      <c r="B42"/>
      <c r="C42" s="2"/>
      <c r="D42" s="4"/>
      <c r="E42" s="4" t="s">
        <v>660</v>
      </c>
      <c r="F42" s="1265" t="s">
        <v>1269</v>
      </c>
    </row>
    <row r="43" spans="1:38" s="1265" customFormat="1" ht="13.2" customHeight="1">
      <c r="A43" s="4"/>
      <c r="B43"/>
      <c r="C43" s="2"/>
      <c r="D43" s="4"/>
      <c r="E43" s="4"/>
    </row>
    <row r="44" spans="1:38">
      <c r="A44" s="4"/>
      <c r="C44" s="2"/>
      <c r="D44" s="4"/>
      <c r="E44" s="4"/>
      <c r="F44" s="35" t="s">
        <v>695</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 customHeight="1">
      <c r="A45" s="4"/>
      <c r="B45"/>
      <c r="C45" s="2"/>
      <c r="D45" s="4"/>
      <c r="E45" s="3" t="s">
        <v>348</v>
      </c>
      <c r="F45" s="1271" t="s">
        <v>1353</v>
      </c>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s="118" customFormat="1">
      <c r="A46" s="4"/>
      <c r="B46"/>
      <c r="C46" s="2"/>
      <c r="D46" s="4"/>
      <c r="E46" s="4"/>
      <c r="F46" s="1271"/>
      <c r="G46" s="1271"/>
      <c r="H46" s="1271"/>
      <c r="I46" s="1271"/>
      <c r="J46" s="1271"/>
      <c r="K46" s="1271"/>
      <c r="L46" s="1271"/>
      <c r="M46" s="1271"/>
      <c r="N46" s="1271"/>
      <c r="O46" s="1271"/>
      <c r="P46" s="1271"/>
      <c r="Q46" s="1271"/>
      <c r="R46" s="1271"/>
      <c r="S46" s="1271"/>
      <c r="T46" s="1271"/>
      <c r="U46" s="1271"/>
      <c r="V46" s="1271"/>
      <c r="W46" s="1271"/>
      <c r="X46" s="1271"/>
      <c r="Y46" s="1271"/>
      <c r="Z46" s="1271"/>
      <c r="AA46" s="1271"/>
      <c r="AB46" s="1271"/>
      <c r="AC46" s="1271"/>
      <c r="AD46" s="1271"/>
      <c r="AE46" s="1271"/>
      <c r="AF46" s="1271"/>
      <c r="AG46" s="1271"/>
      <c r="AH46" s="1271"/>
      <c r="AI46" s="1271"/>
      <c r="AJ46" s="1271"/>
      <c r="AK46" s="1271"/>
      <c r="AL46" s="1271"/>
    </row>
    <row r="47" spans="1:38" s="118" customFormat="1" ht="13.2" customHeight="1">
      <c r="A47" s="4"/>
      <c r="B47"/>
      <c r="C47" s="2"/>
      <c r="D47" s="4"/>
      <c r="E47" s="4"/>
      <c r="F47" s="1271"/>
      <c r="G47" s="1271"/>
      <c r="H47" s="1271"/>
      <c r="I47" s="1271"/>
      <c r="J47" s="1271"/>
      <c r="K47" s="1271"/>
      <c r="L47" s="1271"/>
      <c r="M47" s="1271"/>
      <c r="N47" s="1271"/>
      <c r="O47" s="1271"/>
      <c r="P47" s="1271"/>
      <c r="Q47" s="1271"/>
      <c r="R47" s="1271"/>
      <c r="S47" s="1271"/>
      <c r="T47" s="1271"/>
      <c r="U47" s="1271"/>
      <c r="V47" s="1271"/>
      <c r="W47" s="1271"/>
      <c r="X47" s="1271"/>
      <c r="Y47" s="1271"/>
      <c r="Z47" s="1271"/>
      <c r="AA47" s="1271"/>
      <c r="AB47" s="1271"/>
      <c r="AC47" s="1271"/>
      <c r="AD47" s="1271"/>
      <c r="AE47" s="1271"/>
      <c r="AF47" s="1271"/>
      <c r="AG47" s="1271"/>
      <c r="AH47" s="1271"/>
      <c r="AI47" s="1271"/>
      <c r="AJ47" s="1271"/>
      <c r="AK47" s="1271"/>
      <c r="AL47" s="1271"/>
    </row>
    <row r="48" spans="1:38">
      <c r="A48" s="4"/>
      <c r="C48" s="2"/>
      <c r="D48" s="4"/>
      <c r="E48" s="4"/>
      <c r="F48" s="118" t="s">
        <v>695</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5" t="s">
        <v>2352</v>
      </c>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c r="A51" s="4"/>
      <c r="C51" s="2"/>
      <c r="D51" s="4"/>
      <c r="E51" s="4"/>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row>
    <row r="52" spans="1:38">
      <c r="A52" s="4"/>
      <c r="C52" s="2"/>
      <c r="D52" s="4"/>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 customHeight="1">
      <c r="A56" s="218"/>
      <c r="B56" s="218"/>
      <c r="C56" s="219"/>
      <c r="D56" s="219"/>
      <c r="E56" s="218"/>
      <c r="F56" s="220" t="s">
        <v>695</v>
      </c>
      <c r="G56" s="1270" t="s">
        <v>1296</v>
      </c>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218"/>
    </row>
    <row r="57" spans="1:38" ht="13.2"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0" t="s">
        <v>582</v>
      </c>
      <c r="H58" s="1270"/>
      <c r="I58" s="1270"/>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 customHeight="1">
      <c r="A59" s="218"/>
      <c r="B59" s="219"/>
      <c r="C59" s="219"/>
      <c r="D59" s="219"/>
      <c r="E59" s="218"/>
      <c r="F59" s="220" t="s">
        <v>516</v>
      </c>
      <c r="G59" s="1270" t="s">
        <v>2353</v>
      </c>
      <c r="H59" s="1270"/>
      <c r="I59" s="1270"/>
      <c r="J59" s="1270"/>
      <c r="K59" s="1270"/>
      <c r="L59" s="1270"/>
      <c r="M59" s="1270"/>
      <c r="N59" s="1270"/>
      <c r="O59" s="1270"/>
      <c r="P59" s="1270"/>
      <c r="Q59" s="1270"/>
      <c r="R59" s="1270"/>
      <c r="S59" s="1270"/>
      <c r="T59" s="1270"/>
      <c r="U59" s="1270"/>
      <c r="V59" s="1270"/>
      <c r="W59" s="1270"/>
      <c r="X59" s="1270"/>
      <c r="Y59" s="1270"/>
      <c r="Z59" s="1270"/>
      <c r="AA59" s="1270"/>
      <c r="AB59" s="1270"/>
      <c r="AC59" s="1270"/>
      <c r="AD59" s="1270"/>
      <c r="AE59" s="1270"/>
      <c r="AF59" s="1270"/>
      <c r="AG59" s="1270"/>
      <c r="AH59" s="1270"/>
      <c r="AI59" s="1270"/>
      <c r="AJ59" s="1270"/>
      <c r="AK59" s="1270"/>
      <c r="AL59" s="1270"/>
    </row>
    <row r="60" spans="1:38">
      <c r="A60" s="218"/>
      <c r="B60" s="218"/>
      <c r="C60" s="219"/>
      <c r="D60" s="219"/>
      <c r="E60" s="218"/>
      <c r="F60" s="22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5" t="s">
        <v>1271</v>
      </c>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c r="A67" s="4"/>
      <c r="C67" s="2"/>
      <c r="D67" s="4"/>
      <c r="E67" s="4"/>
      <c r="G67" s="1265"/>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c r="A68" s="4"/>
      <c r="C68" s="2"/>
      <c r="D68" s="4"/>
      <c r="E68" s="4"/>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ht="13.2" customHeight="1">
      <c r="A69" s="4"/>
      <c r="C69" s="2"/>
      <c r="D69" s="4"/>
      <c r="E69" s="4"/>
      <c r="F69" t="s">
        <v>516</v>
      </c>
      <c r="G69" s="1265" t="s">
        <v>1272</v>
      </c>
      <c r="H69" s="1265"/>
      <c r="I69" s="1265"/>
      <c r="J69" s="1265"/>
      <c r="K69" s="1265"/>
      <c r="L69" s="1265"/>
      <c r="M69" s="1265"/>
      <c r="N69" s="1265"/>
      <c r="O69" s="1265"/>
      <c r="P69" s="1265"/>
      <c r="Q69" s="1265"/>
      <c r="R69" s="1265"/>
      <c r="S69" s="1265"/>
      <c r="T69" s="1265"/>
      <c r="U69" s="1265"/>
      <c r="V69" s="1265"/>
      <c r="W69" s="1265"/>
      <c r="X69" s="1265"/>
      <c r="Y69" s="1265"/>
      <c r="Z69" s="1265"/>
      <c r="AA69" s="1265"/>
      <c r="AB69" s="1265"/>
      <c r="AC69" s="1265"/>
      <c r="AD69" s="1265"/>
      <c r="AE69" s="1265"/>
      <c r="AF69" s="1265"/>
      <c r="AG69" s="1265"/>
      <c r="AH69" s="1265"/>
      <c r="AI69" s="1265"/>
      <c r="AJ69" s="1265"/>
      <c r="AK69" s="1265"/>
    </row>
    <row r="70" spans="1:37">
      <c r="A70" s="4"/>
      <c r="C70" s="2"/>
      <c r="D70" s="4"/>
      <c r="E70" s="4"/>
      <c r="F70" s="27"/>
      <c r="G70" s="1265"/>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5" t="s">
        <v>1273</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c r="A74" s="4"/>
      <c r="C74" s="2"/>
      <c r="D74" s="4"/>
      <c r="E74" s="4"/>
      <c r="F74" s="8" t="s">
        <v>516</v>
      </c>
      <c r="G74" s="1265" t="s">
        <v>1274</v>
      </c>
      <c r="H74" s="1265"/>
      <c r="I74" s="1265"/>
      <c r="J74" s="1265"/>
      <c r="K74" s="1265"/>
      <c r="L74" s="1265"/>
      <c r="M74" s="1265"/>
      <c r="N74" s="1265"/>
      <c r="O74" s="1265"/>
      <c r="P74" s="1265"/>
      <c r="Q74" s="1265"/>
      <c r="R74" s="1265"/>
      <c r="S74" s="1265"/>
      <c r="T74" s="1265"/>
      <c r="U74" s="1265"/>
      <c r="V74" s="1265"/>
      <c r="W74" s="1265"/>
      <c r="X74" s="1265"/>
      <c r="Y74" s="1265"/>
      <c r="Z74" s="1265"/>
      <c r="AA74" s="1265"/>
      <c r="AB74" s="1265"/>
      <c r="AC74" s="1265"/>
      <c r="AD74" s="1265"/>
      <c r="AE74" s="1265"/>
      <c r="AF74" s="1265"/>
      <c r="AG74" s="1265"/>
      <c r="AH74" s="1265"/>
      <c r="AI74" s="1265"/>
      <c r="AJ74" s="1265"/>
      <c r="AK74" s="1265"/>
    </row>
    <row r="75" spans="1:37">
      <c r="A75" s="4"/>
      <c r="C75" s="2"/>
      <c r="D75" s="4"/>
      <c r="E75" s="4"/>
      <c r="F75" s="8"/>
      <c r="G75" s="1265"/>
      <c r="H75" s="1265"/>
      <c r="I75" s="1265"/>
      <c r="J75" s="1265"/>
      <c r="K75" s="1265"/>
      <c r="L75" s="1265"/>
      <c r="M75" s="1265"/>
      <c r="N75" s="1265"/>
      <c r="O75" s="1265"/>
      <c r="P75" s="1265"/>
      <c r="Q75" s="1265"/>
      <c r="R75" s="1265"/>
      <c r="S75" s="1265"/>
      <c r="T75" s="1265"/>
      <c r="U75" s="1265"/>
      <c r="V75" s="1265"/>
      <c r="W75" s="1265"/>
      <c r="X75" s="1265"/>
      <c r="Y75" s="1265"/>
      <c r="Z75" s="1265"/>
      <c r="AA75" s="1265"/>
      <c r="AB75" s="1265"/>
      <c r="AC75" s="1265"/>
      <c r="AD75" s="1265"/>
      <c r="AE75" s="1265"/>
      <c r="AF75" s="1265"/>
      <c r="AG75" s="1265"/>
      <c r="AH75" s="1265"/>
      <c r="AI75" s="1265"/>
      <c r="AJ75" s="1265"/>
      <c r="AK75" s="1265"/>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278</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5" t="s">
        <v>1275</v>
      </c>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c r="A83" s="4"/>
      <c r="C83" s="2"/>
      <c r="D83" s="4"/>
      <c r="E83" s="4"/>
      <c r="F83" s="4"/>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row>
    <row r="84" spans="1:37">
      <c r="A84" s="4"/>
      <c r="C84" s="2"/>
      <c r="D84" s="4"/>
      <c r="E84" s="4"/>
      <c r="F84" s="4"/>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5" t="s">
        <v>1276</v>
      </c>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c r="A87" s="4"/>
      <c r="C87" s="2"/>
      <c r="D87" s="4"/>
      <c r="E87" s="4"/>
      <c r="F87" s="4"/>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row>
    <row r="88" spans="1:37">
      <c r="A88" s="4"/>
      <c r="C88" s="2"/>
      <c r="D88" s="4"/>
      <c r="E88" s="4"/>
      <c r="G88" s="1265"/>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c r="A89" s="4"/>
      <c r="C89" s="2"/>
      <c r="D89" s="4"/>
      <c r="E89" s="4" t="s">
        <v>262</v>
      </c>
      <c r="F89" t="s">
        <v>876</v>
      </c>
      <c r="G89" s="4"/>
      <c r="L89" s="4"/>
      <c r="M89" s="4"/>
      <c r="P89" s="4"/>
      <c r="Q89" s="4"/>
      <c r="R89" s="4"/>
      <c r="S89" s="4"/>
      <c r="T89" s="4"/>
      <c r="U89" s="4"/>
      <c r="V89" s="4"/>
      <c r="W89" s="4"/>
      <c r="X89" s="4"/>
      <c r="Y89" s="4"/>
      <c r="Z89" s="4"/>
      <c r="AA89" s="4"/>
      <c r="AB89" s="4"/>
    </row>
    <row r="90" spans="1:37">
      <c r="A90" s="4"/>
      <c r="C90" s="2"/>
      <c r="D90" s="4"/>
      <c r="E90" s="4"/>
      <c r="G90" s="1268" t="s">
        <v>1277</v>
      </c>
      <c r="H90" s="1268"/>
      <c r="I90" s="1268"/>
      <c r="J90" s="1268"/>
      <c r="K90" s="1268"/>
      <c r="L90" s="1268"/>
      <c r="M90" s="1268"/>
      <c r="N90" s="1268"/>
      <c r="O90" s="1268"/>
      <c r="P90" s="1268"/>
      <c r="Q90" s="1268"/>
      <c r="R90" s="1268"/>
      <c r="S90" s="1268"/>
      <c r="T90" s="1268"/>
      <c r="U90" s="1268"/>
      <c r="V90" s="1268"/>
      <c r="W90" s="1268"/>
      <c r="X90" s="1268"/>
      <c r="Y90" s="1268"/>
      <c r="Z90" s="1268"/>
      <c r="AA90" s="1268"/>
      <c r="AB90" s="1268"/>
      <c r="AC90" s="1268"/>
      <c r="AD90" s="1268"/>
      <c r="AE90" s="1268"/>
      <c r="AF90" s="1268"/>
      <c r="AG90" s="1268"/>
      <c r="AH90" s="1268"/>
      <c r="AI90" s="1268"/>
      <c r="AJ90" s="1268"/>
      <c r="AK90" s="1268"/>
    </row>
    <row r="91" spans="1:37">
      <c r="A91" s="4"/>
      <c r="C91" s="2"/>
      <c r="D91" s="4"/>
      <c r="E91" s="4"/>
      <c r="G91" s="1268"/>
      <c r="H91" s="1268"/>
      <c r="I91" s="1268"/>
      <c r="J91" s="1268"/>
      <c r="K91" s="1268"/>
      <c r="L91" s="1268"/>
      <c r="M91" s="1268"/>
      <c r="N91" s="1268"/>
      <c r="O91" s="1268"/>
      <c r="P91" s="1268"/>
      <c r="Q91" s="1268"/>
      <c r="R91" s="1268"/>
      <c r="S91" s="1268"/>
      <c r="T91" s="1268"/>
      <c r="U91" s="1268"/>
      <c r="V91" s="1268"/>
      <c r="W91" s="1268"/>
      <c r="X91" s="1268"/>
      <c r="Y91" s="1268"/>
      <c r="Z91" s="1268"/>
      <c r="AA91" s="1268"/>
      <c r="AB91" s="1268"/>
      <c r="AC91" s="1268"/>
      <c r="AD91" s="1268"/>
      <c r="AE91" s="1268"/>
      <c r="AF91" s="1268"/>
      <c r="AG91" s="1268"/>
      <c r="AH91" s="1268"/>
      <c r="AI91" s="1268"/>
      <c r="AJ91" s="1268"/>
      <c r="AK91" s="1268"/>
    </row>
    <row r="92" spans="1:37">
      <c r="A92" s="4"/>
      <c r="C92" s="2"/>
      <c r="D92" s="4"/>
      <c r="E92" s="4"/>
      <c r="G92" s="1268"/>
      <c r="H92" s="1268"/>
      <c r="I92" s="1268"/>
      <c r="J92" s="1268"/>
      <c r="K92" s="1268"/>
      <c r="L92" s="1268"/>
      <c r="M92" s="1268"/>
      <c r="N92" s="1268"/>
      <c r="O92" s="1268"/>
      <c r="P92" s="1268"/>
      <c r="Q92" s="1268"/>
      <c r="R92" s="1268"/>
      <c r="S92" s="1268"/>
      <c r="T92" s="1268"/>
      <c r="U92" s="1268"/>
      <c r="V92" s="1268"/>
      <c r="W92" s="1268"/>
      <c r="X92" s="1268"/>
      <c r="Y92" s="1268"/>
      <c r="Z92" s="1268"/>
      <c r="AA92" s="1268"/>
      <c r="AB92" s="1268"/>
      <c r="AC92" s="1268"/>
      <c r="AD92" s="1268"/>
      <c r="AE92" s="1268"/>
      <c r="AF92" s="1268"/>
      <c r="AG92" s="1268"/>
      <c r="AH92" s="1268"/>
      <c r="AI92" s="1268"/>
      <c r="AJ92" s="1268"/>
      <c r="AK92" s="1268"/>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5" t="s">
        <v>1278</v>
      </c>
      <c r="H94" s="1265"/>
      <c r="I94" s="1265"/>
      <c r="J94" s="1265"/>
      <c r="K94" s="1265"/>
      <c r="L94" s="1265"/>
      <c r="M94" s="1265"/>
      <c r="N94" s="1265"/>
      <c r="O94" s="1265"/>
      <c r="P94" s="1265"/>
      <c r="Q94" s="1265"/>
      <c r="R94" s="1265"/>
      <c r="S94" s="1265"/>
      <c r="T94" s="1265"/>
      <c r="U94" s="1265"/>
      <c r="V94" s="1265"/>
      <c r="W94" s="1265"/>
      <c r="X94" s="1265"/>
      <c r="Y94" s="1265"/>
      <c r="Z94" s="1265"/>
      <c r="AA94" s="1265"/>
      <c r="AB94" s="1265"/>
      <c r="AC94" s="1265"/>
      <c r="AD94" s="1265"/>
      <c r="AE94" s="1265"/>
      <c r="AF94" s="1265"/>
      <c r="AG94" s="1265"/>
      <c r="AH94" s="1265"/>
      <c r="AI94" s="1265"/>
      <c r="AJ94" s="1265"/>
      <c r="AK94" s="1265"/>
    </row>
    <row r="95" spans="1:37">
      <c r="A95" s="4"/>
      <c r="C95" s="2"/>
      <c r="D95" s="4"/>
      <c r="E95" s="4"/>
      <c r="G95" s="1265"/>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5" t="s">
        <v>1279</v>
      </c>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c r="A98" s="4"/>
      <c r="C98" s="2"/>
      <c r="D98" s="4"/>
      <c r="E98" s="4"/>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c r="A99" s="4"/>
      <c r="C99" s="2"/>
      <c r="D99" s="4"/>
      <c r="E99" s="4"/>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c r="A100" s="4"/>
      <c r="D100" s="99"/>
      <c r="E100" s="1269" t="s">
        <v>1280</v>
      </c>
      <c r="F100" s="1269"/>
      <c r="G100" s="1269"/>
      <c r="H100" s="1269"/>
      <c r="I100" s="1269"/>
      <c r="J100" s="1269"/>
      <c r="K100" s="1269"/>
      <c r="L100" s="1269"/>
      <c r="M100" s="1269"/>
      <c r="N100" s="1269"/>
      <c r="O100" s="1269"/>
      <c r="P100" s="1269"/>
      <c r="Q100" s="1269"/>
      <c r="R100" s="1269"/>
      <c r="S100" s="1269"/>
      <c r="T100" s="1269"/>
      <c r="U100" s="1269"/>
      <c r="V100" s="1269"/>
      <c r="W100" s="1269"/>
      <c r="X100" s="1269"/>
      <c r="Y100" s="1269"/>
      <c r="Z100" s="1269"/>
      <c r="AA100" s="1269"/>
      <c r="AB100" s="1269"/>
      <c r="AC100" s="1269"/>
      <c r="AD100" s="1269"/>
      <c r="AE100" s="1269"/>
      <c r="AF100" s="1269"/>
      <c r="AG100" s="1269"/>
      <c r="AH100" s="1269"/>
      <c r="AI100" s="1269"/>
      <c r="AJ100" s="1269"/>
      <c r="AK100" s="1269"/>
    </row>
    <row r="101" spans="1:38">
      <c r="A101" s="4"/>
      <c r="D101" s="99"/>
      <c r="E101" s="1269"/>
      <c r="F101" s="1269"/>
      <c r="G101" s="1269"/>
      <c r="H101" s="1269"/>
      <c r="I101" s="1269"/>
      <c r="J101" s="1269"/>
      <c r="K101" s="1269"/>
      <c r="L101" s="1269"/>
      <c r="M101" s="1269"/>
      <c r="N101" s="1269"/>
      <c r="O101" s="1269"/>
      <c r="P101" s="1269"/>
      <c r="Q101" s="1269"/>
      <c r="R101" s="1269"/>
      <c r="S101" s="1269"/>
      <c r="T101" s="1269"/>
      <c r="U101" s="1269"/>
      <c r="V101" s="1269"/>
      <c r="W101" s="1269"/>
      <c r="X101" s="1269"/>
      <c r="Y101" s="1269"/>
      <c r="Z101" s="1269"/>
      <c r="AA101" s="1269"/>
      <c r="AB101" s="1269"/>
      <c r="AC101" s="1269"/>
      <c r="AD101" s="1269"/>
      <c r="AE101" s="1269"/>
      <c r="AF101" s="1269"/>
      <c r="AG101" s="1269"/>
      <c r="AH101" s="1269"/>
      <c r="AI101" s="1269"/>
      <c r="AJ101" s="1269"/>
      <c r="AK101" s="1269"/>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1291</v>
      </c>
      <c r="H105" s="2"/>
      <c r="I105" s="2"/>
      <c r="K105" s="2"/>
    </row>
    <row r="106" spans="1:38">
      <c r="B106" s="2"/>
      <c r="C106" s="2"/>
      <c r="D106" s="2" t="s">
        <v>207</v>
      </c>
      <c r="E106" s="2" t="s">
        <v>1293</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c r="F119" s="4" t="s">
        <v>1038</v>
      </c>
      <c r="G119" s="4"/>
    </row>
    <row r="120" spans="2:16">
      <c r="F120" s="99" t="s">
        <v>1292</v>
      </c>
      <c r="G120" s="99"/>
    </row>
    <row r="121" spans="2:16">
      <c r="G121" s="99"/>
    </row>
    <row r="122" spans="2:16">
      <c r="E122" s="4" t="s">
        <v>771</v>
      </c>
      <c r="F122" s="98" t="s">
        <v>378</v>
      </c>
    </row>
    <row r="123" spans="2:16">
      <c r="E123" s="4"/>
      <c r="F123" s="4" t="s">
        <v>1030</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941</v>
      </c>
      <c r="F127" s="4"/>
    </row>
    <row r="128" spans="2:16"/>
    <row r="129" spans="4:37">
      <c r="D129" s="2" t="s">
        <v>341</v>
      </c>
      <c r="E129" s="2" t="s">
        <v>584</v>
      </c>
    </row>
    <row r="130" spans="4:37">
      <c r="E130" s="4" t="s">
        <v>941</v>
      </c>
      <c r="F130" s="4"/>
    </row>
    <row r="131" spans="4:37"/>
    <row r="132" spans="4:37">
      <c r="D132" s="2" t="s">
        <v>581</v>
      </c>
      <c r="E132" s="2" t="s">
        <v>732</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1318</v>
      </c>
      <c r="F138" s="4"/>
    </row>
    <row r="139" spans="4:37">
      <c r="F139" s="4"/>
    </row>
    <row r="140" spans="4:37">
      <c r="D140" s="2" t="s">
        <v>303</v>
      </c>
      <c r="E140" s="2" t="s">
        <v>2354</v>
      </c>
      <c r="F140" s="2"/>
      <c r="G140" s="2"/>
      <c r="H140" s="2"/>
    </row>
    <row r="141" spans="4:37">
      <c r="E141" t="s">
        <v>112</v>
      </c>
      <c r="F141" t="s">
        <v>52</v>
      </c>
    </row>
    <row r="142" spans="4:37">
      <c r="E142" t="s">
        <v>113</v>
      </c>
      <c r="F142" t="s">
        <v>473</v>
      </c>
    </row>
    <row r="143" spans="4:37"/>
    <row r="144" spans="4:37">
      <c r="D144" s="2" t="s">
        <v>429</v>
      </c>
      <c r="E144" s="2" t="s">
        <v>2355</v>
      </c>
    </row>
    <row r="145" spans="3:7">
      <c r="E145" s="218" t="s">
        <v>2356</v>
      </c>
      <c r="F145" s="218"/>
    </row>
    <row r="146" spans="3:7"/>
    <row r="147" spans="3:7">
      <c r="C147" s="2" t="s">
        <v>6</v>
      </c>
      <c r="G147" s="2" t="s">
        <v>380</v>
      </c>
    </row>
    <row r="148" spans="3:7">
      <c r="D148" s="2" t="s">
        <v>207</v>
      </c>
      <c r="E148" s="2" t="s">
        <v>135</v>
      </c>
    </row>
    <row r="149" spans="3:7">
      <c r="E149" t="s">
        <v>805</v>
      </c>
    </row>
    <row r="150" spans="3:7"/>
    <row r="151" spans="3:7">
      <c r="D151" s="2" t="s">
        <v>341</v>
      </c>
      <c r="E151" s="2" t="s">
        <v>531</v>
      </c>
      <c r="F151" s="2"/>
    </row>
    <row r="152" spans="3:7">
      <c r="E152" s="4" t="s">
        <v>943</v>
      </c>
      <c r="F152" s="4"/>
    </row>
    <row r="153" spans="3:7"/>
    <row r="154" spans="3:7">
      <c r="D154" s="2" t="s">
        <v>581</v>
      </c>
      <c r="E154" s="2" t="s">
        <v>560</v>
      </c>
    </row>
    <row r="155" spans="3:7">
      <c r="E155" s="4" t="s">
        <v>944</v>
      </c>
    </row>
    <row r="156" spans="3:7">
      <c r="E156" s="4" t="s">
        <v>942</v>
      </c>
      <c r="G156" s="4"/>
    </row>
    <row r="157" spans="3:7"/>
    <row r="158" spans="3:7">
      <c r="D158" s="2" t="s">
        <v>521</v>
      </c>
      <c r="E158" s="2" t="s">
        <v>540</v>
      </c>
    </row>
    <row r="159" spans="3:7">
      <c r="E159" t="s">
        <v>112</v>
      </c>
      <c r="F159" s="4" t="s">
        <v>945</v>
      </c>
    </row>
    <row r="160" spans="3:7">
      <c r="E160" s="4" t="s">
        <v>113</v>
      </c>
      <c r="F160" s="4" t="s">
        <v>946</v>
      </c>
    </row>
    <row r="161" spans="3:20">
      <c r="E161" s="4" t="s">
        <v>119</v>
      </c>
      <c r="F161" t="s">
        <v>733</v>
      </c>
    </row>
    <row r="162" spans="3:20"/>
    <row r="163" spans="3:20">
      <c r="D163" s="2" t="s">
        <v>303</v>
      </c>
      <c r="E163" s="2" t="s">
        <v>381</v>
      </c>
    </row>
    <row r="164" spans="3:20">
      <c r="E164" s="4" t="s">
        <v>947</v>
      </c>
      <c r="F164" s="4"/>
    </row>
    <row r="165" spans="3:20"/>
    <row r="166" spans="3:20">
      <c r="D166" s="2" t="s">
        <v>429</v>
      </c>
      <c r="E166" s="2" t="s">
        <v>171</v>
      </c>
    </row>
    <row r="167" spans="3:20">
      <c r="E167" s="4" t="s">
        <v>949</v>
      </c>
    </row>
    <row r="168" spans="3:20">
      <c r="E168" s="4" t="s">
        <v>948</v>
      </c>
    </row>
    <row r="169" spans="3:20"/>
    <row r="170" spans="3:20">
      <c r="D170" s="2" t="s">
        <v>564</v>
      </c>
      <c r="E170" s="2" t="s">
        <v>629</v>
      </c>
    </row>
    <row r="171" spans="3:20">
      <c r="E171" t="s">
        <v>112</v>
      </c>
      <c r="F171" t="s">
        <v>734</v>
      </c>
    </row>
    <row r="172" spans="3:20">
      <c r="E172" t="s">
        <v>113</v>
      </c>
      <c r="F172" t="s">
        <v>297</v>
      </c>
    </row>
    <row r="173" spans="3:20">
      <c r="F173" s="4"/>
    </row>
    <row r="174" spans="3:20">
      <c r="C174" s="2" t="s">
        <v>7</v>
      </c>
      <c r="E174" s="4"/>
      <c r="G174" s="2" t="s">
        <v>382</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950</v>
      </c>
    </row>
    <row r="180" spans="2:19">
      <c r="F180" s="120" t="s">
        <v>1249</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341</v>
      </c>
      <c r="E185" s="2" t="s">
        <v>1031</v>
      </c>
    </row>
    <row r="186" spans="2:19">
      <c r="B186" s="4"/>
      <c r="C186" s="4"/>
      <c r="E186" s="4" t="s">
        <v>717</v>
      </c>
      <c r="F186" s="4"/>
      <c r="I186" s="4"/>
    </row>
    <row r="187" spans="2:19">
      <c r="B187" s="4"/>
      <c r="C187" s="4"/>
      <c r="E187" s="4" t="s">
        <v>1029</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1039</v>
      </c>
      <c r="G193" s="4"/>
      <c r="H193" s="4"/>
      <c r="I193" s="4"/>
    </row>
    <row r="194" spans="2:37">
      <c r="B194" s="4"/>
      <c r="C194" s="2"/>
      <c r="F194" s="4" t="s">
        <v>660</v>
      </c>
      <c r="G194" s="3" t="s">
        <v>1312</v>
      </c>
    </row>
    <row r="195" spans="2:37">
      <c r="B195" s="4"/>
      <c r="C195" s="4"/>
      <c r="F195" s="4" t="s">
        <v>348</v>
      </c>
      <c r="G195" s="3" t="s">
        <v>1313</v>
      </c>
      <c r="I195" s="4"/>
      <c r="J195" s="4"/>
      <c r="M195" s="4"/>
      <c r="N195" s="4"/>
      <c r="O195" s="4"/>
      <c r="P195" s="4"/>
      <c r="Q195" s="4"/>
      <c r="R195" s="4"/>
      <c r="S195" s="4"/>
    </row>
    <row r="196" spans="2:37">
      <c r="B196" s="4"/>
      <c r="C196" s="4"/>
      <c r="F196" s="4" t="s">
        <v>349</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588</v>
      </c>
      <c r="F206" s="4" t="s">
        <v>955</v>
      </c>
      <c r="M206" s="4"/>
      <c r="N206" s="4"/>
      <c r="O206" s="4"/>
      <c r="P206" s="4"/>
      <c r="Q206" s="4"/>
      <c r="R206" s="4"/>
      <c r="S206" s="4"/>
    </row>
    <row r="207" spans="2:37">
      <c r="B207" s="4"/>
      <c r="C207" s="4"/>
      <c r="D207" s="2"/>
      <c r="F207" t="s">
        <v>660</v>
      </c>
      <c r="G207" s="1265" t="s">
        <v>1281</v>
      </c>
      <c r="H207" s="1265"/>
      <c r="I207" s="1265"/>
      <c r="J207" s="1265"/>
      <c r="K207" s="1265"/>
      <c r="L207" s="1265"/>
      <c r="M207" s="1265"/>
      <c r="N207" s="1265"/>
      <c r="O207" s="1265"/>
      <c r="P207" s="1265"/>
      <c r="Q207" s="1265"/>
      <c r="R207" s="1265"/>
      <c r="S207" s="1265"/>
      <c r="T207" s="1265"/>
      <c r="U207" s="1265"/>
      <c r="V207" s="1265"/>
      <c r="W207" s="1265"/>
      <c r="X207" s="1265"/>
      <c r="Y207" s="1265"/>
      <c r="Z207" s="1265"/>
      <c r="AA207" s="1265"/>
      <c r="AB207" s="1265"/>
      <c r="AC207" s="1265"/>
      <c r="AD207" s="1265"/>
      <c r="AE207" s="1265"/>
      <c r="AF207" s="1265"/>
      <c r="AG207" s="1265"/>
      <c r="AH207" s="1265"/>
      <c r="AI207" s="1265"/>
      <c r="AJ207" s="1265"/>
      <c r="AK207" s="1265"/>
    </row>
    <row r="208" spans="2:37">
      <c r="B208" s="4"/>
      <c r="C208" s="4"/>
      <c r="D208" s="2"/>
      <c r="G208" s="1265"/>
      <c r="H208" s="1265"/>
      <c r="I208" s="1265"/>
      <c r="J208" s="1265"/>
      <c r="K208" s="1265"/>
      <c r="L208" s="1265"/>
      <c r="M208" s="1265"/>
      <c r="N208" s="1265"/>
      <c r="O208" s="1265"/>
      <c r="P208" s="1265"/>
      <c r="Q208" s="1265"/>
      <c r="R208" s="1265"/>
      <c r="S208" s="1265"/>
      <c r="T208" s="1265"/>
      <c r="U208" s="1265"/>
      <c r="V208" s="1265"/>
      <c r="W208" s="1265"/>
      <c r="X208" s="1265"/>
      <c r="Y208" s="1265"/>
      <c r="Z208" s="1265"/>
      <c r="AA208" s="1265"/>
      <c r="AB208" s="1265"/>
      <c r="AC208" s="1265"/>
      <c r="AD208" s="1265"/>
      <c r="AE208" s="1265"/>
      <c r="AF208" s="1265"/>
      <c r="AG208" s="1265"/>
      <c r="AH208" s="1265"/>
      <c r="AI208" s="1265"/>
      <c r="AJ208" s="1265"/>
      <c r="AK208" s="1265"/>
    </row>
    <row r="209" spans="1:38">
      <c r="B209" s="4"/>
      <c r="C209" s="4"/>
      <c r="D209" s="2"/>
      <c r="M209" s="4"/>
      <c r="N209" s="4"/>
      <c r="O209" s="4"/>
      <c r="P209" s="4"/>
      <c r="Q209" s="4"/>
      <c r="R209" s="4"/>
      <c r="S209" s="4"/>
    </row>
    <row r="210" spans="1:38">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348</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348</v>
      </c>
      <c r="G244" s="136" t="s">
        <v>961</v>
      </c>
      <c r="I244" s="4"/>
      <c r="M244" s="4"/>
      <c r="N244" s="4"/>
      <c r="O244" s="4"/>
      <c r="P244" s="4"/>
      <c r="Q244" s="4"/>
      <c r="R244" s="4"/>
      <c r="S244" s="4"/>
    </row>
    <row r="245" spans="2:21">
      <c r="B245" s="4"/>
      <c r="C245" s="4"/>
      <c r="F245" s="4" t="s">
        <v>349</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660</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348</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588</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660</v>
      </c>
      <c r="G293" s="4" t="s">
        <v>260</v>
      </c>
      <c r="K293" s="4"/>
      <c r="L293" s="4"/>
      <c r="M293" s="4"/>
      <c r="N293" s="4"/>
      <c r="O293" s="4"/>
      <c r="P293" s="4"/>
      <c r="Q293" s="4"/>
      <c r="R293" s="4"/>
      <c r="S293" s="4"/>
      <c r="T293" s="4"/>
      <c r="U293" s="4"/>
      <c r="V293" s="4"/>
      <c r="W293" s="4"/>
    </row>
    <row r="294" spans="2:23">
      <c r="B294" s="2"/>
      <c r="D294" s="4"/>
      <c r="E294" s="4"/>
      <c r="F294" s="4" t="s">
        <v>348</v>
      </c>
      <c r="G294" s="4" t="s">
        <v>958</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341</v>
      </c>
      <c r="E316" s="2" t="s">
        <v>759</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5" t="s">
        <v>1256</v>
      </c>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c r="B339" s="2"/>
      <c r="E339" s="4"/>
      <c r="F339" s="1265"/>
      <c r="G339" s="1265"/>
      <c r="H339" s="1265"/>
      <c r="I339" s="1265"/>
      <c r="J339" s="1265"/>
      <c r="K339" s="1265"/>
      <c r="L339" s="1265"/>
      <c r="M339" s="1265"/>
      <c r="N339" s="1265"/>
      <c r="O339" s="1265"/>
      <c r="P339" s="1265"/>
      <c r="Q339" s="1265"/>
      <c r="R339" s="1265"/>
      <c r="S339" s="1265"/>
      <c r="T339" s="1265"/>
      <c r="U339" s="1265"/>
      <c r="V339" s="1265"/>
      <c r="W339" s="1265"/>
      <c r="X339" s="1265"/>
      <c r="Y339" s="1265"/>
      <c r="Z339" s="1265"/>
      <c r="AA339" s="1265"/>
      <c r="AB339" s="1265"/>
      <c r="AC339" s="1265"/>
      <c r="AD339" s="1265"/>
      <c r="AE339" s="1265"/>
      <c r="AF339" s="1265"/>
      <c r="AG339" s="1265"/>
      <c r="AH339" s="1265"/>
      <c r="AI339" s="1265"/>
      <c r="AJ339" s="1265"/>
      <c r="AK339" s="1265"/>
    </row>
    <row r="340" spans="2:37">
      <c r="B340" s="2"/>
      <c r="E340" s="4"/>
      <c r="F340" s="1265"/>
      <c r="G340" s="1265"/>
      <c r="H340" s="1265"/>
      <c r="I340" s="1265"/>
      <c r="J340" s="1265"/>
      <c r="K340" s="1265"/>
      <c r="L340" s="1265"/>
      <c r="M340" s="1265"/>
      <c r="N340" s="1265"/>
      <c r="O340" s="1265"/>
      <c r="P340" s="1265"/>
      <c r="Q340" s="1265"/>
      <c r="R340" s="1265"/>
      <c r="S340" s="1265"/>
      <c r="T340" s="1265"/>
      <c r="U340" s="1265"/>
      <c r="V340" s="1265"/>
      <c r="W340" s="1265"/>
      <c r="X340" s="1265"/>
      <c r="Y340" s="1265"/>
      <c r="Z340" s="1265"/>
      <c r="AA340" s="1265"/>
      <c r="AB340" s="1265"/>
      <c r="AC340" s="1265"/>
      <c r="AD340" s="1265"/>
      <c r="AE340" s="1265"/>
      <c r="AF340" s="1265"/>
      <c r="AG340" s="1265"/>
      <c r="AH340" s="1265"/>
      <c r="AI340" s="1265"/>
      <c r="AJ340" s="1265"/>
      <c r="AK340" s="1265"/>
    </row>
    <row r="341" spans="2:37">
      <c r="B341" s="2"/>
      <c r="F341" s="4"/>
      <c r="H341" s="4"/>
      <c r="I341" s="4"/>
      <c r="J341" s="4"/>
      <c r="K341" s="4"/>
      <c r="L341" s="4"/>
      <c r="M341" s="4"/>
      <c r="N341" s="4"/>
      <c r="O341" s="4"/>
      <c r="P341" s="4"/>
      <c r="Q341" s="4"/>
      <c r="R341" s="4"/>
      <c r="S341" s="4"/>
    </row>
    <row r="342" spans="2:37">
      <c r="B342" s="2"/>
      <c r="C342" s="2" t="s">
        <v>431</v>
      </c>
      <c r="G342" s="2" t="s">
        <v>1334</v>
      </c>
      <c r="I342" s="2"/>
      <c r="J342" s="4"/>
      <c r="K342" s="4"/>
      <c r="L342" s="4"/>
      <c r="M342" s="4"/>
      <c r="N342" s="4"/>
      <c r="O342" s="4"/>
      <c r="P342" s="4"/>
      <c r="Q342" s="4"/>
      <c r="R342" s="4"/>
      <c r="S342" s="4"/>
    </row>
    <row r="343" spans="2:37" ht="13.2" customHeight="1">
      <c r="B343" s="2"/>
      <c r="E343" s="1270" t="s">
        <v>1341</v>
      </c>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c r="B346" s="2"/>
      <c r="E346" s="1270"/>
      <c r="F346" s="1270"/>
      <c r="G346" s="1270"/>
      <c r="H346" s="1270"/>
      <c r="I346" s="1270"/>
      <c r="J346" s="1270"/>
      <c r="K346" s="1270"/>
      <c r="L346" s="1270"/>
      <c r="M346" s="1270"/>
      <c r="N346" s="1270"/>
      <c r="O346" s="1270"/>
      <c r="P346" s="1270"/>
      <c r="Q346" s="1270"/>
      <c r="R346" s="1270"/>
      <c r="S346" s="1270"/>
      <c r="T346" s="1270"/>
      <c r="U346" s="1270"/>
      <c r="V346" s="1270"/>
      <c r="W346" s="1270"/>
      <c r="X346" s="1270"/>
      <c r="Y346" s="1270"/>
      <c r="Z346" s="1270"/>
      <c r="AA346" s="1270"/>
      <c r="AB346" s="1270"/>
      <c r="AC346" s="1270"/>
      <c r="AD346" s="1270"/>
      <c r="AE346" s="1270"/>
      <c r="AF346" s="1270"/>
      <c r="AG346" s="1270"/>
      <c r="AH346" s="1270"/>
      <c r="AI346" s="1270"/>
      <c r="AJ346" s="1270"/>
      <c r="AK346" s="1270"/>
    </row>
    <row r="347" spans="2:37">
      <c r="B347" s="2"/>
      <c r="E347" s="1270"/>
      <c r="F347" s="1270"/>
      <c r="G347" s="1270"/>
      <c r="H347" s="1270"/>
      <c r="I347" s="1270"/>
      <c r="J347" s="1270"/>
      <c r="K347" s="1270"/>
      <c r="L347" s="1270"/>
      <c r="M347" s="1270"/>
      <c r="N347" s="1270"/>
      <c r="O347" s="1270"/>
      <c r="P347" s="1270"/>
      <c r="Q347" s="1270"/>
      <c r="R347" s="1270"/>
      <c r="S347" s="1270"/>
      <c r="T347" s="1270"/>
      <c r="U347" s="1270"/>
      <c r="V347" s="1270"/>
      <c r="W347" s="1270"/>
      <c r="X347" s="1270"/>
      <c r="Y347" s="1270"/>
      <c r="Z347" s="1270"/>
      <c r="AA347" s="1270"/>
      <c r="AB347" s="1270"/>
      <c r="AC347" s="1270"/>
      <c r="AD347" s="1270"/>
      <c r="AE347" s="1270"/>
      <c r="AF347" s="1270"/>
      <c r="AG347" s="1270"/>
      <c r="AH347" s="1270"/>
      <c r="AI347" s="1270"/>
      <c r="AJ347" s="1270"/>
      <c r="AK347" s="1270"/>
    </row>
    <row r="348" spans="2:37">
      <c r="B348" s="2"/>
      <c r="E348" s="3" t="s">
        <v>112</v>
      </c>
      <c r="F348" s="1265" t="s">
        <v>1343</v>
      </c>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c r="B350" s="2"/>
      <c r="E350" s="3"/>
      <c r="F350" s="1265"/>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c r="B351" s="2"/>
      <c r="E351" s="3"/>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c r="B352" s="2"/>
      <c r="E352" s="3" t="s">
        <v>113</v>
      </c>
      <c r="F352" s="1265" t="s">
        <v>1342</v>
      </c>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c r="B353" s="2"/>
      <c r="F353" s="1265"/>
      <c r="G353" s="1265"/>
      <c r="H353" s="1265"/>
      <c r="I353" s="1265"/>
      <c r="J353" s="1265"/>
      <c r="K353" s="1265"/>
      <c r="L353" s="1265"/>
      <c r="M353" s="1265"/>
      <c r="N353" s="1265"/>
      <c r="O353" s="1265"/>
      <c r="P353" s="1265"/>
      <c r="Q353" s="1265"/>
      <c r="R353" s="1265"/>
      <c r="S353" s="1265"/>
      <c r="T353" s="1265"/>
      <c r="U353" s="1265"/>
      <c r="V353" s="1265"/>
      <c r="W353" s="1265"/>
      <c r="X353" s="1265"/>
      <c r="Y353" s="1265"/>
      <c r="Z353" s="1265"/>
      <c r="AA353" s="1265"/>
      <c r="AB353" s="1265"/>
      <c r="AC353" s="1265"/>
      <c r="AD353" s="1265"/>
      <c r="AE353" s="1265"/>
      <c r="AF353" s="1265"/>
      <c r="AG353" s="1265"/>
      <c r="AH353" s="1265"/>
      <c r="AI353" s="1265"/>
      <c r="AJ353" s="1265"/>
      <c r="AK353" s="1265"/>
    </row>
    <row r="354" spans="1:38">
      <c r="B354" s="2"/>
      <c r="F354" s="1265"/>
      <c r="G354" s="1265"/>
      <c r="H354" s="1265"/>
      <c r="I354" s="1265"/>
      <c r="J354" s="1265"/>
      <c r="K354" s="1265"/>
      <c r="L354" s="1265"/>
      <c r="M354" s="1265"/>
      <c r="N354" s="1265"/>
      <c r="O354" s="1265"/>
      <c r="P354" s="1265"/>
      <c r="Q354" s="1265"/>
      <c r="R354" s="1265"/>
      <c r="S354" s="1265"/>
      <c r="T354" s="1265"/>
      <c r="U354" s="1265"/>
      <c r="V354" s="1265"/>
      <c r="W354" s="1265"/>
      <c r="X354" s="1265"/>
      <c r="Y354" s="1265"/>
      <c r="Z354" s="1265"/>
      <c r="AA354" s="1265"/>
      <c r="AB354" s="1265"/>
      <c r="AC354" s="1265"/>
      <c r="AD354" s="1265"/>
      <c r="AE354" s="1265"/>
      <c r="AF354" s="1265"/>
      <c r="AG354" s="1265"/>
      <c r="AH354" s="1265"/>
      <c r="AI354" s="1265"/>
      <c r="AJ354" s="1265"/>
      <c r="AK354" s="1265"/>
    </row>
    <row r="355" spans="1:38">
      <c r="B355" s="2"/>
      <c r="F355" s="4"/>
      <c r="H355" s="4"/>
      <c r="I355" s="4"/>
      <c r="J355" s="4"/>
      <c r="K355" s="4"/>
      <c r="L355" s="4"/>
      <c r="M355" s="4"/>
      <c r="N355" s="4"/>
      <c r="O355" s="4"/>
      <c r="P355" s="4"/>
      <c r="Q355" s="4"/>
      <c r="R355" s="4"/>
      <c r="S355" s="4"/>
    </row>
    <row r="356" spans="1:38">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73" t="s">
        <v>1332</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4" customFormat="1">
      <c r="A369"/>
      <c r="B369" s="2"/>
      <c r="C369"/>
      <c r="D369"/>
      <c r="E369" s="1271" t="s">
        <v>1366</v>
      </c>
    </row>
    <row r="370" spans="1:37" s="1274"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1367</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5" t="s">
        <v>1377</v>
      </c>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c r="B389" s="2"/>
      <c r="E389" s="3"/>
      <c r="F389" s="1265"/>
      <c r="G389" s="1265"/>
      <c r="H389" s="1265"/>
      <c r="I389" s="1265"/>
      <c r="J389" s="1265"/>
      <c r="K389" s="1265"/>
      <c r="L389" s="1265"/>
      <c r="M389" s="1265"/>
      <c r="N389" s="1265"/>
      <c r="O389" s="1265"/>
      <c r="P389" s="1265"/>
      <c r="Q389" s="1265"/>
      <c r="R389" s="1265"/>
      <c r="S389" s="1265"/>
      <c r="T389" s="1265"/>
      <c r="U389" s="1265"/>
      <c r="V389" s="1265"/>
      <c r="W389" s="1265"/>
      <c r="X389" s="1265"/>
      <c r="Y389" s="1265"/>
      <c r="Z389" s="1265"/>
      <c r="AA389" s="1265"/>
      <c r="AB389" s="1265"/>
      <c r="AC389" s="1265"/>
      <c r="AD389" s="1265"/>
      <c r="AE389" s="1265"/>
      <c r="AF389" s="1265"/>
      <c r="AG389" s="1265"/>
      <c r="AH389" s="1265"/>
      <c r="AI389" s="1265"/>
      <c r="AJ389" s="1265"/>
      <c r="AK389" s="1265"/>
    </row>
    <row r="390" spans="1:38">
      <c r="B390" s="2"/>
      <c r="E390" s="3"/>
      <c r="F390" s="1265"/>
      <c r="G390" s="1265"/>
      <c r="H390" s="1265"/>
      <c r="I390" s="1265"/>
      <c r="J390" s="1265"/>
      <c r="K390" s="1265"/>
      <c r="L390" s="1265"/>
      <c r="M390" s="1265"/>
      <c r="N390" s="1265"/>
      <c r="O390" s="1265"/>
      <c r="P390" s="1265"/>
      <c r="Q390" s="1265"/>
      <c r="R390" s="1265"/>
      <c r="S390" s="1265"/>
      <c r="T390" s="1265"/>
      <c r="U390" s="1265"/>
      <c r="V390" s="1265"/>
      <c r="W390" s="1265"/>
      <c r="X390" s="1265"/>
      <c r="Y390" s="1265"/>
      <c r="Z390" s="1265"/>
      <c r="AA390" s="1265"/>
      <c r="AB390" s="1265"/>
      <c r="AC390" s="1265"/>
      <c r="AD390" s="1265"/>
      <c r="AE390" s="1265"/>
      <c r="AF390" s="1265"/>
      <c r="AG390" s="1265"/>
      <c r="AH390" s="1265"/>
      <c r="AI390" s="1265"/>
      <c r="AJ390" s="1265"/>
      <c r="AK390" s="1265"/>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1383</v>
      </c>
      <c r="F392" s="3"/>
      <c r="G392" s="2"/>
      <c r="I392" s="120"/>
      <c r="J392" s="3"/>
      <c r="K392" s="3"/>
      <c r="L392" s="3"/>
      <c r="M392" s="3"/>
      <c r="N392" s="3"/>
      <c r="O392" s="3"/>
      <c r="P392" s="3"/>
      <c r="Q392" s="3"/>
      <c r="R392" s="3"/>
      <c r="S392" s="3"/>
    </row>
    <row r="393" spans="1:38" ht="13.2"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5" zoomScaleNormal="100" workbookViewId="0">
      <selection activeCell="AP12" sqref="AP12"/>
    </sheetView>
  </sheetViews>
  <sheetFormatPr defaultColWidth="2.6640625" defaultRowHeight="15.75" customHeight="1"/>
  <cols>
    <col min="1" max="13" width="2.6640625" style="1197"/>
    <col min="14" max="14" width="4.6640625" style="1197" customWidth="1"/>
    <col min="15" max="37" width="2.6640625" style="1197"/>
    <col min="38" max="38" width="3" style="1197" customWidth="1"/>
    <col min="39" max="45" width="2.6640625" style="1197"/>
    <col min="46" max="46" width="4.6640625" style="1197" customWidth="1"/>
    <col min="47" max="64" width="2.6640625" style="1197"/>
    <col min="65" max="65" width="10.44140625" style="1197" hidden="1" customWidth="1"/>
    <col min="66" max="70" width="5.5546875" style="1197" bestFit="1" customWidth="1"/>
    <col min="71" max="71" width="6.109375" style="1197" bestFit="1" customWidth="1"/>
    <col min="72" max="76" width="5.5546875" style="1197" bestFit="1" customWidth="1"/>
    <col min="77" max="77" width="6.109375" style="1197" bestFit="1" customWidth="1"/>
    <col min="78" max="78" width="5.5546875" style="1197" bestFit="1" customWidth="1"/>
    <col min="79" max="16384" width="2.6640625" style="1197"/>
  </cols>
  <sheetData>
    <row r="1" spans="1:65" ht="15.75" customHeight="1">
      <c r="A1" s="2572" t="s">
        <v>2411</v>
      </c>
      <c r="B1" s="2573"/>
      <c r="C1" s="2573"/>
      <c r="D1" s="2573"/>
      <c r="E1" s="2573"/>
      <c r="F1" s="2573"/>
      <c r="G1" s="2573"/>
      <c r="H1" s="2573"/>
      <c r="I1" s="2573"/>
      <c r="J1" s="2573"/>
      <c r="K1" s="2573"/>
      <c r="L1" s="2573"/>
      <c r="M1" s="2573"/>
      <c r="N1" s="2573"/>
      <c r="O1" s="2573"/>
      <c r="P1" s="2573"/>
      <c r="Q1" s="2573"/>
      <c r="R1" s="2573"/>
      <c r="S1" s="2573"/>
      <c r="T1" s="2573"/>
      <c r="U1" s="2573"/>
      <c r="V1" s="2573"/>
      <c r="W1" s="2573"/>
      <c r="X1" s="2573"/>
      <c r="Y1" s="2573"/>
      <c r="Z1" s="2573"/>
      <c r="AA1" s="2573"/>
      <c r="AB1" s="2573"/>
      <c r="AC1" s="2573"/>
      <c r="AD1" s="2573"/>
      <c r="AE1" s="2573"/>
      <c r="AF1" s="2573"/>
      <c r="AG1" s="2573"/>
      <c r="AH1" s="2573"/>
      <c r="AI1" s="2573"/>
      <c r="AJ1" s="2573"/>
      <c r="AK1" s="2573"/>
      <c r="AL1" s="2573"/>
      <c r="AM1" s="2573"/>
      <c r="AN1" s="2573"/>
      <c r="AO1" s="2573"/>
      <c r="AP1" s="2573"/>
      <c r="AQ1" s="2573"/>
      <c r="AR1" s="2573"/>
      <c r="AS1" s="2573"/>
      <c r="AT1" s="2573"/>
      <c r="AU1" s="2573"/>
      <c r="AV1" s="2573"/>
      <c r="AW1" s="2573"/>
      <c r="AX1" s="2573"/>
      <c r="AY1" s="2573"/>
      <c r="AZ1" s="2573"/>
      <c r="BA1" s="2573"/>
      <c r="BB1" s="2573"/>
      <c r="BC1" s="2573"/>
      <c r="BD1" s="2573"/>
      <c r="BE1" s="2574"/>
    </row>
    <row r="2" spans="1:65" ht="15.75" customHeight="1">
      <c r="A2" s="2575" t="s">
        <v>2458</v>
      </c>
      <c r="B2" s="2576"/>
      <c r="C2" s="2576"/>
      <c r="D2" s="2576"/>
      <c r="E2" s="2576"/>
      <c r="F2" s="2576"/>
      <c r="G2" s="2576"/>
      <c r="H2" s="2576"/>
      <c r="I2" s="2576"/>
      <c r="J2" s="2576"/>
      <c r="K2" s="2576"/>
      <c r="L2" s="2576"/>
      <c r="M2" s="2576"/>
      <c r="N2" s="2576"/>
      <c r="O2" s="2576"/>
      <c r="P2" s="2576"/>
      <c r="Q2" s="2576"/>
      <c r="R2" s="2576"/>
      <c r="S2" s="2576"/>
      <c r="T2" s="2576"/>
      <c r="U2" s="2576"/>
      <c r="V2" s="2576"/>
      <c r="W2" s="2576"/>
      <c r="X2" s="2576"/>
      <c r="Y2" s="2576"/>
      <c r="Z2" s="2576"/>
      <c r="AA2" s="2576"/>
      <c r="AB2" s="2576"/>
      <c r="AC2" s="2576"/>
      <c r="AD2" s="2576"/>
      <c r="AE2" s="2576"/>
      <c r="AF2" s="2576"/>
      <c r="AG2" s="2576"/>
      <c r="AH2" s="2576"/>
      <c r="AI2" s="2576"/>
      <c r="AJ2" s="2576"/>
      <c r="AK2" s="2576"/>
      <c r="AL2" s="2576"/>
      <c r="AM2" s="2576"/>
      <c r="AN2" s="2576"/>
      <c r="AO2" s="2576"/>
      <c r="AP2" s="2576"/>
      <c r="AQ2" s="2576"/>
      <c r="AR2" s="2576"/>
      <c r="AS2" s="2576"/>
      <c r="AT2" s="2576"/>
      <c r="AU2" s="2576"/>
      <c r="AV2" s="2576"/>
      <c r="AW2" s="2576"/>
      <c r="AX2" s="2576"/>
      <c r="AY2" s="2576"/>
      <c r="AZ2" s="2576"/>
      <c r="BA2" s="2576"/>
      <c r="BB2" s="2576"/>
      <c r="BC2" s="2576"/>
      <c r="BD2" s="2576"/>
      <c r="BE2" s="2577"/>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578" t="str">
        <f>IF(Application!H18="","",Application!H18)</f>
        <v>300 De Haro</v>
      </c>
      <c r="M4" s="2579"/>
      <c r="N4" s="2579"/>
      <c r="O4" s="2579"/>
      <c r="P4" s="2579"/>
      <c r="Q4" s="2579"/>
      <c r="R4" s="2579"/>
      <c r="S4" s="2579"/>
      <c r="T4" s="2579"/>
      <c r="U4" s="2579"/>
      <c r="V4" s="2579"/>
      <c r="W4" s="2579"/>
      <c r="X4" s="2579"/>
      <c r="Y4" s="2579"/>
      <c r="Z4" s="2579"/>
      <c r="AA4" s="2579"/>
      <c r="AB4" s="2579"/>
      <c r="AC4" s="2580"/>
      <c r="AD4" s="1206"/>
      <c r="AE4" s="1206"/>
      <c r="AF4" s="2225" t="s">
        <v>2459</v>
      </c>
      <c r="AG4" s="2225"/>
      <c r="AH4" s="2225"/>
      <c r="AI4" s="2225"/>
      <c r="AJ4" s="2225"/>
      <c r="AK4" s="2225"/>
      <c r="AL4" s="2225"/>
      <c r="AM4" s="2225"/>
      <c r="AN4" s="2225"/>
      <c r="AO4" s="2225"/>
      <c r="AP4" s="2226"/>
      <c r="AQ4" s="2227"/>
      <c r="AR4" s="2227"/>
      <c r="AS4" s="2227"/>
      <c r="AT4" s="2227"/>
      <c r="AU4" s="2227"/>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5" t="s">
        <v>2460</v>
      </c>
      <c r="AG5" s="2225"/>
      <c r="AH5" s="2225"/>
      <c r="AI5" s="2225"/>
      <c r="AJ5" s="2225"/>
      <c r="AK5" s="2225"/>
      <c r="AL5" s="2225"/>
      <c r="AM5" s="2225"/>
      <c r="AN5" s="2225"/>
      <c r="AO5" s="2225"/>
      <c r="AP5" s="2226"/>
      <c r="AQ5" s="2227"/>
      <c r="AR5" s="2227"/>
      <c r="AS5" s="2227"/>
      <c r="AT5" s="2227"/>
      <c r="AU5" s="2227"/>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78" t="str">
        <f>IF(Application!H16="","",Application!H16)</f>
        <v>De Haro MRK LLC</v>
      </c>
      <c r="M6" s="2579"/>
      <c r="N6" s="2579"/>
      <c r="O6" s="2579"/>
      <c r="P6" s="2579"/>
      <c r="Q6" s="2579"/>
      <c r="R6" s="2579"/>
      <c r="S6" s="2579"/>
      <c r="T6" s="2579"/>
      <c r="U6" s="2579"/>
      <c r="V6" s="2579"/>
      <c r="W6" s="2579"/>
      <c r="X6" s="2579"/>
      <c r="Y6" s="2579"/>
      <c r="Z6" s="2579"/>
      <c r="AA6" s="2579"/>
      <c r="AB6" s="2579"/>
      <c r="AC6" s="2580"/>
      <c r="AD6" s="1206"/>
      <c r="AE6" s="1206"/>
      <c r="AF6" s="2581" t="s">
        <v>2461</v>
      </c>
      <c r="AG6" s="2581"/>
      <c r="AH6" s="2581"/>
      <c r="AI6" s="2581"/>
      <c r="AJ6" s="2581"/>
      <c r="AK6" s="2581"/>
      <c r="AL6" s="2581"/>
      <c r="AM6" s="2581"/>
      <c r="AN6" s="2581"/>
      <c r="AO6" s="2581"/>
      <c r="AP6" s="2571"/>
      <c r="AQ6" s="2571"/>
      <c r="AR6" s="2571"/>
      <c r="AS6" s="2571"/>
      <c r="AT6" s="2571"/>
      <c r="AU6" s="2571"/>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81" t="s">
        <v>2462</v>
      </c>
      <c r="AG7" s="2581"/>
      <c r="AH7" s="2581"/>
      <c r="AI7" s="2581"/>
      <c r="AJ7" s="2581"/>
      <c r="AK7" s="2581"/>
      <c r="AL7" s="2581"/>
      <c r="AM7" s="2581"/>
      <c r="AN7" s="2581"/>
      <c r="AO7" s="2581"/>
      <c r="AP7" s="2571"/>
      <c r="AQ7" s="2571"/>
      <c r="AR7" s="2571"/>
      <c r="AS7" s="2571"/>
      <c r="AT7" s="2571"/>
      <c r="AU7" s="2571"/>
      <c r="AV7" s="1206"/>
      <c r="AW7" s="1206"/>
      <c r="AX7" s="1206"/>
      <c r="AY7" s="1206"/>
      <c r="AZ7" s="1206"/>
      <c r="BA7" s="1206"/>
      <c r="BB7" s="1206"/>
      <c r="BC7" s="1206"/>
      <c r="BD7" s="1206"/>
      <c r="BE7" s="1216"/>
    </row>
    <row r="8" spans="1:65" ht="1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82" t="str">
        <f>Application!T197</f>
        <v>No</v>
      </c>
      <c r="AC8" s="2583"/>
      <c r="AD8" s="2584"/>
      <c r="AE8" s="1206"/>
      <c r="AF8" s="2581" t="s">
        <v>2463</v>
      </c>
      <c r="AG8" s="2581"/>
      <c r="AH8" s="2581"/>
      <c r="AI8" s="2581"/>
      <c r="AJ8" s="2581"/>
      <c r="AK8" s="2581"/>
      <c r="AL8" s="2581"/>
      <c r="AM8" s="2581"/>
      <c r="AN8" s="2581"/>
      <c r="AO8" s="2581"/>
      <c r="AP8" s="2571"/>
      <c r="AQ8" s="2571"/>
      <c r="AR8" s="2571"/>
      <c r="AS8" s="2571"/>
      <c r="AT8" s="2571"/>
      <c r="AU8" s="2571"/>
      <c r="AV8" s="1206"/>
      <c r="AW8" s="1206"/>
      <c r="AX8" s="1206"/>
      <c r="AY8" s="1206"/>
      <c r="AZ8" s="1206"/>
      <c r="BA8" s="1206"/>
      <c r="BB8" s="1206"/>
      <c r="BC8" s="1206"/>
      <c r="BD8" s="1206"/>
      <c r="BE8" s="1216"/>
      <c r="BM8" s="1197" t="s">
        <v>2291</v>
      </c>
    </row>
    <row r="9" spans="1:65" ht="14.4">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5" t="s">
        <v>2621</v>
      </c>
      <c r="AG9" s="2225"/>
      <c r="AH9" s="2225"/>
      <c r="AI9" s="2225"/>
      <c r="AJ9" s="2225"/>
      <c r="AK9" s="2225"/>
      <c r="AL9" s="2225"/>
      <c r="AM9" s="2225"/>
      <c r="AN9" s="2225"/>
      <c r="AO9" s="2225"/>
      <c r="AP9" s="2226"/>
      <c r="AQ9" s="2227"/>
      <c r="AR9" s="2227"/>
      <c r="AS9" s="2227"/>
      <c r="AT9" s="2227"/>
      <c r="AU9" s="2227"/>
      <c r="AV9" s="1206"/>
      <c r="AW9" s="1206"/>
      <c r="AX9" s="1206"/>
      <c r="AY9" s="1206"/>
      <c r="AZ9" s="1206"/>
      <c r="BA9" s="1206"/>
      <c r="BB9" s="1206"/>
      <c r="BC9" s="1206"/>
      <c r="BD9" s="1206"/>
      <c r="BE9" s="1216"/>
      <c r="BM9" s="1197" t="s">
        <v>2464</v>
      </c>
    </row>
    <row r="10" spans="1:65" ht="14.4">
      <c r="A10" s="1212"/>
      <c r="B10" s="1214" t="s">
        <v>1790</v>
      </c>
      <c r="C10" s="1214"/>
      <c r="D10" s="1214"/>
      <c r="E10" s="1214"/>
      <c r="F10" s="1214"/>
      <c r="G10" s="1214"/>
      <c r="H10" s="1214"/>
      <c r="I10" s="1214"/>
      <c r="J10" s="1214"/>
      <c r="K10" s="1214"/>
      <c r="L10" s="1214"/>
      <c r="M10" s="1206"/>
      <c r="N10" s="2553">
        <f>Application!AO627</f>
        <v>94082805</v>
      </c>
      <c r="O10" s="2553"/>
      <c r="P10" s="2553"/>
      <c r="Q10" s="2553"/>
      <c r="R10" s="2553"/>
      <c r="S10" s="2553"/>
      <c r="T10" s="2553"/>
      <c r="U10" s="1206"/>
      <c r="V10" s="1206"/>
      <c r="W10" s="1206"/>
      <c r="X10" s="1255"/>
      <c r="Y10" s="1255"/>
      <c r="Z10" s="1255"/>
      <c r="AA10" s="1255"/>
      <c r="AB10" s="1255"/>
      <c r="AC10" s="1255"/>
      <c r="AD10" s="1255"/>
      <c r="AE10" s="1255"/>
      <c r="AF10" s="2225" t="s">
        <v>2620</v>
      </c>
      <c r="AG10" s="2225"/>
      <c r="AH10" s="2225"/>
      <c r="AI10" s="2225"/>
      <c r="AJ10" s="2225"/>
      <c r="AK10" s="2225"/>
      <c r="AL10" s="2225"/>
      <c r="AM10" s="2225"/>
      <c r="AN10" s="2225"/>
      <c r="AO10" s="2225"/>
      <c r="AP10" s="2226"/>
      <c r="AQ10" s="2227"/>
      <c r="AR10" s="2227"/>
      <c r="AS10" s="2227"/>
      <c r="AT10" s="2227"/>
      <c r="AU10" s="2227"/>
      <c r="AV10" s="1255"/>
      <c r="AW10" s="1255"/>
      <c r="AX10" s="1206"/>
      <c r="AY10" s="1206"/>
      <c r="AZ10" s="1206"/>
      <c r="BA10" s="1206"/>
      <c r="BB10" s="1206"/>
      <c r="BC10" s="1206"/>
      <c r="BD10" s="1206"/>
      <c r="BE10" s="1216"/>
      <c r="BM10" s="1197" t="s">
        <v>2466</v>
      </c>
    </row>
    <row r="11" spans="1:65" ht="14.4">
      <c r="A11" s="1212"/>
      <c r="B11" s="1214" t="s">
        <v>1791</v>
      </c>
      <c r="C11" s="1214"/>
      <c r="D11" s="1214"/>
      <c r="E11" s="1214"/>
      <c r="F11" s="1214"/>
      <c r="G11" s="1214"/>
      <c r="H11" s="1214"/>
      <c r="I11" s="1214"/>
      <c r="J11" s="1214"/>
      <c r="K11" s="1214"/>
      <c r="L11" s="1214"/>
      <c r="M11" s="1206"/>
      <c r="N11" s="2553">
        <f>Application!AA933</f>
        <v>0</v>
      </c>
      <c r="O11" s="2553"/>
      <c r="P11" s="2553"/>
      <c r="Q11" s="2553"/>
      <c r="R11" s="2553"/>
      <c r="S11" s="2553"/>
      <c r="T11" s="2553"/>
      <c r="U11" s="1206"/>
      <c r="V11" s="1206"/>
      <c r="W11" s="1206"/>
      <c r="X11" s="1255"/>
      <c r="Y11" s="1255"/>
      <c r="Z11" s="1255"/>
      <c r="AA11" s="1255"/>
      <c r="AB11" s="1255"/>
      <c r="AC11" s="1255"/>
      <c r="AD11" s="1255"/>
      <c r="AE11" s="1255"/>
      <c r="AF11" s="2225" t="s">
        <v>2619</v>
      </c>
      <c r="AG11" s="2225"/>
      <c r="AH11" s="2225"/>
      <c r="AI11" s="2225"/>
      <c r="AJ11" s="2225"/>
      <c r="AK11" s="2225"/>
      <c r="AL11" s="2225"/>
      <c r="AM11" s="2225"/>
      <c r="AN11" s="2225"/>
      <c r="AO11" s="2225"/>
      <c r="AP11" s="2226"/>
      <c r="AQ11" s="2227"/>
      <c r="AR11" s="2227"/>
      <c r="AS11" s="2227"/>
      <c r="AT11" s="2227"/>
      <c r="AU11" s="2227"/>
      <c r="AV11" s="1255"/>
      <c r="AW11" s="1255"/>
      <c r="AX11" s="1206"/>
      <c r="AY11" s="1206"/>
      <c r="AZ11" s="1206"/>
      <c r="BA11" s="1206"/>
      <c r="BB11" s="1206"/>
      <c r="BC11" s="1206"/>
      <c r="BD11" s="1206"/>
      <c r="BE11" s="1216"/>
      <c r="BM11" s="1197" t="s">
        <v>2415</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ht="15" thickBot="1">
      <c r="A13" s="1206"/>
      <c r="B13" s="2560" t="s">
        <v>1792</v>
      </c>
      <c r="C13" s="2561"/>
      <c r="D13" s="2561"/>
      <c r="E13" s="2561"/>
      <c r="F13" s="2561"/>
      <c r="G13" s="2561"/>
      <c r="H13" s="2561"/>
      <c r="I13" s="2561"/>
      <c r="J13" s="2561"/>
      <c r="K13" s="2561"/>
      <c r="L13" s="2561"/>
      <c r="M13" s="2561"/>
      <c r="N13" s="2561"/>
      <c r="O13" s="2561"/>
      <c r="P13" s="2562"/>
      <c r="Q13" s="2563" t="s">
        <v>552</v>
      </c>
      <c r="R13" s="2564"/>
      <c r="S13" s="2564"/>
      <c r="T13" s="2565"/>
      <c r="U13" s="1255"/>
      <c r="V13" s="1206"/>
      <c r="W13" s="1206"/>
      <c r="X13" s="1206"/>
      <c r="Y13" s="1206"/>
      <c r="Z13" s="1206"/>
      <c r="AA13" s="2554" t="s">
        <v>2465</v>
      </c>
      <c r="AB13" s="2554"/>
      <c r="AC13" s="2554"/>
      <c r="AD13" s="2554"/>
      <c r="AE13" s="2554"/>
      <c r="AF13" s="2554"/>
      <c r="AG13" s="2554"/>
      <c r="AH13" s="2554"/>
      <c r="AI13" s="2554"/>
      <c r="AJ13" s="2554"/>
      <c r="AK13" s="2554"/>
      <c r="AL13" s="2554"/>
      <c r="AM13" s="2554"/>
      <c r="AN13" s="2554"/>
      <c r="AO13" s="2555">
        <f>Application!W473</f>
        <v>0</v>
      </c>
      <c r="AP13" s="2556"/>
      <c r="AQ13" s="2556"/>
      <c r="AR13" s="2556"/>
      <c r="AS13" s="2556"/>
      <c r="AT13" s="1255"/>
      <c r="AU13" s="1255"/>
      <c r="AV13" s="1255"/>
      <c r="AW13" s="1255"/>
      <c r="AX13" s="1255"/>
      <c r="AY13" s="1255"/>
      <c r="AZ13" s="1255"/>
      <c r="BA13" s="1255"/>
      <c r="BB13" s="1255"/>
      <c r="BC13" s="1255"/>
      <c r="BD13" s="1255"/>
      <c r="BE13" s="1202"/>
      <c r="BM13" s="1197" t="s">
        <v>2470</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7" t="s">
        <v>2467</v>
      </c>
      <c r="AB14" s="2557"/>
      <c r="AC14" s="2557"/>
      <c r="AD14" s="2557"/>
      <c r="AE14" s="2557"/>
      <c r="AF14" s="2557"/>
      <c r="AG14" s="2557"/>
      <c r="AH14" s="2557"/>
      <c r="AI14" s="2557"/>
      <c r="AJ14" s="2557"/>
      <c r="AK14" s="2557"/>
      <c r="AL14" s="2557"/>
      <c r="AM14" s="2557"/>
      <c r="AN14" s="2557"/>
      <c r="AO14" s="2558"/>
      <c r="AP14" s="2559"/>
      <c r="AQ14" s="2559"/>
      <c r="AR14" s="2559"/>
      <c r="AS14" s="2559"/>
      <c r="AT14" s="1255"/>
      <c r="AU14" s="1255"/>
      <c r="AV14" s="1255"/>
      <c r="AW14" s="1255"/>
      <c r="AX14" s="1255"/>
      <c r="AY14" s="1255"/>
      <c r="AZ14" s="1255"/>
      <c r="BA14" s="1255"/>
      <c r="BB14" s="1255"/>
      <c r="BC14" s="1255"/>
      <c r="BD14" s="1255"/>
      <c r="BE14" s="1202"/>
    </row>
    <row r="15" spans="1:65" ht="15" thickBot="1">
      <c r="A15" s="1206"/>
      <c r="B15" s="2566" t="s">
        <v>1793</v>
      </c>
      <c r="C15" s="2567"/>
      <c r="D15" s="2567"/>
      <c r="E15" s="2567"/>
      <c r="F15" s="2567"/>
      <c r="G15" s="2567"/>
      <c r="H15" s="2567"/>
      <c r="I15" s="2567"/>
      <c r="J15" s="2567"/>
      <c r="K15" s="2567"/>
      <c r="L15" s="2567"/>
      <c r="M15" s="2567"/>
      <c r="N15" s="2567"/>
      <c r="O15" s="2567"/>
      <c r="P15" s="2567"/>
      <c r="Q15" s="2567"/>
      <c r="R15" s="2568"/>
      <c r="S15" s="2569" t="str">
        <f>IF(Application!AB214="","",Application!AB214)</f>
        <v/>
      </c>
      <c r="T15" s="2569"/>
      <c r="U15" s="2569"/>
      <c r="V15" s="2569"/>
      <c r="W15" s="2570"/>
      <c r="X15" s="1255"/>
      <c r="Y15" s="1206"/>
      <c r="Z15" s="1206"/>
      <c r="AA15" s="2554" t="s">
        <v>2468</v>
      </c>
      <c r="AB15" s="2554"/>
      <c r="AC15" s="2554"/>
      <c r="AD15" s="2554"/>
      <c r="AE15" s="2554"/>
      <c r="AF15" s="2554"/>
      <c r="AG15" s="2554"/>
      <c r="AH15" s="2554"/>
      <c r="AI15" s="2554"/>
      <c r="AJ15" s="2554"/>
      <c r="AK15" s="2554"/>
      <c r="AL15" s="2554"/>
      <c r="AM15" s="2554"/>
      <c r="AN15" s="2554"/>
      <c r="AO15" s="2558"/>
      <c r="AP15" s="2559"/>
      <c r="AQ15" s="2559"/>
      <c r="AR15" s="2559"/>
      <c r="AS15" s="2559"/>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4">
      <c r="A17" s="1206"/>
      <c r="B17" s="2434" t="s">
        <v>1794</v>
      </c>
      <c r="C17" s="2435"/>
      <c r="D17" s="2435"/>
      <c r="E17" s="2435"/>
      <c r="F17" s="2435"/>
      <c r="G17" s="2435"/>
      <c r="H17" s="2435"/>
      <c r="I17" s="2435"/>
      <c r="J17" s="2435"/>
      <c r="K17" s="2435"/>
      <c r="L17" s="2435"/>
      <c r="M17" s="2435"/>
      <c r="N17" s="2435"/>
      <c r="O17" s="2435"/>
      <c r="P17" s="2435"/>
      <c r="Q17" s="2435"/>
      <c r="R17" s="2435"/>
      <c r="S17" s="2435"/>
      <c r="T17" s="2435"/>
      <c r="U17" s="2435"/>
      <c r="V17" s="2435"/>
      <c r="W17" s="2435"/>
      <c r="X17" s="2435"/>
      <c r="Y17" s="2435"/>
      <c r="Z17" s="2435"/>
      <c r="AA17" s="2435"/>
      <c r="AB17" s="2435"/>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6"/>
      <c r="AZ17" s="1206"/>
      <c r="BA17" s="1206"/>
      <c r="BB17" s="1206"/>
      <c r="BC17" s="1206"/>
      <c r="BD17" s="1206"/>
      <c r="BE17" s="1202"/>
      <c r="BF17" s="1198"/>
    </row>
    <row r="18" spans="1:58" ht="15.75" customHeight="1">
      <c r="A18" s="1206"/>
      <c r="B18" s="2546" t="s">
        <v>1795</v>
      </c>
      <c r="C18" s="2547"/>
      <c r="D18" s="2547"/>
      <c r="E18" s="2547"/>
      <c r="F18" s="2547"/>
      <c r="G18" s="2547"/>
      <c r="H18" s="2547"/>
      <c r="I18" s="2548"/>
      <c r="J18" s="2549" t="s">
        <v>1696</v>
      </c>
      <c r="K18" s="2550"/>
      <c r="L18" s="2550"/>
      <c r="M18" s="2550"/>
      <c r="N18" s="2550"/>
      <c r="O18" s="2551"/>
      <c r="P18" s="2549" t="s">
        <v>324</v>
      </c>
      <c r="Q18" s="2550"/>
      <c r="R18" s="2550"/>
      <c r="S18" s="2550"/>
      <c r="T18" s="2550"/>
      <c r="U18" s="2551"/>
      <c r="V18" s="2549" t="s">
        <v>325</v>
      </c>
      <c r="W18" s="2550"/>
      <c r="X18" s="2550"/>
      <c r="Y18" s="2550"/>
      <c r="Z18" s="2550"/>
      <c r="AA18" s="2551"/>
      <c r="AB18" s="2549" t="s">
        <v>163</v>
      </c>
      <c r="AC18" s="2550"/>
      <c r="AD18" s="2550"/>
      <c r="AE18" s="2550"/>
      <c r="AF18" s="2550"/>
      <c r="AG18" s="2551"/>
      <c r="AH18" s="2549" t="s">
        <v>164</v>
      </c>
      <c r="AI18" s="2550"/>
      <c r="AJ18" s="2550"/>
      <c r="AK18" s="2550"/>
      <c r="AL18" s="2550"/>
      <c r="AM18" s="2551"/>
      <c r="AN18" s="2549" t="s">
        <v>165</v>
      </c>
      <c r="AO18" s="2550"/>
      <c r="AP18" s="2550"/>
      <c r="AQ18" s="2550"/>
      <c r="AR18" s="2550"/>
      <c r="AS18" s="2551"/>
      <c r="AT18" s="2549" t="s">
        <v>1796</v>
      </c>
      <c r="AU18" s="2550"/>
      <c r="AV18" s="2550"/>
      <c r="AW18" s="2550"/>
      <c r="AX18" s="2550"/>
      <c r="AY18" s="2552"/>
      <c r="AZ18" s="1206"/>
      <c r="BA18" s="1206"/>
      <c r="BB18" s="1206"/>
      <c r="BC18" s="1206"/>
      <c r="BD18" s="1206"/>
      <c r="BE18" s="1202"/>
    </row>
    <row r="19" spans="1:58" ht="14.4">
      <c r="A19" s="1206"/>
      <c r="B19" s="2523">
        <v>0.3</v>
      </c>
      <c r="C19" s="2524"/>
      <c r="D19" s="2524"/>
      <c r="E19" s="2524"/>
      <c r="F19" s="2524"/>
      <c r="G19" s="2524"/>
      <c r="H19" s="2524"/>
      <c r="I19" s="2525"/>
      <c r="J19" s="2526">
        <f t="shared" ref="J19:J28" si="0">SUM(P19:AS19)</f>
        <v>58</v>
      </c>
      <c r="K19" s="2527"/>
      <c r="L19" s="2527"/>
      <c r="M19" s="2527"/>
      <c r="N19" s="2527"/>
      <c r="O19" s="2528"/>
      <c r="P19" s="2526" cm="1">
        <f t="array" ref="P19">SUMPRODUCT((Application!$B$718:$B$752 = 'CalHFA Addendum'!P$18)*(Application!$AC$718:$AC$752 = 'CalHFA Addendum'!$B19),Application!$G$718:$G$752)</f>
        <v>58</v>
      </c>
      <c r="Q19" s="2527"/>
      <c r="R19" s="2527"/>
      <c r="S19" s="2527"/>
      <c r="T19" s="2527"/>
      <c r="U19" s="2528"/>
      <c r="V19" s="2526" cm="1">
        <f t="array" ref="V19">SUMPRODUCT((Application!$B$714:$B$738 = 'CalHFA Addendum'!V$18)*(Application!$AC$714:$AC$738 = 'CalHFA Addendum'!$B19),Application!$G$714:$G$738)</f>
        <v>0</v>
      </c>
      <c r="W19" s="2527"/>
      <c r="X19" s="2527"/>
      <c r="Y19" s="2527"/>
      <c r="Z19" s="2527"/>
      <c r="AA19" s="2528"/>
      <c r="AB19" s="2526" cm="1">
        <f t="array" ref="AB19">SUMPRODUCT((Application!$B$714:$B$738 = 'CalHFA Addendum'!AB$18)*(Application!$AC$714:$AC$738 = 'CalHFA Addendum'!$B19),Application!$G$714:$G$738)</f>
        <v>0</v>
      </c>
      <c r="AC19" s="2527"/>
      <c r="AD19" s="2527"/>
      <c r="AE19" s="2527"/>
      <c r="AF19" s="2527"/>
      <c r="AG19" s="2528"/>
      <c r="AH19" s="2526" cm="1">
        <f t="array" ref="AH19">SUMPRODUCT((Application!$B$714:$B$738 = 'CalHFA Addendum'!AH$18)*(Application!$AC$714:$AC$738 = 'CalHFA Addendum'!$B19),Application!$G$714:$G$738)</f>
        <v>0</v>
      </c>
      <c r="AI19" s="2527"/>
      <c r="AJ19" s="2527"/>
      <c r="AK19" s="2527"/>
      <c r="AL19" s="2527"/>
      <c r="AM19" s="2528"/>
      <c r="AN19" s="2526" cm="1">
        <f t="array" ref="AN19">SUMPRODUCT((Application!$B$714:$B$738 = 'CalHFA Addendum'!AN$18)*(Application!$AC$714:$AC$738 = 'CalHFA Addendum'!$B19),Application!$G$714:$G$738)</f>
        <v>0</v>
      </c>
      <c r="AO19" s="2527"/>
      <c r="AP19" s="2527"/>
      <c r="AQ19" s="2527"/>
      <c r="AR19" s="2527"/>
      <c r="AS19" s="2528"/>
      <c r="AT19" s="2529">
        <f t="shared" ref="AT19:AT29" si="1">J19/$J$29</f>
        <v>0.13776722090261281</v>
      </c>
      <c r="AU19" s="2530"/>
      <c r="AV19" s="2530"/>
      <c r="AW19" s="2530"/>
      <c r="AX19" s="2530"/>
      <c r="AY19" s="2531"/>
      <c r="AZ19" s="1217"/>
      <c r="BA19" s="1206"/>
      <c r="BB19" s="1206"/>
      <c r="BC19" s="1206"/>
      <c r="BD19" s="1206"/>
      <c r="BE19" s="1202"/>
    </row>
    <row r="20" spans="1:58" ht="15" customHeight="1">
      <c r="A20" s="1206"/>
      <c r="B20" s="2523">
        <v>0.4</v>
      </c>
      <c r="C20" s="2524"/>
      <c r="D20" s="2524"/>
      <c r="E20" s="2524"/>
      <c r="F20" s="2524"/>
      <c r="G20" s="2524"/>
      <c r="H20" s="2524"/>
      <c r="I20" s="2525"/>
      <c r="J20" s="2526">
        <f t="shared" si="0"/>
        <v>0</v>
      </c>
      <c r="K20" s="2527"/>
      <c r="L20" s="2527"/>
      <c r="M20" s="2527"/>
      <c r="N20" s="2527"/>
      <c r="O20" s="2528"/>
      <c r="P20" s="2526" cm="1">
        <f t="array" ref="P20">SUMPRODUCT((Application!$B$718:$B$752 = 'CalHFA Addendum'!P$18)*(Application!$AC$718:$AC$752 = 'CalHFA Addendum'!$B20),Application!$G$718:$G$752)</f>
        <v>0</v>
      </c>
      <c r="Q20" s="2527"/>
      <c r="R20" s="2527"/>
      <c r="S20" s="2527"/>
      <c r="T20" s="2527"/>
      <c r="U20" s="2528"/>
      <c r="V20" s="2526" cm="1">
        <f t="array" ref="V20">SUMPRODUCT((Application!$B$714:$B$738 = 'CalHFA Addendum'!V$18)*(Application!$AC$714:$AC$738 = 'CalHFA Addendum'!$B20),Application!$G$714:$G$738)</f>
        <v>0</v>
      </c>
      <c r="W20" s="2527"/>
      <c r="X20" s="2527"/>
      <c r="Y20" s="2527"/>
      <c r="Z20" s="2527"/>
      <c r="AA20" s="2528"/>
      <c r="AB20" s="2526" cm="1">
        <f t="array" ref="AB20">SUMPRODUCT((Application!$B$714:$B$738 = 'CalHFA Addendum'!AB$18)*(Application!$AC$714:$AC$738 = 'CalHFA Addendum'!$B20),Application!$G$714:$G$738)</f>
        <v>0</v>
      </c>
      <c r="AC20" s="2527"/>
      <c r="AD20" s="2527"/>
      <c r="AE20" s="2527"/>
      <c r="AF20" s="2527"/>
      <c r="AG20" s="2528"/>
      <c r="AH20" s="2526" cm="1">
        <f t="array" ref="AH20">SUMPRODUCT((Application!$B$714:$B$738 = 'CalHFA Addendum'!AH$18)*(Application!$AC$714:$AC$738 = 'CalHFA Addendum'!$B20),Application!$G$714:$G$738)</f>
        <v>0</v>
      </c>
      <c r="AI20" s="2527"/>
      <c r="AJ20" s="2527"/>
      <c r="AK20" s="2527"/>
      <c r="AL20" s="2527"/>
      <c r="AM20" s="2528"/>
      <c r="AN20" s="2526" cm="1">
        <f t="array" ref="AN20">SUMPRODUCT((Application!$B$714:$B$738 = 'CalHFA Addendum'!AN$18)*(Application!$AC$714:$AC$738 = 'CalHFA Addendum'!$B20),Application!$G$714:$G$738)</f>
        <v>0</v>
      </c>
      <c r="AO20" s="2527"/>
      <c r="AP20" s="2527"/>
      <c r="AQ20" s="2527"/>
      <c r="AR20" s="2527"/>
      <c r="AS20" s="2528"/>
      <c r="AT20" s="2529">
        <f t="shared" si="1"/>
        <v>0</v>
      </c>
      <c r="AU20" s="2530"/>
      <c r="AV20" s="2530"/>
      <c r="AW20" s="2530"/>
      <c r="AX20" s="2530"/>
      <c r="AY20" s="2531"/>
      <c r="AZ20" s="1206"/>
      <c r="BA20" s="1206"/>
      <c r="BB20" s="1206"/>
      <c r="BC20" s="1206"/>
      <c r="BD20" s="1206"/>
      <c r="BE20" s="1202"/>
    </row>
    <row r="21" spans="1:58" ht="14.4">
      <c r="A21" s="1206"/>
      <c r="B21" s="2523">
        <v>0.5</v>
      </c>
      <c r="C21" s="2524"/>
      <c r="D21" s="2524"/>
      <c r="E21" s="2524"/>
      <c r="F21" s="2524"/>
      <c r="G21" s="2524"/>
      <c r="H21" s="2524"/>
      <c r="I21" s="2525"/>
      <c r="J21" s="2526">
        <f t="shared" si="0"/>
        <v>43</v>
      </c>
      <c r="K21" s="2527"/>
      <c r="L21" s="2527"/>
      <c r="M21" s="2527"/>
      <c r="N21" s="2527"/>
      <c r="O21" s="2528"/>
      <c r="P21" s="2526" cm="1">
        <f t="array" ref="P21">SUMPRODUCT((Application!$B$714:$B$738 = 'CalHFA Addendum'!P$18)*(Application!$AC$714:$AC$738 = 'CalHFA Addendum'!$B21),Application!$G$714:$G$738)</f>
        <v>43</v>
      </c>
      <c r="Q21" s="2527"/>
      <c r="R21" s="2527"/>
      <c r="S21" s="2527"/>
      <c r="T21" s="2527"/>
      <c r="U21" s="2528"/>
      <c r="V21" s="2526" cm="1">
        <f t="array" ref="V21">SUMPRODUCT((Application!$B$714:$B$738 = 'CalHFA Addendum'!V$18)*(Application!$AC$714:$AC$738 = 'CalHFA Addendum'!$B21),Application!$G$714:$G$738)</f>
        <v>0</v>
      </c>
      <c r="W21" s="2527"/>
      <c r="X21" s="2527"/>
      <c r="Y21" s="2527"/>
      <c r="Z21" s="2527"/>
      <c r="AA21" s="2528"/>
      <c r="AB21" s="2526" cm="1">
        <f t="array" ref="AB21">SUMPRODUCT((Application!$B$714:$B$738 = 'CalHFA Addendum'!AB$18)*(Application!$AC$714:$AC$738 = 'CalHFA Addendum'!$B21),Application!$G$714:$G$738)</f>
        <v>0</v>
      </c>
      <c r="AC21" s="2527"/>
      <c r="AD21" s="2527"/>
      <c r="AE21" s="2527"/>
      <c r="AF21" s="2527"/>
      <c r="AG21" s="2528"/>
      <c r="AH21" s="2526" cm="1">
        <f t="array" ref="AH21">SUMPRODUCT((Application!$B$714:$B$738 = 'CalHFA Addendum'!AH$18)*(Application!$AC$714:$AC$738 = 'CalHFA Addendum'!$B21),Application!$G$714:$G$738)</f>
        <v>0</v>
      </c>
      <c r="AI21" s="2527"/>
      <c r="AJ21" s="2527"/>
      <c r="AK21" s="2527"/>
      <c r="AL21" s="2527"/>
      <c r="AM21" s="2528"/>
      <c r="AN21" s="2526" cm="1">
        <f t="array" ref="AN21">SUMPRODUCT((Application!$B$714:$B$738 = 'CalHFA Addendum'!AN$18)*(Application!$AC$714:$AC$738 = 'CalHFA Addendum'!$B21),Application!$G$714:$G$738)</f>
        <v>0</v>
      </c>
      <c r="AO21" s="2527"/>
      <c r="AP21" s="2527"/>
      <c r="AQ21" s="2527"/>
      <c r="AR21" s="2527"/>
      <c r="AS21" s="2528"/>
      <c r="AT21" s="2529">
        <f t="shared" si="1"/>
        <v>0.10213776722090261</v>
      </c>
      <c r="AU21" s="2530"/>
      <c r="AV21" s="2530"/>
      <c r="AW21" s="2530"/>
      <c r="AX21" s="2530"/>
      <c r="AY21" s="2531"/>
      <c r="AZ21" s="1206"/>
      <c r="BA21" s="1206"/>
      <c r="BB21" s="1206"/>
      <c r="BC21" s="1206"/>
      <c r="BD21" s="1206"/>
      <c r="BE21" s="1202"/>
    </row>
    <row r="22" spans="1:58" ht="14.4">
      <c r="A22" s="1206"/>
      <c r="B22" s="2523">
        <v>0.6</v>
      </c>
      <c r="C22" s="2524"/>
      <c r="D22" s="2524"/>
      <c r="E22" s="2524"/>
      <c r="F22" s="2524"/>
      <c r="G22" s="2524"/>
      <c r="H22" s="2524"/>
      <c r="I22" s="2525"/>
      <c r="J22" s="2526">
        <f t="shared" si="0"/>
        <v>103</v>
      </c>
      <c r="K22" s="2527"/>
      <c r="L22" s="2527"/>
      <c r="M22" s="2527"/>
      <c r="N22" s="2527"/>
      <c r="O22" s="2528"/>
      <c r="P22" s="2526" cm="1">
        <f t="array" ref="P22">SUMPRODUCT((Application!$B$714:$B$738 = 'CalHFA Addendum'!P$18)*(Application!$AC$714:$AC$738 = 'CalHFA Addendum'!$B22),Application!$G$714:$G$738)</f>
        <v>103</v>
      </c>
      <c r="Q22" s="2527"/>
      <c r="R22" s="2527"/>
      <c r="S22" s="2527"/>
      <c r="T22" s="2527"/>
      <c r="U22" s="2528"/>
      <c r="V22" s="2526" cm="1">
        <f t="array" ref="V22">SUMPRODUCT((Application!$B$714:$B$738 = 'CalHFA Addendum'!V$18)*(Application!$AC$714:$AC$738 = 'CalHFA Addendum'!$B22),Application!$G$714:$G$738)</f>
        <v>0</v>
      </c>
      <c r="W22" s="2527"/>
      <c r="X22" s="2527"/>
      <c r="Y22" s="2527"/>
      <c r="Z22" s="2527"/>
      <c r="AA22" s="2528"/>
      <c r="AB22" s="2526" cm="1">
        <f t="array" ref="AB22">SUMPRODUCT((Application!$B$714:$B$738 = 'CalHFA Addendum'!AB$18)*(Application!$AC$714:$AC$738 = 'CalHFA Addendum'!$B22),Application!$G$714:$G$738)</f>
        <v>0</v>
      </c>
      <c r="AC22" s="2527"/>
      <c r="AD22" s="2527"/>
      <c r="AE22" s="2527"/>
      <c r="AF22" s="2527"/>
      <c r="AG22" s="2528"/>
      <c r="AH22" s="2526" cm="1">
        <f t="array" ref="AH22">SUMPRODUCT((Application!$B$714:$B$738 = 'CalHFA Addendum'!AH$18)*(Application!$AC$714:$AC$738 = 'CalHFA Addendum'!$B22),Application!$G$714:$G$738)</f>
        <v>0</v>
      </c>
      <c r="AI22" s="2527"/>
      <c r="AJ22" s="2527"/>
      <c r="AK22" s="2527"/>
      <c r="AL22" s="2527"/>
      <c r="AM22" s="2528"/>
      <c r="AN22" s="2526" cm="1">
        <f t="array" ref="AN22">SUMPRODUCT((Application!$B$714:$B$738 = 'CalHFA Addendum'!AN$18)*(Application!$AC$714:$AC$738 = 'CalHFA Addendum'!$B22),Application!$G$714:$G$738)</f>
        <v>0</v>
      </c>
      <c r="AO22" s="2527"/>
      <c r="AP22" s="2527"/>
      <c r="AQ22" s="2527"/>
      <c r="AR22" s="2527"/>
      <c r="AS22" s="2528"/>
      <c r="AT22" s="2529">
        <f t="shared" si="1"/>
        <v>0.24465558194774348</v>
      </c>
      <c r="AU22" s="2530"/>
      <c r="AV22" s="2530"/>
      <c r="AW22" s="2530"/>
      <c r="AX22" s="2530"/>
      <c r="AY22" s="2531"/>
      <c r="AZ22" s="1206"/>
      <c r="BA22" s="1206"/>
      <c r="BB22" s="1206"/>
      <c r="BC22" s="1206"/>
      <c r="BD22" s="1206"/>
      <c r="BE22" s="1202"/>
    </row>
    <row r="23" spans="1:58" ht="14.4">
      <c r="A23" s="1206"/>
      <c r="B23" s="2523">
        <v>0.7</v>
      </c>
      <c r="C23" s="2524"/>
      <c r="D23" s="2524"/>
      <c r="E23" s="2524"/>
      <c r="F23" s="2524"/>
      <c r="G23" s="2524"/>
      <c r="H23" s="2524"/>
      <c r="I23" s="2525"/>
      <c r="J23" s="2526">
        <f t="shared" si="0"/>
        <v>217</v>
      </c>
      <c r="K23" s="2527"/>
      <c r="L23" s="2527"/>
      <c r="M23" s="2527"/>
      <c r="N23" s="2527"/>
      <c r="O23" s="2528"/>
      <c r="P23" s="2526" cm="1">
        <f t="array" ref="P23">SUMPRODUCT((Application!$B$714:$B$738 = 'CalHFA Addendum'!P$18)*(Application!$AC$714:$AC$738 = 'CalHFA Addendum'!$B23),Application!$G$714:$G$738)</f>
        <v>217</v>
      </c>
      <c r="Q23" s="2527"/>
      <c r="R23" s="2527"/>
      <c r="S23" s="2527"/>
      <c r="T23" s="2527"/>
      <c r="U23" s="2528"/>
      <c r="V23" s="2526" cm="1">
        <f t="array" ref="V23">SUMPRODUCT((Application!$B$714:$B$738 = 'CalHFA Addendum'!V$18)*(Application!$AC$714:$AC$738 = 'CalHFA Addendum'!$B23),Application!$G$714:$G$738)</f>
        <v>0</v>
      </c>
      <c r="W23" s="2527"/>
      <c r="X23" s="2527"/>
      <c r="Y23" s="2527"/>
      <c r="Z23" s="2527"/>
      <c r="AA23" s="2528"/>
      <c r="AB23" s="2526" cm="1">
        <f t="array" ref="AB23">SUMPRODUCT((Application!$B$714:$B$738 = 'CalHFA Addendum'!AB$18)*(Application!$AC$714:$AC$738 = 'CalHFA Addendum'!$B23),Application!$G$714:$G$738)</f>
        <v>0</v>
      </c>
      <c r="AC23" s="2527"/>
      <c r="AD23" s="2527"/>
      <c r="AE23" s="2527"/>
      <c r="AF23" s="2527"/>
      <c r="AG23" s="2528"/>
      <c r="AH23" s="2526" cm="1">
        <f t="array" ref="AH23">SUMPRODUCT((Application!$B$714:$B$738 = 'CalHFA Addendum'!AH$18)*(Application!$AC$714:$AC$738 = 'CalHFA Addendum'!$B23),Application!$G$714:$G$738)</f>
        <v>0</v>
      </c>
      <c r="AI23" s="2527"/>
      <c r="AJ23" s="2527"/>
      <c r="AK23" s="2527"/>
      <c r="AL23" s="2527"/>
      <c r="AM23" s="2528"/>
      <c r="AN23" s="2526" cm="1">
        <f t="array" ref="AN23">SUMPRODUCT((Application!$B$714:$B$738 = 'CalHFA Addendum'!AN$18)*(Application!$AC$714:$AC$738 = 'CalHFA Addendum'!$B23),Application!$G$714:$G$738)</f>
        <v>0</v>
      </c>
      <c r="AO23" s="2527"/>
      <c r="AP23" s="2527"/>
      <c r="AQ23" s="2527"/>
      <c r="AR23" s="2527"/>
      <c r="AS23" s="2528"/>
      <c r="AT23" s="2529">
        <f t="shared" si="1"/>
        <v>0.51543942992874114</v>
      </c>
      <c r="AU23" s="2530"/>
      <c r="AV23" s="2530"/>
      <c r="AW23" s="2530"/>
      <c r="AX23" s="2530"/>
      <c r="AY23" s="2531"/>
      <c r="AZ23" s="1206"/>
      <c r="BA23" s="1206"/>
      <c r="BB23" s="1206"/>
      <c r="BC23" s="1206"/>
      <c r="BD23" s="1206"/>
      <c r="BE23" s="1202"/>
    </row>
    <row r="24" spans="1:58" ht="14.4">
      <c r="A24" s="1206"/>
      <c r="B24" s="2523">
        <v>0.8</v>
      </c>
      <c r="C24" s="2524"/>
      <c r="D24" s="2524"/>
      <c r="E24" s="2524"/>
      <c r="F24" s="2524"/>
      <c r="G24" s="2524"/>
      <c r="H24" s="2524"/>
      <c r="I24" s="2525"/>
      <c r="J24" s="2526">
        <f t="shared" si="0"/>
        <v>0</v>
      </c>
      <c r="K24" s="2527"/>
      <c r="L24" s="2527"/>
      <c r="M24" s="2527"/>
      <c r="N24" s="2527"/>
      <c r="O24" s="2528"/>
      <c r="P24" s="2526" cm="1">
        <f t="array" ref="P24">SUMPRODUCT((Application!$B$714:$B$738 = 'CalHFA Addendum'!P$18)*(Application!$AC$714:$AC$738 = 'CalHFA Addendum'!$B24),Application!$G$714:$G$738)</f>
        <v>0</v>
      </c>
      <c r="Q24" s="2527"/>
      <c r="R24" s="2527"/>
      <c r="S24" s="2527"/>
      <c r="T24" s="2527"/>
      <c r="U24" s="2528"/>
      <c r="V24" s="2526" cm="1">
        <f t="array" ref="V24">SUMPRODUCT((Application!$B$714:$B$738 = 'CalHFA Addendum'!V$18)*(Application!$AC$714:$AC$738 = 'CalHFA Addendum'!$B24),Application!$G$714:$G$738)</f>
        <v>0</v>
      </c>
      <c r="W24" s="2527"/>
      <c r="X24" s="2527"/>
      <c r="Y24" s="2527"/>
      <c r="Z24" s="2527"/>
      <c r="AA24" s="2528"/>
      <c r="AB24" s="2526" cm="1">
        <f t="array" ref="AB24">SUMPRODUCT((Application!$B$714:$B$738 = 'CalHFA Addendum'!AB$18)*(Application!$AC$714:$AC$738 = 'CalHFA Addendum'!$B24),Application!$G$714:$G$738)</f>
        <v>0</v>
      </c>
      <c r="AC24" s="2527"/>
      <c r="AD24" s="2527"/>
      <c r="AE24" s="2527"/>
      <c r="AF24" s="2527"/>
      <c r="AG24" s="2528"/>
      <c r="AH24" s="2526" cm="1">
        <f t="array" ref="AH24">SUMPRODUCT((Application!$B$714:$B$738 = 'CalHFA Addendum'!AH$18)*(Application!$AC$714:$AC$738 = 'CalHFA Addendum'!$B24),Application!$G$714:$G$738)</f>
        <v>0</v>
      </c>
      <c r="AI24" s="2527"/>
      <c r="AJ24" s="2527"/>
      <c r="AK24" s="2527"/>
      <c r="AL24" s="2527"/>
      <c r="AM24" s="2528"/>
      <c r="AN24" s="2526" cm="1">
        <f t="array" ref="AN24">SUMPRODUCT((Application!$B$714:$B$738 = 'CalHFA Addendum'!AN$18)*(Application!$AC$714:$AC$738 = 'CalHFA Addendum'!$B24),Application!$G$714:$G$738)</f>
        <v>0</v>
      </c>
      <c r="AO24" s="2527"/>
      <c r="AP24" s="2527"/>
      <c r="AQ24" s="2527"/>
      <c r="AR24" s="2527"/>
      <c r="AS24" s="2528"/>
      <c r="AT24" s="2529">
        <f t="shared" si="1"/>
        <v>0</v>
      </c>
      <c r="AU24" s="2530"/>
      <c r="AV24" s="2530"/>
      <c r="AW24" s="2530"/>
      <c r="AX24" s="2530"/>
      <c r="AY24" s="2531"/>
      <c r="AZ24" s="1206"/>
      <c r="BA24" s="1206"/>
      <c r="BB24" s="1206"/>
      <c r="BC24" s="1206"/>
      <c r="BD24" s="1206"/>
      <c r="BE24" s="1202"/>
    </row>
    <row r="25" spans="1:58" ht="14.4">
      <c r="A25" s="1206"/>
      <c r="B25" s="2523">
        <v>0.9</v>
      </c>
      <c r="C25" s="2524"/>
      <c r="D25" s="2524"/>
      <c r="E25" s="2524"/>
      <c r="F25" s="2524"/>
      <c r="G25" s="2524"/>
      <c r="H25" s="2524"/>
      <c r="I25" s="2525"/>
      <c r="J25" s="2526">
        <f t="shared" si="0"/>
        <v>0</v>
      </c>
      <c r="K25" s="2527"/>
      <c r="L25" s="2527"/>
      <c r="M25" s="2527"/>
      <c r="N25" s="2527"/>
      <c r="O25" s="2528"/>
      <c r="P25" s="2526" cm="1">
        <f t="array" ref="P25">SUMPRODUCT((Application!$B$714:$B$738 = 'CalHFA Addendum'!P$18)*(Application!$AC$714:$AC$738 = 'CalHFA Addendum'!$B25),Application!$G$714:$G$738)</f>
        <v>0</v>
      </c>
      <c r="Q25" s="2527"/>
      <c r="R25" s="2527"/>
      <c r="S25" s="2527"/>
      <c r="T25" s="2527"/>
      <c r="U25" s="2528"/>
      <c r="V25" s="2526" cm="1">
        <f t="array" ref="V25">SUMPRODUCT((Application!$B$714:$B$738 = 'CalHFA Addendum'!V$18)*(Application!$AC$714:$AC$738 = 'CalHFA Addendum'!$B25),Application!$G$714:$G$738)</f>
        <v>0</v>
      </c>
      <c r="W25" s="2527"/>
      <c r="X25" s="2527"/>
      <c r="Y25" s="2527"/>
      <c r="Z25" s="2527"/>
      <c r="AA25" s="2528"/>
      <c r="AB25" s="2526" cm="1">
        <f t="array" ref="AB25">SUMPRODUCT((Application!$B$714:$B$738 = 'CalHFA Addendum'!AB$18)*(Application!$AC$714:$AC$738 = 'CalHFA Addendum'!$B25),Application!$G$714:$G$738)</f>
        <v>0</v>
      </c>
      <c r="AC25" s="2527"/>
      <c r="AD25" s="2527"/>
      <c r="AE25" s="2527"/>
      <c r="AF25" s="2527"/>
      <c r="AG25" s="2528"/>
      <c r="AH25" s="2526" cm="1">
        <f t="array" ref="AH25">SUMPRODUCT((Application!$B$714:$B$738 = 'CalHFA Addendum'!AH$18)*(Application!$AC$714:$AC$738 = 'CalHFA Addendum'!$B25),Application!$G$714:$G$738)</f>
        <v>0</v>
      </c>
      <c r="AI25" s="2527"/>
      <c r="AJ25" s="2527"/>
      <c r="AK25" s="2527"/>
      <c r="AL25" s="2527"/>
      <c r="AM25" s="2528"/>
      <c r="AN25" s="2526" cm="1">
        <f t="array" ref="AN25">SUMPRODUCT((Application!$B$714:$B$738 = 'CalHFA Addendum'!AN$18)*(Application!$AC$714:$AC$738 = 'CalHFA Addendum'!$B25),Application!$G$714:$G$738)</f>
        <v>0</v>
      </c>
      <c r="AO25" s="2527"/>
      <c r="AP25" s="2527"/>
      <c r="AQ25" s="2527"/>
      <c r="AR25" s="2527"/>
      <c r="AS25" s="2528"/>
      <c r="AT25" s="2529">
        <f t="shared" si="1"/>
        <v>0</v>
      </c>
      <c r="AU25" s="2530"/>
      <c r="AV25" s="2530"/>
      <c r="AW25" s="2530"/>
      <c r="AX25" s="2530"/>
      <c r="AY25" s="2531"/>
      <c r="AZ25" s="1206"/>
      <c r="BA25" s="1206"/>
      <c r="BB25" s="1206"/>
      <c r="BC25" s="1206"/>
      <c r="BD25" s="1206"/>
      <c r="BE25" s="1202"/>
    </row>
    <row r="26" spans="1:58" ht="14.4">
      <c r="A26" s="1206"/>
      <c r="B26" s="2523">
        <v>1</v>
      </c>
      <c r="C26" s="2524"/>
      <c r="D26" s="2524"/>
      <c r="E26" s="2524"/>
      <c r="F26" s="2524"/>
      <c r="G26" s="2524"/>
      <c r="H26" s="2524"/>
      <c r="I26" s="2525"/>
      <c r="J26" s="2526">
        <f t="shared" si="0"/>
        <v>0</v>
      </c>
      <c r="K26" s="2527"/>
      <c r="L26" s="2527"/>
      <c r="M26" s="2527"/>
      <c r="N26" s="2527"/>
      <c r="O26" s="2528"/>
      <c r="P26" s="2526" cm="1">
        <f t="array" ref="P26">SUMPRODUCT((Application!$B$714:$B$738 = 'CalHFA Addendum'!P$18)*(Application!$AC$714:$AC$738 = 'CalHFA Addendum'!$B26),Application!$G$714:$G$738)</f>
        <v>0</v>
      </c>
      <c r="Q26" s="2527"/>
      <c r="R26" s="2527"/>
      <c r="S26" s="2527"/>
      <c r="T26" s="2527"/>
      <c r="U26" s="2528"/>
      <c r="V26" s="2526" cm="1">
        <f t="array" ref="V26">SUMPRODUCT((Application!$B$714:$B$738 = 'CalHFA Addendum'!V$18)*(Application!$AC$714:$AC$738 = 'CalHFA Addendum'!$B26),Application!$G$714:$G$738)</f>
        <v>0</v>
      </c>
      <c r="W26" s="2527"/>
      <c r="X26" s="2527"/>
      <c r="Y26" s="2527"/>
      <c r="Z26" s="2527"/>
      <c r="AA26" s="2528"/>
      <c r="AB26" s="2526" cm="1">
        <f t="array" ref="AB26">SUMPRODUCT((Application!$B$714:$B$738 = 'CalHFA Addendum'!AB$18)*(Application!$AC$714:$AC$738 = 'CalHFA Addendum'!$B26),Application!$G$714:$G$738)</f>
        <v>0</v>
      </c>
      <c r="AC26" s="2527"/>
      <c r="AD26" s="2527"/>
      <c r="AE26" s="2527"/>
      <c r="AF26" s="2527"/>
      <c r="AG26" s="2528"/>
      <c r="AH26" s="2526" cm="1">
        <f t="array" ref="AH26">SUMPRODUCT((Application!$B$714:$B$738 = 'CalHFA Addendum'!AH$18)*(Application!$AC$714:$AC$738 = 'CalHFA Addendum'!$B26),Application!$G$714:$G$738)</f>
        <v>0</v>
      </c>
      <c r="AI26" s="2527"/>
      <c r="AJ26" s="2527"/>
      <c r="AK26" s="2527"/>
      <c r="AL26" s="2527"/>
      <c r="AM26" s="2528"/>
      <c r="AN26" s="2526" cm="1">
        <f t="array" ref="AN26">SUMPRODUCT((Application!$B$714:$B$738 = 'CalHFA Addendum'!AN$18)*(Application!$AC$714:$AC$738 = 'CalHFA Addendum'!$B26),Application!$G$714:$G$738)</f>
        <v>0</v>
      </c>
      <c r="AO26" s="2527"/>
      <c r="AP26" s="2527"/>
      <c r="AQ26" s="2527"/>
      <c r="AR26" s="2527"/>
      <c r="AS26" s="2528"/>
      <c r="AT26" s="2529">
        <f t="shared" si="1"/>
        <v>0</v>
      </c>
      <c r="AU26" s="2530"/>
      <c r="AV26" s="2530"/>
      <c r="AW26" s="2530"/>
      <c r="AX26" s="2530"/>
      <c r="AY26" s="2531"/>
      <c r="AZ26" s="1206"/>
      <c r="BA26" s="1206"/>
      <c r="BB26" s="1206"/>
      <c r="BC26" s="1206"/>
      <c r="BD26" s="1206"/>
      <c r="BE26" s="1202"/>
    </row>
    <row r="27" spans="1:58" ht="14.4">
      <c r="A27" s="1206"/>
      <c r="B27" s="2523">
        <v>1.1000000000000001</v>
      </c>
      <c r="C27" s="2524"/>
      <c r="D27" s="2524"/>
      <c r="E27" s="2524"/>
      <c r="F27" s="2524"/>
      <c r="G27" s="2524"/>
      <c r="H27" s="2524"/>
      <c r="I27" s="2525"/>
      <c r="J27" s="2526">
        <f t="shared" si="0"/>
        <v>0</v>
      </c>
      <c r="K27" s="2527"/>
      <c r="L27" s="2527"/>
      <c r="M27" s="2527"/>
      <c r="N27" s="2527"/>
      <c r="O27" s="2528"/>
      <c r="P27" s="2526" cm="1">
        <f t="array" ref="P27">SUMPRODUCT((Application!$B$714:$B$738 = 'CalHFA Addendum'!P$18)*(Application!$AC$714:$AC$738 = 'CalHFA Addendum'!$B27),Application!$G$714:$G$738)</f>
        <v>0</v>
      </c>
      <c r="Q27" s="2527"/>
      <c r="R27" s="2527"/>
      <c r="S27" s="2527"/>
      <c r="T27" s="2527"/>
      <c r="U27" s="2528"/>
      <c r="V27" s="2526" cm="1">
        <f t="array" ref="V27">SUMPRODUCT((Application!$B$714:$B$738 = 'CalHFA Addendum'!V$18)*(Application!$AC$714:$AC$738 = 'CalHFA Addendum'!$B27),Application!$G$714:$G$738)</f>
        <v>0</v>
      </c>
      <c r="W27" s="2527"/>
      <c r="X27" s="2527"/>
      <c r="Y27" s="2527"/>
      <c r="Z27" s="2527"/>
      <c r="AA27" s="2528"/>
      <c r="AB27" s="2526" cm="1">
        <f t="array" ref="AB27">SUMPRODUCT((Application!$B$714:$B$738 = 'CalHFA Addendum'!AB$18)*(Application!$AC$714:$AC$738 = 'CalHFA Addendum'!$B27),Application!$G$714:$G$738)</f>
        <v>0</v>
      </c>
      <c r="AC27" s="2527"/>
      <c r="AD27" s="2527"/>
      <c r="AE27" s="2527"/>
      <c r="AF27" s="2527"/>
      <c r="AG27" s="2528"/>
      <c r="AH27" s="2526" cm="1">
        <f t="array" ref="AH27">SUMPRODUCT((Application!$B$714:$B$738 = 'CalHFA Addendum'!AH$18)*(Application!$AC$714:$AC$738 = 'CalHFA Addendum'!$B27),Application!$G$714:$G$738)</f>
        <v>0</v>
      </c>
      <c r="AI27" s="2527"/>
      <c r="AJ27" s="2527"/>
      <c r="AK27" s="2527"/>
      <c r="AL27" s="2527"/>
      <c r="AM27" s="2528"/>
      <c r="AN27" s="2526" cm="1">
        <f t="array" ref="AN27">SUMPRODUCT((Application!$B$714:$B$738 = 'CalHFA Addendum'!AN$18)*(Application!$AC$714:$AC$738 = 'CalHFA Addendum'!$B27),Application!$G$714:$G$738)</f>
        <v>0</v>
      </c>
      <c r="AO27" s="2527"/>
      <c r="AP27" s="2527"/>
      <c r="AQ27" s="2527"/>
      <c r="AR27" s="2527"/>
      <c r="AS27" s="2528"/>
      <c r="AT27" s="2529">
        <f t="shared" si="1"/>
        <v>0</v>
      </c>
      <c r="AU27" s="2530"/>
      <c r="AV27" s="2530"/>
      <c r="AW27" s="2530"/>
      <c r="AX27" s="2530"/>
      <c r="AY27" s="2531"/>
      <c r="AZ27" s="1206"/>
      <c r="BA27" s="1206"/>
      <c r="BB27" s="1206"/>
      <c r="BC27" s="1206"/>
      <c r="BD27" s="1206"/>
      <c r="BE27" s="1202"/>
    </row>
    <row r="28" spans="1:58" ht="15" thickBot="1">
      <c r="A28" s="1206"/>
      <c r="B28" s="2532" t="s">
        <v>1797</v>
      </c>
      <c r="C28" s="2533"/>
      <c r="D28" s="2533"/>
      <c r="E28" s="2533"/>
      <c r="F28" s="2533"/>
      <c r="G28" s="2533"/>
      <c r="H28" s="2533"/>
      <c r="I28" s="2534"/>
      <c r="J28" s="2535">
        <f t="shared" si="0"/>
        <v>0</v>
      </c>
      <c r="K28" s="2536"/>
      <c r="L28" s="2536"/>
      <c r="M28" s="2536"/>
      <c r="N28" s="2536"/>
      <c r="O28" s="2537"/>
      <c r="P28" s="2535">
        <f>_xlfn.IFNA(VLOOKUP(P$18,Application!$J$758:$S$761,6,FALSE), 0)</f>
        <v>0</v>
      </c>
      <c r="Q28" s="2536"/>
      <c r="R28" s="2536"/>
      <c r="S28" s="2536"/>
      <c r="T28" s="2536"/>
      <c r="U28" s="2537"/>
      <c r="V28" s="2535">
        <f>_xlfn.IFNA(VLOOKUP(V$18,Application!$J$758:$S$761,6,FALSE), 0)</f>
        <v>0</v>
      </c>
      <c r="W28" s="2536"/>
      <c r="X28" s="2536"/>
      <c r="Y28" s="2536"/>
      <c r="Z28" s="2536"/>
      <c r="AA28" s="2537"/>
      <c r="AB28" s="2535">
        <f>_xlfn.IFNA(VLOOKUP(AB$18,Application!$J$758:$S$761,6,FALSE), 0)</f>
        <v>0</v>
      </c>
      <c r="AC28" s="2536"/>
      <c r="AD28" s="2536"/>
      <c r="AE28" s="2536"/>
      <c r="AF28" s="2536"/>
      <c r="AG28" s="2537"/>
      <c r="AH28" s="2535">
        <f>_xlfn.IFNA(VLOOKUP(AH$18,Application!$J$758:$S$761,6,FALSE), 0)</f>
        <v>0</v>
      </c>
      <c r="AI28" s="2536"/>
      <c r="AJ28" s="2536"/>
      <c r="AK28" s="2536"/>
      <c r="AL28" s="2536"/>
      <c r="AM28" s="2537"/>
      <c r="AN28" s="2535">
        <f>_xlfn.IFNA(VLOOKUP(AN$18,Application!$J$758:$S$761,6,FALSE), 0)</f>
        <v>0</v>
      </c>
      <c r="AO28" s="2536"/>
      <c r="AP28" s="2536"/>
      <c r="AQ28" s="2536"/>
      <c r="AR28" s="2536"/>
      <c r="AS28" s="2537"/>
      <c r="AT28" s="2538">
        <f t="shared" si="1"/>
        <v>0</v>
      </c>
      <c r="AU28" s="2539"/>
      <c r="AV28" s="2539"/>
      <c r="AW28" s="2539"/>
      <c r="AX28" s="2539"/>
      <c r="AY28" s="2540"/>
      <c r="AZ28" s="1206"/>
      <c r="BA28" s="1206"/>
      <c r="BB28" s="1206"/>
      <c r="BC28" s="1206"/>
      <c r="BD28" s="1206"/>
      <c r="BE28" s="1202"/>
    </row>
    <row r="29" spans="1:58" ht="15" thickBot="1">
      <c r="A29" s="1206"/>
      <c r="B29" s="2512" t="s">
        <v>1696</v>
      </c>
      <c r="C29" s="2490"/>
      <c r="D29" s="2490"/>
      <c r="E29" s="2490"/>
      <c r="F29" s="2490"/>
      <c r="G29" s="2490"/>
      <c r="H29" s="2490"/>
      <c r="I29" s="2491"/>
      <c r="J29" s="2489">
        <f>SUM(J19:O28)</f>
        <v>421</v>
      </c>
      <c r="K29" s="2490"/>
      <c r="L29" s="2490"/>
      <c r="M29" s="2490"/>
      <c r="N29" s="2490"/>
      <c r="O29" s="2491"/>
      <c r="P29" s="2489">
        <f>SUM(P19:U28)</f>
        <v>421</v>
      </c>
      <c r="Q29" s="2490"/>
      <c r="R29" s="2490"/>
      <c r="S29" s="2490"/>
      <c r="T29" s="2490"/>
      <c r="U29" s="2491"/>
      <c r="V29" s="2489">
        <f>SUM(V19:AA28)</f>
        <v>0</v>
      </c>
      <c r="W29" s="2490"/>
      <c r="X29" s="2490"/>
      <c r="Y29" s="2490"/>
      <c r="Z29" s="2490"/>
      <c r="AA29" s="2491"/>
      <c r="AB29" s="2489">
        <f>SUM(AB19:AG28)</f>
        <v>0</v>
      </c>
      <c r="AC29" s="2490"/>
      <c r="AD29" s="2490"/>
      <c r="AE29" s="2490"/>
      <c r="AF29" s="2490"/>
      <c r="AG29" s="2491"/>
      <c r="AH29" s="2489">
        <f>SUM(AH19:AM28)</f>
        <v>0</v>
      </c>
      <c r="AI29" s="2490"/>
      <c r="AJ29" s="2490"/>
      <c r="AK29" s="2490"/>
      <c r="AL29" s="2490"/>
      <c r="AM29" s="2491"/>
      <c r="AN29" s="2489">
        <f>SUM(AN19:AS28)</f>
        <v>0</v>
      </c>
      <c r="AO29" s="2490"/>
      <c r="AP29" s="2490"/>
      <c r="AQ29" s="2490"/>
      <c r="AR29" s="2490"/>
      <c r="AS29" s="2491"/>
      <c r="AT29" s="2505">
        <f t="shared" si="1"/>
        <v>1</v>
      </c>
      <c r="AU29" s="2506"/>
      <c r="AV29" s="2506"/>
      <c r="AW29" s="2506"/>
      <c r="AX29" s="2506"/>
      <c r="AY29" s="2507"/>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93" t="s">
        <v>1798</v>
      </c>
      <c r="C31" s="2494"/>
      <c r="D31" s="2494"/>
      <c r="E31" s="2494"/>
      <c r="F31" s="2494"/>
      <c r="G31" s="2494"/>
      <c r="H31" s="2494"/>
      <c r="I31" s="2494"/>
      <c r="J31" s="2494"/>
      <c r="K31" s="2494"/>
      <c r="L31" s="2494"/>
      <c r="M31" s="2494"/>
      <c r="N31" s="2494"/>
      <c r="O31" s="2494"/>
      <c r="P31" s="2494"/>
      <c r="Q31" s="2494"/>
      <c r="R31" s="2494"/>
      <c r="S31" s="2494"/>
      <c r="T31" s="2494"/>
      <c r="U31" s="2494"/>
      <c r="V31" s="2494"/>
      <c r="W31" s="2494"/>
      <c r="X31" s="2494"/>
      <c r="Y31" s="2494"/>
      <c r="Z31" s="2494"/>
      <c r="AA31" s="2494"/>
      <c r="AB31" s="2494"/>
      <c r="AC31" s="2494"/>
      <c r="AD31" s="2494"/>
      <c r="AE31" s="2494"/>
      <c r="AF31" s="2494"/>
      <c r="AG31" s="2494"/>
      <c r="AH31" s="2494"/>
      <c r="AI31" s="2494"/>
      <c r="AJ31" s="2494"/>
      <c r="AK31" s="2494"/>
      <c r="AL31" s="2494"/>
      <c r="AM31" s="2494"/>
      <c r="AN31" s="2494"/>
      <c r="AO31" s="2494"/>
      <c r="AP31" s="2494"/>
      <c r="AQ31" s="2494"/>
      <c r="AR31" s="2494"/>
      <c r="AS31" s="2494"/>
      <c r="AT31" s="2494"/>
      <c r="AU31" s="2494"/>
      <c r="AV31" s="2494"/>
      <c r="AW31" s="2494"/>
      <c r="AX31" s="2494"/>
      <c r="AY31" s="2494"/>
      <c r="AZ31" s="2494"/>
      <c r="BA31" s="2494"/>
      <c r="BB31" s="2494"/>
      <c r="BC31" s="2494"/>
      <c r="BD31" s="2495"/>
      <c r="BE31" s="1202"/>
    </row>
    <row r="32" spans="1:58" ht="15" thickBot="1">
      <c r="A32" s="1206"/>
      <c r="B32" s="2508" t="s">
        <v>2471</v>
      </c>
      <c r="C32" s="2509"/>
      <c r="D32" s="2509"/>
      <c r="E32" s="2509"/>
      <c r="F32" s="2509"/>
      <c r="G32" s="2509"/>
      <c r="H32" s="2509"/>
      <c r="I32" s="2509"/>
      <c r="J32" s="2541" t="s">
        <v>2472</v>
      </c>
      <c r="K32" s="2542"/>
      <c r="L32" s="2542"/>
      <c r="M32" s="2542"/>
      <c r="N32" s="2541" t="s">
        <v>1799</v>
      </c>
      <c r="O32" s="2542"/>
      <c r="P32" s="2542"/>
      <c r="Q32" s="2544"/>
      <c r="R32" s="2502" t="s">
        <v>1800</v>
      </c>
      <c r="S32" s="2503"/>
      <c r="T32" s="2503"/>
      <c r="U32" s="2503"/>
      <c r="V32" s="2503"/>
      <c r="W32" s="2503"/>
      <c r="X32" s="2503"/>
      <c r="Y32" s="2503"/>
      <c r="Z32" s="2503"/>
      <c r="AA32" s="2503"/>
      <c r="AB32" s="2503"/>
      <c r="AC32" s="2503"/>
      <c r="AD32" s="2503"/>
      <c r="AE32" s="2503"/>
      <c r="AF32" s="2503"/>
      <c r="AG32" s="2503"/>
      <c r="AH32" s="2503"/>
      <c r="AI32" s="2503"/>
      <c r="AJ32" s="2503"/>
      <c r="AK32" s="2503"/>
      <c r="AL32" s="2503"/>
      <c r="AM32" s="2503"/>
      <c r="AN32" s="2503"/>
      <c r="AO32" s="2503"/>
      <c r="AP32" s="2503"/>
      <c r="AQ32" s="2503"/>
      <c r="AR32" s="2503"/>
      <c r="AS32" s="2503"/>
      <c r="AT32" s="2503"/>
      <c r="AU32" s="2503"/>
      <c r="AV32" s="2503"/>
      <c r="AW32" s="2503"/>
      <c r="AX32" s="2503"/>
      <c r="AY32" s="2503"/>
      <c r="AZ32" s="2503"/>
      <c r="BA32" s="2503"/>
      <c r="BB32" s="2503"/>
      <c r="BC32" s="2503"/>
      <c r="BD32" s="2504"/>
      <c r="BE32" s="1202"/>
    </row>
    <row r="33" spans="1:58" ht="15" customHeight="1">
      <c r="A33" s="1206"/>
      <c r="B33" s="2510"/>
      <c r="C33" s="2511"/>
      <c r="D33" s="2511"/>
      <c r="E33" s="2511"/>
      <c r="F33" s="2511"/>
      <c r="G33" s="2511"/>
      <c r="H33" s="2511"/>
      <c r="I33" s="2511"/>
      <c r="J33" s="2543"/>
      <c r="K33" s="2543"/>
      <c r="L33" s="2543"/>
      <c r="M33" s="2543"/>
      <c r="N33" s="2543"/>
      <c r="O33" s="2543"/>
      <c r="P33" s="2543"/>
      <c r="Q33" s="2545"/>
      <c r="R33" s="2496" t="s">
        <v>1801</v>
      </c>
      <c r="S33" s="2497"/>
      <c r="T33" s="2497"/>
      <c r="U33" s="2497"/>
      <c r="V33" s="2497"/>
      <c r="W33" s="2497"/>
      <c r="X33" s="2497"/>
      <c r="Y33" s="2497"/>
      <c r="Z33" s="2497"/>
      <c r="AA33" s="2497"/>
      <c r="AB33" s="2497"/>
      <c r="AC33" s="2497"/>
      <c r="AD33" s="2497"/>
      <c r="AE33" s="2497"/>
      <c r="AF33" s="2497"/>
      <c r="AG33" s="2497"/>
      <c r="AH33" s="2497"/>
      <c r="AI33" s="2497"/>
      <c r="AJ33" s="2497"/>
      <c r="AK33" s="2497"/>
      <c r="AL33" s="2497"/>
      <c r="AM33" s="2497"/>
      <c r="AN33" s="2497"/>
      <c r="AO33" s="2497"/>
      <c r="AP33" s="2497"/>
      <c r="AQ33" s="2497"/>
      <c r="AR33" s="2497"/>
      <c r="AS33" s="2497"/>
      <c r="AT33" s="2497"/>
      <c r="AU33" s="2497"/>
      <c r="AV33" s="2497"/>
      <c r="AW33" s="2497"/>
      <c r="AX33" s="2497"/>
      <c r="AY33" s="2497"/>
      <c r="AZ33" s="2497"/>
      <c r="BA33" s="2497"/>
      <c r="BB33" s="2497"/>
      <c r="BC33" s="2497"/>
      <c r="BD33" s="2498"/>
      <c r="BE33" s="1202"/>
    </row>
    <row r="34" spans="1:58" ht="15.75" customHeight="1" thickBot="1">
      <c r="A34" s="1206"/>
      <c r="B34" s="2510"/>
      <c r="C34" s="2511"/>
      <c r="D34" s="2511"/>
      <c r="E34" s="2511"/>
      <c r="F34" s="2511"/>
      <c r="G34" s="2511"/>
      <c r="H34" s="2511"/>
      <c r="I34" s="2511"/>
      <c r="J34" s="2543"/>
      <c r="K34" s="2543"/>
      <c r="L34" s="2543"/>
      <c r="M34" s="2543"/>
      <c r="N34" s="2543"/>
      <c r="O34" s="2543"/>
      <c r="P34" s="2543"/>
      <c r="Q34" s="2545"/>
      <c r="R34" s="2499"/>
      <c r="S34" s="2500"/>
      <c r="T34" s="2500"/>
      <c r="U34" s="2500"/>
      <c r="V34" s="2500"/>
      <c r="W34" s="2500"/>
      <c r="X34" s="2500"/>
      <c r="Y34" s="2500"/>
      <c r="Z34" s="2500"/>
      <c r="AA34" s="2500"/>
      <c r="AB34" s="2500"/>
      <c r="AC34" s="2500"/>
      <c r="AD34" s="2500"/>
      <c r="AE34" s="2500"/>
      <c r="AF34" s="2500"/>
      <c r="AG34" s="2500"/>
      <c r="AH34" s="2500"/>
      <c r="AI34" s="2500"/>
      <c r="AJ34" s="2500"/>
      <c r="AK34" s="2500"/>
      <c r="AL34" s="2500"/>
      <c r="AM34" s="2500"/>
      <c r="AN34" s="2500"/>
      <c r="AO34" s="2500"/>
      <c r="AP34" s="2500"/>
      <c r="AQ34" s="2500"/>
      <c r="AR34" s="2500"/>
      <c r="AS34" s="2500"/>
      <c r="AT34" s="2500"/>
      <c r="AU34" s="2500"/>
      <c r="AV34" s="2500"/>
      <c r="AW34" s="2500"/>
      <c r="AX34" s="2500"/>
      <c r="AY34" s="2500"/>
      <c r="AZ34" s="2500"/>
      <c r="BA34" s="2500"/>
      <c r="BB34" s="2500"/>
      <c r="BC34" s="2500"/>
      <c r="BD34" s="2501"/>
      <c r="BE34" s="1202"/>
    </row>
    <row r="35" spans="1:58" ht="15.75" customHeight="1">
      <c r="A35" s="1206"/>
      <c r="B35" s="2510"/>
      <c r="C35" s="2511"/>
      <c r="D35" s="2511"/>
      <c r="E35" s="2511"/>
      <c r="F35" s="2511"/>
      <c r="G35" s="2511"/>
      <c r="H35" s="2511"/>
      <c r="I35" s="2511"/>
      <c r="J35" s="2543"/>
      <c r="K35" s="2543"/>
      <c r="L35" s="2543"/>
      <c r="M35" s="2543"/>
      <c r="N35" s="2543"/>
      <c r="O35" s="2543"/>
      <c r="P35" s="2543"/>
      <c r="Q35" s="2543"/>
      <c r="R35" s="2492">
        <v>0.3</v>
      </c>
      <c r="S35" s="2492"/>
      <c r="T35" s="2492"/>
      <c r="U35" s="2492"/>
      <c r="V35" s="2492">
        <v>0.4</v>
      </c>
      <c r="W35" s="2492"/>
      <c r="X35" s="2492"/>
      <c r="Y35" s="2492"/>
      <c r="Z35" s="2492">
        <v>0.5</v>
      </c>
      <c r="AA35" s="2492"/>
      <c r="AB35" s="2492"/>
      <c r="AC35" s="2492"/>
      <c r="AD35" s="2492">
        <v>0.6</v>
      </c>
      <c r="AE35" s="2492"/>
      <c r="AF35" s="2492"/>
      <c r="AG35" s="2492"/>
      <c r="AH35" s="2492">
        <v>0.7</v>
      </c>
      <c r="AI35" s="2492"/>
      <c r="AJ35" s="2492"/>
      <c r="AK35" s="2492"/>
      <c r="AL35" s="2513">
        <v>0.8</v>
      </c>
      <c r="AM35" s="2514"/>
      <c r="AN35" s="2514"/>
      <c r="AO35" s="2515"/>
      <c r="AP35" s="2516">
        <v>1.2</v>
      </c>
      <c r="AQ35" s="2517"/>
      <c r="AR35" s="2518"/>
      <c r="AS35" s="2519" t="s">
        <v>1802</v>
      </c>
      <c r="AT35" s="2520"/>
      <c r="AU35" s="2520"/>
      <c r="AV35" s="2520"/>
      <c r="AW35" s="2520"/>
      <c r="AX35" s="2521"/>
      <c r="AY35" s="2519" t="s">
        <v>1803</v>
      </c>
      <c r="AZ35" s="2520"/>
      <c r="BA35" s="2520"/>
      <c r="BB35" s="2520"/>
      <c r="BC35" s="2520"/>
      <c r="BD35" s="2522"/>
      <c r="BE35" s="1202"/>
    </row>
    <row r="36" spans="1:58" ht="15.75" customHeight="1">
      <c r="A36" s="1206"/>
      <c r="B36" s="2250" t="s">
        <v>1804</v>
      </c>
      <c r="C36" s="2251"/>
      <c r="D36" s="2251"/>
      <c r="E36" s="2251"/>
      <c r="F36" s="2251"/>
      <c r="G36" s="2251"/>
      <c r="H36" s="2251"/>
      <c r="I36" s="2251"/>
      <c r="J36" s="2482" t="s">
        <v>1805</v>
      </c>
      <c r="K36" s="2482"/>
      <c r="L36" s="2482"/>
      <c r="M36" s="2482"/>
      <c r="N36" s="2482">
        <v>55</v>
      </c>
      <c r="O36" s="2482"/>
      <c r="P36" s="2482"/>
      <c r="Q36" s="2482"/>
      <c r="R36" s="2228">
        <v>0</v>
      </c>
      <c r="S36" s="2228"/>
      <c r="T36" s="2228"/>
      <c r="U36" s="2228"/>
      <c r="V36" s="2228">
        <v>0</v>
      </c>
      <c r="W36" s="2228"/>
      <c r="X36" s="2228"/>
      <c r="Y36" s="2228"/>
      <c r="Z36" s="2228">
        <v>0</v>
      </c>
      <c r="AA36" s="2228"/>
      <c r="AB36" s="2228"/>
      <c r="AC36" s="2228"/>
      <c r="AD36" s="2228">
        <v>0</v>
      </c>
      <c r="AE36" s="2228"/>
      <c r="AF36" s="2228"/>
      <c r="AG36" s="2228"/>
      <c r="AH36" s="2228">
        <v>0</v>
      </c>
      <c r="AI36" s="2228"/>
      <c r="AJ36" s="2228"/>
      <c r="AK36" s="2228"/>
      <c r="AL36" s="2229">
        <v>0</v>
      </c>
      <c r="AM36" s="2230"/>
      <c r="AN36" s="2230"/>
      <c r="AO36" s="2231"/>
      <c r="AP36" s="2229">
        <v>0</v>
      </c>
      <c r="AQ36" s="2230"/>
      <c r="AR36" s="2231"/>
      <c r="AS36" s="2232">
        <f t="shared" ref="AS36:AS47" si="2">SUM(R36:AR36)</f>
        <v>0</v>
      </c>
      <c r="AT36" s="2233"/>
      <c r="AU36" s="2233"/>
      <c r="AV36" s="2233"/>
      <c r="AW36" s="2233"/>
      <c r="AX36" s="2234"/>
      <c r="AY36" s="2486">
        <f t="shared" ref="AY36:AY47" si="3">AS36/$J$29</f>
        <v>0</v>
      </c>
      <c r="AZ36" s="2487"/>
      <c r="BA36" s="2487"/>
      <c r="BB36" s="2487"/>
      <c r="BC36" s="2487"/>
      <c r="BD36" s="2488"/>
      <c r="BE36" s="1202"/>
    </row>
    <row r="37" spans="1:58" ht="15.75" customHeight="1">
      <c r="A37" s="1206"/>
      <c r="B37" s="2250" t="s">
        <v>2473</v>
      </c>
      <c r="C37" s="2251"/>
      <c r="D37" s="2251"/>
      <c r="E37" s="2251"/>
      <c r="F37" s="2251"/>
      <c r="G37" s="2251"/>
      <c r="H37" s="2251"/>
      <c r="I37" s="2251"/>
      <c r="J37" s="2482" t="s">
        <v>1806</v>
      </c>
      <c r="K37" s="2482"/>
      <c r="L37" s="2482"/>
      <c r="M37" s="2482"/>
      <c r="N37" s="2482">
        <v>55</v>
      </c>
      <c r="O37" s="2482"/>
      <c r="P37" s="2482"/>
      <c r="Q37" s="2482"/>
      <c r="R37" s="2228">
        <v>0</v>
      </c>
      <c r="S37" s="2228"/>
      <c r="T37" s="2228"/>
      <c r="U37" s="2228"/>
      <c r="V37" s="2228"/>
      <c r="W37" s="2228"/>
      <c r="X37" s="2228"/>
      <c r="Y37" s="2228"/>
      <c r="Z37" s="2228"/>
      <c r="AA37" s="2228"/>
      <c r="AB37" s="2228"/>
      <c r="AC37" s="2228"/>
      <c r="AD37" s="2228"/>
      <c r="AE37" s="2228"/>
      <c r="AF37" s="2228"/>
      <c r="AG37" s="2228"/>
      <c r="AH37" s="2228"/>
      <c r="AI37" s="2228"/>
      <c r="AJ37" s="2228"/>
      <c r="AK37" s="2228"/>
      <c r="AL37" s="2229"/>
      <c r="AM37" s="2230"/>
      <c r="AN37" s="2230"/>
      <c r="AO37" s="2231"/>
      <c r="AP37" s="2229"/>
      <c r="AQ37" s="2230"/>
      <c r="AR37" s="2231"/>
      <c r="AS37" s="2232">
        <f t="shared" si="2"/>
        <v>0</v>
      </c>
      <c r="AT37" s="2233"/>
      <c r="AU37" s="2233"/>
      <c r="AV37" s="2233"/>
      <c r="AW37" s="2233"/>
      <c r="AX37" s="2234"/>
      <c r="AY37" s="2486">
        <f t="shared" si="3"/>
        <v>0</v>
      </c>
      <c r="AZ37" s="2487"/>
      <c r="BA37" s="2487"/>
      <c r="BB37" s="2487"/>
      <c r="BC37" s="2487"/>
      <c r="BD37" s="2488"/>
      <c r="BE37" s="1202"/>
    </row>
    <row r="38" spans="1:58" ht="15.75" customHeight="1">
      <c r="A38" s="1206"/>
      <c r="B38" s="2250" t="s">
        <v>2412</v>
      </c>
      <c r="C38" s="2251"/>
      <c r="D38" s="2251"/>
      <c r="E38" s="2251"/>
      <c r="F38" s="2251"/>
      <c r="G38" s="2251"/>
      <c r="H38" s="2251"/>
      <c r="I38" s="2251"/>
      <c r="J38" s="2482" t="s">
        <v>1807</v>
      </c>
      <c r="K38" s="2482"/>
      <c r="L38" s="2482"/>
      <c r="M38" s="2482"/>
      <c r="N38" s="2482">
        <v>55</v>
      </c>
      <c r="O38" s="2482"/>
      <c r="P38" s="2482"/>
      <c r="Q38" s="2482"/>
      <c r="R38" s="2228"/>
      <c r="S38" s="2228"/>
      <c r="T38" s="2228"/>
      <c r="U38" s="2228"/>
      <c r="V38" s="2228"/>
      <c r="W38" s="2228"/>
      <c r="X38" s="2228"/>
      <c r="Y38" s="2228"/>
      <c r="Z38" s="2228"/>
      <c r="AA38" s="2228"/>
      <c r="AB38" s="2228"/>
      <c r="AC38" s="2228"/>
      <c r="AD38" s="2228"/>
      <c r="AE38" s="2228"/>
      <c r="AF38" s="2228"/>
      <c r="AG38" s="2228"/>
      <c r="AH38" s="2228"/>
      <c r="AI38" s="2228"/>
      <c r="AJ38" s="2228"/>
      <c r="AK38" s="2228"/>
      <c r="AL38" s="2229"/>
      <c r="AM38" s="2230"/>
      <c r="AN38" s="2230"/>
      <c r="AO38" s="2231"/>
      <c r="AP38" s="2229"/>
      <c r="AQ38" s="2230"/>
      <c r="AR38" s="2231"/>
      <c r="AS38" s="2232">
        <f t="shared" si="2"/>
        <v>0</v>
      </c>
      <c r="AT38" s="2233"/>
      <c r="AU38" s="2233"/>
      <c r="AV38" s="2233"/>
      <c r="AW38" s="2233"/>
      <c r="AX38" s="2234"/>
      <c r="AY38" s="2486">
        <f t="shared" si="3"/>
        <v>0</v>
      </c>
      <c r="AZ38" s="2487"/>
      <c r="BA38" s="2487"/>
      <c r="BB38" s="2487"/>
      <c r="BC38" s="2487"/>
      <c r="BD38" s="2488"/>
      <c r="BE38" s="1202"/>
    </row>
    <row r="39" spans="1:58" ht="15.75" customHeight="1">
      <c r="A39" s="1206"/>
      <c r="B39" s="2250" t="s">
        <v>1808</v>
      </c>
      <c r="C39" s="2251"/>
      <c r="D39" s="2251"/>
      <c r="E39" s="2251"/>
      <c r="F39" s="2251"/>
      <c r="G39" s="2251"/>
      <c r="H39" s="2251"/>
      <c r="I39" s="2251"/>
      <c r="J39" s="2482"/>
      <c r="K39" s="2482"/>
      <c r="L39" s="2482"/>
      <c r="M39" s="2482"/>
      <c r="N39" s="2482"/>
      <c r="O39" s="2482"/>
      <c r="P39" s="2482"/>
      <c r="Q39" s="2482"/>
      <c r="R39" s="2228"/>
      <c r="S39" s="2228"/>
      <c r="T39" s="2228"/>
      <c r="U39" s="2228"/>
      <c r="V39" s="2228"/>
      <c r="W39" s="2228"/>
      <c r="X39" s="2228"/>
      <c r="Y39" s="2228"/>
      <c r="Z39" s="2228"/>
      <c r="AA39" s="2228"/>
      <c r="AB39" s="2228"/>
      <c r="AC39" s="2228"/>
      <c r="AD39" s="2228"/>
      <c r="AE39" s="2228"/>
      <c r="AF39" s="2228"/>
      <c r="AG39" s="2228"/>
      <c r="AH39" s="2228"/>
      <c r="AI39" s="2228"/>
      <c r="AJ39" s="2228"/>
      <c r="AK39" s="2228"/>
      <c r="AL39" s="2229"/>
      <c r="AM39" s="2230"/>
      <c r="AN39" s="2230"/>
      <c r="AO39" s="2231"/>
      <c r="AP39" s="2229"/>
      <c r="AQ39" s="2230"/>
      <c r="AR39" s="2231"/>
      <c r="AS39" s="2232">
        <f t="shared" si="2"/>
        <v>0</v>
      </c>
      <c r="AT39" s="2233"/>
      <c r="AU39" s="2233"/>
      <c r="AV39" s="2233"/>
      <c r="AW39" s="2233"/>
      <c r="AX39" s="2234"/>
      <c r="AY39" s="2486">
        <f t="shared" si="3"/>
        <v>0</v>
      </c>
      <c r="AZ39" s="2487"/>
      <c r="BA39" s="2487"/>
      <c r="BB39" s="2487"/>
      <c r="BC39" s="2487"/>
      <c r="BD39" s="2488"/>
      <c r="BE39" s="1202"/>
    </row>
    <row r="40" spans="1:58" ht="15.75" customHeight="1">
      <c r="A40" s="1206"/>
      <c r="B40" s="2250" t="s">
        <v>1808</v>
      </c>
      <c r="C40" s="2251"/>
      <c r="D40" s="2251"/>
      <c r="E40" s="2251"/>
      <c r="F40" s="2251"/>
      <c r="G40" s="2251"/>
      <c r="H40" s="2251"/>
      <c r="I40" s="2251"/>
      <c r="J40" s="2482"/>
      <c r="K40" s="2482"/>
      <c r="L40" s="2482"/>
      <c r="M40" s="2482"/>
      <c r="N40" s="2482"/>
      <c r="O40" s="2482"/>
      <c r="P40" s="2482"/>
      <c r="Q40" s="2482"/>
      <c r="R40" s="2228"/>
      <c r="S40" s="2228"/>
      <c r="T40" s="2228"/>
      <c r="U40" s="2228"/>
      <c r="V40" s="2228"/>
      <c r="W40" s="2228"/>
      <c r="X40" s="2228"/>
      <c r="Y40" s="2228"/>
      <c r="Z40" s="2228"/>
      <c r="AA40" s="2228"/>
      <c r="AB40" s="2228"/>
      <c r="AC40" s="2228"/>
      <c r="AD40" s="2228"/>
      <c r="AE40" s="2228"/>
      <c r="AF40" s="2228"/>
      <c r="AG40" s="2228"/>
      <c r="AH40" s="2228"/>
      <c r="AI40" s="2228"/>
      <c r="AJ40" s="2228"/>
      <c r="AK40" s="2228"/>
      <c r="AL40" s="2229"/>
      <c r="AM40" s="2230"/>
      <c r="AN40" s="2230"/>
      <c r="AO40" s="2231"/>
      <c r="AP40" s="2229"/>
      <c r="AQ40" s="2230"/>
      <c r="AR40" s="2231"/>
      <c r="AS40" s="2232">
        <f t="shared" si="2"/>
        <v>0</v>
      </c>
      <c r="AT40" s="2233"/>
      <c r="AU40" s="2233"/>
      <c r="AV40" s="2233"/>
      <c r="AW40" s="2233"/>
      <c r="AX40" s="2234"/>
      <c r="AY40" s="2486">
        <f t="shared" si="3"/>
        <v>0</v>
      </c>
      <c r="AZ40" s="2487"/>
      <c r="BA40" s="2487"/>
      <c r="BB40" s="2487"/>
      <c r="BC40" s="2487"/>
      <c r="BD40" s="2488"/>
      <c r="BE40" s="1202"/>
    </row>
    <row r="41" spans="1:58" ht="15.75" customHeight="1">
      <c r="A41" s="1206"/>
      <c r="B41" s="2250" t="s">
        <v>1809</v>
      </c>
      <c r="C41" s="2251"/>
      <c r="D41" s="2251"/>
      <c r="E41" s="2251"/>
      <c r="F41" s="2251"/>
      <c r="G41" s="2251"/>
      <c r="H41" s="2251"/>
      <c r="I41" s="2251"/>
      <c r="J41" s="2482"/>
      <c r="K41" s="2482"/>
      <c r="L41" s="2482"/>
      <c r="M41" s="2482"/>
      <c r="N41" s="2482"/>
      <c r="O41" s="2482"/>
      <c r="P41" s="2482"/>
      <c r="Q41" s="2482"/>
      <c r="R41" s="2228"/>
      <c r="S41" s="2228"/>
      <c r="T41" s="2228"/>
      <c r="U41" s="2228"/>
      <c r="V41" s="2228"/>
      <c r="W41" s="2228"/>
      <c r="X41" s="2228"/>
      <c r="Y41" s="2228"/>
      <c r="Z41" s="2228"/>
      <c r="AA41" s="2228"/>
      <c r="AB41" s="2228"/>
      <c r="AC41" s="2228"/>
      <c r="AD41" s="2228"/>
      <c r="AE41" s="2228"/>
      <c r="AF41" s="2228"/>
      <c r="AG41" s="2228"/>
      <c r="AH41" s="2228"/>
      <c r="AI41" s="2228"/>
      <c r="AJ41" s="2228"/>
      <c r="AK41" s="2228"/>
      <c r="AL41" s="2229"/>
      <c r="AM41" s="2230"/>
      <c r="AN41" s="2230"/>
      <c r="AO41" s="2231"/>
      <c r="AP41" s="2229"/>
      <c r="AQ41" s="2230"/>
      <c r="AR41" s="2231"/>
      <c r="AS41" s="2232">
        <f t="shared" si="2"/>
        <v>0</v>
      </c>
      <c r="AT41" s="2233"/>
      <c r="AU41" s="2233"/>
      <c r="AV41" s="2233"/>
      <c r="AW41" s="2233"/>
      <c r="AX41" s="2234"/>
      <c r="AY41" s="2486">
        <f t="shared" si="3"/>
        <v>0</v>
      </c>
      <c r="AZ41" s="2487"/>
      <c r="BA41" s="2487"/>
      <c r="BB41" s="2487"/>
      <c r="BC41" s="2487"/>
      <c r="BD41" s="2488"/>
      <c r="BE41" s="1202"/>
    </row>
    <row r="42" spans="1:58" ht="15.75" customHeight="1">
      <c r="A42" s="1206"/>
      <c r="B42" s="2250" t="s">
        <v>1809</v>
      </c>
      <c r="C42" s="2251"/>
      <c r="D42" s="2251"/>
      <c r="E42" s="2251"/>
      <c r="F42" s="2251"/>
      <c r="G42" s="2251"/>
      <c r="H42" s="2251"/>
      <c r="I42" s="2251"/>
      <c r="J42" s="2482"/>
      <c r="K42" s="2482"/>
      <c r="L42" s="2482"/>
      <c r="M42" s="2482"/>
      <c r="N42" s="2482"/>
      <c r="O42" s="2482"/>
      <c r="P42" s="2482"/>
      <c r="Q42" s="2482"/>
      <c r="R42" s="2228"/>
      <c r="S42" s="2228"/>
      <c r="T42" s="2228"/>
      <c r="U42" s="2228"/>
      <c r="V42" s="2228"/>
      <c r="W42" s="2228"/>
      <c r="X42" s="2228"/>
      <c r="Y42" s="2228"/>
      <c r="Z42" s="2228"/>
      <c r="AA42" s="2228"/>
      <c r="AB42" s="2228"/>
      <c r="AC42" s="2228"/>
      <c r="AD42" s="2228"/>
      <c r="AE42" s="2228"/>
      <c r="AF42" s="2228"/>
      <c r="AG42" s="2228"/>
      <c r="AH42" s="2228"/>
      <c r="AI42" s="2228"/>
      <c r="AJ42" s="2228"/>
      <c r="AK42" s="2228"/>
      <c r="AL42" s="2229"/>
      <c r="AM42" s="2230"/>
      <c r="AN42" s="2230"/>
      <c r="AO42" s="2231"/>
      <c r="AP42" s="2229"/>
      <c r="AQ42" s="2230"/>
      <c r="AR42" s="2231"/>
      <c r="AS42" s="2232">
        <f t="shared" si="2"/>
        <v>0</v>
      </c>
      <c r="AT42" s="2233"/>
      <c r="AU42" s="2233"/>
      <c r="AV42" s="2233"/>
      <c r="AW42" s="2233"/>
      <c r="AX42" s="2234"/>
      <c r="AY42" s="2486">
        <f t="shared" si="3"/>
        <v>0</v>
      </c>
      <c r="AZ42" s="2487"/>
      <c r="BA42" s="2487"/>
      <c r="BB42" s="2487"/>
      <c r="BC42" s="2487"/>
      <c r="BD42" s="2488"/>
      <c r="BE42" s="1202"/>
    </row>
    <row r="43" spans="1:58" ht="15.75" customHeight="1">
      <c r="A43" s="1206"/>
      <c r="B43" s="2221" t="s">
        <v>1810</v>
      </c>
      <c r="C43" s="2222"/>
      <c r="D43" s="2222"/>
      <c r="E43" s="2222"/>
      <c r="F43" s="2222"/>
      <c r="G43" s="2222"/>
      <c r="H43" s="2222"/>
      <c r="I43" s="2222"/>
      <c r="J43" s="2482"/>
      <c r="K43" s="2482"/>
      <c r="L43" s="2482"/>
      <c r="M43" s="2482"/>
      <c r="N43" s="2482"/>
      <c r="O43" s="2482"/>
      <c r="P43" s="2482"/>
      <c r="Q43" s="2482"/>
      <c r="R43" s="2228"/>
      <c r="S43" s="2228"/>
      <c r="T43" s="2228"/>
      <c r="U43" s="2228"/>
      <c r="V43" s="2228"/>
      <c r="W43" s="2228"/>
      <c r="X43" s="2228"/>
      <c r="Y43" s="2228"/>
      <c r="Z43" s="2228"/>
      <c r="AA43" s="2228"/>
      <c r="AB43" s="2228"/>
      <c r="AC43" s="2228"/>
      <c r="AD43" s="2228"/>
      <c r="AE43" s="2228"/>
      <c r="AF43" s="2228"/>
      <c r="AG43" s="2228"/>
      <c r="AH43" s="2228"/>
      <c r="AI43" s="2228"/>
      <c r="AJ43" s="2228"/>
      <c r="AK43" s="2228"/>
      <c r="AL43" s="2229"/>
      <c r="AM43" s="2230"/>
      <c r="AN43" s="2230"/>
      <c r="AO43" s="2231"/>
      <c r="AP43" s="2229"/>
      <c r="AQ43" s="2230"/>
      <c r="AR43" s="2231"/>
      <c r="AS43" s="2232">
        <f t="shared" si="2"/>
        <v>0</v>
      </c>
      <c r="AT43" s="2233"/>
      <c r="AU43" s="2233"/>
      <c r="AV43" s="2233"/>
      <c r="AW43" s="2233"/>
      <c r="AX43" s="2234"/>
      <c r="AY43" s="2486">
        <f t="shared" si="3"/>
        <v>0</v>
      </c>
      <c r="AZ43" s="2487"/>
      <c r="BA43" s="2487"/>
      <c r="BB43" s="2487"/>
      <c r="BC43" s="2487"/>
      <c r="BD43" s="2488"/>
      <c r="BE43" s="1202"/>
    </row>
    <row r="44" spans="1:58" ht="15.75" customHeight="1">
      <c r="A44" s="1206"/>
      <c r="B44" s="2221" t="s">
        <v>1811</v>
      </c>
      <c r="C44" s="2222"/>
      <c r="D44" s="2222"/>
      <c r="E44" s="2222"/>
      <c r="F44" s="2222"/>
      <c r="G44" s="2222"/>
      <c r="H44" s="2222"/>
      <c r="I44" s="2222"/>
      <c r="J44" s="2482"/>
      <c r="K44" s="2482"/>
      <c r="L44" s="2482"/>
      <c r="M44" s="2482"/>
      <c r="N44" s="2482"/>
      <c r="O44" s="2482"/>
      <c r="P44" s="2482"/>
      <c r="Q44" s="2482"/>
      <c r="R44" s="2228"/>
      <c r="S44" s="2228"/>
      <c r="T44" s="2228"/>
      <c r="U44" s="2228"/>
      <c r="V44" s="2228"/>
      <c r="W44" s="2228"/>
      <c r="X44" s="2228"/>
      <c r="Y44" s="2228"/>
      <c r="Z44" s="2228"/>
      <c r="AA44" s="2228"/>
      <c r="AB44" s="2228"/>
      <c r="AC44" s="2228"/>
      <c r="AD44" s="2228"/>
      <c r="AE44" s="2228"/>
      <c r="AF44" s="2228"/>
      <c r="AG44" s="2228"/>
      <c r="AH44" s="2228"/>
      <c r="AI44" s="2228"/>
      <c r="AJ44" s="2228"/>
      <c r="AK44" s="2228"/>
      <c r="AL44" s="2229"/>
      <c r="AM44" s="2230"/>
      <c r="AN44" s="2230"/>
      <c r="AO44" s="2231"/>
      <c r="AP44" s="2229"/>
      <c r="AQ44" s="2230"/>
      <c r="AR44" s="2231"/>
      <c r="AS44" s="2232">
        <f t="shared" si="2"/>
        <v>0</v>
      </c>
      <c r="AT44" s="2233"/>
      <c r="AU44" s="2233"/>
      <c r="AV44" s="2233"/>
      <c r="AW44" s="2233"/>
      <c r="AX44" s="2234"/>
      <c r="AY44" s="2486">
        <f t="shared" si="3"/>
        <v>0</v>
      </c>
      <c r="AZ44" s="2487"/>
      <c r="BA44" s="2487"/>
      <c r="BB44" s="2487"/>
      <c r="BC44" s="2487"/>
      <c r="BD44" s="2488"/>
      <c r="BE44" s="1202"/>
    </row>
    <row r="45" spans="1:58" ht="15.75" customHeight="1">
      <c r="A45" s="1206"/>
      <c r="B45" s="2221" t="s">
        <v>1812</v>
      </c>
      <c r="C45" s="2222"/>
      <c r="D45" s="2222"/>
      <c r="E45" s="2222"/>
      <c r="F45" s="2222"/>
      <c r="G45" s="2222"/>
      <c r="H45" s="2222"/>
      <c r="I45" s="2222"/>
      <c r="J45" s="2482"/>
      <c r="K45" s="2482"/>
      <c r="L45" s="2482"/>
      <c r="M45" s="2482"/>
      <c r="N45" s="2482"/>
      <c r="O45" s="2482"/>
      <c r="P45" s="2482"/>
      <c r="Q45" s="2482"/>
      <c r="R45" s="2228"/>
      <c r="S45" s="2228"/>
      <c r="T45" s="2228"/>
      <c r="U45" s="2228"/>
      <c r="V45" s="2228"/>
      <c r="W45" s="2228"/>
      <c r="X45" s="2228"/>
      <c r="Y45" s="2228"/>
      <c r="Z45" s="2228"/>
      <c r="AA45" s="2228"/>
      <c r="AB45" s="2228"/>
      <c r="AC45" s="2228"/>
      <c r="AD45" s="2228"/>
      <c r="AE45" s="2228"/>
      <c r="AF45" s="2228"/>
      <c r="AG45" s="2228"/>
      <c r="AH45" s="2228"/>
      <c r="AI45" s="2228"/>
      <c r="AJ45" s="2228"/>
      <c r="AK45" s="2228"/>
      <c r="AL45" s="2229"/>
      <c r="AM45" s="2230"/>
      <c r="AN45" s="2230"/>
      <c r="AO45" s="2231"/>
      <c r="AP45" s="2229"/>
      <c r="AQ45" s="2230"/>
      <c r="AR45" s="2231"/>
      <c r="AS45" s="2232">
        <f t="shared" si="2"/>
        <v>0</v>
      </c>
      <c r="AT45" s="2233"/>
      <c r="AU45" s="2233"/>
      <c r="AV45" s="2233"/>
      <c r="AW45" s="2233"/>
      <c r="AX45" s="2234"/>
      <c r="AY45" s="2486">
        <f t="shared" si="3"/>
        <v>0</v>
      </c>
      <c r="AZ45" s="2487"/>
      <c r="BA45" s="2487"/>
      <c r="BB45" s="2487"/>
      <c r="BC45" s="2487"/>
      <c r="BD45" s="2488"/>
      <c r="BE45" s="1202"/>
    </row>
    <row r="46" spans="1:58" ht="15.75" customHeight="1">
      <c r="A46" s="1206"/>
      <c r="B46" s="2221" t="s">
        <v>1813</v>
      </c>
      <c r="C46" s="2222"/>
      <c r="D46" s="2222"/>
      <c r="E46" s="2222"/>
      <c r="F46" s="2222"/>
      <c r="G46" s="2222"/>
      <c r="H46" s="2222"/>
      <c r="I46" s="2222"/>
      <c r="J46" s="2482"/>
      <c r="K46" s="2482"/>
      <c r="L46" s="2482"/>
      <c r="M46" s="2482"/>
      <c r="N46" s="2482">
        <v>99</v>
      </c>
      <c r="O46" s="2482"/>
      <c r="P46" s="2482"/>
      <c r="Q46" s="2482"/>
      <c r="R46" s="2228"/>
      <c r="S46" s="2228"/>
      <c r="T46" s="2228"/>
      <c r="U46" s="2228"/>
      <c r="V46" s="2228"/>
      <c r="W46" s="2228"/>
      <c r="X46" s="2228"/>
      <c r="Y46" s="2228"/>
      <c r="Z46" s="2228"/>
      <c r="AA46" s="2228"/>
      <c r="AB46" s="2228"/>
      <c r="AC46" s="2228"/>
      <c r="AD46" s="2228"/>
      <c r="AE46" s="2228"/>
      <c r="AF46" s="2228"/>
      <c r="AG46" s="2228"/>
      <c r="AH46" s="2228"/>
      <c r="AI46" s="2228"/>
      <c r="AJ46" s="2228"/>
      <c r="AK46" s="2228"/>
      <c r="AL46" s="2229"/>
      <c r="AM46" s="2230"/>
      <c r="AN46" s="2230"/>
      <c r="AO46" s="2231"/>
      <c r="AP46" s="2229"/>
      <c r="AQ46" s="2230"/>
      <c r="AR46" s="2231"/>
      <c r="AS46" s="2232">
        <f t="shared" si="2"/>
        <v>0</v>
      </c>
      <c r="AT46" s="2233"/>
      <c r="AU46" s="2233"/>
      <c r="AV46" s="2233"/>
      <c r="AW46" s="2233"/>
      <c r="AX46" s="2234"/>
      <c r="AY46" s="2486">
        <f t="shared" si="3"/>
        <v>0</v>
      </c>
      <c r="AZ46" s="2487"/>
      <c r="BA46" s="2487"/>
      <c r="BB46" s="2487"/>
      <c r="BC46" s="2487"/>
      <c r="BD46" s="2488"/>
      <c r="BE46" s="1202"/>
    </row>
    <row r="47" spans="1:58" ht="15.75" customHeight="1" thickBot="1">
      <c r="A47" s="1206"/>
      <c r="B47" s="2479" t="s">
        <v>300</v>
      </c>
      <c r="C47" s="2480"/>
      <c r="D47" s="2480"/>
      <c r="E47" s="2480"/>
      <c r="F47" s="2480"/>
      <c r="G47" s="2480"/>
      <c r="H47" s="2480"/>
      <c r="I47" s="2480"/>
      <c r="J47" s="2481"/>
      <c r="K47" s="2481"/>
      <c r="L47" s="2481"/>
      <c r="M47" s="2481"/>
      <c r="N47" s="2481"/>
      <c r="O47" s="2481"/>
      <c r="P47" s="2481"/>
      <c r="Q47" s="2481"/>
      <c r="R47" s="2475"/>
      <c r="S47" s="2475"/>
      <c r="T47" s="2475"/>
      <c r="U47" s="2475"/>
      <c r="V47" s="2475"/>
      <c r="W47" s="2475"/>
      <c r="X47" s="2475"/>
      <c r="Y47" s="2475"/>
      <c r="Z47" s="2475"/>
      <c r="AA47" s="2475"/>
      <c r="AB47" s="2475"/>
      <c r="AC47" s="2475"/>
      <c r="AD47" s="2475"/>
      <c r="AE47" s="2475"/>
      <c r="AF47" s="2475"/>
      <c r="AG47" s="2475"/>
      <c r="AH47" s="2475"/>
      <c r="AI47" s="2475"/>
      <c r="AJ47" s="2475"/>
      <c r="AK47" s="2475"/>
      <c r="AL47" s="2476"/>
      <c r="AM47" s="2477"/>
      <c r="AN47" s="2477"/>
      <c r="AO47" s="2478"/>
      <c r="AP47" s="2476"/>
      <c r="AQ47" s="2477"/>
      <c r="AR47" s="2478"/>
      <c r="AS47" s="2232">
        <f t="shared" si="2"/>
        <v>0</v>
      </c>
      <c r="AT47" s="2233"/>
      <c r="AU47" s="2233"/>
      <c r="AV47" s="2233"/>
      <c r="AW47" s="2233"/>
      <c r="AX47" s="2234"/>
      <c r="AY47" s="2483">
        <f t="shared" si="3"/>
        <v>0</v>
      </c>
      <c r="AZ47" s="2484"/>
      <c r="BA47" s="2484"/>
      <c r="BB47" s="2484"/>
      <c r="BC47" s="2484"/>
      <c r="BD47" s="2485"/>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23" t="s">
        <v>1814</v>
      </c>
      <c r="C50" s="2219"/>
      <c r="D50" s="2219"/>
      <c r="E50" s="2219"/>
      <c r="F50" s="2219"/>
      <c r="G50" s="2219"/>
      <c r="H50" s="2219"/>
      <c r="I50" s="2219"/>
      <c r="J50" s="2219"/>
      <c r="K50" s="2219"/>
      <c r="L50" s="2219"/>
      <c r="M50" s="2219"/>
      <c r="N50" s="2219"/>
      <c r="O50" s="2219"/>
      <c r="P50" s="2219"/>
      <c r="Q50" s="2219"/>
      <c r="R50" s="2219"/>
      <c r="S50" s="2219"/>
      <c r="T50" s="2219"/>
      <c r="U50" s="2219"/>
      <c r="V50" s="2219"/>
      <c r="W50" s="2219"/>
      <c r="X50" s="2219"/>
      <c r="Y50" s="2219"/>
      <c r="Z50" s="2219"/>
      <c r="AA50" s="2219"/>
      <c r="AB50" s="2219"/>
      <c r="AC50" s="2219"/>
      <c r="AD50" s="2219"/>
      <c r="AE50" s="2219"/>
      <c r="AF50" s="2219"/>
      <c r="AG50" s="2219"/>
      <c r="AH50" s="2219"/>
      <c r="AI50" s="2219"/>
      <c r="AJ50" s="2219"/>
      <c r="AK50" s="2219"/>
      <c r="AL50" s="2219"/>
      <c r="AM50" s="2219"/>
      <c r="AN50" s="2219"/>
      <c r="AO50" s="222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81" t="s">
        <v>1815</v>
      </c>
      <c r="C51" s="2182"/>
      <c r="D51" s="2182"/>
      <c r="E51" s="2182"/>
      <c r="F51" s="2182"/>
      <c r="G51" s="2182"/>
      <c r="H51" s="2182"/>
      <c r="I51" s="2182"/>
      <c r="J51" s="2182" t="s">
        <v>2475</v>
      </c>
      <c r="K51" s="2182"/>
      <c r="L51" s="2182"/>
      <c r="M51" s="2182"/>
      <c r="N51" s="2182"/>
      <c r="O51" s="2182"/>
      <c r="P51" s="2182"/>
      <c r="Q51" s="2182"/>
      <c r="R51" s="2473" t="s">
        <v>2476</v>
      </c>
      <c r="S51" s="2473"/>
      <c r="T51" s="2473"/>
      <c r="U51" s="2473"/>
      <c r="V51" s="2473"/>
      <c r="W51" s="2473"/>
      <c r="X51" s="2473"/>
      <c r="Y51" s="2473"/>
      <c r="Z51" s="2473" t="s">
        <v>1816</v>
      </c>
      <c r="AA51" s="2473"/>
      <c r="AB51" s="2473"/>
      <c r="AC51" s="2473"/>
      <c r="AD51" s="2473"/>
      <c r="AE51" s="2473"/>
      <c r="AF51" s="2473"/>
      <c r="AG51" s="2473"/>
      <c r="AH51" s="2473" t="s">
        <v>1817</v>
      </c>
      <c r="AI51" s="2473"/>
      <c r="AJ51" s="2473"/>
      <c r="AK51" s="2473"/>
      <c r="AL51" s="2473"/>
      <c r="AM51" s="2473"/>
      <c r="AN51" s="2473"/>
      <c r="AO51" s="2474"/>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21" t="s">
        <v>2183</v>
      </c>
      <c r="C52" s="2222"/>
      <c r="D52" s="2222"/>
      <c r="E52" s="2222"/>
      <c r="F52" s="2222"/>
      <c r="G52" s="2222"/>
      <c r="H52" s="2222"/>
      <c r="I52" s="2222"/>
      <c r="J52" s="2355">
        <v>0</v>
      </c>
      <c r="K52" s="2355"/>
      <c r="L52" s="2355"/>
      <c r="M52" s="2355"/>
      <c r="N52" s="2355"/>
      <c r="O52" s="2355"/>
      <c r="P52" s="2355"/>
      <c r="Q52" s="2355"/>
      <c r="R52" s="2461">
        <v>0</v>
      </c>
      <c r="S52" s="2461"/>
      <c r="T52" s="2461"/>
      <c r="U52" s="2461"/>
      <c r="V52" s="2461"/>
      <c r="W52" s="2461"/>
      <c r="X52" s="2461"/>
      <c r="Y52" s="2461"/>
      <c r="Z52" s="2462">
        <v>0</v>
      </c>
      <c r="AA52" s="2462"/>
      <c r="AB52" s="2462"/>
      <c r="AC52" s="2462"/>
      <c r="AD52" s="2462"/>
      <c r="AE52" s="2462"/>
      <c r="AF52" s="2462"/>
      <c r="AG52" s="2462"/>
      <c r="AH52" s="2463"/>
      <c r="AI52" s="2463"/>
      <c r="AJ52" s="2463"/>
      <c r="AK52" s="2463"/>
      <c r="AL52" s="2463"/>
      <c r="AM52" s="2463"/>
      <c r="AN52" s="2463"/>
      <c r="AO52" s="2464"/>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21" t="s">
        <v>2184</v>
      </c>
      <c r="C53" s="2222"/>
      <c r="D53" s="2222"/>
      <c r="E53" s="2222"/>
      <c r="F53" s="2222"/>
      <c r="G53" s="2222"/>
      <c r="H53" s="2222"/>
      <c r="I53" s="2222"/>
      <c r="J53" s="2355">
        <v>0</v>
      </c>
      <c r="K53" s="2355"/>
      <c r="L53" s="2355"/>
      <c r="M53" s="2355"/>
      <c r="N53" s="2355"/>
      <c r="O53" s="2355"/>
      <c r="P53" s="2355"/>
      <c r="Q53" s="2355"/>
      <c r="R53" s="2461">
        <v>0</v>
      </c>
      <c r="S53" s="2461"/>
      <c r="T53" s="2461"/>
      <c r="U53" s="2461"/>
      <c r="V53" s="2461"/>
      <c r="W53" s="2461"/>
      <c r="X53" s="2461"/>
      <c r="Y53" s="2461"/>
      <c r="Z53" s="2462">
        <v>0</v>
      </c>
      <c r="AA53" s="2462"/>
      <c r="AB53" s="2462"/>
      <c r="AC53" s="2462"/>
      <c r="AD53" s="2462"/>
      <c r="AE53" s="2462"/>
      <c r="AF53" s="2462"/>
      <c r="AG53" s="2462"/>
      <c r="AH53" s="2463"/>
      <c r="AI53" s="2463"/>
      <c r="AJ53" s="2463"/>
      <c r="AK53" s="2463"/>
      <c r="AL53" s="2463"/>
      <c r="AM53" s="2463"/>
      <c r="AN53" s="2463"/>
      <c r="AO53" s="2464"/>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21"/>
      <c r="C54" s="2222"/>
      <c r="D54" s="2222"/>
      <c r="E54" s="2222"/>
      <c r="F54" s="2222"/>
      <c r="G54" s="2222"/>
      <c r="H54" s="2222"/>
      <c r="I54" s="2222"/>
      <c r="J54" s="2355"/>
      <c r="K54" s="2355"/>
      <c r="L54" s="2355"/>
      <c r="M54" s="2355"/>
      <c r="N54" s="2355"/>
      <c r="O54" s="2355"/>
      <c r="P54" s="2355"/>
      <c r="Q54" s="2355"/>
      <c r="R54" s="2461"/>
      <c r="S54" s="2461"/>
      <c r="T54" s="2461"/>
      <c r="U54" s="2461"/>
      <c r="V54" s="2461"/>
      <c r="W54" s="2461"/>
      <c r="X54" s="2461"/>
      <c r="Y54" s="2461"/>
      <c r="Z54" s="2462"/>
      <c r="AA54" s="2462"/>
      <c r="AB54" s="2462"/>
      <c r="AC54" s="2462"/>
      <c r="AD54" s="2462"/>
      <c r="AE54" s="2462"/>
      <c r="AF54" s="2462"/>
      <c r="AG54" s="2462"/>
      <c r="AH54" s="2463"/>
      <c r="AI54" s="2463"/>
      <c r="AJ54" s="2463"/>
      <c r="AK54" s="2463"/>
      <c r="AL54" s="2463"/>
      <c r="AM54" s="2463"/>
      <c r="AN54" s="2463"/>
      <c r="AO54" s="2464"/>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21"/>
      <c r="C55" s="2222"/>
      <c r="D55" s="2222"/>
      <c r="E55" s="2222"/>
      <c r="F55" s="2222"/>
      <c r="G55" s="2222"/>
      <c r="H55" s="2222"/>
      <c r="I55" s="2222"/>
      <c r="J55" s="2355"/>
      <c r="K55" s="2355"/>
      <c r="L55" s="2355"/>
      <c r="M55" s="2355"/>
      <c r="N55" s="2355"/>
      <c r="O55" s="2355"/>
      <c r="P55" s="2355"/>
      <c r="Q55" s="2355"/>
      <c r="R55" s="2461"/>
      <c r="S55" s="2461"/>
      <c r="T55" s="2461"/>
      <c r="U55" s="2461"/>
      <c r="V55" s="2461"/>
      <c r="W55" s="2461"/>
      <c r="X55" s="2461"/>
      <c r="Y55" s="2461"/>
      <c r="Z55" s="2462"/>
      <c r="AA55" s="2462"/>
      <c r="AB55" s="2462"/>
      <c r="AC55" s="2462"/>
      <c r="AD55" s="2462"/>
      <c r="AE55" s="2462"/>
      <c r="AF55" s="2462"/>
      <c r="AG55" s="2462"/>
      <c r="AH55" s="2463"/>
      <c r="AI55" s="2463"/>
      <c r="AJ55" s="2463"/>
      <c r="AK55" s="2463"/>
      <c r="AL55" s="2463"/>
      <c r="AM55" s="2463"/>
      <c r="AN55" s="2463"/>
      <c r="AO55" s="2464"/>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21"/>
      <c r="C56" s="2222"/>
      <c r="D56" s="2222"/>
      <c r="E56" s="2222"/>
      <c r="F56" s="2222"/>
      <c r="G56" s="2222"/>
      <c r="H56" s="2222"/>
      <c r="I56" s="2222"/>
      <c r="J56" s="2355"/>
      <c r="K56" s="2355"/>
      <c r="L56" s="2355"/>
      <c r="M56" s="2355"/>
      <c r="N56" s="2355"/>
      <c r="O56" s="2355"/>
      <c r="P56" s="2355"/>
      <c r="Q56" s="2355"/>
      <c r="R56" s="2461"/>
      <c r="S56" s="2461"/>
      <c r="T56" s="2461"/>
      <c r="U56" s="2461"/>
      <c r="V56" s="2461"/>
      <c r="W56" s="2461"/>
      <c r="X56" s="2461"/>
      <c r="Y56" s="2461"/>
      <c r="Z56" s="2462"/>
      <c r="AA56" s="2462"/>
      <c r="AB56" s="2462"/>
      <c r="AC56" s="2462"/>
      <c r="AD56" s="2462"/>
      <c r="AE56" s="2462"/>
      <c r="AF56" s="2462"/>
      <c r="AG56" s="2462"/>
      <c r="AH56" s="2463"/>
      <c r="AI56" s="2463"/>
      <c r="AJ56" s="2463"/>
      <c r="AK56" s="2463"/>
      <c r="AL56" s="2463"/>
      <c r="AM56" s="2463"/>
      <c r="AN56" s="2463"/>
      <c r="AO56" s="2464"/>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5" t="s">
        <v>1696</v>
      </c>
      <c r="C57" s="2176"/>
      <c r="D57" s="2176"/>
      <c r="E57" s="2176"/>
      <c r="F57" s="2176"/>
      <c r="G57" s="2176"/>
      <c r="H57" s="2176"/>
      <c r="I57" s="2176"/>
      <c r="J57" s="2176"/>
      <c r="K57" s="2176"/>
      <c r="L57" s="2176"/>
      <c r="M57" s="2176"/>
      <c r="N57" s="2176"/>
      <c r="O57" s="2176"/>
      <c r="P57" s="2176"/>
      <c r="Q57" s="2176"/>
      <c r="R57" s="2465">
        <f>SUM(R52:Y56)</f>
        <v>0</v>
      </c>
      <c r="S57" s="2465"/>
      <c r="T57" s="2465"/>
      <c r="U57" s="2465"/>
      <c r="V57" s="2465"/>
      <c r="W57" s="2465"/>
      <c r="X57" s="2465"/>
      <c r="Y57" s="2465"/>
      <c r="Z57" s="2466">
        <f>SUM(Z52:AG56)</f>
        <v>0</v>
      </c>
      <c r="AA57" s="2466"/>
      <c r="AB57" s="2466"/>
      <c r="AC57" s="2466"/>
      <c r="AD57" s="2466"/>
      <c r="AE57" s="2466"/>
      <c r="AF57" s="2466"/>
      <c r="AG57" s="2466"/>
      <c r="AH57" s="2467"/>
      <c r="AI57" s="2467"/>
      <c r="AJ57" s="2467"/>
      <c r="AK57" s="2467"/>
      <c r="AL57" s="2467"/>
      <c r="AM57" s="2467"/>
      <c r="AN57" s="2467"/>
      <c r="AO57" s="2468"/>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9" t="s">
        <v>1815</v>
      </c>
      <c r="C59" s="2470"/>
      <c r="D59" s="2470"/>
      <c r="E59" s="2470"/>
      <c r="F59" s="2470"/>
      <c r="G59" s="2470"/>
      <c r="H59" s="2470"/>
      <c r="I59" s="2471"/>
      <c r="J59" s="2435" t="s">
        <v>2477</v>
      </c>
      <c r="K59" s="2435"/>
      <c r="L59" s="2435"/>
      <c r="M59" s="2435"/>
      <c r="N59" s="2435"/>
      <c r="O59" s="2435"/>
      <c r="P59" s="2435"/>
      <c r="Q59" s="2435"/>
      <c r="R59" s="2435"/>
      <c r="S59" s="2435"/>
      <c r="T59" s="2435"/>
      <c r="U59" s="2435"/>
      <c r="V59" s="2435"/>
      <c r="W59" s="2435"/>
      <c r="X59" s="2435"/>
      <c r="Y59" s="2435"/>
      <c r="Z59" s="2435"/>
      <c r="AA59" s="2435"/>
      <c r="AB59" s="2435"/>
      <c r="AC59" s="2435"/>
      <c r="AD59" s="2435"/>
      <c r="AE59" s="2435"/>
      <c r="AF59" s="2435"/>
      <c r="AG59" s="2435"/>
      <c r="AH59" s="2435"/>
      <c r="AI59" s="2435"/>
      <c r="AJ59" s="2435"/>
      <c r="AK59" s="2435"/>
      <c r="AL59" s="2435"/>
      <c r="AM59" s="2435"/>
      <c r="AN59" s="2435"/>
      <c r="AO59" s="2435"/>
      <c r="AP59" s="2435"/>
      <c r="AQ59" s="2435"/>
      <c r="AR59" s="2435"/>
      <c r="AS59" s="2435"/>
      <c r="AT59" s="2435"/>
      <c r="AU59" s="2435"/>
      <c r="AV59" s="2435"/>
      <c r="AW59" s="2436"/>
      <c r="AX59" s="1206"/>
      <c r="AY59" s="1206"/>
      <c r="AZ59" s="1206"/>
      <c r="BA59" s="1206"/>
      <c r="BB59" s="1206"/>
      <c r="BC59" s="1206"/>
      <c r="BD59" s="1206"/>
      <c r="BE59" s="1202"/>
    </row>
    <row r="60" spans="1:58" ht="15.75" customHeight="1">
      <c r="A60" s="1206"/>
      <c r="B60" s="2454" t="str">
        <f>IF(B52="", "", B52)</f>
        <v>Services Company 1</v>
      </c>
      <c r="C60" s="2455"/>
      <c r="D60" s="2455"/>
      <c r="E60" s="2455"/>
      <c r="F60" s="2455"/>
      <c r="G60" s="2455"/>
      <c r="H60" s="2455"/>
      <c r="I60" s="2456"/>
      <c r="J60" s="2457"/>
      <c r="K60" s="2358"/>
      <c r="L60" s="2358"/>
      <c r="M60" s="2358"/>
      <c r="N60" s="2358"/>
      <c r="O60" s="2358"/>
      <c r="P60" s="2358"/>
      <c r="Q60" s="2358"/>
      <c r="R60" s="2358"/>
      <c r="S60" s="2358"/>
      <c r="T60" s="2358"/>
      <c r="U60" s="2358"/>
      <c r="V60" s="2358"/>
      <c r="W60" s="2358"/>
      <c r="X60" s="2358"/>
      <c r="Y60" s="2358"/>
      <c r="Z60" s="2358"/>
      <c r="AA60" s="2358"/>
      <c r="AB60" s="2358"/>
      <c r="AC60" s="2358"/>
      <c r="AD60" s="2358"/>
      <c r="AE60" s="2358"/>
      <c r="AF60" s="2358"/>
      <c r="AG60" s="2358"/>
      <c r="AH60" s="2358"/>
      <c r="AI60" s="2358"/>
      <c r="AJ60" s="2358"/>
      <c r="AK60" s="2358"/>
      <c r="AL60" s="2358"/>
      <c r="AM60" s="2358"/>
      <c r="AN60" s="2358"/>
      <c r="AO60" s="2358"/>
      <c r="AP60" s="2358"/>
      <c r="AQ60" s="2358"/>
      <c r="AR60" s="2358"/>
      <c r="AS60" s="2358"/>
      <c r="AT60" s="2358"/>
      <c r="AU60" s="2358"/>
      <c r="AV60" s="2358"/>
      <c r="AW60" s="2359"/>
      <c r="AX60" s="1206"/>
      <c r="AY60" s="1206"/>
      <c r="AZ60" s="1206"/>
      <c r="BA60" s="1206"/>
      <c r="BB60" s="1206"/>
      <c r="BC60" s="1206"/>
      <c r="BD60" s="1206"/>
      <c r="BE60" s="1202"/>
    </row>
    <row r="61" spans="1:58" ht="15.75" customHeight="1">
      <c r="A61" s="1206"/>
      <c r="B61" s="2454" t="str">
        <f>IF(B53="", "", B53)</f>
        <v>Services Company 2</v>
      </c>
      <c r="C61" s="2455"/>
      <c r="D61" s="2455"/>
      <c r="E61" s="2455"/>
      <c r="F61" s="2455"/>
      <c r="G61" s="2455"/>
      <c r="H61" s="2455"/>
      <c r="I61" s="2456"/>
      <c r="J61" s="2457"/>
      <c r="K61" s="2358"/>
      <c r="L61" s="2358"/>
      <c r="M61" s="2358"/>
      <c r="N61" s="2358"/>
      <c r="O61" s="2358"/>
      <c r="P61" s="2358"/>
      <c r="Q61" s="2358"/>
      <c r="R61" s="2358"/>
      <c r="S61" s="2358"/>
      <c r="T61" s="2358"/>
      <c r="U61" s="2358"/>
      <c r="V61" s="2358"/>
      <c r="W61" s="2358"/>
      <c r="X61" s="2358"/>
      <c r="Y61" s="2358"/>
      <c r="Z61" s="2358"/>
      <c r="AA61" s="2358"/>
      <c r="AB61" s="2358"/>
      <c r="AC61" s="2358"/>
      <c r="AD61" s="2358"/>
      <c r="AE61" s="2358"/>
      <c r="AF61" s="2358"/>
      <c r="AG61" s="2358"/>
      <c r="AH61" s="2358"/>
      <c r="AI61" s="2358"/>
      <c r="AJ61" s="2358"/>
      <c r="AK61" s="2358"/>
      <c r="AL61" s="2358"/>
      <c r="AM61" s="2358"/>
      <c r="AN61" s="2358"/>
      <c r="AO61" s="2358"/>
      <c r="AP61" s="2358"/>
      <c r="AQ61" s="2358"/>
      <c r="AR61" s="2358"/>
      <c r="AS61" s="2358"/>
      <c r="AT61" s="2358"/>
      <c r="AU61" s="2358"/>
      <c r="AV61" s="2358"/>
      <c r="AW61" s="2359"/>
      <c r="AX61" s="1206"/>
      <c r="AY61" s="1206"/>
      <c r="AZ61" s="1206"/>
      <c r="BA61" s="1206"/>
      <c r="BB61" s="1206"/>
      <c r="BC61" s="1206"/>
      <c r="BD61" s="1206"/>
      <c r="BE61" s="1202"/>
    </row>
    <row r="62" spans="1:58" ht="15.75" customHeight="1">
      <c r="A62" s="1206"/>
      <c r="B62" s="2454" t="str">
        <f>IF(B54="", "", B54)</f>
        <v/>
      </c>
      <c r="C62" s="2455"/>
      <c r="D62" s="2455"/>
      <c r="E62" s="2455"/>
      <c r="F62" s="2455"/>
      <c r="G62" s="2455"/>
      <c r="H62" s="2455"/>
      <c r="I62" s="2456"/>
      <c r="J62" s="2457"/>
      <c r="K62" s="2358"/>
      <c r="L62" s="2358"/>
      <c r="M62" s="2358"/>
      <c r="N62" s="2358"/>
      <c r="O62" s="2358"/>
      <c r="P62" s="2358"/>
      <c r="Q62" s="2358"/>
      <c r="R62" s="2358"/>
      <c r="S62" s="2358"/>
      <c r="T62" s="2358"/>
      <c r="U62" s="2358"/>
      <c r="V62" s="2358"/>
      <c r="W62" s="2358"/>
      <c r="X62" s="2358"/>
      <c r="Y62" s="2358"/>
      <c r="Z62" s="2358"/>
      <c r="AA62" s="2358"/>
      <c r="AB62" s="2358"/>
      <c r="AC62" s="2358"/>
      <c r="AD62" s="2358"/>
      <c r="AE62" s="2358"/>
      <c r="AF62" s="2358"/>
      <c r="AG62" s="2358"/>
      <c r="AH62" s="2358"/>
      <c r="AI62" s="2358"/>
      <c r="AJ62" s="2358"/>
      <c r="AK62" s="2358"/>
      <c r="AL62" s="2358"/>
      <c r="AM62" s="2358"/>
      <c r="AN62" s="2358"/>
      <c r="AO62" s="2358"/>
      <c r="AP62" s="2358"/>
      <c r="AQ62" s="2358"/>
      <c r="AR62" s="2358"/>
      <c r="AS62" s="2358"/>
      <c r="AT62" s="2358"/>
      <c r="AU62" s="2358"/>
      <c r="AV62" s="2358"/>
      <c r="AW62" s="2359"/>
      <c r="AX62" s="1206"/>
      <c r="AY62" s="1206"/>
      <c r="AZ62" s="1206"/>
      <c r="BA62" s="1206"/>
      <c r="BB62" s="1206"/>
      <c r="BC62" s="1206"/>
      <c r="BD62" s="1206"/>
      <c r="BE62" s="1202"/>
    </row>
    <row r="63" spans="1:58" ht="15.75" customHeight="1">
      <c r="A63" s="1206"/>
      <c r="B63" s="2454" t="str">
        <f>IF(B55="", "", B55)</f>
        <v/>
      </c>
      <c r="C63" s="2455"/>
      <c r="D63" s="2455"/>
      <c r="E63" s="2455"/>
      <c r="F63" s="2455"/>
      <c r="G63" s="2455"/>
      <c r="H63" s="2455"/>
      <c r="I63" s="2456"/>
      <c r="J63" s="2457"/>
      <c r="K63" s="2358"/>
      <c r="L63" s="2358"/>
      <c r="M63" s="2358"/>
      <c r="N63" s="2358"/>
      <c r="O63" s="2358"/>
      <c r="P63" s="2358"/>
      <c r="Q63" s="2358"/>
      <c r="R63" s="2358"/>
      <c r="S63" s="2358"/>
      <c r="T63" s="2358"/>
      <c r="U63" s="2358"/>
      <c r="V63" s="2358"/>
      <c r="W63" s="2358"/>
      <c r="X63" s="2358"/>
      <c r="Y63" s="2358"/>
      <c r="Z63" s="2358"/>
      <c r="AA63" s="2358"/>
      <c r="AB63" s="2358"/>
      <c r="AC63" s="2358"/>
      <c r="AD63" s="2358"/>
      <c r="AE63" s="2358"/>
      <c r="AF63" s="2358"/>
      <c r="AG63" s="2358"/>
      <c r="AH63" s="2358"/>
      <c r="AI63" s="2358"/>
      <c r="AJ63" s="2358"/>
      <c r="AK63" s="2358"/>
      <c r="AL63" s="2358"/>
      <c r="AM63" s="2358"/>
      <c r="AN63" s="2358"/>
      <c r="AO63" s="2358"/>
      <c r="AP63" s="2358"/>
      <c r="AQ63" s="2358"/>
      <c r="AR63" s="2358"/>
      <c r="AS63" s="2358"/>
      <c r="AT63" s="2358"/>
      <c r="AU63" s="2358"/>
      <c r="AV63" s="2358"/>
      <c r="AW63" s="2359"/>
      <c r="AX63" s="1206"/>
      <c r="AY63" s="1206"/>
      <c r="AZ63" s="1206"/>
      <c r="BA63" s="1206"/>
      <c r="BB63" s="1206"/>
      <c r="BC63" s="1206"/>
      <c r="BD63" s="1206"/>
      <c r="BE63" s="1202"/>
    </row>
    <row r="64" spans="1:58" ht="15.75" customHeight="1" thickBot="1">
      <c r="A64" s="1206"/>
      <c r="B64" s="2458" t="str">
        <f>IF(B56="", "", B56)</f>
        <v/>
      </c>
      <c r="C64" s="2459"/>
      <c r="D64" s="2459"/>
      <c r="E64" s="2459"/>
      <c r="F64" s="2459"/>
      <c r="G64" s="2459"/>
      <c r="H64" s="2459"/>
      <c r="I64" s="2460"/>
      <c r="J64" s="2472"/>
      <c r="K64" s="2452"/>
      <c r="L64" s="2452"/>
      <c r="M64" s="2452"/>
      <c r="N64" s="2452"/>
      <c r="O64" s="2452"/>
      <c r="P64" s="2452"/>
      <c r="Q64" s="2452"/>
      <c r="R64" s="2452"/>
      <c r="S64" s="2452"/>
      <c r="T64" s="2452"/>
      <c r="U64" s="2452"/>
      <c r="V64" s="2452"/>
      <c r="W64" s="2452"/>
      <c r="X64" s="2452"/>
      <c r="Y64" s="2452"/>
      <c r="Z64" s="2452"/>
      <c r="AA64" s="2452"/>
      <c r="AB64" s="2452"/>
      <c r="AC64" s="2452"/>
      <c r="AD64" s="2452"/>
      <c r="AE64" s="2452"/>
      <c r="AF64" s="2452"/>
      <c r="AG64" s="2452"/>
      <c r="AH64" s="2452"/>
      <c r="AI64" s="2452"/>
      <c r="AJ64" s="2452"/>
      <c r="AK64" s="2452"/>
      <c r="AL64" s="2452"/>
      <c r="AM64" s="2452"/>
      <c r="AN64" s="2452"/>
      <c r="AO64" s="2452"/>
      <c r="AP64" s="2452"/>
      <c r="AQ64" s="2452"/>
      <c r="AR64" s="2452"/>
      <c r="AS64" s="2452"/>
      <c r="AT64" s="2452"/>
      <c r="AU64" s="2452"/>
      <c r="AV64" s="2452"/>
      <c r="AW64" s="2453"/>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34" t="s">
        <v>1819</v>
      </c>
      <c r="C68" s="2435"/>
      <c r="D68" s="2435"/>
      <c r="E68" s="2435"/>
      <c r="F68" s="2435"/>
      <c r="G68" s="2435"/>
      <c r="H68" s="2435"/>
      <c r="I68" s="2435"/>
      <c r="J68" s="2435"/>
      <c r="K68" s="2435"/>
      <c r="L68" s="2435"/>
      <c r="M68" s="2435"/>
      <c r="N68" s="2435"/>
      <c r="O68" s="2435"/>
      <c r="P68" s="2435"/>
      <c r="Q68" s="2435"/>
      <c r="R68" s="2435"/>
      <c r="S68" s="2435"/>
      <c r="T68" s="2435"/>
      <c r="U68" s="2435"/>
      <c r="V68" s="2435"/>
      <c r="W68" s="2435"/>
      <c r="X68" s="2435"/>
      <c r="Y68" s="2435"/>
      <c r="Z68" s="2435"/>
      <c r="AA68" s="2436"/>
      <c r="AB68" s="1206"/>
      <c r="AC68" s="2186" t="s">
        <v>1820</v>
      </c>
      <c r="AD68" s="2187"/>
      <c r="AE68" s="2187"/>
      <c r="AF68" s="2187"/>
      <c r="AG68" s="2187"/>
      <c r="AH68" s="2187"/>
      <c r="AI68" s="2187"/>
      <c r="AJ68" s="2187"/>
      <c r="AK68" s="2187"/>
      <c r="AL68" s="2187"/>
      <c r="AM68" s="2187"/>
      <c r="AN68" s="2187"/>
      <c r="AO68" s="2187"/>
      <c r="AP68" s="2187"/>
      <c r="AQ68" s="2187"/>
      <c r="AR68" s="2187"/>
      <c r="AS68" s="2187"/>
      <c r="AT68" s="2187"/>
      <c r="AU68" s="2187"/>
      <c r="AV68" s="2237" t="s">
        <v>676</v>
      </c>
      <c r="AW68" s="2238"/>
      <c r="AX68" s="2238"/>
      <c r="AY68" s="2238"/>
      <c r="AZ68" s="2238"/>
      <c r="BA68" s="2238"/>
      <c r="BB68" s="2238"/>
      <c r="BC68" s="2239"/>
      <c r="BD68" s="1206"/>
      <c r="BE68" s="1202"/>
      <c r="BM68" s="1251" t="s">
        <v>2478</v>
      </c>
    </row>
    <row r="69" spans="1:65" ht="15.75" customHeight="1" thickTop="1" thickBot="1">
      <c r="A69" s="1206"/>
      <c r="B69" s="2240" t="s">
        <v>1821</v>
      </c>
      <c r="C69" s="2241"/>
      <c r="D69" s="2241"/>
      <c r="E69" s="2241"/>
      <c r="F69" s="2241"/>
      <c r="G69" s="2241"/>
      <c r="H69" s="2241"/>
      <c r="I69" s="2241"/>
      <c r="J69" s="2241"/>
      <c r="K69" s="2241"/>
      <c r="L69" s="2241"/>
      <c r="M69" s="2241"/>
      <c r="N69" s="2241"/>
      <c r="O69" s="2242" t="s">
        <v>1822</v>
      </c>
      <c r="P69" s="2243"/>
      <c r="Q69" s="2243"/>
      <c r="R69" s="2243"/>
      <c r="S69" s="2243"/>
      <c r="T69" s="2243"/>
      <c r="U69" s="2243"/>
      <c r="V69" s="2243"/>
      <c r="W69" s="2243"/>
      <c r="X69" s="2243"/>
      <c r="Y69" s="2243"/>
      <c r="Z69" s="2243"/>
      <c r="AA69" s="2244"/>
      <c r="AB69" s="1206"/>
      <c r="AC69" s="2245" t="s">
        <v>1823</v>
      </c>
      <c r="AD69" s="2246"/>
      <c r="AE69" s="2246"/>
      <c r="AF69" s="2246"/>
      <c r="AG69" s="2246"/>
      <c r="AH69" s="2246"/>
      <c r="AI69" s="2246"/>
      <c r="AJ69" s="2246"/>
      <c r="AK69" s="2246"/>
      <c r="AL69" s="2246"/>
      <c r="AM69" s="2246"/>
      <c r="AN69" s="2246"/>
      <c r="AO69" s="2246"/>
      <c r="AP69" s="2246"/>
      <c r="AQ69" s="2246"/>
      <c r="AR69" s="2246"/>
      <c r="AS69" s="2246"/>
      <c r="AT69" s="2246"/>
      <c r="AU69" s="2246"/>
      <c r="AV69" s="2247"/>
      <c r="AW69" s="2248"/>
      <c r="AX69" s="2248"/>
      <c r="AY69" s="2248"/>
      <c r="AZ69" s="2248"/>
      <c r="BA69" s="2248"/>
      <c r="BB69" s="2248"/>
      <c r="BC69" s="2249"/>
      <c r="BD69" s="1206"/>
      <c r="BE69" s="1202"/>
      <c r="BM69" s="1250" t="s">
        <v>552</v>
      </c>
    </row>
    <row r="70" spans="1:65" ht="15.75" customHeight="1">
      <c r="A70" s="1206"/>
      <c r="B70" s="2250" t="s">
        <v>2479</v>
      </c>
      <c r="C70" s="2251"/>
      <c r="D70" s="2251"/>
      <c r="E70" s="2251"/>
      <c r="F70" s="2251"/>
      <c r="G70" s="2251"/>
      <c r="H70" s="2251"/>
      <c r="I70" s="2251"/>
      <c r="J70" s="2251"/>
      <c r="K70" s="2251"/>
      <c r="L70" s="2251"/>
      <c r="M70" s="2251"/>
      <c r="N70" s="2251"/>
      <c r="O70" s="2215">
        <v>0</v>
      </c>
      <c r="P70" s="2215"/>
      <c r="Q70" s="2215"/>
      <c r="R70" s="2215"/>
      <c r="S70" s="2215"/>
      <c r="T70" s="2215"/>
      <c r="U70" s="2215"/>
      <c r="V70" s="2215"/>
      <c r="W70" s="2215"/>
      <c r="X70" s="2215"/>
      <c r="Y70" s="2215"/>
      <c r="Z70" s="2215"/>
      <c r="AA70" s="2216"/>
      <c r="AB70" s="1206"/>
      <c r="AC70" s="2423" t="s">
        <v>1824</v>
      </c>
      <c r="AD70" s="2219"/>
      <c r="AE70" s="2219"/>
      <c r="AF70" s="2448"/>
      <c r="AG70" s="2448"/>
      <c r="AH70" s="2448"/>
      <c r="AI70" s="2448"/>
      <c r="AJ70" s="2448"/>
      <c r="AK70" s="2448"/>
      <c r="AL70" s="2448"/>
      <c r="AM70" s="2448"/>
      <c r="AN70" s="2448"/>
      <c r="AO70" s="2448"/>
      <c r="AP70" s="2448"/>
      <c r="AQ70" s="2448"/>
      <c r="AR70" s="2448"/>
      <c r="AS70" s="2448"/>
      <c r="AT70" s="2448"/>
      <c r="AU70" s="2449"/>
      <c r="AV70" s="1206"/>
      <c r="AW70" s="1206"/>
      <c r="AX70" s="1206"/>
      <c r="AY70" s="1206"/>
      <c r="AZ70" s="1206"/>
      <c r="BA70" s="1206"/>
      <c r="BB70" s="1206"/>
      <c r="BC70" s="1206"/>
      <c r="BD70" s="1206"/>
      <c r="BE70" s="1202"/>
      <c r="BM70" s="1249" t="s">
        <v>676</v>
      </c>
    </row>
    <row r="71" spans="1:65" ht="15.75" customHeight="1" thickBot="1">
      <c r="A71" s="1206"/>
      <c r="B71" s="2250" t="s">
        <v>2480</v>
      </c>
      <c r="C71" s="2251"/>
      <c r="D71" s="2251"/>
      <c r="E71" s="2251"/>
      <c r="F71" s="2251"/>
      <c r="G71" s="2251"/>
      <c r="H71" s="2251"/>
      <c r="I71" s="2251"/>
      <c r="J71" s="2251"/>
      <c r="K71" s="2251"/>
      <c r="L71" s="2251"/>
      <c r="M71" s="2251"/>
      <c r="N71" s="2251"/>
      <c r="O71" s="2215">
        <v>0</v>
      </c>
      <c r="P71" s="2215"/>
      <c r="Q71" s="2215"/>
      <c r="R71" s="2215"/>
      <c r="S71" s="2215"/>
      <c r="T71" s="2215"/>
      <c r="U71" s="2215"/>
      <c r="V71" s="2215"/>
      <c r="W71" s="2215"/>
      <c r="X71" s="2215"/>
      <c r="Y71" s="2215"/>
      <c r="Z71" s="2215"/>
      <c r="AA71" s="2216"/>
      <c r="AB71" s="1206"/>
      <c r="AC71" s="2450" t="s">
        <v>1825</v>
      </c>
      <c r="AD71" s="2451"/>
      <c r="AE71" s="2451"/>
      <c r="AF71" s="2452"/>
      <c r="AG71" s="2452"/>
      <c r="AH71" s="2452"/>
      <c r="AI71" s="2452"/>
      <c r="AJ71" s="2452"/>
      <c r="AK71" s="2452"/>
      <c r="AL71" s="2452"/>
      <c r="AM71" s="2452"/>
      <c r="AN71" s="2452"/>
      <c r="AO71" s="2452"/>
      <c r="AP71" s="2452"/>
      <c r="AQ71" s="2452"/>
      <c r="AR71" s="2452"/>
      <c r="AS71" s="2452"/>
      <c r="AT71" s="2452"/>
      <c r="AU71" s="2453"/>
      <c r="AV71" s="1206"/>
      <c r="AW71" s="1206"/>
      <c r="AX71" s="1206"/>
      <c r="AY71" s="1206"/>
      <c r="AZ71" s="1206"/>
      <c r="BA71" s="1206"/>
      <c r="BB71" s="1206"/>
      <c r="BC71" s="1206"/>
      <c r="BD71" s="1206"/>
      <c r="BE71" s="1202"/>
      <c r="BM71" s="1197" t="s">
        <v>2481</v>
      </c>
    </row>
    <row r="72" spans="1:65" ht="15.75" customHeight="1">
      <c r="A72" s="1206"/>
      <c r="B72" s="2250" t="s">
        <v>2482</v>
      </c>
      <c r="C72" s="2251"/>
      <c r="D72" s="2251"/>
      <c r="E72" s="2251"/>
      <c r="F72" s="2251"/>
      <c r="G72" s="2251"/>
      <c r="H72" s="2251"/>
      <c r="I72" s="2251"/>
      <c r="J72" s="2251"/>
      <c r="K72" s="2251"/>
      <c r="L72" s="2251"/>
      <c r="M72" s="2251"/>
      <c r="N72" s="2251"/>
      <c r="O72" s="2215">
        <v>0</v>
      </c>
      <c r="P72" s="2215"/>
      <c r="Q72" s="2215"/>
      <c r="R72" s="2215"/>
      <c r="S72" s="2215"/>
      <c r="T72" s="2215"/>
      <c r="U72" s="2215"/>
      <c r="V72" s="2215"/>
      <c r="W72" s="2215"/>
      <c r="X72" s="2215"/>
      <c r="Y72" s="2215"/>
      <c r="Z72" s="2215"/>
      <c r="AA72" s="2216"/>
      <c r="AB72" s="1206"/>
      <c r="AC72" s="2217" t="s">
        <v>2483</v>
      </c>
      <c r="AD72" s="2218"/>
      <c r="AE72" s="2218"/>
      <c r="AF72" s="2218"/>
      <c r="AG72" s="2218"/>
      <c r="AH72" s="2218"/>
      <c r="AI72" s="2218"/>
      <c r="AJ72" s="2218"/>
      <c r="AK72" s="2218"/>
      <c r="AL72" s="2218"/>
      <c r="AM72" s="2218"/>
      <c r="AN72" s="2218"/>
      <c r="AO72" s="2218"/>
      <c r="AP72" s="2218"/>
      <c r="AQ72" s="2218"/>
      <c r="AR72" s="2218"/>
      <c r="AS72" s="2218"/>
      <c r="AT72" s="2218"/>
      <c r="AU72" s="2218"/>
      <c r="AV72" s="2219"/>
      <c r="AW72" s="2219"/>
      <c r="AX72" s="2219"/>
      <c r="AY72" s="2219"/>
      <c r="AZ72" s="2219"/>
      <c r="BA72" s="2219"/>
      <c r="BB72" s="2219"/>
      <c r="BC72" s="2220"/>
      <c r="BD72" s="1206"/>
      <c r="BE72" s="1202"/>
    </row>
    <row r="73" spans="1:65" ht="15.75" customHeight="1">
      <c r="A73" s="1206"/>
      <c r="B73" s="2221" t="s">
        <v>2484</v>
      </c>
      <c r="C73" s="2222"/>
      <c r="D73" s="2222"/>
      <c r="E73" s="2222"/>
      <c r="F73" s="2222"/>
      <c r="G73" s="2222"/>
      <c r="H73" s="2222"/>
      <c r="I73" s="2222"/>
      <c r="J73" s="2222"/>
      <c r="K73" s="2222"/>
      <c r="L73" s="2222"/>
      <c r="M73" s="2222"/>
      <c r="N73" s="2222"/>
      <c r="O73" s="2215">
        <v>0</v>
      </c>
      <c r="P73" s="2215"/>
      <c r="Q73" s="2215"/>
      <c r="R73" s="2215"/>
      <c r="S73" s="2215"/>
      <c r="T73" s="2215"/>
      <c r="U73" s="2215"/>
      <c r="V73" s="2215"/>
      <c r="W73" s="2215"/>
      <c r="X73" s="2215"/>
      <c r="Y73" s="2215"/>
      <c r="Z73" s="2215"/>
      <c r="AA73" s="2216"/>
      <c r="AB73" s="1206"/>
      <c r="AC73" s="2405" t="s">
        <v>2185</v>
      </c>
      <c r="AD73" s="2406"/>
      <c r="AE73" s="2406"/>
      <c r="AF73" s="2406"/>
      <c r="AG73" s="2406"/>
      <c r="AH73" s="2406"/>
      <c r="AI73" s="2406"/>
      <c r="AJ73" s="2406"/>
      <c r="AK73" s="2406"/>
      <c r="AL73" s="2406"/>
      <c r="AM73" s="2406"/>
      <c r="AN73" s="2406"/>
      <c r="AO73" s="2406"/>
      <c r="AP73" s="2406"/>
      <c r="AQ73" s="2406"/>
      <c r="AR73" s="2406"/>
      <c r="AS73" s="2406"/>
      <c r="AT73" s="2406"/>
      <c r="AU73" s="2406"/>
      <c r="AV73" s="2406"/>
      <c r="AW73" s="2406"/>
      <c r="AX73" s="2406"/>
      <c r="AY73" s="2406"/>
      <c r="AZ73" s="2406"/>
      <c r="BA73" s="2406"/>
      <c r="BB73" s="2406"/>
      <c r="BC73" s="2407"/>
      <c r="BD73" s="1206"/>
      <c r="BE73" s="1202"/>
    </row>
    <row r="74" spans="1:65" ht="15.75" customHeight="1">
      <c r="A74" s="1206"/>
      <c r="B74" s="2354"/>
      <c r="C74" s="2355"/>
      <c r="D74" s="2355"/>
      <c r="E74" s="2355"/>
      <c r="F74" s="2355"/>
      <c r="G74" s="2355"/>
      <c r="H74" s="2355"/>
      <c r="I74" s="2355"/>
      <c r="J74" s="2355"/>
      <c r="K74" s="2355"/>
      <c r="L74" s="2355"/>
      <c r="M74" s="2355"/>
      <c r="N74" s="2355"/>
      <c r="O74" s="2215"/>
      <c r="P74" s="2215"/>
      <c r="Q74" s="2215"/>
      <c r="R74" s="2215"/>
      <c r="S74" s="2215"/>
      <c r="T74" s="2215"/>
      <c r="U74" s="2215"/>
      <c r="V74" s="2215"/>
      <c r="W74" s="2215"/>
      <c r="X74" s="2215"/>
      <c r="Y74" s="2215"/>
      <c r="Z74" s="2215"/>
      <c r="AA74" s="2216"/>
      <c r="AB74" s="1206"/>
      <c r="AC74" s="2405"/>
      <c r="AD74" s="2406"/>
      <c r="AE74" s="2406"/>
      <c r="AF74" s="2406"/>
      <c r="AG74" s="2406"/>
      <c r="AH74" s="2406"/>
      <c r="AI74" s="2406"/>
      <c r="AJ74" s="2406"/>
      <c r="AK74" s="2406"/>
      <c r="AL74" s="2406"/>
      <c r="AM74" s="2406"/>
      <c r="AN74" s="2406"/>
      <c r="AO74" s="2406"/>
      <c r="AP74" s="2406"/>
      <c r="AQ74" s="2406"/>
      <c r="AR74" s="2406"/>
      <c r="AS74" s="2406"/>
      <c r="AT74" s="2406"/>
      <c r="AU74" s="2406"/>
      <c r="AV74" s="2406"/>
      <c r="AW74" s="2406"/>
      <c r="AX74" s="2406"/>
      <c r="AY74" s="2406"/>
      <c r="AZ74" s="2406"/>
      <c r="BA74" s="2406"/>
      <c r="BB74" s="2406"/>
      <c r="BC74" s="2407"/>
      <c r="BD74" s="1206"/>
      <c r="BE74" s="1202"/>
    </row>
    <row r="75" spans="1:65" ht="15.75" customHeight="1" thickBot="1">
      <c r="A75" s="1206"/>
      <c r="B75" s="2446" t="s">
        <v>124</v>
      </c>
      <c r="C75" s="2447"/>
      <c r="D75" s="2447"/>
      <c r="E75" s="2447"/>
      <c r="F75" s="2447"/>
      <c r="G75" s="2447"/>
      <c r="H75" s="2447"/>
      <c r="I75" s="2447"/>
      <c r="J75" s="2447"/>
      <c r="K75" s="2447"/>
      <c r="L75" s="2447"/>
      <c r="M75" s="2447"/>
      <c r="N75" s="2447"/>
      <c r="O75" s="2223">
        <f>SUM(O70:AA74)</f>
        <v>0</v>
      </c>
      <c r="P75" s="2223"/>
      <c r="Q75" s="2223"/>
      <c r="R75" s="2223"/>
      <c r="S75" s="2223"/>
      <c r="T75" s="2223"/>
      <c r="U75" s="2223"/>
      <c r="V75" s="2223"/>
      <c r="W75" s="2223"/>
      <c r="X75" s="2223"/>
      <c r="Y75" s="2223"/>
      <c r="Z75" s="2223"/>
      <c r="AA75" s="2224"/>
      <c r="AB75" s="1206"/>
      <c r="AC75" s="2405"/>
      <c r="AD75" s="2406"/>
      <c r="AE75" s="2406"/>
      <c r="AF75" s="2406"/>
      <c r="AG75" s="2406"/>
      <c r="AH75" s="2406"/>
      <c r="AI75" s="2406"/>
      <c r="AJ75" s="2406"/>
      <c r="AK75" s="2406"/>
      <c r="AL75" s="2406"/>
      <c r="AM75" s="2406"/>
      <c r="AN75" s="2406"/>
      <c r="AO75" s="2406"/>
      <c r="AP75" s="2406"/>
      <c r="AQ75" s="2406"/>
      <c r="AR75" s="2406"/>
      <c r="AS75" s="2406"/>
      <c r="AT75" s="2406"/>
      <c r="AU75" s="2406"/>
      <c r="AV75" s="2406"/>
      <c r="AW75" s="2406"/>
      <c r="AX75" s="2406"/>
      <c r="AY75" s="2406"/>
      <c r="AZ75" s="2406"/>
      <c r="BA75" s="2406"/>
      <c r="BB75" s="2406"/>
      <c r="BC75" s="2407"/>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5"/>
      <c r="AD76" s="2406"/>
      <c r="AE76" s="2406"/>
      <c r="AF76" s="2406"/>
      <c r="AG76" s="2406"/>
      <c r="AH76" s="2406"/>
      <c r="AI76" s="2406"/>
      <c r="AJ76" s="2406"/>
      <c r="AK76" s="2406"/>
      <c r="AL76" s="2406"/>
      <c r="AM76" s="2406"/>
      <c r="AN76" s="2406"/>
      <c r="AO76" s="2406"/>
      <c r="AP76" s="2406"/>
      <c r="AQ76" s="2406"/>
      <c r="AR76" s="2406"/>
      <c r="AS76" s="2406"/>
      <c r="AT76" s="2406"/>
      <c r="AU76" s="2406"/>
      <c r="AV76" s="2406"/>
      <c r="AW76" s="2406"/>
      <c r="AX76" s="2406"/>
      <c r="AY76" s="2406"/>
      <c r="AZ76" s="2406"/>
      <c r="BA76" s="2406"/>
      <c r="BB76" s="2406"/>
      <c r="BC76" s="2407"/>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8"/>
      <c r="AD77" s="2409"/>
      <c r="AE77" s="2409"/>
      <c r="AF77" s="2409"/>
      <c r="AG77" s="2409"/>
      <c r="AH77" s="2409"/>
      <c r="AI77" s="2409"/>
      <c r="AJ77" s="2409"/>
      <c r="AK77" s="2409"/>
      <c r="AL77" s="2409"/>
      <c r="AM77" s="2409"/>
      <c r="AN77" s="2409"/>
      <c r="AO77" s="2409"/>
      <c r="AP77" s="2409"/>
      <c r="AQ77" s="2409"/>
      <c r="AR77" s="2409"/>
      <c r="AS77" s="2409"/>
      <c r="AT77" s="2409"/>
      <c r="AU77" s="2409"/>
      <c r="AV77" s="2409"/>
      <c r="AW77" s="2409"/>
      <c r="AX77" s="2409"/>
      <c r="AY77" s="2409"/>
      <c r="AZ77" s="2409"/>
      <c r="BA77" s="2409"/>
      <c r="BB77" s="2409"/>
      <c r="BC77" s="2410"/>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35"/>
      <c r="G79" s="2236"/>
      <c r="H79" s="2236"/>
      <c r="I79" s="2236"/>
      <c r="J79" s="2236"/>
      <c r="K79" s="2236"/>
      <c r="L79" s="2236"/>
      <c r="M79" s="2203"/>
      <c r="N79" s="2203"/>
      <c r="O79" s="2203"/>
      <c r="P79" s="2203"/>
      <c r="Q79" s="2204"/>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208" t="e">
        <f>BR96/SUM($BR$96:$BR$98)</f>
        <v>#DIV/0!</v>
      </c>
      <c r="P80" s="2209"/>
      <c r="Q80" s="221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199" t="s">
        <v>2549</v>
      </c>
      <c r="P81" s="2200"/>
      <c r="Q81" s="2201"/>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5" t="s">
        <v>2168</v>
      </c>
      <c r="C83" s="2586"/>
      <c r="D83" s="2586"/>
      <c r="E83" s="2586"/>
      <c r="F83" s="2586"/>
      <c r="G83" s="2586"/>
      <c r="H83" s="2586"/>
      <c r="I83" s="2586"/>
      <c r="J83" s="2586"/>
      <c r="K83" s="2586"/>
      <c r="L83" s="2586"/>
      <c r="M83" s="2586"/>
      <c r="N83" s="2586"/>
      <c r="O83" s="2586"/>
      <c r="P83" s="2586"/>
      <c r="Q83" s="2586"/>
      <c r="R83" s="2586"/>
      <c r="S83" s="2586"/>
      <c r="T83" s="2586"/>
      <c r="U83" s="2586"/>
      <c r="V83" s="2586"/>
      <c r="W83" s="2586"/>
      <c r="X83" s="2586"/>
      <c r="Y83" s="2586"/>
      <c r="Z83" s="2586"/>
      <c r="AA83" s="2586"/>
      <c r="AB83" s="2586"/>
      <c r="AC83" s="2586"/>
      <c r="AD83" s="2586"/>
      <c r="AE83" s="2586"/>
      <c r="AF83" s="2586"/>
      <c r="AG83" s="2586"/>
      <c r="AH83" s="2587"/>
      <c r="AI83" s="1206"/>
      <c r="AJ83" s="2189" t="s">
        <v>2616</v>
      </c>
      <c r="AK83" s="2190"/>
      <c r="AL83" s="2190"/>
      <c r="AM83" s="2190"/>
      <c r="AN83" s="2190"/>
      <c r="AO83" s="2190"/>
      <c r="AP83" s="2190"/>
      <c r="AQ83" s="2190"/>
      <c r="AR83" s="2190"/>
      <c r="AS83" s="2190"/>
      <c r="AT83" s="2190"/>
      <c r="AU83" s="2190"/>
      <c r="AV83" s="2190"/>
      <c r="AW83" s="2190"/>
      <c r="AX83" s="2190"/>
      <c r="AY83" s="2211" t="s">
        <v>552</v>
      </c>
      <c r="AZ83" s="2211"/>
      <c r="BA83" s="2211"/>
      <c r="BB83" s="2212"/>
      <c r="BC83" s="1206"/>
      <c r="BD83" s="1206"/>
      <c r="BE83" s="1202"/>
    </row>
    <row r="84" spans="1:70" ht="15.75" customHeight="1">
      <c r="A84" s="1206"/>
      <c r="B84" s="2181"/>
      <c r="C84" s="2182"/>
      <c r="D84" s="2182"/>
      <c r="E84" s="2182"/>
      <c r="F84" s="2182"/>
      <c r="G84" s="2182"/>
      <c r="H84" s="2182"/>
      <c r="I84" s="2182" t="s">
        <v>1826</v>
      </c>
      <c r="J84" s="2182"/>
      <c r="K84" s="2182"/>
      <c r="L84" s="2182"/>
      <c r="M84" s="2182"/>
      <c r="N84" s="2182"/>
      <c r="O84" s="2182" t="s">
        <v>1827</v>
      </c>
      <c r="P84" s="2182"/>
      <c r="Q84" s="2182"/>
      <c r="R84" s="2182"/>
      <c r="S84" s="2182"/>
      <c r="T84" s="2182"/>
      <c r="U84" s="2182"/>
      <c r="V84" s="2183" t="s">
        <v>2186</v>
      </c>
      <c r="W84" s="2183"/>
      <c r="X84" s="2183"/>
      <c r="Y84" s="2183"/>
      <c r="Z84" s="2183"/>
      <c r="AA84" s="2183"/>
      <c r="AB84" s="2184" t="s">
        <v>1828</v>
      </c>
      <c r="AC84" s="2184"/>
      <c r="AD84" s="2184"/>
      <c r="AE84" s="2184"/>
      <c r="AF84" s="2184"/>
      <c r="AG84" s="2184"/>
      <c r="AH84" s="2185"/>
      <c r="AI84" s="1206"/>
      <c r="AJ84" s="2191"/>
      <c r="AK84" s="2192"/>
      <c r="AL84" s="2192"/>
      <c r="AM84" s="2192"/>
      <c r="AN84" s="2192"/>
      <c r="AO84" s="2192"/>
      <c r="AP84" s="2192"/>
      <c r="AQ84" s="2192"/>
      <c r="AR84" s="2192"/>
      <c r="AS84" s="2192"/>
      <c r="AT84" s="2192"/>
      <c r="AU84" s="2192"/>
      <c r="AV84" s="2192"/>
      <c r="AW84" s="2192"/>
      <c r="AX84" s="2192"/>
      <c r="AY84" s="2213"/>
      <c r="AZ84" s="2213"/>
      <c r="BA84" s="2213"/>
      <c r="BB84" s="2214"/>
      <c r="BC84" s="1206"/>
      <c r="BD84" s="1206"/>
      <c r="BE84" s="1202"/>
    </row>
    <row r="85" spans="1:70" ht="15.75" customHeight="1">
      <c r="A85" s="1206"/>
      <c r="B85" s="2181"/>
      <c r="C85" s="2182"/>
      <c r="D85" s="2182"/>
      <c r="E85" s="2182"/>
      <c r="F85" s="2182"/>
      <c r="G85" s="2182"/>
      <c r="H85" s="2182"/>
      <c r="I85" s="2182"/>
      <c r="J85" s="2182"/>
      <c r="K85" s="2182"/>
      <c r="L85" s="2182"/>
      <c r="M85" s="2182"/>
      <c r="N85" s="2182"/>
      <c r="O85" s="2182"/>
      <c r="P85" s="2182"/>
      <c r="Q85" s="2182"/>
      <c r="R85" s="2182"/>
      <c r="S85" s="2182"/>
      <c r="T85" s="2182"/>
      <c r="U85" s="2182"/>
      <c r="V85" s="2183"/>
      <c r="W85" s="2183"/>
      <c r="X85" s="2183"/>
      <c r="Y85" s="2183"/>
      <c r="Z85" s="2183"/>
      <c r="AA85" s="2183"/>
      <c r="AB85" s="2184"/>
      <c r="AC85" s="2184"/>
      <c r="AD85" s="2184"/>
      <c r="AE85" s="2184"/>
      <c r="AF85" s="2184"/>
      <c r="AG85" s="2184"/>
      <c r="AH85" s="2185"/>
      <c r="AI85" s="1206"/>
      <c r="AJ85" s="2191"/>
      <c r="AK85" s="2192"/>
      <c r="AL85" s="2192"/>
      <c r="AM85" s="2192"/>
      <c r="AN85" s="2192"/>
      <c r="AO85" s="2192"/>
      <c r="AP85" s="2192"/>
      <c r="AQ85" s="2192"/>
      <c r="AR85" s="2192"/>
      <c r="AS85" s="2192"/>
      <c r="AT85" s="2192"/>
      <c r="AU85" s="2192"/>
      <c r="AV85" s="2192"/>
      <c r="AW85" s="2192"/>
      <c r="AX85" s="2192"/>
      <c r="AY85" s="2213"/>
      <c r="AZ85" s="2213"/>
      <c r="BA85" s="2213"/>
      <c r="BB85" s="2214"/>
      <c r="BC85" s="1206"/>
      <c r="BD85" s="1206"/>
      <c r="BE85" s="1202"/>
    </row>
    <row r="86" spans="1:70" ht="15.75" customHeight="1">
      <c r="A86" s="1206"/>
      <c r="B86" s="2181" t="s">
        <v>2169</v>
      </c>
      <c r="C86" s="2182"/>
      <c r="D86" s="2182"/>
      <c r="E86" s="2182"/>
      <c r="F86" s="2182"/>
      <c r="G86" s="2182"/>
      <c r="H86" s="2182"/>
      <c r="I86" s="2179">
        <v>0</v>
      </c>
      <c r="J86" s="2179"/>
      <c r="K86" s="2179"/>
      <c r="L86" s="2179"/>
      <c r="M86" s="2179"/>
      <c r="N86" s="2179"/>
      <c r="O86" s="2179">
        <v>0</v>
      </c>
      <c r="P86" s="2179"/>
      <c r="Q86" s="2179"/>
      <c r="R86" s="2179"/>
      <c r="S86" s="2179"/>
      <c r="T86" s="2179"/>
      <c r="U86" s="2179"/>
      <c r="V86" s="2179">
        <v>0</v>
      </c>
      <c r="W86" s="2179"/>
      <c r="X86" s="2179"/>
      <c r="Y86" s="2179"/>
      <c r="Z86" s="2179"/>
      <c r="AA86" s="2179"/>
      <c r="AB86" s="2179">
        <v>0</v>
      </c>
      <c r="AC86" s="2179"/>
      <c r="AD86" s="2179"/>
      <c r="AE86" s="2179"/>
      <c r="AF86" s="2179"/>
      <c r="AG86" s="2179"/>
      <c r="AH86" s="2180"/>
      <c r="AI86" s="1206"/>
      <c r="AJ86" s="2191"/>
      <c r="AK86" s="2192"/>
      <c r="AL86" s="2192"/>
      <c r="AM86" s="2192"/>
      <c r="AN86" s="2192"/>
      <c r="AO86" s="2192"/>
      <c r="AP86" s="2192"/>
      <c r="AQ86" s="2192"/>
      <c r="AR86" s="2192"/>
      <c r="AS86" s="2192"/>
      <c r="AT86" s="2192"/>
      <c r="AU86" s="2192"/>
      <c r="AV86" s="2192"/>
      <c r="AW86" s="2192"/>
      <c r="AX86" s="2192"/>
      <c r="AY86" s="2213"/>
      <c r="AZ86" s="2213"/>
      <c r="BA86" s="2213"/>
      <c r="BB86" s="2214"/>
      <c r="BC86" s="1206"/>
      <c r="BD86" s="1206"/>
      <c r="BE86" s="1202"/>
    </row>
    <row r="87" spans="1:70" ht="15.75" customHeight="1">
      <c r="A87" s="1206"/>
      <c r="B87" s="2181" t="s">
        <v>2170</v>
      </c>
      <c r="C87" s="2182"/>
      <c r="D87" s="2182"/>
      <c r="E87" s="2182"/>
      <c r="F87" s="2182"/>
      <c r="G87" s="2182"/>
      <c r="H87" s="2182"/>
      <c r="I87" s="2179">
        <v>0</v>
      </c>
      <c r="J87" s="2179"/>
      <c r="K87" s="2179"/>
      <c r="L87" s="2179"/>
      <c r="M87" s="2179"/>
      <c r="N87" s="2179"/>
      <c r="O87" s="2179">
        <v>0</v>
      </c>
      <c r="P87" s="2179"/>
      <c r="Q87" s="2179"/>
      <c r="R87" s="2179"/>
      <c r="S87" s="2179"/>
      <c r="T87" s="2179"/>
      <c r="U87" s="2179"/>
      <c r="V87" s="2179">
        <v>0</v>
      </c>
      <c r="W87" s="2179"/>
      <c r="X87" s="2179"/>
      <c r="Y87" s="2179"/>
      <c r="Z87" s="2179"/>
      <c r="AA87" s="2179"/>
      <c r="AB87" s="2179">
        <v>0</v>
      </c>
      <c r="AC87" s="2179"/>
      <c r="AD87" s="2179"/>
      <c r="AE87" s="2179"/>
      <c r="AF87" s="2179"/>
      <c r="AG87" s="2179"/>
      <c r="AH87" s="2180"/>
      <c r="AI87" s="1206"/>
      <c r="AJ87" s="2193" t="s">
        <v>2485</v>
      </c>
      <c r="AK87" s="2194"/>
      <c r="AL87" s="2194"/>
      <c r="AM87" s="2194"/>
      <c r="AN87" s="2194"/>
      <c r="AO87" s="2194"/>
      <c r="AP87" s="2194"/>
      <c r="AQ87" s="2194"/>
      <c r="AR87" s="2194"/>
      <c r="AS87" s="2194"/>
      <c r="AT87" s="2194"/>
      <c r="AU87" s="2194"/>
      <c r="AV87" s="2194"/>
      <c r="AW87" s="2194"/>
      <c r="AX87" s="2194"/>
      <c r="AY87" s="2194"/>
      <c r="AZ87" s="2194"/>
      <c r="BA87" s="2194"/>
      <c r="BB87" s="2195"/>
      <c r="BC87" s="1206"/>
      <c r="BD87" s="1206"/>
      <c r="BE87" s="1202"/>
    </row>
    <row r="88" spans="1:70" ht="15.75" customHeight="1" thickBot="1">
      <c r="A88" s="1206"/>
      <c r="B88" s="2175" t="s">
        <v>1829</v>
      </c>
      <c r="C88" s="2176"/>
      <c r="D88" s="2176"/>
      <c r="E88" s="2176"/>
      <c r="F88" s="2176"/>
      <c r="G88" s="2176"/>
      <c r="H88" s="2176"/>
      <c r="I88" s="2177">
        <v>0</v>
      </c>
      <c r="J88" s="2177"/>
      <c r="K88" s="2177"/>
      <c r="L88" s="2177"/>
      <c r="M88" s="2177"/>
      <c r="N88" s="2177"/>
      <c r="O88" s="2177">
        <v>0</v>
      </c>
      <c r="P88" s="2177"/>
      <c r="Q88" s="2177"/>
      <c r="R88" s="2177"/>
      <c r="S88" s="2177"/>
      <c r="T88" s="2177"/>
      <c r="U88" s="2177"/>
      <c r="V88" s="2177">
        <v>0</v>
      </c>
      <c r="W88" s="2177"/>
      <c r="X88" s="2177"/>
      <c r="Y88" s="2177"/>
      <c r="Z88" s="2177"/>
      <c r="AA88" s="2177"/>
      <c r="AB88" s="2177">
        <v>0</v>
      </c>
      <c r="AC88" s="2177"/>
      <c r="AD88" s="2177"/>
      <c r="AE88" s="2177"/>
      <c r="AF88" s="2177"/>
      <c r="AG88" s="2177"/>
      <c r="AH88" s="2178"/>
      <c r="AI88" s="1206"/>
      <c r="AJ88" s="2196"/>
      <c r="AK88" s="2197"/>
      <c r="AL88" s="2197"/>
      <c r="AM88" s="2197"/>
      <c r="AN88" s="2197"/>
      <c r="AO88" s="2197"/>
      <c r="AP88" s="2197"/>
      <c r="AQ88" s="2197"/>
      <c r="AR88" s="2197"/>
      <c r="AS88" s="2197"/>
      <c r="AT88" s="2197"/>
      <c r="AU88" s="2197"/>
      <c r="AV88" s="2197"/>
      <c r="AW88" s="2197"/>
      <c r="AX88" s="2197"/>
      <c r="AY88" s="2197"/>
      <c r="AZ88" s="2197"/>
      <c r="BA88" s="2197"/>
      <c r="BB88" s="2198"/>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202"/>
      <c r="G92" s="2203"/>
      <c r="H92" s="2203"/>
      <c r="I92" s="2203"/>
      <c r="J92" s="2203"/>
      <c r="K92" s="2203"/>
      <c r="L92" s="2203"/>
      <c r="M92" s="2203"/>
      <c r="N92" s="2203"/>
      <c r="O92" s="2203"/>
      <c r="P92" s="2203"/>
      <c r="Q92" s="2204"/>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208" t="e">
        <f>BR97/SUM($BR$96:$BR$98)</f>
        <v>#DIV/0!</v>
      </c>
      <c r="P93" s="2209"/>
      <c r="Q93" s="221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199" t="s">
        <v>2549</v>
      </c>
      <c r="P94" s="2200"/>
      <c r="Q94" s="2201"/>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5" t="s">
        <v>2613</v>
      </c>
      <c r="C96" s="2586"/>
      <c r="D96" s="2586"/>
      <c r="E96" s="2586"/>
      <c r="F96" s="2586"/>
      <c r="G96" s="2586"/>
      <c r="H96" s="2586"/>
      <c r="I96" s="2586"/>
      <c r="J96" s="2586"/>
      <c r="K96" s="2586"/>
      <c r="L96" s="2586"/>
      <c r="M96" s="2586"/>
      <c r="N96" s="2586"/>
      <c r="O96" s="2586"/>
      <c r="P96" s="2586"/>
      <c r="Q96" s="2586"/>
      <c r="R96" s="2586"/>
      <c r="S96" s="2586"/>
      <c r="T96" s="2586"/>
      <c r="U96" s="2586"/>
      <c r="V96" s="2586"/>
      <c r="W96" s="2586"/>
      <c r="X96" s="2586"/>
      <c r="Y96" s="2586"/>
      <c r="Z96" s="2586"/>
      <c r="AA96" s="2586"/>
      <c r="AB96" s="2586"/>
      <c r="AC96" s="2586"/>
      <c r="AD96" s="2586"/>
      <c r="AE96" s="2586"/>
      <c r="AF96" s="2586"/>
      <c r="AG96" s="2586"/>
      <c r="AH96" s="2587"/>
      <c r="AI96" s="1206"/>
      <c r="AJ96" s="2189" t="s">
        <v>2612</v>
      </c>
      <c r="AK96" s="2190"/>
      <c r="AL96" s="2190"/>
      <c r="AM96" s="2190"/>
      <c r="AN96" s="2190"/>
      <c r="AO96" s="2190"/>
      <c r="AP96" s="2190"/>
      <c r="AQ96" s="2190"/>
      <c r="AR96" s="2190"/>
      <c r="AS96" s="2190"/>
      <c r="AT96" s="2190"/>
      <c r="AU96" s="2190"/>
      <c r="AV96" s="2190"/>
      <c r="AW96" s="2190"/>
      <c r="AX96" s="2190"/>
      <c r="AY96" s="2211" t="s">
        <v>552</v>
      </c>
      <c r="AZ96" s="2211"/>
      <c r="BA96" s="2211"/>
      <c r="BB96" s="2212"/>
      <c r="BC96" s="1206"/>
      <c r="BD96" s="1206"/>
      <c r="BE96" s="1202"/>
      <c r="BQ96" s="1245" t="str">
        <f>Application!M243</f>
        <v>300 De Haro Holdings LLC</v>
      </c>
      <c r="BR96" s="1245">
        <f>Application!AH245</f>
        <v>0</v>
      </c>
    </row>
    <row r="97" spans="1:70" ht="15.75" customHeight="1">
      <c r="A97" s="1206"/>
      <c r="B97" s="2181"/>
      <c r="C97" s="2182"/>
      <c r="D97" s="2182"/>
      <c r="E97" s="2182"/>
      <c r="F97" s="2182"/>
      <c r="G97" s="2182"/>
      <c r="H97" s="2182"/>
      <c r="I97" s="2182" t="s">
        <v>1826</v>
      </c>
      <c r="J97" s="2182"/>
      <c r="K97" s="2182"/>
      <c r="L97" s="2182"/>
      <c r="M97" s="2182"/>
      <c r="N97" s="2182"/>
      <c r="O97" s="2182" t="s">
        <v>1827</v>
      </c>
      <c r="P97" s="2182"/>
      <c r="Q97" s="2182"/>
      <c r="R97" s="2182"/>
      <c r="S97" s="2182"/>
      <c r="T97" s="2182"/>
      <c r="U97" s="2182"/>
      <c r="V97" s="2183" t="s">
        <v>2186</v>
      </c>
      <c r="W97" s="2183"/>
      <c r="X97" s="2183"/>
      <c r="Y97" s="2183"/>
      <c r="Z97" s="2183"/>
      <c r="AA97" s="2183"/>
      <c r="AB97" s="2184" t="s">
        <v>1828</v>
      </c>
      <c r="AC97" s="2184"/>
      <c r="AD97" s="2184"/>
      <c r="AE97" s="2184"/>
      <c r="AF97" s="2184"/>
      <c r="AG97" s="2184"/>
      <c r="AH97" s="2185"/>
      <c r="AI97" s="1206"/>
      <c r="AJ97" s="2191"/>
      <c r="AK97" s="2192"/>
      <c r="AL97" s="2192"/>
      <c r="AM97" s="2192"/>
      <c r="AN97" s="2192"/>
      <c r="AO97" s="2192"/>
      <c r="AP97" s="2192"/>
      <c r="AQ97" s="2192"/>
      <c r="AR97" s="2192"/>
      <c r="AS97" s="2192"/>
      <c r="AT97" s="2192"/>
      <c r="AU97" s="2192"/>
      <c r="AV97" s="2192"/>
      <c r="AW97" s="2192"/>
      <c r="AX97" s="2192"/>
      <c r="AY97" s="2213"/>
      <c r="AZ97" s="2213"/>
      <c r="BA97" s="2213"/>
      <c r="BB97" s="2214"/>
      <c r="BC97" s="1206"/>
      <c r="BD97" s="1206"/>
      <c r="BE97" s="1202"/>
      <c r="BQ97" s="1245" t="str">
        <f>Application!M251</f>
        <v>Pacific Southwest Community Development Corporation, a California nonprofit public benefit corporation</v>
      </c>
      <c r="BR97" s="1245">
        <f>Application!AH253</f>
        <v>0</v>
      </c>
    </row>
    <row r="98" spans="1:70" ht="15.75" customHeight="1">
      <c r="A98" s="1206"/>
      <c r="B98" s="2181"/>
      <c r="C98" s="2182"/>
      <c r="D98" s="2182"/>
      <c r="E98" s="2182"/>
      <c r="F98" s="2182"/>
      <c r="G98" s="2182"/>
      <c r="H98" s="2182"/>
      <c r="I98" s="2182"/>
      <c r="J98" s="2182"/>
      <c r="K98" s="2182"/>
      <c r="L98" s="2182"/>
      <c r="M98" s="2182"/>
      <c r="N98" s="2182"/>
      <c r="O98" s="2182"/>
      <c r="P98" s="2182"/>
      <c r="Q98" s="2182"/>
      <c r="R98" s="2182"/>
      <c r="S98" s="2182"/>
      <c r="T98" s="2182"/>
      <c r="U98" s="2182"/>
      <c r="V98" s="2183"/>
      <c r="W98" s="2183"/>
      <c r="X98" s="2183"/>
      <c r="Y98" s="2183"/>
      <c r="Z98" s="2183"/>
      <c r="AA98" s="2183"/>
      <c r="AB98" s="2184"/>
      <c r="AC98" s="2184"/>
      <c r="AD98" s="2184"/>
      <c r="AE98" s="2184"/>
      <c r="AF98" s="2184"/>
      <c r="AG98" s="2184"/>
      <c r="AH98" s="2185"/>
      <c r="AI98" s="1206"/>
      <c r="AJ98" s="2191"/>
      <c r="AK98" s="2192"/>
      <c r="AL98" s="2192"/>
      <c r="AM98" s="2192"/>
      <c r="AN98" s="2192"/>
      <c r="AO98" s="2192"/>
      <c r="AP98" s="2192"/>
      <c r="AQ98" s="2192"/>
      <c r="AR98" s="2192"/>
      <c r="AS98" s="2192"/>
      <c r="AT98" s="2192"/>
      <c r="AU98" s="2192"/>
      <c r="AV98" s="2192"/>
      <c r="AW98" s="2192"/>
      <c r="AX98" s="2192"/>
      <c r="AY98" s="2213"/>
      <c r="AZ98" s="2213"/>
      <c r="BA98" s="2213"/>
      <c r="BB98" s="2214"/>
      <c r="BC98" s="1206"/>
      <c r="BD98" s="1206"/>
      <c r="BE98" s="1202"/>
      <c r="BQ98" s="1245">
        <f>Application!M259</f>
        <v>0</v>
      </c>
      <c r="BR98" s="1245">
        <f>Application!AH261</f>
        <v>0</v>
      </c>
    </row>
    <row r="99" spans="1:70" ht="15.75" customHeight="1">
      <c r="A99" s="1206"/>
      <c r="B99" s="2181" t="s">
        <v>2169</v>
      </c>
      <c r="C99" s="2182"/>
      <c r="D99" s="2182"/>
      <c r="E99" s="2182"/>
      <c r="F99" s="2182"/>
      <c r="G99" s="2182"/>
      <c r="H99" s="2182"/>
      <c r="I99" s="2179">
        <v>0</v>
      </c>
      <c r="J99" s="2179"/>
      <c r="K99" s="2179"/>
      <c r="L99" s="2179"/>
      <c r="M99" s="2179"/>
      <c r="N99" s="2179"/>
      <c r="O99" s="2179">
        <v>0</v>
      </c>
      <c r="P99" s="2179"/>
      <c r="Q99" s="2179"/>
      <c r="R99" s="2179"/>
      <c r="S99" s="2179"/>
      <c r="T99" s="2179"/>
      <c r="U99" s="2179"/>
      <c r="V99" s="2179">
        <v>0</v>
      </c>
      <c r="W99" s="2179"/>
      <c r="X99" s="2179"/>
      <c r="Y99" s="2179"/>
      <c r="Z99" s="2179"/>
      <c r="AA99" s="2179"/>
      <c r="AB99" s="2179">
        <v>0</v>
      </c>
      <c r="AC99" s="2179"/>
      <c r="AD99" s="2179"/>
      <c r="AE99" s="2179"/>
      <c r="AF99" s="2179"/>
      <c r="AG99" s="2179"/>
      <c r="AH99" s="2180"/>
      <c r="AI99" s="1206"/>
      <c r="AJ99" s="2191"/>
      <c r="AK99" s="2192"/>
      <c r="AL99" s="2192"/>
      <c r="AM99" s="2192"/>
      <c r="AN99" s="2192"/>
      <c r="AO99" s="2192"/>
      <c r="AP99" s="2192"/>
      <c r="AQ99" s="2192"/>
      <c r="AR99" s="2192"/>
      <c r="AS99" s="2192"/>
      <c r="AT99" s="2192"/>
      <c r="AU99" s="2192"/>
      <c r="AV99" s="2192"/>
      <c r="AW99" s="2192"/>
      <c r="AX99" s="2192"/>
      <c r="AY99" s="2213"/>
      <c r="AZ99" s="2213"/>
      <c r="BA99" s="2213"/>
      <c r="BB99" s="2214"/>
      <c r="BC99" s="1206"/>
      <c r="BD99" s="1206"/>
      <c r="BE99" s="1202"/>
    </row>
    <row r="100" spans="1:70" ht="15.75" customHeight="1">
      <c r="A100" s="1206"/>
      <c r="B100" s="2181" t="s">
        <v>2170</v>
      </c>
      <c r="C100" s="2182"/>
      <c r="D100" s="2182"/>
      <c r="E100" s="2182"/>
      <c r="F100" s="2182"/>
      <c r="G100" s="2182"/>
      <c r="H100" s="2182"/>
      <c r="I100" s="2179">
        <v>0</v>
      </c>
      <c r="J100" s="2179"/>
      <c r="K100" s="2179"/>
      <c r="L100" s="2179"/>
      <c r="M100" s="2179"/>
      <c r="N100" s="2179"/>
      <c r="O100" s="2179">
        <v>0</v>
      </c>
      <c r="P100" s="2179"/>
      <c r="Q100" s="2179"/>
      <c r="R100" s="2179"/>
      <c r="S100" s="2179"/>
      <c r="T100" s="2179"/>
      <c r="U100" s="2179"/>
      <c r="V100" s="2179">
        <v>0</v>
      </c>
      <c r="W100" s="2179"/>
      <c r="X100" s="2179"/>
      <c r="Y100" s="2179"/>
      <c r="Z100" s="2179"/>
      <c r="AA100" s="2179"/>
      <c r="AB100" s="2179">
        <v>0</v>
      </c>
      <c r="AC100" s="2179"/>
      <c r="AD100" s="2179"/>
      <c r="AE100" s="2179"/>
      <c r="AF100" s="2179"/>
      <c r="AG100" s="2179"/>
      <c r="AH100" s="2180"/>
      <c r="AI100" s="1206"/>
      <c r="AJ100" s="2193" t="s">
        <v>2485</v>
      </c>
      <c r="AK100" s="2194"/>
      <c r="AL100" s="2194"/>
      <c r="AM100" s="2194"/>
      <c r="AN100" s="2194"/>
      <c r="AO100" s="2194"/>
      <c r="AP100" s="2194"/>
      <c r="AQ100" s="2194"/>
      <c r="AR100" s="2194"/>
      <c r="AS100" s="2194"/>
      <c r="AT100" s="2194"/>
      <c r="AU100" s="2194"/>
      <c r="AV100" s="2194"/>
      <c r="AW100" s="2194"/>
      <c r="AX100" s="2194"/>
      <c r="AY100" s="2194"/>
      <c r="AZ100" s="2194"/>
      <c r="BA100" s="2194"/>
      <c r="BB100" s="2195"/>
      <c r="BC100" s="1206"/>
      <c r="BD100" s="1206"/>
      <c r="BE100" s="1202"/>
    </row>
    <row r="101" spans="1:70" ht="15.75" customHeight="1" thickBot="1">
      <c r="A101" s="1206"/>
      <c r="B101" s="2175" t="s">
        <v>1829</v>
      </c>
      <c r="C101" s="2176"/>
      <c r="D101" s="2176"/>
      <c r="E101" s="2176"/>
      <c r="F101" s="2176"/>
      <c r="G101" s="2176"/>
      <c r="H101" s="2176"/>
      <c r="I101" s="2177">
        <v>0</v>
      </c>
      <c r="J101" s="2177"/>
      <c r="K101" s="2177"/>
      <c r="L101" s="2177"/>
      <c r="M101" s="2177"/>
      <c r="N101" s="2177"/>
      <c r="O101" s="2177">
        <v>0</v>
      </c>
      <c r="P101" s="2177"/>
      <c r="Q101" s="2177"/>
      <c r="R101" s="2177"/>
      <c r="S101" s="2177"/>
      <c r="T101" s="2177"/>
      <c r="U101" s="2177"/>
      <c r="V101" s="2177">
        <v>0</v>
      </c>
      <c r="W101" s="2177"/>
      <c r="X101" s="2177"/>
      <c r="Y101" s="2177"/>
      <c r="Z101" s="2177"/>
      <c r="AA101" s="2177"/>
      <c r="AB101" s="2177">
        <v>0</v>
      </c>
      <c r="AC101" s="2177"/>
      <c r="AD101" s="2177"/>
      <c r="AE101" s="2177"/>
      <c r="AF101" s="2177"/>
      <c r="AG101" s="2177"/>
      <c r="AH101" s="2178"/>
      <c r="AI101" s="1206"/>
      <c r="AJ101" s="2196"/>
      <c r="AK101" s="2197"/>
      <c r="AL101" s="2197"/>
      <c r="AM101" s="2197"/>
      <c r="AN101" s="2197"/>
      <c r="AO101" s="2197"/>
      <c r="AP101" s="2197"/>
      <c r="AQ101" s="2197"/>
      <c r="AR101" s="2197"/>
      <c r="AS101" s="2197"/>
      <c r="AT101" s="2197"/>
      <c r="AU101" s="2197"/>
      <c r="AV101" s="2197"/>
      <c r="AW101" s="2197"/>
      <c r="AX101" s="2197"/>
      <c r="AY101" s="2197"/>
      <c r="AZ101" s="2197"/>
      <c r="BA101" s="2197"/>
      <c r="BB101" s="2198"/>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205"/>
      <c r="G104" s="2206"/>
      <c r="H104" s="2206"/>
      <c r="I104" s="2206"/>
      <c r="J104" s="2206"/>
      <c r="K104" s="2206"/>
      <c r="L104" s="2206"/>
      <c r="M104" s="2206"/>
      <c r="N104" s="2206"/>
      <c r="O104" s="2206"/>
      <c r="P104" s="2206"/>
      <c r="Q104" s="2206"/>
      <c r="R104" s="2207"/>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199" t="e">
        <f>BR98/SUM(BR96:BR98)</f>
        <v>#DIV/0!</v>
      </c>
      <c r="P105" s="2200"/>
      <c r="Q105" s="2200"/>
      <c r="R105" s="2201"/>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6" t="s">
        <v>2609</v>
      </c>
      <c r="C107" s="2187"/>
      <c r="D107" s="2187"/>
      <c r="E107" s="2187"/>
      <c r="F107" s="2187"/>
      <c r="G107" s="2187"/>
      <c r="H107" s="2187"/>
      <c r="I107" s="2187"/>
      <c r="J107" s="2187"/>
      <c r="K107" s="2187"/>
      <c r="L107" s="2187"/>
      <c r="M107" s="2187"/>
      <c r="N107" s="2187"/>
      <c r="O107" s="2187"/>
      <c r="P107" s="2187"/>
      <c r="Q107" s="2187"/>
      <c r="R107" s="2187"/>
      <c r="S107" s="2187"/>
      <c r="T107" s="2187"/>
      <c r="U107" s="2187"/>
      <c r="V107" s="2187"/>
      <c r="W107" s="2187"/>
      <c r="X107" s="2187"/>
      <c r="Y107" s="2187"/>
      <c r="Z107" s="2187"/>
      <c r="AA107" s="2187"/>
      <c r="AB107" s="2187"/>
      <c r="AC107" s="2187"/>
      <c r="AD107" s="2187"/>
      <c r="AE107" s="2187"/>
      <c r="AF107" s="2187"/>
      <c r="AG107" s="2187"/>
      <c r="AH107" s="2188"/>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81"/>
      <c r="C108" s="2182"/>
      <c r="D108" s="2182"/>
      <c r="E108" s="2182"/>
      <c r="F108" s="2182"/>
      <c r="G108" s="2182"/>
      <c r="H108" s="2182"/>
      <c r="I108" s="2182" t="s">
        <v>1826</v>
      </c>
      <c r="J108" s="2182"/>
      <c r="K108" s="2182"/>
      <c r="L108" s="2182"/>
      <c r="M108" s="2182"/>
      <c r="N108" s="2182"/>
      <c r="O108" s="2182" t="s">
        <v>1827</v>
      </c>
      <c r="P108" s="2182"/>
      <c r="Q108" s="2182"/>
      <c r="R108" s="2182"/>
      <c r="S108" s="2182"/>
      <c r="T108" s="2182"/>
      <c r="U108" s="2182"/>
      <c r="V108" s="2183" t="s">
        <v>2186</v>
      </c>
      <c r="W108" s="2183"/>
      <c r="X108" s="2183"/>
      <c r="Y108" s="2183"/>
      <c r="Z108" s="2183"/>
      <c r="AA108" s="2183"/>
      <c r="AB108" s="2184" t="s">
        <v>1828</v>
      </c>
      <c r="AC108" s="2184"/>
      <c r="AD108" s="2184"/>
      <c r="AE108" s="2184"/>
      <c r="AF108" s="2184"/>
      <c r="AG108" s="2184"/>
      <c r="AH108" s="2185"/>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81"/>
      <c r="C109" s="2182"/>
      <c r="D109" s="2182"/>
      <c r="E109" s="2182"/>
      <c r="F109" s="2182"/>
      <c r="G109" s="2182"/>
      <c r="H109" s="2182"/>
      <c r="I109" s="2182"/>
      <c r="J109" s="2182"/>
      <c r="K109" s="2182"/>
      <c r="L109" s="2182"/>
      <c r="M109" s="2182"/>
      <c r="N109" s="2182"/>
      <c r="O109" s="2182"/>
      <c r="P109" s="2182"/>
      <c r="Q109" s="2182"/>
      <c r="R109" s="2182"/>
      <c r="S109" s="2182"/>
      <c r="T109" s="2182"/>
      <c r="U109" s="2182"/>
      <c r="V109" s="2183"/>
      <c r="W109" s="2183"/>
      <c r="X109" s="2183"/>
      <c r="Y109" s="2183"/>
      <c r="Z109" s="2183"/>
      <c r="AA109" s="2183"/>
      <c r="AB109" s="2184"/>
      <c r="AC109" s="2184"/>
      <c r="AD109" s="2184"/>
      <c r="AE109" s="2184"/>
      <c r="AF109" s="2184"/>
      <c r="AG109" s="2184"/>
      <c r="AH109" s="2185"/>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81" t="s">
        <v>2169</v>
      </c>
      <c r="C110" s="2182"/>
      <c r="D110" s="2182"/>
      <c r="E110" s="2182"/>
      <c r="F110" s="2182"/>
      <c r="G110" s="2182"/>
      <c r="H110" s="2182"/>
      <c r="I110" s="2179">
        <v>0</v>
      </c>
      <c r="J110" s="2179"/>
      <c r="K110" s="2179"/>
      <c r="L110" s="2179"/>
      <c r="M110" s="2179"/>
      <c r="N110" s="2179"/>
      <c r="O110" s="2179">
        <v>0</v>
      </c>
      <c r="P110" s="2179"/>
      <c r="Q110" s="2179"/>
      <c r="R110" s="2179"/>
      <c r="S110" s="2179"/>
      <c r="T110" s="2179"/>
      <c r="U110" s="2179"/>
      <c r="V110" s="2179">
        <v>0</v>
      </c>
      <c r="W110" s="2179"/>
      <c r="X110" s="2179"/>
      <c r="Y110" s="2179"/>
      <c r="Z110" s="2179"/>
      <c r="AA110" s="2179"/>
      <c r="AB110" s="2179">
        <v>0</v>
      </c>
      <c r="AC110" s="2179"/>
      <c r="AD110" s="2179"/>
      <c r="AE110" s="2179"/>
      <c r="AF110" s="2179"/>
      <c r="AG110" s="2179"/>
      <c r="AH110" s="218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81" t="s">
        <v>2170</v>
      </c>
      <c r="C111" s="2182"/>
      <c r="D111" s="2182"/>
      <c r="E111" s="2182"/>
      <c r="F111" s="2182"/>
      <c r="G111" s="2182"/>
      <c r="H111" s="2182"/>
      <c r="I111" s="2179">
        <v>0</v>
      </c>
      <c r="J111" s="2179"/>
      <c r="K111" s="2179"/>
      <c r="L111" s="2179"/>
      <c r="M111" s="2179"/>
      <c r="N111" s="2179"/>
      <c r="O111" s="2179">
        <v>0</v>
      </c>
      <c r="P111" s="2179"/>
      <c r="Q111" s="2179"/>
      <c r="R111" s="2179"/>
      <c r="S111" s="2179"/>
      <c r="T111" s="2179"/>
      <c r="U111" s="2179"/>
      <c r="V111" s="2179">
        <v>0</v>
      </c>
      <c r="W111" s="2179"/>
      <c r="X111" s="2179"/>
      <c r="Y111" s="2179"/>
      <c r="Z111" s="2179"/>
      <c r="AA111" s="2179"/>
      <c r="AB111" s="2179">
        <v>0</v>
      </c>
      <c r="AC111" s="2179"/>
      <c r="AD111" s="2179"/>
      <c r="AE111" s="2179"/>
      <c r="AF111" s="2179"/>
      <c r="AG111" s="2179"/>
      <c r="AH111" s="218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5" t="s">
        <v>1829</v>
      </c>
      <c r="C112" s="2176"/>
      <c r="D112" s="2176"/>
      <c r="E112" s="2176"/>
      <c r="F112" s="2176"/>
      <c r="G112" s="2176"/>
      <c r="H112" s="2176"/>
      <c r="I112" s="2177">
        <v>0</v>
      </c>
      <c r="J112" s="2177"/>
      <c r="K112" s="2177"/>
      <c r="L112" s="2177"/>
      <c r="M112" s="2177"/>
      <c r="N112" s="2177"/>
      <c r="O112" s="2177">
        <v>0</v>
      </c>
      <c r="P112" s="2177"/>
      <c r="Q112" s="2177"/>
      <c r="R112" s="2177"/>
      <c r="S112" s="2177"/>
      <c r="T112" s="2177"/>
      <c r="U112" s="2177"/>
      <c r="V112" s="2177">
        <v>0</v>
      </c>
      <c r="W112" s="2177"/>
      <c r="X112" s="2177"/>
      <c r="Y112" s="2177"/>
      <c r="Z112" s="2177"/>
      <c r="AA112" s="2177"/>
      <c r="AB112" s="2177">
        <v>0</v>
      </c>
      <c r="AC112" s="2177"/>
      <c r="AD112" s="2177"/>
      <c r="AE112" s="2177"/>
      <c r="AF112" s="2177"/>
      <c r="AG112" s="2177"/>
      <c r="AH112" s="2178"/>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205"/>
      <c r="G115" s="2206"/>
      <c r="H115" s="2206"/>
      <c r="I115" s="2206"/>
      <c r="J115" s="2206"/>
      <c r="K115" s="2206"/>
      <c r="L115" s="2206"/>
      <c r="M115" s="2206"/>
      <c r="N115" s="2206"/>
      <c r="O115" s="2206"/>
      <c r="P115" s="2206"/>
      <c r="Q115" s="2206"/>
      <c r="R115" s="2207"/>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9" t="s">
        <v>2486</v>
      </c>
      <c r="C117" s="2190"/>
      <c r="D117" s="2190"/>
      <c r="E117" s="2190"/>
      <c r="F117" s="2190"/>
      <c r="G117" s="2190"/>
      <c r="H117" s="2190"/>
      <c r="I117" s="2190"/>
      <c r="J117" s="2190"/>
      <c r="K117" s="2190"/>
      <c r="L117" s="2190"/>
      <c r="M117" s="2190"/>
      <c r="N117" s="2190"/>
      <c r="O117" s="2190"/>
      <c r="P117" s="2190"/>
      <c r="Q117" s="2211" t="s">
        <v>552</v>
      </c>
      <c r="R117" s="2211"/>
      <c r="S117" s="2211"/>
      <c r="T117" s="2212"/>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91"/>
      <c r="C118" s="2192"/>
      <c r="D118" s="2192"/>
      <c r="E118" s="2192"/>
      <c r="F118" s="2192"/>
      <c r="G118" s="2192"/>
      <c r="H118" s="2192"/>
      <c r="I118" s="2192"/>
      <c r="J118" s="2192"/>
      <c r="K118" s="2192"/>
      <c r="L118" s="2192"/>
      <c r="M118" s="2192"/>
      <c r="N118" s="2192"/>
      <c r="O118" s="2192"/>
      <c r="P118" s="2192"/>
      <c r="Q118" s="2213"/>
      <c r="R118" s="2213"/>
      <c r="S118" s="2213"/>
      <c r="T118" s="2214"/>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91"/>
      <c r="C119" s="2192"/>
      <c r="D119" s="2192"/>
      <c r="E119" s="2192"/>
      <c r="F119" s="2192"/>
      <c r="G119" s="2192"/>
      <c r="H119" s="2192"/>
      <c r="I119" s="2192"/>
      <c r="J119" s="2192"/>
      <c r="K119" s="2192"/>
      <c r="L119" s="2192"/>
      <c r="M119" s="2192"/>
      <c r="N119" s="2192"/>
      <c r="O119" s="2192"/>
      <c r="P119" s="2192"/>
      <c r="Q119" s="2213"/>
      <c r="R119" s="2213"/>
      <c r="S119" s="2213"/>
      <c r="T119" s="2214"/>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91"/>
      <c r="C120" s="2192"/>
      <c r="D120" s="2192"/>
      <c r="E120" s="2192"/>
      <c r="F120" s="2192"/>
      <c r="G120" s="2192"/>
      <c r="H120" s="2192"/>
      <c r="I120" s="2192"/>
      <c r="J120" s="2192"/>
      <c r="K120" s="2192"/>
      <c r="L120" s="2192"/>
      <c r="M120" s="2192"/>
      <c r="N120" s="2192"/>
      <c r="O120" s="2192"/>
      <c r="P120" s="2192"/>
      <c r="Q120" s="2213"/>
      <c r="R120" s="2213"/>
      <c r="S120" s="2213"/>
      <c r="T120" s="2214"/>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93" t="s">
        <v>2187</v>
      </c>
      <c r="C121" s="2194"/>
      <c r="D121" s="2194"/>
      <c r="E121" s="2194"/>
      <c r="F121" s="2194"/>
      <c r="G121" s="2194"/>
      <c r="H121" s="2194"/>
      <c r="I121" s="2194"/>
      <c r="J121" s="2194"/>
      <c r="K121" s="2194"/>
      <c r="L121" s="2194"/>
      <c r="M121" s="2194"/>
      <c r="N121" s="2194"/>
      <c r="O121" s="2194"/>
      <c r="P121" s="2194"/>
      <c r="Q121" s="2194"/>
      <c r="R121" s="2194"/>
      <c r="S121" s="2194"/>
      <c r="T121" s="2195"/>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6"/>
      <c r="C122" s="2197"/>
      <c r="D122" s="2197"/>
      <c r="E122" s="2197"/>
      <c r="F122" s="2197"/>
      <c r="G122" s="2197"/>
      <c r="H122" s="2197"/>
      <c r="I122" s="2197"/>
      <c r="J122" s="2197"/>
      <c r="K122" s="2197"/>
      <c r="L122" s="2197"/>
      <c r="M122" s="2197"/>
      <c r="N122" s="2197"/>
      <c r="O122" s="2197"/>
      <c r="P122" s="2197"/>
      <c r="Q122" s="2197"/>
      <c r="R122" s="2197"/>
      <c r="S122" s="2197"/>
      <c r="T122" s="2198"/>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9" t="s">
        <v>2171</v>
      </c>
      <c r="Y125" s="2190"/>
      <c r="Z125" s="2190"/>
      <c r="AA125" s="2190"/>
      <c r="AB125" s="2190"/>
      <c r="AC125" s="2190"/>
      <c r="AD125" s="2190"/>
      <c r="AE125" s="2190"/>
      <c r="AF125" s="2190"/>
      <c r="AG125" s="2190"/>
      <c r="AH125" s="2190"/>
      <c r="AI125" s="2190"/>
      <c r="AJ125" s="2190"/>
      <c r="AK125" s="2190"/>
      <c r="AL125" s="2190"/>
      <c r="AM125" s="2190"/>
      <c r="AN125" s="2190"/>
      <c r="AO125" s="2190"/>
      <c r="AP125" s="2190"/>
      <c r="AQ125" s="2190"/>
      <c r="AR125" s="2190"/>
      <c r="AS125" s="2190"/>
      <c r="AT125" s="2190"/>
      <c r="AU125" s="2190"/>
      <c r="AV125" s="2190"/>
      <c r="AW125" s="2190"/>
      <c r="AX125" s="2190"/>
      <c r="AY125" s="2190"/>
      <c r="AZ125" s="2190"/>
      <c r="BA125" s="2190"/>
      <c r="BB125" s="2190"/>
      <c r="BC125" s="2190"/>
      <c r="BD125" s="2437"/>
      <c r="BE125" s="1202"/>
    </row>
    <row r="126" spans="1:57" ht="15.75" customHeight="1">
      <c r="A126" s="1206"/>
      <c r="B126" s="2439" t="s">
        <v>1686</v>
      </c>
      <c r="C126" s="2440"/>
      <c r="D126" s="2440"/>
      <c r="E126" s="2440"/>
      <c r="F126" s="2440"/>
      <c r="G126" s="2440"/>
      <c r="H126" s="2440"/>
      <c r="I126" s="2440"/>
      <c r="J126" s="2440"/>
      <c r="K126" s="2440"/>
      <c r="L126" s="2440"/>
      <c r="M126" s="2440"/>
      <c r="N126" s="2440"/>
      <c r="O126" s="2440"/>
      <c r="P126" s="2440"/>
      <c r="Q126" s="2440"/>
      <c r="R126" s="2440"/>
      <c r="S126" s="2440"/>
      <c r="T126" s="2440"/>
      <c r="U126" s="2441"/>
      <c r="V126" s="1206"/>
      <c r="W126" s="1206"/>
      <c r="X126" s="2191"/>
      <c r="Y126" s="2192"/>
      <c r="Z126" s="2192"/>
      <c r="AA126" s="2192"/>
      <c r="AB126" s="2192"/>
      <c r="AC126" s="2192"/>
      <c r="AD126" s="2192"/>
      <c r="AE126" s="2192"/>
      <c r="AF126" s="2192"/>
      <c r="AG126" s="2192"/>
      <c r="AH126" s="2192"/>
      <c r="AI126" s="2192"/>
      <c r="AJ126" s="2192"/>
      <c r="AK126" s="2192"/>
      <c r="AL126" s="2192"/>
      <c r="AM126" s="2192"/>
      <c r="AN126" s="2192"/>
      <c r="AO126" s="2192"/>
      <c r="AP126" s="2192"/>
      <c r="AQ126" s="2192"/>
      <c r="AR126" s="2192"/>
      <c r="AS126" s="2192"/>
      <c r="AT126" s="2192"/>
      <c r="AU126" s="2192"/>
      <c r="AV126" s="2192"/>
      <c r="AW126" s="2192"/>
      <c r="AX126" s="2192"/>
      <c r="AY126" s="2192"/>
      <c r="AZ126" s="2192"/>
      <c r="BA126" s="2192"/>
      <c r="BB126" s="2192"/>
      <c r="BC126" s="2192"/>
      <c r="BD126" s="2438"/>
      <c r="BE126" s="1202"/>
    </row>
    <row r="127" spans="1:57" ht="15.75" customHeight="1">
      <c r="A127" s="1206"/>
      <c r="B127" s="2402"/>
      <c r="C127" s="2403"/>
      <c r="D127" s="2403"/>
      <c r="E127" s="2403"/>
      <c r="F127" s="2403"/>
      <c r="G127" s="2403"/>
      <c r="H127" s="2403"/>
      <c r="I127" s="2182" t="s">
        <v>2172</v>
      </c>
      <c r="J127" s="2182"/>
      <c r="K127" s="2182"/>
      <c r="L127" s="2182"/>
      <c r="M127" s="2182"/>
      <c r="N127" s="2182"/>
      <c r="O127" s="2442" t="s">
        <v>2173</v>
      </c>
      <c r="P127" s="2442"/>
      <c r="Q127" s="2442"/>
      <c r="R127" s="2442"/>
      <c r="S127" s="2442"/>
      <c r="T127" s="2442"/>
      <c r="U127" s="2443"/>
      <c r="V127" s="1206"/>
      <c r="W127" s="1206"/>
      <c r="X127" s="2405" t="s">
        <v>2185</v>
      </c>
      <c r="Y127" s="2406"/>
      <c r="Z127" s="2406"/>
      <c r="AA127" s="2406"/>
      <c r="AB127" s="2406"/>
      <c r="AC127" s="2406"/>
      <c r="AD127" s="2406"/>
      <c r="AE127" s="2406"/>
      <c r="AF127" s="2406"/>
      <c r="AG127" s="2406"/>
      <c r="AH127" s="2406"/>
      <c r="AI127" s="2406"/>
      <c r="AJ127" s="2406"/>
      <c r="AK127" s="2406"/>
      <c r="AL127" s="2406"/>
      <c r="AM127" s="2406"/>
      <c r="AN127" s="2406"/>
      <c r="AO127" s="2406"/>
      <c r="AP127" s="2406"/>
      <c r="AQ127" s="2406"/>
      <c r="AR127" s="2406"/>
      <c r="AS127" s="2406"/>
      <c r="AT127" s="2406"/>
      <c r="AU127" s="2406"/>
      <c r="AV127" s="2406"/>
      <c r="AW127" s="2406"/>
      <c r="AX127" s="2406"/>
      <c r="AY127" s="2406"/>
      <c r="AZ127" s="2406"/>
      <c r="BA127" s="2406"/>
      <c r="BB127" s="2406"/>
      <c r="BC127" s="2406"/>
      <c r="BD127" s="2407"/>
      <c r="BE127" s="1202"/>
    </row>
    <row r="128" spans="1:57" ht="15.75" customHeight="1">
      <c r="A128" s="1206"/>
      <c r="B128" s="2419" t="s">
        <v>2174</v>
      </c>
      <c r="C128" s="2420"/>
      <c r="D128" s="2420"/>
      <c r="E128" s="2420"/>
      <c r="F128" s="2420"/>
      <c r="G128" s="2420"/>
      <c r="H128" s="2420"/>
      <c r="I128" s="2179">
        <v>0</v>
      </c>
      <c r="J128" s="2179"/>
      <c r="K128" s="2179"/>
      <c r="L128" s="2179"/>
      <c r="M128" s="2179"/>
      <c r="N128" s="2179"/>
      <c r="O128" s="2179">
        <v>0</v>
      </c>
      <c r="P128" s="2179"/>
      <c r="Q128" s="2179"/>
      <c r="R128" s="2179"/>
      <c r="S128" s="2179"/>
      <c r="T128" s="2179"/>
      <c r="U128" s="2180"/>
      <c r="V128" s="1206"/>
      <c r="W128" s="1206"/>
      <c r="X128" s="2405"/>
      <c r="Y128" s="2406"/>
      <c r="Z128" s="2406"/>
      <c r="AA128" s="2406"/>
      <c r="AB128" s="2406"/>
      <c r="AC128" s="2406"/>
      <c r="AD128" s="2406"/>
      <c r="AE128" s="2406"/>
      <c r="AF128" s="2406"/>
      <c r="AG128" s="2406"/>
      <c r="AH128" s="2406"/>
      <c r="AI128" s="2406"/>
      <c r="AJ128" s="2406"/>
      <c r="AK128" s="2406"/>
      <c r="AL128" s="2406"/>
      <c r="AM128" s="2406"/>
      <c r="AN128" s="2406"/>
      <c r="AO128" s="2406"/>
      <c r="AP128" s="2406"/>
      <c r="AQ128" s="2406"/>
      <c r="AR128" s="2406"/>
      <c r="AS128" s="2406"/>
      <c r="AT128" s="2406"/>
      <c r="AU128" s="2406"/>
      <c r="AV128" s="2406"/>
      <c r="AW128" s="2406"/>
      <c r="AX128" s="2406"/>
      <c r="AY128" s="2406"/>
      <c r="AZ128" s="2406"/>
      <c r="BA128" s="2406"/>
      <c r="BB128" s="2406"/>
      <c r="BC128" s="2406"/>
      <c r="BD128" s="2407"/>
      <c r="BE128" s="1202"/>
    </row>
    <row r="129" spans="1:57" ht="15.75" customHeight="1" thickBot="1">
      <c r="A129" s="1206"/>
      <c r="B129" s="2421" t="s">
        <v>2175</v>
      </c>
      <c r="C129" s="2422"/>
      <c r="D129" s="2422"/>
      <c r="E129" s="2422"/>
      <c r="F129" s="2422"/>
      <c r="G129" s="2422"/>
      <c r="H129" s="2422"/>
      <c r="I129" s="2177">
        <v>0</v>
      </c>
      <c r="J129" s="2177"/>
      <c r="K129" s="2177"/>
      <c r="L129" s="2177"/>
      <c r="M129" s="2177"/>
      <c r="N129" s="2177"/>
      <c r="O129" s="2444"/>
      <c r="P129" s="2444"/>
      <c r="Q129" s="2444"/>
      <c r="R129" s="2444"/>
      <c r="S129" s="2444"/>
      <c r="T129" s="2444"/>
      <c r="U129" s="2445"/>
      <c r="V129" s="1206"/>
      <c r="W129" s="1206"/>
      <c r="X129" s="2405"/>
      <c r="Y129" s="2406"/>
      <c r="Z129" s="2406"/>
      <c r="AA129" s="2406"/>
      <c r="AB129" s="2406"/>
      <c r="AC129" s="2406"/>
      <c r="AD129" s="2406"/>
      <c r="AE129" s="2406"/>
      <c r="AF129" s="2406"/>
      <c r="AG129" s="2406"/>
      <c r="AH129" s="2406"/>
      <c r="AI129" s="2406"/>
      <c r="AJ129" s="2406"/>
      <c r="AK129" s="2406"/>
      <c r="AL129" s="2406"/>
      <c r="AM129" s="2406"/>
      <c r="AN129" s="2406"/>
      <c r="AO129" s="2406"/>
      <c r="AP129" s="2406"/>
      <c r="AQ129" s="2406"/>
      <c r="AR129" s="2406"/>
      <c r="AS129" s="2406"/>
      <c r="AT129" s="2406"/>
      <c r="AU129" s="2406"/>
      <c r="AV129" s="2406"/>
      <c r="AW129" s="2406"/>
      <c r="AX129" s="2406"/>
      <c r="AY129" s="2406"/>
      <c r="AZ129" s="2406"/>
      <c r="BA129" s="2406"/>
      <c r="BB129" s="2406"/>
      <c r="BC129" s="2406"/>
      <c r="BD129" s="2407"/>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5"/>
      <c r="Y130" s="2406"/>
      <c r="Z130" s="2406"/>
      <c r="AA130" s="2406"/>
      <c r="AB130" s="2406"/>
      <c r="AC130" s="2406"/>
      <c r="AD130" s="2406"/>
      <c r="AE130" s="2406"/>
      <c r="AF130" s="2406"/>
      <c r="AG130" s="2406"/>
      <c r="AH130" s="2406"/>
      <c r="AI130" s="2406"/>
      <c r="AJ130" s="2406"/>
      <c r="AK130" s="2406"/>
      <c r="AL130" s="2406"/>
      <c r="AM130" s="2406"/>
      <c r="AN130" s="2406"/>
      <c r="AO130" s="2406"/>
      <c r="AP130" s="2406"/>
      <c r="AQ130" s="2406"/>
      <c r="AR130" s="2406"/>
      <c r="AS130" s="2406"/>
      <c r="AT130" s="2406"/>
      <c r="AU130" s="2406"/>
      <c r="AV130" s="2406"/>
      <c r="AW130" s="2406"/>
      <c r="AX130" s="2406"/>
      <c r="AY130" s="2406"/>
      <c r="AZ130" s="2406"/>
      <c r="BA130" s="2406"/>
      <c r="BB130" s="2406"/>
      <c r="BC130" s="2406"/>
      <c r="BD130" s="2407"/>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405"/>
      <c r="Y131" s="2406"/>
      <c r="Z131" s="2406"/>
      <c r="AA131" s="2406"/>
      <c r="AB131" s="2406"/>
      <c r="AC131" s="2406"/>
      <c r="AD131" s="2406"/>
      <c r="AE131" s="2406"/>
      <c r="AF131" s="2406"/>
      <c r="AG131" s="2406"/>
      <c r="AH131" s="2406"/>
      <c r="AI131" s="2406"/>
      <c r="AJ131" s="2406"/>
      <c r="AK131" s="2406"/>
      <c r="AL131" s="2406"/>
      <c r="AM131" s="2406"/>
      <c r="AN131" s="2406"/>
      <c r="AO131" s="2406"/>
      <c r="AP131" s="2406"/>
      <c r="AQ131" s="2406"/>
      <c r="AR131" s="2406"/>
      <c r="AS131" s="2406"/>
      <c r="AT131" s="2406"/>
      <c r="AU131" s="2406"/>
      <c r="AV131" s="2406"/>
      <c r="AW131" s="2406"/>
      <c r="AX131" s="2406"/>
      <c r="AY131" s="2406"/>
      <c r="AZ131" s="2406"/>
      <c r="BA131" s="2406"/>
      <c r="BB131" s="2406"/>
      <c r="BC131" s="2406"/>
      <c r="BD131" s="2407"/>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5"/>
      <c r="Y132" s="2406"/>
      <c r="Z132" s="2406"/>
      <c r="AA132" s="2406"/>
      <c r="AB132" s="2406"/>
      <c r="AC132" s="2406"/>
      <c r="AD132" s="2406"/>
      <c r="AE132" s="2406"/>
      <c r="AF132" s="2406"/>
      <c r="AG132" s="2406"/>
      <c r="AH132" s="2406"/>
      <c r="AI132" s="2406"/>
      <c r="AJ132" s="2406"/>
      <c r="AK132" s="2406"/>
      <c r="AL132" s="2406"/>
      <c r="AM132" s="2406"/>
      <c r="AN132" s="2406"/>
      <c r="AO132" s="2406"/>
      <c r="AP132" s="2406"/>
      <c r="AQ132" s="2406"/>
      <c r="AR132" s="2406"/>
      <c r="AS132" s="2406"/>
      <c r="AT132" s="2406"/>
      <c r="AU132" s="2406"/>
      <c r="AV132" s="2406"/>
      <c r="AW132" s="2406"/>
      <c r="AX132" s="2406"/>
      <c r="AY132" s="2406"/>
      <c r="AZ132" s="2406"/>
      <c r="BA132" s="2406"/>
      <c r="BB132" s="2406"/>
      <c r="BC132" s="2406"/>
      <c r="BD132" s="2407"/>
      <c r="BE132" s="1202"/>
    </row>
    <row r="133" spans="1:57" ht="15.75" customHeight="1">
      <c r="A133" s="1206"/>
      <c r="B133" s="2434" t="s">
        <v>1832</v>
      </c>
      <c r="C133" s="2435"/>
      <c r="D133" s="2435"/>
      <c r="E133" s="2435"/>
      <c r="F133" s="2435"/>
      <c r="G133" s="2435"/>
      <c r="H133" s="2435"/>
      <c r="I133" s="2435"/>
      <c r="J133" s="2435"/>
      <c r="K133" s="2435"/>
      <c r="L133" s="2435"/>
      <c r="M133" s="2435"/>
      <c r="N133" s="2435"/>
      <c r="O133" s="2435"/>
      <c r="P133" s="2435"/>
      <c r="Q133" s="2435"/>
      <c r="R133" s="2435"/>
      <c r="S133" s="2435"/>
      <c r="T133" s="2435"/>
      <c r="U133" s="2436"/>
      <c r="V133" s="1206"/>
      <c r="W133" s="1206"/>
      <c r="X133" s="2405"/>
      <c r="Y133" s="2406"/>
      <c r="Z133" s="2406"/>
      <c r="AA133" s="2406"/>
      <c r="AB133" s="2406"/>
      <c r="AC133" s="2406"/>
      <c r="AD133" s="2406"/>
      <c r="AE133" s="2406"/>
      <c r="AF133" s="2406"/>
      <c r="AG133" s="2406"/>
      <c r="AH133" s="2406"/>
      <c r="AI133" s="2406"/>
      <c r="AJ133" s="2406"/>
      <c r="AK133" s="2406"/>
      <c r="AL133" s="2406"/>
      <c r="AM133" s="2406"/>
      <c r="AN133" s="2406"/>
      <c r="AO133" s="2406"/>
      <c r="AP133" s="2406"/>
      <c r="AQ133" s="2406"/>
      <c r="AR133" s="2406"/>
      <c r="AS133" s="2406"/>
      <c r="AT133" s="2406"/>
      <c r="AU133" s="2406"/>
      <c r="AV133" s="2406"/>
      <c r="AW133" s="2406"/>
      <c r="AX133" s="2406"/>
      <c r="AY133" s="2406"/>
      <c r="AZ133" s="2406"/>
      <c r="BA133" s="2406"/>
      <c r="BB133" s="2406"/>
      <c r="BC133" s="2406"/>
      <c r="BD133" s="2407"/>
      <c r="BE133" s="1202"/>
    </row>
    <row r="134" spans="1:57" ht="15.75" customHeight="1">
      <c r="A134" s="1206"/>
      <c r="B134" s="2402"/>
      <c r="C134" s="2403"/>
      <c r="D134" s="2403"/>
      <c r="E134" s="2403"/>
      <c r="F134" s="2403"/>
      <c r="G134" s="2403"/>
      <c r="H134" s="2403"/>
      <c r="I134" s="2417" t="s">
        <v>1827</v>
      </c>
      <c r="J134" s="2417"/>
      <c r="K134" s="2417"/>
      <c r="L134" s="2417"/>
      <c r="M134" s="2417"/>
      <c r="N134" s="2417"/>
      <c r="O134" s="2417"/>
      <c r="P134" s="2417" t="s">
        <v>2186</v>
      </c>
      <c r="Q134" s="2417"/>
      <c r="R134" s="2417"/>
      <c r="S134" s="2417"/>
      <c r="T134" s="2417"/>
      <c r="U134" s="2418"/>
      <c r="V134" s="1206"/>
      <c r="W134" s="1206"/>
      <c r="X134" s="2405"/>
      <c r="Y134" s="2406"/>
      <c r="Z134" s="2406"/>
      <c r="AA134" s="2406"/>
      <c r="AB134" s="2406"/>
      <c r="AC134" s="2406"/>
      <c r="AD134" s="2406"/>
      <c r="AE134" s="2406"/>
      <c r="AF134" s="2406"/>
      <c r="AG134" s="2406"/>
      <c r="AH134" s="2406"/>
      <c r="AI134" s="2406"/>
      <c r="AJ134" s="2406"/>
      <c r="AK134" s="2406"/>
      <c r="AL134" s="2406"/>
      <c r="AM134" s="2406"/>
      <c r="AN134" s="2406"/>
      <c r="AO134" s="2406"/>
      <c r="AP134" s="2406"/>
      <c r="AQ134" s="2406"/>
      <c r="AR134" s="2406"/>
      <c r="AS134" s="2406"/>
      <c r="AT134" s="2406"/>
      <c r="AU134" s="2406"/>
      <c r="AV134" s="2406"/>
      <c r="AW134" s="2406"/>
      <c r="AX134" s="2406"/>
      <c r="AY134" s="2406"/>
      <c r="AZ134" s="2406"/>
      <c r="BA134" s="2406"/>
      <c r="BB134" s="2406"/>
      <c r="BC134" s="2406"/>
      <c r="BD134" s="2407"/>
      <c r="BE134" s="1202"/>
    </row>
    <row r="135" spans="1:57" ht="15.75" customHeight="1">
      <c r="A135" s="1206"/>
      <c r="B135" s="2402"/>
      <c r="C135" s="2403"/>
      <c r="D135" s="2403"/>
      <c r="E135" s="2403"/>
      <c r="F135" s="2403"/>
      <c r="G135" s="2403"/>
      <c r="H135" s="2403"/>
      <c r="I135" s="2417"/>
      <c r="J135" s="2417"/>
      <c r="K135" s="2417"/>
      <c r="L135" s="2417"/>
      <c r="M135" s="2417"/>
      <c r="N135" s="2417"/>
      <c r="O135" s="2417"/>
      <c r="P135" s="2417"/>
      <c r="Q135" s="2417"/>
      <c r="R135" s="2417"/>
      <c r="S135" s="2417"/>
      <c r="T135" s="2417"/>
      <c r="U135" s="2418"/>
      <c r="V135" s="1206"/>
      <c r="W135" s="1206"/>
      <c r="X135" s="2405"/>
      <c r="Y135" s="2406"/>
      <c r="Z135" s="2406"/>
      <c r="AA135" s="2406"/>
      <c r="AB135" s="2406"/>
      <c r="AC135" s="2406"/>
      <c r="AD135" s="2406"/>
      <c r="AE135" s="2406"/>
      <c r="AF135" s="2406"/>
      <c r="AG135" s="2406"/>
      <c r="AH135" s="2406"/>
      <c r="AI135" s="2406"/>
      <c r="AJ135" s="2406"/>
      <c r="AK135" s="2406"/>
      <c r="AL135" s="2406"/>
      <c r="AM135" s="2406"/>
      <c r="AN135" s="2406"/>
      <c r="AO135" s="2406"/>
      <c r="AP135" s="2406"/>
      <c r="AQ135" s="2406"/>
      <c r="AR135" s="2406"/>
      <c r="AS135" s="2406"/>
      <c r="AT135" s="2406"/>
      <c r="AU135" s="2406"/>
      <c r="AV135" s="2406"/>
      <c r="AW135" s="2406"/>
      <c r="AX135" s="2406"/>
      <c r="AY135" s="2406"/>
      <c r="AZ135" s="2406"/>
      <c r="BA135" s="2406"/>
      <c r="BB135" s="2406"/>
      <c r="BC135" s="2406"/>
      <c r="BD135" s="2407"/>
      <c r="BE135" s="1202"/>
    </row>
    <row r="136" spans="1:57" ht="15.75" customHeight="1">
      <c r="A136" s="1206"/>
      <c r="B136" s="2419" t="s">
        <v>2174</v>
      </c>
      <c r="C136" s="2420"/>
      <c r="D136" s="2420"/>
      <c r="E136" s="2420"/>
      <c r="F136" s="2420"/>
      <c r="G136" s="2420"/>
      <c r="H136" s="2420"/>
      <c r="I136" s="2179">
        <v>0</v>
      </c>
      <c r="J136" s="2179"/>
      <c r="K136" s="2179"/>
      <c r="L136" s="2179"/>
      <c r="M136" s="2179"/>
      <c r="N136" s="2179"/>
      <c r="O136" s="2179"/>
      <c r="P136" s="2179">
        <v>0</v>
      </c>
      <c r="Q136" s="2179"/>
      <c r="R136" s="2179"/>
      <c r="S136" s="2179"/>
      <c r="T136" s="2179"/>
      <c r="U136" s="2180"/>
      <c r="V136" s="1206"/>
      <c r="W136" s="1206"/>
      <c r="X136" s="2405"/>
      <c r="Y136" s="2406"/>
      <c r="Z136" s="2406"/>
      <c r="AA136" s="2406"/>
      <c r="AB136" s="2406"/>
      <c r="AC136" s="2406"/>
      <c r="AD136" s="2406"/>
      <c r="AE136" s="2406"/>
      <c r="AF136" s="2406"/>
      <c r="AG136" s="2406"/>
      <c r="AH136" s="2406"/>
      <c r="AI136" s="2406"/>
      <c r="AJ136" s="2406"/>
      <c r="AK136" s="2406"/>
      <c r="AL136" s="2406"/>
      <c r="AM136" s="2406"/>
      <c r="AN136" s="2406"/>
      <c r="AO136" s="2406"/>
      <c r="AP136" s="2406"/>
      <c r="AQ136" s="2406"/>
      <c r="AR136" s="2406"/>
      <c r="AS136" s="2406"/>
      <c r="AT136" s="2406"/>
      <c r="AU136" s="2406"/>
      <c r="AV136" s="2406"/>
      <c r="AW136" s="2406"/>
      <c r="AX136" s="2406"/>
      <c r="AY136" s="2406"/>
      <c r="AZ136" s="2406"/>
      <c r="BA136" s="2406"/>
      <c r="BB136" s="2406"/>
      <c r="BC136" s="2406"/>
      <c r="BD136" s="2407"/>
      <c r="BE136" s="1202"/>
    </row>
    <row r="137" spans="1:57" ht="15.75" customHeight="1" thickBot="1">
      <c r="A137" s="1206"/>
      <c r="B137" s="2421" t="s">
        <v>2175</v>
      </c>
      <c r="C137" s="2422"/>
      <c r="D137" s="2422"/>
      <c r="E137" s="2422"/>
      <c r="F137" s="2422"/>
      <c r="G137" s="2422"/>
      <c r="H137" s="2422"/>
      <c r="I137" s="2177">
        <v>0</v>
      </c>
      <c r="J137" s="2177"/>
      <c r="K137" s="2177"/>
      <c r="L137" s="2177"/>
      <c r="M137" s="2177"/>
      <c r="N137" s="2177"/>
      <c r="O137" s="2177"/>
      <c r="P137" s="2177">
        <v>0</v>
      </c>
      <c r="Q137" s="2177"/>
      <c r="R137" s="2177"/>
      <c r="S137" s="2177"/>
      <c r="T137" s="2177"/>
      <c r="U137" s="2178"/>
      <c r="V137" s="1206"/>
      <c r="W137" s="1206"/>
      <c r="X137" s="2408"/>
      <c r="Y137" s="2409"/>
      <c r="Z137" s="2409"/>
      <c r="AA137" s="2409"/>
      <c r="AB137" s="2409"/>
      <c r="AC137" s="2409"/>
      <c r="AD137" s="2409"/>
      <c r="AE137" s="2409"/>
      <c r="AF137" s="2409"/>
      <c r="AG137" s="2409"/>
      <c r="AH137" s="2409"/>
      <c r="AI137" s="2409"/>
      <c r="AJ137" s="2409"/>
      <c r="AK137" s="2409"/>
      <c r="AL137" s="2409"/>
      <c r="AM137" s="2409"/>
      <c r="AN137" s="2409"/>
      <c r="AO137" s="2409"/>
      <c r="AP137" s="2409"/>
      <c r="AQ137" s="2409"/>
      <c r="AR137" s="2409"/>
      <c r="AS137" s="2409"/>
      <c r="AT137" s="2409"/>
      <c r="AU137" s="2409"/>
      <c r="AV137" s="2409"/>
      <c r="AW137" s="2409"/>
      <c r="AX137" s="2409"/>
      <c r="AY137" s="2409"/>
      <c r="AZ137" s="2409"/>
      <c r="BA137" s="2409"/>
      <c r="BB137" s="2409"/>
      <c r="BC137" s="2409"/>
      <c r="BD137" s="2410"/>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9" t="s">
        <v>1833</v>
      </c>
      <c r="C139" s="2400"/>
      <c r="D139" s="2400"/>
      <c r="E139" s="2400"/>
      <c r="F139" s="2400"/>
      <c r="G139" s="2400"/>
      <c r="H139" s="2400"/>
      <c r="I139" s="2400"/>
      <c r="J139" s="2400"/>
      <c r="K139" s="2400"/>
      <c r="L139" s="2400"/>
      <c r="M139" s="2400"/>
      <c r="N139" s="2400"/>
      <c r="O139" s="2400"/>
      <c r="P139" s="2400"/>
      <c r="Q139" s="2400"/>
      <c r="R139" s="2400"/>
      <c r="S139" s="2400"/>
      <c r="T139" s="2400"/>
      <c r="U139" s="2400"/>
      <c r="V139" s="2400"/>
      <c r="W139" s="2400"/>
      <c r="X139" s="2400"/>
      <c r="Y139" s="2400"/>
      <c r="Z139" s="2400"/>
      <c r="AA139" s="2400"/>
      <c r="AB139" s="2400"/>
      <c r="AC139" s="2400"/>
      <c r="AD139" s="2400"/>
      <c r="AE139" s="2400"/>
      <c r="AF139" s="2400"/>
      <c r="AG139" s="2400"/>
      <c r="AH139" s="2238" t="s">
        <v>552</v>
      </c>
      <c r="AI139" s="2238"/>
      <c r="AJ139" s="2238"/>
      <c r="AK139" s="2238"/>
      <c r="AL139" s="2238"/>
      <c r="AM139" s="2238"/>
      <c r="AN139" s="2238"/>
      <c r="AO139" s="2238"/>
      <c r="AP139" s="2238"/>
      <c r="AQ139" s="2238"/>
      <c r="AR139" s="2238"/>
      <c r="AS139" s="2238"/>
      <c r="AT139" s="2238"/>
      <c r="AU139" s="2238"/>
      <c r="AV139" s="2238"/>
      <c r="AW139" s="2238"/>
      <c r="AX139" s="2239"/>
      <c r="AY139" s="1206"/>
      <c r="AZ139" s="1206"/>
      <c r="BA139" s="1206"/>
      <c r="BB139" s="1206"/>
      <c r="BC139" s="1206"/>
      <c r="BD139" s="1206"/>
      <c r="BE139" s="1202"/>
    </row>
    <row r="140" spans="1:57" ht="15.75" customHeight="1">
      <c r="A140" s="1206"/>
      <c r="B140" s="2424" t="s">
        <v>1834</v>
      </c>
      <c r="C140" s="2425"/>
      <c r="D140" s="2425"/>
      <c r="E140" s="2425"/>
      <c r="F140" s="2425"/>
      <c r="G140" s="2425"/>
      <c r="H140" s="2425"/>
      <c r="I140" s="2425"/>
      <c r="J140" s="2425"/>
      <c r="K140" s="2425"/>
      <c r="L140" s="2425"/>
      <c r="M140" s="2425"/>
      <c r="N140" s="2425"/>
      <c r="O140" s="2425"/>
      <c r="P140" s="2425"/>
      <c r="Q140" s="2425"/>
      <c r="R140" s="2426" t="s">
        <v>2188</v>
      </c>
      <c r="S140" s="2426"/>
      <c r="T140" s="2426"/>
      <c r="U140" s="2426"/>
      <c r="V140" s="2426"/>
      <c r="W140" s="2426"/>
      <c r="X140" s="2426"/>
      <c r="Y140" s="2426"/>
      <c r="Z140" s="2426"/>
      <c r="AA140" s="2426"/>
      <c r="AB140" s="2426"/>
      <c r="AC140" s="2426"/>
      <c r="AD140" s="2426"/>
      <c r="AE140" s="2426"/>
      <c r="AF140" s="2426"/>
      <c r="AG140" s="2426"/>
      <c r="AH140" s="2426"/>
      <c r="AI140" s="2426"/>
      <c r="AJ140" s="2426"/>
      <c r="AK140" s="2426"/>
      <c r="AL140" s="2426"/>
      <c r="AM140" s="2426"/>
      <c r="AN140" s="2426"/>
      <c r="AO140" s="2426"/>
      <c r="AP140" s="2426"/>
      <c r="AQ140" s="2426"/>
      <c r="AR140" s="2426"/>
      <c r="AS140" s="2426"/>
      <c r="AT140" s="2426"/>
      <c r="AU140" s="2426"/>
      <c r="AV140" s="2426"/>
      <c r="AW140" s="2426"/>
      <c r="AX140" s="2427"/>
      <c r="AY140" s="1206"/>
      <c r="AZ140" s="1206"/>
      <c r="BA140" s="1206"/>
      <c r="BB140" s="1206"/>
      <c r="BC140" s="1206" t="s">
        <v>250</v>
      </c>
      <c r="BD140" s="1206"/>
      <c r="BE140" s="1202"/>
    </row>
    <row r="141" spans="1:57" ht="15.75" customHeight="1">
      <c r="A141" s="1206"/>
      <c r="B141" s="2428" t="s">
        <v>2189</v>
      </c>
      <c r="C141" s="2429"/>
      <c r="D141" s="2429"/>
      <c r="E141" s="2429"/>
      <c r="F141" s="2429"/>
      <c r="G141" s="2429"/>
      <c r="H141" s="2429"/>
      <c r="I141" s="2429"/>
      <c r="J141" s="2429"/>
      <c r="K141" s="2429"/>
      <c r="L141" s="2429"/>
      <c r="M141" s="2429"/>
      <c r="N141" s="2429"/>
      <c r="O141" s="2429"/>
      <c r="P141" s="2429"/>
      <c r="Q141" s="2429"/>
      <c r="R141" s="2429"/>
      <c r="S141" s="2429"/>
      <c r="T141" s="2429"/>
      <c r="U141" s="2429"/>
      <c r="V141" s="2429"/>
      <c r="W141" s="2429"/>
      <c r="X141" s="2429"/>
      <c r="Y141" s="2429"/>
      <c r="Z141" s="2429"/>
      <c r="AA141" s="2429"/>
      <c r="AB141" s="2429"/>
      <c r="AC141" s="2429"/>
      <c r="AD141" s="2429"/>
      <c r="AE141" s="2429"/>
      <c r="AF141" s="2429"/>
      <c r="AG141" s="2429"/>
      <c r="AH141" s="2429"/>
      <c r="AI141" s="2429"/>
      <c r="AJ141" s="2429"/>
      <c r="AK141" s="2429"/>
      <c r="AL141" s="2429"/>
      <c r="AM141" s="2429"/>
      <c r="AN141" s="2429"/>
      <c r="AO141" s="2429"/>
      <c r="AP141" s="2429"/>
      <c r="AQ141" s="2429"/>
      <c r="AR141" s="2429"/>
      <c r="AS141" s="2429"/>
      <c r="AT141" s="2429"/>
      <c r="AU141" s="2429"/>
      <c r="AV141" s="2429"/>
      <c r="AW141" s="2429"/>
      <c r="AX141" s="2430"/>
      <c r="AY141" s="1206"/>
      <c r="AZ141" s="1206"/>
      <c r="BA141" s="1206"/>
      <c r="BB141" s="1206"/>
      <c r="BC141" s="1206"/>
      <c r="BD141" s="1206"/>
      <c r="BE141" s="1202"/>
    </row>
    <row r="142" spans="1:57" ht="15.75" customHeight="1">
      <c r="A142" s="1206"/>
      <c r="B142" s="2428"/>
      <c r="C142" s="2429"/>
      <c r="D142" s="2429"/>
      <c r="E142" s="2429"/>
      <c r="F142" s="2429"/>
      <c r="G142" s="2429"/>
      <c r="H142" s="2429"/>
      <c r="I142" s="2429"/>
      <c r="J142" s="2429"/>
      <c r="K142" s="2429"/>
      <c r="L142" s="2429"/>
      <c r="M142" s="2429"/>
      <c r="N142" s="2429"/>
      <c r="O142" s="2429"/>
      <c r="P142" s="2429"/>
      <c r="Q142" s="2429"/>
      <c r="R142" s="2429"/>
      <c r="S142" s="2429"/>
      <c r="T142" s="2429"/>
      <c r="U142" s="2429"/>
      <c r="V142" s="2429"/>
      <c r="W142" s="2429"/>
      <c r="X142" s="2429"/>
      <c r="Y142" s="2429"/>
      <c r="Z142" s="2429"/>
      <c r="AA142" s="2429"/>
      <c r="AB142" s="2429"/>
      <c r="AC142" s="2429"/>
      <c r="AD142" s="2429"/>
      <c r="AE142" s="2429"/>
      <c r="AF142" s="2429"/>
      <c r="AG142" s="2429"/>
      <c r="AH142" s="2429"/>
      <c r="AI142" s="2429"/>
      <c r="AJ142" s="2429"/>
      <c r="AK142" s="2429"/>
      <c r="AL142" s="2429"/>
      <c r="AM142" s="2429"/>
      <c r="AN142" s="2429"/>
      <c r="AO142" s="2429"/>
      <c r="AP142" s="2429"/>
      <c r="AQ142" s="2429"/>
      <c r="AR142" s="2429"/>
      <c r="AS142" s="2429"/>
      <c r="AT142" s="2429"/>
      <c r="AU142" s="2429"/>
      <c r="AV142" s="2429"/>
      <c r="AW142" s="2429"/>
      <c r="AX142" s="2430"/>
      <c r="AY142" s="1206"/>
      <c r="AZ142" s="1206"/>
      <c r="BA142" s="1206"/>
      <c r="BB142" s="1206"/>
      <c r="BC142" s="1206"/>
      <c r="BD142" s="1206"/>
      <c r="BE142" s="1202"/>
    </row>
    <row r="143" spans="1:57" ht="15.75" customHeight="1">
      <c r="A143" s="1206"/>
      <c r="B143" s="2428"/>
      <c r="C143" s="2429"/>
      <c r="D143" s="2429"/>
      <c r="E143" s="2429"/>
      <c r="F143" s="2429"/>
      <c r="G143" s="2429"/>
      <c r="H143" s="2429"/>
      <c r="I143" s="2429"/>
      <c r="J143" s="2429"/>
      <c r="K143" s="2429"/>
      <c r="L143" s="2429"/>
      <c r="M143" s="2429"/>
      <c r="N143" s="2429"/>
      <c r="O143" s="2429"/>
      <c r="P143" s="2429"/>
      <c r="Q143" s="2429"/>
      <c r="R143" s="2429"/>
      <c r="S143" s="2429"/>
      <c r="T143" s="2429"/>
      <c r="U143" s="2429"/>
      <c r="V143" s="2429"/>
      <c r="W143" s="2429"/>
      <c r="X143" s="2429"/>
      <c r="Y143" s="2429"/>
      <c r="Z143" s="2429"/>
      <c r="AA143" s="2429"/>
      <c r="AB143" s="2429"/>
      <c r="AC143" s="2429"/>
      <c r="AD143" s="2429"/>
      <c r="AE143" s="2429"/>
      <c r="AF143" s="2429"/>
      <c r="AG143" s="2429"/>
      <c r="AH143" s="2429"/>
      <c r="AI143" s="2429"/>
      <c r="AJ143" s="2429"/>
      <c r="AK143" s="2429"/>
      <c r="AL143" s="2429"/>
      <c r="AM143" s="2429"/>
      <c r="AN143" s="2429"/>
      <c r="AO143" s="2429"/>
      <c r="AP143" s="2429"/>
      <c r="AQ143" s="2429"/>
      <c r="AR143" s="2429"/>
      <c r="AS143" s="2429"/>
      <c r="AT143" s="2429"/>
      <c r="AU143" s="2429"/>
      <c r="AV143" s="2429"/>
      <c r="AW143" s="2429"/>
      <c r="AX143" s="2430"/>
      <c r="AY143" s="1206"/>
      <c r="AZ143" s="1206"/>
      <c r="BA143" s="1206"/>
      <c r="BB143" s="1206"/>
      <c r="BC143" s="1206"/>
      <c r="BD143" s="1206"/>
      <c r="BE143" s="1202"/>
    </row>
    <row r="144" spans="1:57" ht="15.75" customHeight="1">
      <c r="A144" s="1206"/>
      <c r="B144" s="2428"/>
      <c r="C144" s="2429"/>
      <c r="D144" s="2429"/>
      <c r="E144" s="2429"/>
      <c r="F144" s="2429"/>
      <c r="G144" s="2429"/>
      <c r="H144" s="2429"/>
      <c r="I144" s="2429"/>
      <c r="J144" s="2429"/>
      <c r="K144" s="2429"/>
      <c r="L144" s="2429"/>
      <c r="M144" s="2429"/>
      <c r="N144" s="2429"/>
      <c r="O144" s="2429"/>
      <c r="P144" s="2429"/>
      <c r="Q144" s="2429"/>
      <c r="R144" s="2429"/>
      <c r="S144" s="2429"/>
      <c r="T144" s="2429"/>
      <c r="U144" s="2429"/>
      <c r="V144" s="2429"/>
      <c r="W144" s="2429"/>
      <c r="X144" s="2429"/>
      <c r="Y144" s="2429"/>
      <c r="Z144" s="2429"/>
      <c r="AA144" s="2429"/>
      <c r="AB144" s="2429"/>
      <c r="AC144" s="2429"/>
      <c r="AD144" s="2429"/>
      <c r="AE144" s="2429"/>
      <c r="AF144" s="2429"/>
      <c r="AG144" s="2429"/>
      <c r="AH144" s="2429"/>
      <c r="AI144" s="2429"/>
      <c r="AJ144" s="2429"/>
      <c r="AK144" s="2429"/>
      <c r="AL144" s="2429"/>
      <c r="AM144" s="2429"/>
      <c r="AN144" s="2429"/>
      <c r="AO144" s="2429"/>
      <c r="AP144" s="2429"/>
      <c r="AQ144" s="2429"/>
      <c r="AR144" s="2429"/>
      <c r="AS144" s="2429"/>
      <c r="AT144" s="2429"/>
      <c r="AU144" s="2429"/>
      <c r="AV144" s="2429"/>
      <c r="AW144" s="2429"/>
      <c r="AX144" s="2430"/>
      <c r="AY144" s="1206"/>
      <c r="AZ144" s="1206"/>
      <c r="BA144" s="1206"/>
      <c r="BB144" s="1206"/>
      <c r="BC144" s="1206"/>
      <c r="BD144" s="1206"/>
      <c r="BE144" s="1202"/>
    </row>
    <row r="145" spans="1:57" ht="15.75" customHeight="1">
      <c r="A145" s="1206"/>
      <c r="B145" s="2428"/>
      <c r="C145" s="2429"/>
      <c r="D145" s="2429"/>
      <c r="E145" s="2429"/>
      <c r="F145" s="2429"/>
      <c r="G145" s="2429"/>
      <c r="H145" s="2429"/>
      <c r="I145" s="2429"/>
      <c r="J145" s="2429"/>
      <c r="K145" s="2429"/>
      <c r="L145" s="2429"/>
      <c r="M145" s="2429"/>
      <c r="N145" s="2429"/>
      <c r="O145" s="2429"/>
      <c r="P145" s="2429"/>
      <c r="Q145" s="2429"/>
      <c r="R145" s="2429"/>
      <c r="S145" s="2429"/>
      <c r="T145" s="2429"/>
      <c r="U145" s="2429"/>
      <c r="V145" s="2429"/>
      <c r="W145" s="2429"/>
      <c r="X145" s="2429"/>
      <c r="Y145" s="2429"/>
      <c r="Z145" s="2429"/>
      <c r="AA145" s="2429"/>
      <c r="AB145" s="2429"/>
      <c r="AC145" s="2429"/>
      <c r="AD145" s="2429"/>
      <c r="AE145" s="2429"/>
      <c r="AF145" s="2429"/>
      <c r="AG145" s="2429"/>
      <c r="AH145" s="2429"/>
      <c r="AI145" s="2429"/>
      <c r="AJ145" s="2429"/>
      <c r="AK145" s="2429"/>
      <c r="AL145" s="2429"/>
      <c r="AM145" s="2429"/>
      <c r="AN145" s="2429"/>
      <c r="AO145" s="2429"/>
      <c r="AP145" s="2429"/>
      <c r="AQ145" s="2429"/>
      <c r="AR145" s="2429"/>
      <c r="AS145" s="2429"/>
      <c r="AT145" s="2429"/>
      <c r="AU145" s="2429"/>
      <c r="AV145" s="2429"/>
      <c r="AW145" s="2429"/>
      <c r="AX145" s="2430"/>
      <c r="AY145" s="1206"/>
      <c r="AZ145" s="1206"/>
      <c r="BA145" s="1206"/>
      <c r="BB145" s="1206"/>
      <c r="BC145" s="1206"/>
      <c r="BD145" s="1206"/>
      <c r="BE145" s="1202"/>
    </row>
    <row r="146" spans="1:57" ht="15.75" customHeight="1">
      <c r="A146" s="1206"/>
      <c r="B146" s="2428"/>
      <c r="C146" s="2429"/>
      <c r="D146" s="2429"/>
      <c r="E146" s="2429"/>
      <c r="F146" s="2429"/>
      <c r="G146" s="2429"/>
      <c r="H146" s="2429"/>
      <c r="I146" s="2429"/>
      <c r="J146" s="2429"/>
      <c r="K146" s="2429"/>
      <c r="L146" s="2429"/>
      <c r="M146" s="2429"/>
      <c r="N146" s="2429"/>
      <c r="O146" s="2429"/>
      <c r="P146" s="2429"/>
      <c r="Q146" s="2429"/>
      <c r="R146" s="2429"/>
      <c r="S146" s="2429"/>
      <c r="T146" s="2429"/>
      <c r="U146" s="2429"/>
      <c r="V146" s="2429"/>
      <c r="W146" s="2429"/>
      <c r="X146" s="2429"/>
      <c r="Y146" s="2429"/>
      <c r="Z146" s="2429"/>
      <c r="AA146" s="2429"/>
      <c r="AB146" s="2429"/>
      <c r="AC146" s="2429"/>
      <c r="AD146" s="2429"/>
      <c r="AE146" s="2429"/>
      <c r="AF146" s="2429"/>
      <c r="AG146" s="2429"/>
      <c r="AH146" s="2429"/>
      <c r="AI146" s="2429"/>
      <c r="AJ146" s="2429"/>
      <c r="AK146" s="2429"/>
      <c r="AL146" s="2429"/>
      <c r="AM146" s="2429"/>
      <c r="AN146" s="2429"/>
      <c r="AO146" s="2429"/>
      <c r="AP146" s="2429"/>
      <c r="AQ146" s="2429"/>
      <c r="AR146" s="2429"/>
      <c r="AS146" s="2429"/>
      <c r="AT146" s="2429"/>
      <c r="AU146" s="2429"/>
      <c r="AV146" s="2429"/>
      <c r="AW146" s="2429"/>
      <c r="AX146" s="2430"/>
      <c r="AY146" s="1206"/>
      <c r="AZ146" s="1206"/>
      <c r="BA146" s="1206"/>
      <c r="BB146" s="1206"/>
      <c r="BC146" s="1206"/>
      <c r="BD146" s="1206"/>
      <c r="BE146" s="1202"/>
    </row>
    <row r="147" spans="1:57" ht="15.75" customHeight="1">
      <c r="A147" s="1206"/>
      <c r="B147" s="2428"/>
      <c r="C147" s="2429"/>
      <c r="D147" s="2429"/>
      <c r="E147" s="2429"/>
      <c r="F147" s="2429"/>
      <c r="G147" s="2429"/>
      <c r="H147" s="2429"/>
      <c r="I147" s="2429"/>
      <c r="J147" s="2429"/>
      <c r="K147" s="2429"/>
      <c r="L147" s="2429"/>
      <c r="M147" s="2429"/>
      <c r="N147" s="2429"/>
      <c r="O147" s="2429"/>
      <c r="P147" s="2429"/>
      <c r="Q147" s="2429"/>
      <c r="R147" s="2429"/>
      <c r="S147" s="2429"/>
      <c r="T147" s="2429"/>
      <c r="U147" s="2429"/>
      <c r="V147" s="2429"/>
      <c r="W147" s="2429"/>
      <c r="X147" s="2429"/>
      <c r="Y147" s="2429"/>
      <c r="Z147" s="2429"/>
      <c r="AA147" s="2429"/>
      <c r="AB147" s="2429"/>
      <c r="AC147" s="2429"/>
      <c r="AD147" s="2429"/>
      <c r="AE147" s="2429"/>
      <c r="AF147" s="2429"/>
      <c r="AG147" s="2429"/>
      <c r="AH147" s="2429"/>
      <c r="AI147" s="2429"/>
      <c r="AJ147" s="2429"/>
      <c r="AK147" s="2429"/>
      <c r="AL147" s="2429"/>
      <c r="AM147" s="2429"/>
      <c r="AN147" s="2429"/>
      <c r="AO147" s="2429"/>
      <c r="AP147" s="2429"/>
      <c r="AQ147" s="2429"/>
      <c r="AR147" s="2429"/>
      <c r="AS147" s="2429"/>
      <c r="AT147" s="2429"/>
      <c r="AU147" s="2429"/>
      <c r="AV147" s="2429"/>
      <c r="AW147" s="2429"/>
      <c r="AX147" s="2430"/>
      <c r="AY147" s="1206"/>
      <c r="AZ147" s="1206"/>
      <c r="BA147" s="1206"/>
      <c r="BB147" s="1206"/>
      <c r="BC147" s="1206"/>
      <c r="BD147" s="1206"/>
      <c r="BE147" s="1202"/>
    </row>
    <row r="148" spans="1:57" ht="15.75" customHeight="1">
      <c r="A148" s="1206"/>
      <c r="B148" s="2428"/>
      <c r="C148" s="2429"/>
      <c r="D148" s="2429"/>
      <c r="E148" s="2429"/>
      <c r="F148" s="2429"/>
      <c r="G148" s="2429"/>
      <c r="H148" s="2429"/>
      <c r="I148" s="2429"/>
      <c r="J148" s="2429"/>
      <c r="K148" s="2429"/>
      <c r="L148" s="2429"/>
      <c r="M148" s="2429"/>
      <c r="N148" s="2429"/>
      <c r="O148" s="2429"/>
      <c r="P148" s="2429"/>
      <c r="Q148" s="2429"/>
      <c r="R148" s="2429"/>
      <c r="S148" s="2429"/>
      <c r="T148" s="2429"/>
      <c r="U148" s="2429"/>
      <c r="V148" s="2429"/>
      <c r="W148" s="2429"/>
      <c r="X148" s="2429"/>
      <c r="Y148" s="2429"/>
      <c r="Z148" s="2429"/>
      <c r="AA148" s="2429"/>
      <c r="AB148" s="2429"/>
      <c r="AC148" s="2429"/>
      <c r="AD148" s="2429"/>
      <c r="AE148" s="2429"/>
      <c r="AF148" s="2429"/>
      <c r="AG148" s="2429"/>
      <c r="AH148" s="2429"/>
      <c r="AI148" s="2429"/>
      <c r="AJ148" s="2429"/>
      <c r="AK148" s="2429"/>
      <c r="AL148" s="2429"/>
      <c r="AM148" s="2429"/>
      <c r="AN148" s="2429"/>
      <c r="AO148" s="2429"/>
      <c r="AP148" s="2429"/>
      <c r="AQ148" s="2429"/>
      <c r="AR148" s="2429"/>
      <c r="AS148" s="2429"/>
      <c r="AT148" s="2429"/>
      <c r="AU148" s="2429"/>
      <c r="AV148" s="2429"/>
      <c r="AW148" s="2429"/>
      <c r="AX148" s="2430"/>
      <c r="AY148" s="1206"/>
      <c r="AZ148" s="1206"/>
      <c r="BA148" s="1206"/>
      <c r="BB148" s="1206"/>
      <c r="BC148" s="1206"/>
      <c r="BD148" s="1206"/>
      <c r="BE148" s="1202"/>
    </row>
    <row r="149" spans="1:57" ht="15.75" customHeight="1">
      <c r="A149" s="1206"/>
      <c r="B149" s="2428"/>
      <c r="C149" s="2429"/>
      <c r="D149" s="2429"/>
      <c r="E149" s="2429"/>
      <c r="F149" s="2429"/>
      <c r="G149" s="2429"/>
      <c r="H149" s="2429"/>
      <c r="I149" s="2429"/>
      <c r="J149" s="2429"/>
      <c r="K149" s="2429"/>
      <c r="L149" s="2429"/>
      <c r="M149" s="2429"/>
      <c r="N149" s="2429"/>
      <c r="O149" s="2429"/>
      <c r="P149" s="2429"/>
      <c r="Q149" s="2429"/>
      <c r="R149" s="2429"/>
      <c r="S149" s="2429"/>
      <c r="T149" s="2429"/>
      <c r="U149" s="2429"/>
      <c r="V149" s="2429"/>
      <c r="W149" s="2429"/>
      <c r="X149" s="2429"/>
      <c r="Y149" s="2429"/>
      <c r="Z149" s="2429"/>
      <c r="AA149" s="2429"/>
      <c r="AB149" s="2429"/>
      <c r="AC149" s="2429"/>
      <c r="AD149" s="2429"/>
      <c r="AE149" s="2429"/>
      <c r="AF149" s="2429"/>
      <c r="AG149" s="2429"/>
      <c r="AH149" s="2429"/>
      <c r="AI149" s="2429"/>
      <c r="AJ149" s="2429"/>
      <c r="AK149" s="2429"/>
      <c r="AL149" s="2429"/>
      <c r="AM149" s="2429"/>
      <c r="AN149" s="2429"/>
      <c r="AO149" s="2429"/>
      <c r="AP149" s="2429"/>
      <c r="AQ149" s="2429"/>
      <c r="AR149" s="2429"/>
      <c r="AS149" s="2429"/>
      <c r="AT149" s="2429"/>
      <c r="AU149" s="2429"/>
      <c r="AV149" s="2429"/>
      <c r="AW149" s="2429"/>
      <c r="AX149" s="2430"/>
      <c r="AY149" s="1206"/>
      <c r="AZ149" s="1206"/>
      <c r="BA149" s="1206"/>
      <c r="BB149" s="1206"/>
      <c r="BC149" s="1206"/>
      <c r="BD149" s="1206"/>
      <c r="BE149" s="1202"/>
    </row>
    <row r="150" spans="1:57" ht="15.75" customHeight="1" thickBot="1">
      <c r="A150" s="1206"/>
      <c r="B150" s="2431"/>
      <c r="C150" s="2432"/>
      <c r="D150" s="2432"/>
      <c r="E150" s="2432"/>
      <c r="F150" s="2432"/>
      <c r="G150" s="2432"/>
      <c r="H150" s="2432"/>
      <c r="I150" s="2432"/>
      <c r="J150" s="2432"/>
      <c r="K150" s="2432"/>
      <c r="L150" s="2432"/>
      <c r="M150" s="2432"/>
      <c r="N150" s="2432"/>
      <c r="O150" s="2432"/>
      <c r="P150" s="2432"/>
      <c r="Q150" s="2432"/>
      <c r="R150" s="2432"/>
      <c r="S150" s="2432"/>
      <c r="T150" s="2432"/>
      <c r="U150" s="2432"/>
      <c r="V150" s="2432"/>
      <c r="W150" s="2432"/>
      <c r="X150" s="2432"/>
      <c r="Y150" s="2432"/>
      <c r="Z150" s="2432"/>
      <c r="AA150" s="2432"/>
      <c r="AB150" s="2432"/>
      <c r="AC150" s="2432"/>
      <c r="AD150" s="2432"/>
      <c r="AE150" s="2432"/>
      <c r="AF150" s="2432"/>
      <c r="AG150" s="2432"/>
      <c r="AH150" s="2432"/>
      <c r="AI150" s="2432"/>
      <c r="AJ150" s="2432"/>
      <c r="AK150" s="2432"/>
      <c r="AL150" s="2432"/>
      <c r="AM150" s="2432"/>
      <c r="AN150" s="2432"/>
      <c r="AO150" s="2432"/>
      <c r="AP150" s="2432"/>
      <c r="AQ150" s="2432"/>
      <c r="AR150" s="2432"/>
      <c r="AS150" s="2432"/>
      <c r="AT150" s="2432"/>
      <c r="AU150" s="2432"/>
      <c r="AV150" s="2432"/>
      <c r="AW150" s="2432"/>
      <c r="AX150" s="243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23" t="s">
        <v>1836</v>
      </c>
      <c r="C154" s="2219"/>
      <c r="D154" s="2219"/>
      <c r="E154" s="2219"/>
      <c r="F154" s="2219"/>
      <c r="G154" s="2219"/>
      <c r="H154" s="2219"/>
      <c r="I154" s="2219"/>
      <c r="J154" s="2219"/>
      <c r="K154" s="2219"/>
      <c r="L154" s="2219"/>
      <c r="M154" s="2219"/>
      <c r="N154" s="2219"/>
      <c r="O154" s="2219"/>
      <c r="P154" s="2219"/>
      <c r="Q154" s="2219"/>
      <c r="R154" s="2219"/>
      <c r="S154" s="2219"/>
      <c r="T154" s="2219"/>
      <c r="U154" s="2220"/>
      <c r="V154" s="1206"/>
      <c r="W154" s="1214"/>
      <c r="X154" s="2423" t="s">
        <v>2191</v>
      </c>
      <c r="Y154" s="2219"/>
      <c r="Z154" s="2219"/>
      <c r="AA154" s="2219"/>
      <c r="AB154" s="2219"/>
      <c r="AC154" s="2219"/>
      <c r="AD154" s="2219"/>
      <c r="AE154" s="2219"/>
      <c r="AF154" s="2219"/>
      <c r="AG154" s="2219"/>
      <c r="AH154" s="2219"/>
      <c r="AI154" s="2219"/>
      <c r="AJ154" s="2219"/>
      <c r="AK154" s="2219"/>
      <c r="AL154" s="2219"/>
      <c r="AM154" s="2219"/>
      <c r="AN154" s="2219"/>
      <c r="AO154" s="2219"/>
      <c r="AP154" s="2219"/>
      <c r="AQ154" s="2220"/>
      <c r="AR154" s="1206"/>
      <c r="AS154" s="1206"/>
      <c r="AT154" s="1206"/>
      <c r="AU154" s="1206"/>
      <c r="AV154" s="1206"/>
      <c r="AW154" s="1206"/>
      <c r="AX154" s="1206"/>
      <c r="AY154" s="1206"/>
      <c r="AZ154" s="1206"/>
      <c r="BA154" s="1206"/>
      <c r="BB154" s="1206"/>
      <c r="BC154" s="1206"/>
      <c r="BD154" s="1206"/>
      <c r="BE154" s="1202"/>
    </row>
    <row r="155" spans="1:57" ht="15.75" customHeight="1">
      <c r="A155" s="1206"/>
      <c r="B155" s="2402"/>
      <c r="C155" s="2403"/>
      <c r="D155" s="2403"/>
      <c r="E155" s="2403"/>
      <c r="F155" s="2403"/>
      <c r="G155" s="2403"/>
      <c r="H155" s="2403"/>
      <c r="I155" s="2417" t="s">
        <v>1827</v>
      </c>
      <c r="J155" s="2417"/>
      <c r="K155" s="2417"/>
      <c r="L155" s="2417"/>
      <c r="M155" s="2417"/>
      <c r="N155" s="2417"/>
      <c r="O155" s="2417"/>
      <c r="P155" s="2417" t="s">
        <v>2192</v>
      </c>
      <c r="Q155" s="2417"/>
      <c r="R155" s="2417"/>
      <c r="S155" s="2417"/>
      <c r="T155" s="2417"/>
      <c r="U155" s="2418"/>
      <c r="V155" s="1206"/>
      <c r="W155" s="1206"/>
      <c r="X155" s="2402"/>
      <c r="Y155" s="2403"/>
      <c r="Z155" s="2403"/>
      <c r="AA155" s="2403"/>
      <c r="AB155" s="2403"/>
      <c r="AC155" s="2403"/>
      <c r="AD155" s="2403"/>
      <c r="AE155" s="2417" t="s">
        <v>1827</v>
      </c>
      <c r="AF155" s="2417"/>
      <c r="AG155" s="2417"/>
      <c r="AH155" s="2417"/>
      <c r="AI155" s="2417"/>
      <c r="AJ155" s="2417"/>
      <c r="AK155" s="2417"/>
      <c r="AL155" s="2417" t="s">
        <v>2186</v>
      </c>
      <c r="AM155" s="2417"/>
      <c r="AN155" s="2417"/>
      <c r="AO155" s="2417"/>
      <c r="AP155" s="2417"/>
      <c r="AQ155" s="2418"/>
      <c r="AR155" s="1206"/>
      <c r="AS155" s="1206"/>
      <c r="AT155" s="1206"/>
      <c r="AU155" s="1206"/>
      <c r="AV155" s="1206"/>
      <c r="AW155" s="1206"/>
      <c r="AX155" s="1206"/>
      <c r="AY155" s="1206"/>
      <c r="AZ155" s="1206"/>
      <c r="BA155" s="1206"/>
      <c r="BB155" s="1206"/>
      <c r="BC155" s="1206"/>
      <c r="BD155" s="1206"/>
      <c r="BE155" s="1202"/>
    </row>
    <row r="156" spans="1:57" ht="15.75" customHeight="1">
      <c r="A156" s="1206"/>
      <c r="B156" s="2402"/>
      <c r="C156" s="2403"/>
      <c r="D156" s="2403"/>
      <c r="E156" s="2403"/>
      <c r="F156" s="2403"/>
      <c r="G156" s="2403"/>
      <c r="H156" s="2403"/>
      <c r="I156" s="2417"/>
      <c r="J156" s="2417"/>
      <c r="K156" s="2417"/>
      <c r="L156" s="2417"/>
      <c r="M156" s="2417"/>
      <c r="N156" s="2417"/>
      <c r="O156" s="2417"/>
      <c r="P156" s="2417"/>
      <c r="Q156" s="2417"/>
      <c r="R156" s="2417"/>
      <c r="S156" s="2417"/>
      <c r="T156" s="2417"/>
      <c r="U156" s="2418"/>
      <c r="V156" s="1206"/>
      <c r="W156" s="1206"/>
      <c r="X156" s="2402"/>
      <c r="Y156" s="2403"/>
      <c r="Z156" s="2403"/>
      <c r="AA156" s="2403"/>
      <c r="AB156" s="2403"/>
      <c r="AC156" s="2403"/>
      <c r="AD156" s="2403"/>
      <c r="AE156" s="2417"/>
      <c r="AF156" s="2417"/>
      <c r="AG156" s="2417"/>
      <c r="AH156" s="2417"/>
      <c r="AI156" s="2417"/>
      <c r="AJ156" s="2417"/>
      <c r="AK156" s="2417"/>
      <c r="AL156" s="2417"/>
      <c r="AM156" s="2417"/>
      <c r="AN156" s="2417"/>
      <c r="AO156" s="2417"/>
      <c r="AP156" s="2417"/>
      <c r="AQ156" s="2418"/>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9" t="s">
        <v>2174</v>
      </c>
      <c r="C157" s="2420"/>
      <c r="D157" s="2420"/>
      <c r="E157" s="2420"/>
      <c r="F157" s="2420"/>
      <c r="G157" s="2420"/>
      <c r="H157" s="2420"/>
      <c r="I157" s="2179">
        <v>0</v>
      </c>
      <c r="J157" s="2179"/>
      <c r="K157" s="2179"/>
      <c r="L157" s="2179"/>
      <c r="M157" s="2179"/>
      <c r="N157" s="2179"/>
      <c r="O157" s="2179"/>
      <c r="P157" s="2179">
        <v>0</v>
      </c>
      <c r="Q157" s="2179"/>
      <c r="R157" s="2179"/>
      <c r="S157" s="2179"/>
      <c r="T157" s="2179"/>
      <c r="U157" s="2180"/>
      <c r="V157" s="1206"/>
      <c r="W157" s="1206"/>
      <c r="X157" s="2421" t="s">
        <v>2174</v>
      </c>
      <c r="Y157" s="2422"/>
      <c r="Z157" s="2422"/>
      <c r="AA157" s="2422"/>
      <c r="AB157" s="2422"/>
      <c r="AC157" s="2422"/>
      <c r="AD157" s="2422"/>
      <c r="AE157" s="2177">
        <v>0</v>
      </c>
      <c r="AF157" s="2177"/>
      <c r="AG157" s="2177"/>
      <c r="AH157" s="2177"/>
      <c r="AI157" s="2177"/>
      <c r="AJ157" s="2177"/>
      <c r="AK157" s="2177"/>
      <c r="AL157" s="2177">
        <v>0</v>
      </c>
      <c r="AM157" s="2177"/>
      <c r="AN157" s="2177"/>
      <c r="AO157" s="2177"/>
      <c r="AP157" s="2177"/>
      <c r="AQ157" s="2178"/>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1" t="s">
        <v>2175</v>
      </c>
      <c r="C158" s="2422"/>
      <c r="D158" s="2422"/>
      <c r="E158" s="2422"/>
      <c r="F158" s="2422"/>
      <c r="G158" s="2422"/>
      <c r="H158" s="2422"/>
      <c r="I158" s="2177">
        <v>0</v>
      </c>
      <c r="J158" s="2177"/>
      <c r="K158" s="2177"/>
      <c r="L158" s="2177"/>
      <c r="M158" s="2177"/>
      <c r="N158" s="2177"/>
      <c r="O158" s="2177"/>
      <c r="P158" s="2177">
        <v>0</v>
      </c>
      <c r="Q158" s="2177"/>
      <c r="R158" s="2177"/>
      <c r="S158" s="2177"/>
      <c r="T158" s="2177"/>
      <c r="U158" s="2178"/>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23" t="s">
        <v>2176</v>
      </c>
      <c r="D160" s="2219"/>
      <c r="E160" s="2219"/>
      <c r="F160" s="2219"/>
      <c r="G160" s="2219"/>
      <c r="H160" s="2219"/>
      <c r="I160" s="2219"/>
      <c r="J160" s="2219"/>
      <c r="K160" s="2219"/>
      <c r="L160" s="2219"/>
      <c r="M160" s="2219"/>
      <c r="N160" s="2219"/>
      <c r="O160" s="2219"/>
      <c r="P160" s="2219"/>
      <c r="Q160" s="2219"/>
      <c r="R160" s="2219"/>
      <c r="S160" s="2219"/>
      <c r="T160" s="2219"/>
      <c r="U160" s="2219"/>
      <c r="V160" s="2219"/>
      <c r="W160" s="2219"/>
      <c r="X160" s="2219"/>
      <c r="Y160" s="2219"/>
      <c r="Z160" s="2219"/>
      <c r="AA160" s="2219"/>
      <c r="AB160" s="2219"/>
      <c r="AC160" s="2219"/>
      <c r="AD160" s="2219"/>
      <c r="AE160" s="2219"/>
      <c r="AF160" s="2219"/>
      <c r="AG160" s="222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02" t="s">
        <v>1837</v>
      </c>
      <c r="D161" s="2403"/>
      <c r="E161" s="2403"/>
      <c r="F161" s="2403"/>
      <c r="G161" s="2403"/>
      <c r="H161" s="2403"/>
      <c r="I161" s="2403"/>
      <c r="J161" s="2403"/>
      <c r="K161" s="2403"/>
      <c r="L161" s="2403"/>
      <c r="M161" s="2403"/>
      <c r="N161" s="2403"/>
      <c r="O161" s="2403"/>
      <c r="P161" s="2403"/>
      <c r="Q161" s="2403" t="s">
        <v>1838</v>
      </c>
      <c r="R161" s="2403"/>
      <c r="S161" s="2403"/>
      <c r="T161" s="2184" t="s">
        <v>2177</v>
      </c>
      <c r="U161" s="2184"/>
      <c r="V161" s="2184"/>
      <c r="W161" s="2184"/>
      <c r="X161" s="2184"/>
      <c r="Y161" s="2184"/>
      <c r="Z161" s="2184"/>
      <c r="AA161" s="2184"/>
      <c r="AB161" s="2403" t="s">
        <v>1839</v>
      </c>
      <c r="AC161" s="2403"/>
      <c r="AD161" s="2403"/>
      <c r="AE161" s="2403"/>
      <c r="AF161" s="2403"/>
      <c r="AG161" s="2404"/>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11" t="s">
        <v>1840</v>
      </c>
      <c r="D162" s="2412"/>
      <c r="E162" s="2412"/>
      <c r="F162" s="2412"/>
      <c r="G162" s="2412"/>
      <c r="H162" s="2412"/>
      <c r="I162" s="2412"/>
      <c r="J162" s="2412"/>
      <c r="K162" s="2412"/>
      <c r="L162" s="2412"/>
      <c r="M162" s="2412"/>
      <c r="N162" s="2412"/>
      <c r="O162" s="2412"/>
      <c r="P162" s="2412"/>
      <c r="Q162" s="2361">
        <v>55</v>
      </c>
      <c r="R162" s="2361"/>
      <c r="S162" s="2361"/>
      <c r="T162" s="2375"/>
      <c r="U162" s="2375"/>
      <c r="V162" s="2375"/>
      <c r="W162" s="2375"/>
      <c r="X162" s="2375"/>
      <c r="Y162" s="2375"/>
      <c r="Z162" s="2375"/>
      <c r="AA162" s="2375"/>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11" t="s">
        <v>1841</v>
      </c>
      <c r="D163" s="2412"/>
      <c r="E163" s="2412"/>
      <c r="F163" s="2412"/>
      <c r="G163" s="2412"/>
      <c r="H163" s="2412"/>
      <c r="I163" s="2412"/>
      <c r="J163" s="2412"/>
      <c r="K163" s="2412"/>
      <c r="L163" s="2412"/>
      <c r="M163" s="2412"/>
      <c r="N163" s="2412"/>
      <c r="O163" s="2412"/>
      <c r="P163" s="2412"/>
      <c r="Q163" s="2361">
        <v>55</v>
      </c>
      <c r="R163" s="2361"/>
      <c r="S163" s="2361"/>
      <c r="T163" s="2414"/>
      <c r="U163" s="2414"/>
      <c r="V163" s="2414"/>
      <c r="W163" s="2414"/>
      <c r="X163" s="2414"/>
      <c r="Y163" s="2414"/>
      <c r="Z163" s="2414"/>
      <c r="AA163" s="241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11" t="s">
        <v>1842</v>
      </c>
      <c r="D164" s="2412"/>
      <c r="E164" s="2412"/>
      <c r="F164" s="2412"/>
      <c r="G164" s="2412"/>
      <c r="H164" s="2412"/>
      <c r="I164" s="2412"/>
      <c r="J164" s="2412"/>
      <c r="K164" s="2412"/>
      <c r="L164" s="2412"/>
      <c r="M164" s="2412"/>
      <c r="N164" s="2412"/>
      <c r="O164" s="2412"/>
      <c r="P164" s="2412"/>
      <c r="Q164" s="2361">
        <v>55</v>
      </c>
      <c r="R164" s="2361"/>
      <c r="S164" s="2361"/>
      <c r="T164" s="2375"/>
      <c r="U164" s="2375"/>
      <c r="V164" s="2375"/>
      <c r="W164" s="2375"/>
      <c r="X164" s="2375"/>
      <c r="Y164" s="2375"/>
      <c r="Z164" s="2375"/>
      <c r="AA164" s="2375"/>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11" t="s">
        <v>1813</v>
      </c>
      <c r="D165" s="2412"/>
      <c r="E165" s="2412"/>
      <c r="F165" s="2412"/>
      <c r="G165" s="2412"/>
      <c r="H165" s="2412"/>
      <c r="I165" s="2412"/>
      <c r="J165" s="2412"/>
      <c r="K165" s="2412"/>
      <c r="L165" s="2412"/>
      <c r="M165" s="2412"/>
      <c r="N165" s="2412"/>
      <c r="O165" s="2412"/>
      <c r="P165" s="2412"/>
      <c r="Q165" s="2361">
        <v>55</v>
      </c>
      <c r="R165" s="2361"/>
      <c r="S165" s="2361"/>
      <c r="T165" s="2375"/>
      <c r="U165" s="2375"/>
      <c r="V165" s="2375"/>
      <c r="W165" s="2375"/>
      <c r="X165" s="2375"/>
      <c r="Y165" s="2375"/>
      <c r="Z165" s="2375"/>
      <c r="AA165" s="2375"/>
      <c r="AB165" s="2415">
        <v>0</v>
      </c>
      <c r="AC165" s="2415"/>
      <c r="AD165" s="2415"/>
      <c r="AE165" s="2415"/>
      <c r="AF165" s="2415"/>
      <c r="AG165" s="2416"/>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11" t="s">
        <v>169</v>
      </c>
      <c r="D166" s="2412"/>
      <c r="E166" s="2412"/>
      <c r="F166" s="2413" t="s">
        <v>1843</v>
      </c>
      <c r="G166" s="2413"/>
      <c r="H166" s="2413"/>
      <c r="I166" s="2413"/>
      <c r="J166" s="2413"/>
      <c r="K166" s="2413"/>
      <c r="L166" s="2413"/>
      <c r="M166" s="2413"/>
      <c r="N166" s="2413"/>
      <c r="O166" s="2413"/>
      <c r="P166" s="2413"/>
      <c r="Q166" s="2361">
        <v>55</v>
      </c>
      <c r="R166" s="2361"/>
      <c r="S166" s="2361"/>
      <c r="T166" s="2414"/>
      <c r="U166" s="2414"/>
      <c r="V166" s="2414"/>
      <c r="W166" s="2414"/>
      <c r="X166" s="2414"/>
      <c r="Y166" s="2414"/>
      <c r="Z166" s="2414"/>
      <c r="AA166" s="2414"/>
      <c r="AB166" s="2415">
        <v>0</v>
      </c>
      <c r="AC166" s="2415"/>
      <c r="AD166" s="2415"/>
      <c r="AE166" s="2415"/>
      <c r="AF166" s="2415"/>
      <c r="AG166" s="2416"/>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11" t="s">
        <v>169</v>
      </c>
      <c r="D167" s="2412"/>
      <c r="E167" s="2412"/>
      <c r="F167" s="2413" t="s">
        <v>1843</v>
      </c>
      <c r="G167" s="2413"/>
      <c r="H167" s="2413"/>
      <c r="I167" s="2413"/>
      <c r="J167" s="2413"/>
      <c r="K167" s="2413"/>
      <c r="L167" s="2413"/>
      <c r="M167" s="2413"/>
      <c r="N167" s="2413"/>
      <c r="O167" s="2413"/>
      <c r="P167" s="2413"/>
      <c r="Q167" s="2361">
        <v>55</v>
      </c>
      <c r="R167" s="2361"/>
      <c r="S167" s="2361"/>
      <c r="T167" s="2414"/>
      <c r="U167" s="2414"/>
      <c r="V167" s="2414"/>
      <c r="W167" s="2414"/>
      <c r="X167" s="2414"/>
      <c r="Y167" s="2414"/>
      <c r="Z167" s="2414"/>
      <c r="AA167" s="2414"/>
      <c r="AB167" s="2415">
        <v>0</v>
      </c>
      <c r="AC167" s="2415"/>
      <c r="AD167" s="2415"/>
      <c r="AE167" s="2415"/>
      <c r="AF167" s="2415"/>
      <c r="AG167" s="2416"/>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82" t="s">
        <v>169</v>
      </c>
      <c r="D168" s="2383"/>
      <c r="E168" s="2383"/>
      <c r="F168" s="2384" t="s">
        <v>1843</v>
      </c>
      <c r="G168" s="2384"/>
      <c r="H168" s="2384"/>
      <c r="I168" s="2384"/>
      <c r="J168" s="2384"/>
      <c r="K168" s="2384"/>
      <c r="L168" s="2384"/>
      <c r="M168" s="2384"/>
      <c r="N168" s="2384"/>
      <c r="O168" s="2384"/>
      <c r="P168" s="2384"/>
      <c r="Q168" s="2385">
        <v>55</v>
      </c>
      <c r="R168" s="2385"/>
      <c r="S168" s="2385"/>
      <c r="T168" s="2386"/>
      <c r="U168" s="2386"/>
      <c r="V168" s="2386"/>
      <c r="W168" s="2386"/>
      <c r="X168" s="2386"/>
      <c r="Y168" s="2386"/>
      <c r="Z168" s="2386"/>
      <c r="AA168" s="2386"/>
      <c r="AB168" s="2387">
        <v>0</v>
      </c>
      <c r="AC168" s="2387"/>
      <c r="AD168" s="2387"/>
      <c r="AE168" s="2387"/>
      <c r="AF168" s="2387"/>
      <c r="AG168" s="2388"/>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6" t="s">
        <v>1844</v>
      </c>
      <c r="D170" s="2187"/>
      <c r="E170" s="2187"/>
      <c r="F170" s="2187"/>
      <c r="G170" s="2187"/>
      <c r="H170" s="2187"/>
      <c r="I170" s="2187"/>
      <c r="J170" s="2187"/>
      <c r="K170" s="2187"/>
      <c r="L170" s="2187"/>
      <c r="M170" s="2187"/>
      <c r="N170" s="2188"/>
      <c r="O170" s="1206"/>
      <c r="P170" s="2399" t="s">
        <v>1845</v>
      </c>
      <c r="Q170" s="2400"/>
      <c r="R170" s="2400"/>
      <c r="S170" s="2400"/>
      <c r="T170" s="2400"/>
      <c r="U170" s="2400"/>
      <c r="V170" s="2400"/>
      <c r="W170" s="2400"/>
      <c r="X170" s="2400"/>
      <c r="Y170" s="2400"/>
      <c r="Z170" s="2400"/>
      <c r="AA170" s="2400"/>
      <c r="AB170" s="2400"/>
      <c r="AC170" s="2400"/>
      <c r="AD170" s="2400"/>
      <c r="AE170" s="2400"/>
      <c r="AF170" s="2400"/>
      <c r="AG170" s="2400"/>
      <c r="AH170" s="2400"/>
      <c r="AI170" s="2400"/>
      <c r="AJ170" s="2400"/>
      <c r="AK170" s="2400"/>
      <c r="AL170" s="2400"/>
      <c r="AM170" s="2400"/>
      <c r="AN170" s="2400"/>
      <c r="AO170" s="2401"/>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02" t="s">
        <v>1846</v>
      </c>
      <c r="D171" s="2403"/>
      <c r="E171" s="2403"/>
      <c r="F171" s="2403"/>
      <c r="G171" s="2403"/>
      <c r="H171" s="2403"/>
      <c r="I171" s="2403" t="s">
        <v>1847</v>
      </c>
      <c r="J171" s="2403"/>
      <c r="K171" s="2403"/>
      <c r="L171" s="2403"/>
      <c r="M171" s="2403"/>
      <c r="N171" s="2404"/>
      <c r="O171" s="1206"/>
      <c r="P171" s="2405" t="s">
        <v>2185</v>
      </c>
      <c r="Q171" s="2406"/>
      <c r="R171" s="2406"/>
      <c r="S171" s="2406"/>
      <c r="T171" s="2406"/>
      <c r="U171" s="2406"/>
      <c r="V171" s="2406"/>
      <c r="W171" s="2406"/>
      <c r="X171" s="2406"/>
      <c r="Y171" s="2406"/>
      <c r="Z171" s="2406"/>
      <c r="AA171" s="2406"/>
      <c r="AB171" s="2406"/>
      <c r="AC171" s="2406"/>
      <c r="AD171" s="2406"/>
      <c r="AE171" s="2406"/>
      <c r="AF171" s="2406"/>
      <c r="AG171" s="2406"/>
      <c r="AH171" s="2406"/>
      <c r="AI171" s="2406"/>
      <c r="AJ171" s="2406"/>
      <c r="AK171" s="2406"/>
      <c r="AL171" s="2406"/>
      <c r="AM171" s="2406"/>
      <c r="AN171" s="2406"/>
      <c r="AO171" s="2407"/>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54"/>
      <c r="D172" s="2355"/>
      <c r="E172" s="2355"/>
      <c r="F172" s="2355"/>
      <c r="G172" s="2355"/>
      <c r="H172" s="2355"/>
      <c r="I172" s="2375"/>
      <c r="J172" s="2375"/>
      <c r="K172" s="2375"/>
      <c r="L172" s="2375"/>
      <c r="M172" s="2375"/>
      <c r="N172" s="2376"/>
      <c r="O172" s="1206"/>
      <c r="P172" s="2405"/>
      <c r="Q172" s="2406"/>
      <c r="R172" s="2406"/>
      <c r="S172" s="2406"/>
      <c r="T172" s="2406"/>
      <c r="U172" s="2406"/>
      <c r="V172" s="2406"/>
      <c r="W172" s="2406"/>
      <c r="X172" s="2406"/>
      <c r="Y172" s="2406"/>
      <c r="Z172" s="2406"/>
      <c r="AA172" s="2406"/>
      <c r="AB172" s="2406"/>
      <c r="AC172" s="2406"/>
      <c r="AD172" s="2406"/>
      <c r="AE172" s="2406"/>
      <c r="AF172" s="2406"/>
      <c r="AG172" s="2406"/>
      <c r="AH172" s="2406"/>
      <c r="AI172" s="2406"/>
      <c r="AJ172" s="2406"/>
      <c r="AK172" s="2406"/>
      <c r="AL172" s="2406"/>
      <c r="AM172" s="2406"/>
      <c r="AN172" s="2406"/>
      <c r="AO172" s="2407"/>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54"/>
      <c r="D173" s="2355"/>
      <c r="E173" s="2355"/>
      <c r="F173" s="2355"/>
      <c r="G173" s="2355"/>
      <c r="H173" s="2355"/>
      <c r="I173" s="2375"/>
      <c r="J173" s="2375"/>
      <c r="K173" s="2375"/>
      <c r="L173" s="2375"/>
      <c r="M173" s="2375"/>
      <c r="N173" s="2376"/>
      <c r="O173" s="1206"/>
      <c r="P173" s="2405"/>
      <c r="Q173" s="2406"/>
      <c r="R173" s="2406"/>
      <c r="S173" s="2406"/>
      <c r="T173" s="2406"/>
      <c r="U173" s="2406"/>
      <c r="V173" s="2406"/>
      <c r="W173" s="2406"/>
      <c r="X173" s="2406"/>
      <c r="Y173" s="2406"/>
      <c r="Z173" s="2406"/>
      <c r="AA173" s="2406"/>
      <c r="AB173" s="2406"/>
      <c r="AC173" s="2406"/>
      <c r="AD173" s="2406"/>
      <c r="AE173" s="2406"/>
      <c r="AF173" s="2406"/>
      <c r="AG173" s="2406"/>
      <c r="AH173" s="2406"/>
      <c r="AI173" s="2406"/>
      <c r="AJ173" s="2406"/>
      <c r="AK173" s="2406"/>
      <c r="AL173" s="2406"/>
      <c r="AM173" s="2406"/>
      <c r="AN173" s="2406"/>
      <c r="AO173" s="2407"/>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54"/>
      <c r="D174" s="2355"/>
      <c r="E174" s="2355"/>
      <c r="F174" s="2355"/>
      <c r="G174" s="2355"/>
      <c r="H174" s="2355"/>
      <c r="I174" s="2375"/>
      <c r="J174" s="2375"/>
      <c r="K174" s="2375"/>
      <c r="L174" s="2375"/>
      <c r="M174" s="2375"/>
      <c r="N174" s="2376"/>
      <c r="O174" s="1206"/>
      <c r="P174" s="2405"/>
      <c r="Q174" s="2406"/>
      <c r="R174" s="2406"/>
      <c r="S174" s="2406"/>
      <c r="T174" s="2406"/>
      <c r="U174" s="2406"/>
      <c r="V174" s="2406"/>
      <c r="W174" s="2406"/>
      <c r="X174" s="2406"/>
      <c r="Y174" s="2406"/>
      <c r="Z174" s="2406"/>
      <c r="AA174" s="2406"/>
      <c r="AB174" s="2406"/>
      <c r="AC174" s="2406"/>
      <c r="AD174" s="2406"/>
      <c r="AE174" s="2406"/>
      <c r="AF174" s="2406"/>
      <c r="AG174" s="2406"/>
      <c r="AH174" s="2406"/>
      <c r="AI174" s="2406"/>
      <c r="AJ174" s="2406"/>
      <c r="AK174" s="2406"/>
      <c r="AL174" s="2406"/>
      <c r="AM174" s="2406"/>
      <c r="AN174" s="2406"/>
      <c r="AO174" s="2407"/>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54"/>
      <c r="D175" s="2355"/>
      <c r="E175" s="2355"/>
      <c r="F175" s="2355"/>
      <c r="G175" s="2355"/>
      <c r="H175" s="2355"/>
      <c r="I175" s="2375"/>
      <c r="J175" s="2375"/>
      <c r="K175" s="2375"/>
      <c r="L175" s="2375"/>
      <c r="M175" s="2375"/>
      <c r="N175" s="2376"/>
      <c r="O175" s="1206"/>
      <c r="P175" s="2405"/>
      <c r="Q175" s="2406"/>
      <c r="R175" s="2406"/>
      <c r="S175" s="2406"/>
      <c r="T175" s="2406"/>
      <c r="U175" s="2406"/>
      <c r="V175" s="2406"/>
      <c r="W175" s="2406"/>
      <c r="X175" s="2406"/>
      <c r="Y175" s="2406"/>
      <c r="Z175" s="2406"/>
      <c r="AA175" s="2406"/>
      <c r="AB175" s="2406"/>
      <c r="AC175" s="2406"/>
      <c r="AD175" s="2406"/>
      <c r="AE175" s="2406"/>
      <c r="AF175" s="2406"/>
      <c r="AG175" s="2406"/>
      <c r="AH175" s="2406"/>
      <c r="AI175" s="2406"/>
      <c r="AJ175" s="2406"/>
      <c r="AK175" s="2406"/>
      <c r="AL175" s="2406"/>
      <c r="AM175" s="2406"/>
      <c r="AN175" s="2406"/>
      <c r="AO175" s="2407"/>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54"/>
      <c r="D176" s="2355"/>
      <c r="E176" s="2355"/>
      <c r="F176" s="2355"/>
      <c r="G176" s="2355"/>
      <c r="H176" s="2355"/>
      <c r="I176" s="2375"/>
      <c r="J176" s="2375"/>
      <c r="K176" s="2375"/>
      <c r="L176" s="2375"/>
      <c r="M176" s="2375"/>
      <c r="N176" s="2376"/>
      <c r="O176" s="1206"/>
      <c r="P176" s="2405"/>
      <c r="Q176" s="2406"/>
      <c r="R176" s="2406"/>
      <c r="S176" s="2406"/>
      <c r="T176" s="2406"/>
      <c r="U176" s="2406"/>
      <c r="V176" s="2406"/>
      <c r="W176" s="2406"/>
      <c r="X176" s="2406"/>
      <c r="Y176" s="2406"/>
      <c r="Z176" s="2406"/>
      <c r="AA176" s="2406"/>
      <c r="AB176" s="2406"/>
      <c r="AC176" s="2406"/>
      <c r="AD176" s="2406"/>
      <c r="AE176" s="2406"/>
      <c r="AF176" s="2406"/>
      <c r="AG176" s="2406"/>
      <c r="AH176" s="2406"/>
      <c r="AI176" s="2406"/>
      <c r="AJ176" s="2406"/>
      <c r="AK176" s="2406"/>
      <c r="AL176" s="2406"/>
      <c r="AM176" s="2406"/>
      <c r="AN176" s="2406"/>
      <c r="AO176" s="2407"/>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54"/>
      <c r="D177" s="2355"/>
      <c r="E177" s="2355"/>
      <c r="F177" s="2355"/>
      <c r="G177" s="2355"/>
      <c r="H177" s="2355"/>
      <c r="I177" s="2375"/>
      <c r="J177" s="2375"/>
      <c r="K177" s="2375"/>
      <c r="L177" s="2375"/>
      <c r="M177" s="2375"/>
      <c r="N177" s="2376"/>
      <c r="O177" s="1206"/>
      <c r="P177" s="2405"/>
      <c r="Q177" s="2406"/>
      <c r="R177" s="2406"/>
      <c r="S177" s="2406"/>
      <c r="T177" s="2406"/>
      <c r="U177" s="2406"/>
      <c r="V177" s="2406"/>
      <c r="W177" s="2406"/>
      <c r="X177" s="2406"/>
      <c r="Y177" s="2406"/>
      <c r="Z177" s="2406"/>
      <c r="AA177" s="2406"/>
      <c r="AB177" s="2406"/>
      <c r="AC177" s="2406"/>
      <c r="AD177" s="2406"/>
      <c r="AE177" s="2406"/>
      <c r="AF177" s="2406"/>
      <c r="AG177" s="2406"/>
      <c r="AH177" s="2406"/>
      <c r="AI177" s="2406"/>
      <c r="AJ177" s="2406"/>
      <c r="AK177" s="2406"/>
      <c r="AL177" s="2406"/>
      <c r="AM177" s="2406"/>
      <c r="AN177" s="2406"/>
      <c r="AO177" s="2407"/>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9"/>
      <c r="D178" s="2390"/>
      <c r="E178" s="2390"/>
      <c r="F178" s="2390"/>
      <c r="G178" s="2390"/>
      <c r="H178" s="2390"/>
      <c r="I178" s="2391"/>
      <c r="J178" s="2391"/>
      <c r="K178" s="2391"/>
      <c r="L178" s="2391"/>
      <c r="M178" s="2391"/>
      <c r="N178" s="2392"/>
      <c r="O178" s="1206"/>
      <c r="P178" s="2408"/>
      <c r="Q178" s="2409"/>
      <c r="R178" s="2409"/>
      <c r="S178" s="2409"/>
      <c r="T178" s="2409"/>
      <c r="U178" s="2409"/>
      <c r="V178" s="2409"/>
      <c r="W178" s="2409"/>
      <c r="X178" s="2409"/>
      <c r="Y178" s="2409"/>
      <c r="Z178" s="2409"/>
      <c r="AA178" s="2409"/>
      <c r="AB178" s="2409"/>
      <c r="AC178" s="2409"/>
      <c r="AD178" s="2409"/>
      <c r="AE178" s="2409"/>
      <c r="AF178" s="2409"/>
      <c r="AG178" s="2409"/>
      <c r="AH178" s="2409"/>
      <c r="AI178" s="2409"/>
      <c r="AJ178" s="2409"/>
      <c r="AK178" s="2409"/>
      <c r="AL178" s="2409"/>
      <c r="AM178" s="2409"/>
      <c r="AN178" s="2409"/>
      <c r="AO178" s="2410"/>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93" t="s">
        <v>2487</v>
      </c>
      <c r="D180" s="2394"/>
      <c r="E180" s="2394"/>
      <c r="F180" s="2394"/>
      <c r="G180" s="2394"/>
      <c r="H180" s="2394"/>
      <c r="I180" s="2394"/>
      <c r="J180" s="2394"/>
      <c r="K180" s="2394"/>
      <c r="L180" s="2394"/>
      <c r="M180" s="2394"/>
      <c r="N180" s="2394"/>
      <c r="O180" s="2394"/>
      <c r="P180" s="2394"/>
      <c r="Q180" s="2394"/>
      <c r="R180" s="2394"/>
      <c r="S180" s="2394"/>
      <c r="T180" s="2394"/>
      <c r="U180" s="2394"/>
      <c r="V180" s="2394"/>
      <c r="W180" s="2394"/>
      <c r="X180" s="2394"/>
      <c r="Y180" s="2394"/>
      <c r="Z180" s="2394"/>
      <c r="AA180" s="2394"/>
      <c r="AB180" s="2394"/>
      <c r="AC180" s="2394"/>
      <c r="AD180" s="2394"/>
      <c r="AE180" s="2395"/>
      <c r="AF180" s="1206"/>
      <c r="AG180" s="1206"/>
      <c r="AH180" s="2588" t="s">
        <v>2602</v>
      </c>
      <c r="AI180" s="2589"/>
      <c r="AJ180" s="2589"/>
      <c r="AK180" s="2589"/>
      <c r="AL180" s="2589"/>
      <c r="AM180" s="2589"/>
      <c r="AN180" s="2589"/>
      <c r="AO180" s="2589"/>
      <c r="AP180" s="2589"/>
      <c r="AQ180" s="2589"/>
      <c r="AR180" s="2589"/>
      <c r="AS180" s="2589"/>
      <c r="AT180" s="2589"/>
      <c r="AU180" s="2589"/>
      <c r="AV180" s="2589"/>
      <c r="AW180" s="2589"/>
      <c r="AX180" s="2589"/>
      <c r="AY180" s="2589"/>
      <c r="AZ180" s="2589"/>
      <c r="BA180" s="2589"/>
      <c r="BB180" s="2589"/>
      <c r="BC180" s="2589"/>
      <c r="BD180" s="2589"/>
      <c r="BE180" s="2590"/>
    </row>
    <row r="181" spans="1:57" ht="15.75" customHeight="1" thickBot="1">
      <c r="A181" s="1206"/>
      <c r="B181" s="1206"/>
      <c r="C181" s="2396"/>
      <c r="D181" s="2397"/>
      <c r="E181" s="2397"/>
      <c r="F181" s="2397"/>
      <c r="G181" s="2397"/>
      <c r="H181" s="2397"/>
      <c r="I181" s="2397"/>
      <c r="J181" s="2397"/>
      <c r="K181" s="2397"/>
      <c r="L181" s="2397"/>
      <c r="M181" s="2397"/>
      <c r="N181" s="2397"/>
      <c r="O181" s="2397"/>
      <c r="P181" s="2397"/>
      <c r="Q181" s="2397"/>
      <c r="R181" s="2397"/>
      <c r="S181" s="2397"/>
      <c r="T181" s="2397"/>
      <c r="U181" s="2397"/>
      <c r="V181" s="2397"/>
      <c r="W181" s="2397"/>
      <c r="X181" s="2397"/>
      <c r="Y181" s="2397"/>
      <c r="Z181" s="2397"/>
      <c r="AA181" s="2397"/>
      <c r="AB181" s="2397"/>
      <c r="AC181" s="2397"/>
      <c r="AD181" s="2397"/>
      <c r="AE181" s="2398"/>
      <c r="AF181" s="1206"/>
      <c r="AG181" s="1206"/>
      <c r="AH181" s="2591" t="s">
        <v>2623</v>
      </c>
      <c r="AI181" s="2591"/>
      <c r="AJ181" s="2591"/>
      <c r="AK181" s="2591"/>
      <c r="AL181" s="2591"/>
      <c r="AM181" s="2591"/>
      <c r="AN181" s="2591"/>
      <c r="AO181" s="2591"/>
      <c r="AP181" s="2591"/>
      <c r="AQ181" s="2591"/>
      <c r="AR181" s="2591"/>
      <c r="AS181" s="2591"/>
      <c r="AT181" s="2591"/>
      <c r="AU181" s="2591"/>
      <c r="AV181" s="2591"/>
      <c r="AW181" s="2591"/>
      <c r="AX181" s="2591"/>
      <c r="AY181" s="2591"/>
      <c r="AZ181" s="2591"/>
      <c r="BA181" s="2591"/>
      <c r="BB181" s="2591"/>
      <c r="BC181" s="2591"/>
      <c r="BD181" s="2591"/>
      <c r="BE181" s="2591"/>
    </row>
    <row r="182" spans="1:57" ht="15.75" customHeight="1">
      <c r="A182" s="1206"/>
      <c r="B182" s="1206"/>
      <c r="C182" s="2186" t="s">
        <v>1837</v>
      </c>
      <c r="D182" s="2187"/>
      <c r="E182" s="2187"/>
      <c r="F182" s="2187"/>
      <c r="G182" s="2187"/>
      <c r="H182" s="2187"/>
      <c r="I182" s="2187"/>
      <c r="J182" s="2187"/>
      <c r="K182" s="2187"/>
      <c r="L182" s="2187"/>
      <c r="M182" s="2187"/>
      <c r="N182" s="2187" t="s">
        <v>1848</v>
      </c>
      <c r="O182" s="2187"/>
      <c r="P182" s="2187"/>
      <c r="Q182" s="2187"/>
      <c r="R182" s="2187"/>
      <c r="S182" s="2187"/>
      <c r="T182" s="2187"/>
      <c r="U182" s="2219" t="s">
        <v>1837</v>
      </c>
      <c r="V182" s="2219"/>
      <c r="W182" s="2219"/>
      <c r="X182" s="2219"/>
      <c r="Y182" s="2219"/>
      <c r="Z182" s="2219"/>
      <c r="AA182" s="2219"/>
      <c r="AB182" s="2219"/>
      <c r="AC182" s="2219"/>
      <c r="AD182" s="2219"/>
      <c r="AE182" s="2220"/>
      <c r="AF182" s="1206"/>
      <c r="AG182" s="1206"/>
      <c r="AH182" s="2374" t="s">
        <v>2607</v>
      </c>
      <c r="AI182" s="2374"/>
      <c r="AJ182" s="2374"/>
      <c r="AK182" s="2374"/>
      <c r="AL182" s="2374"/>
      <c r="AM182" s="2374"/>
      <c r="AN182" s="2374"/>
      <c r="AO182" s="2374"/>
      <c r="AP182" s="2374"/>
      <c r="AQ182" s="2374"/>
      <c r="AR182" s="2374"/>
      <c r="AS182" s="2374"/>
      <c r="AT182" s="2374"/>
      <c r="AU182" s="2599">
        <v>2500000</v>
      </c>
      <c r="AV182" s="2599"/>
      <c r="AW182" s="2599"/>
      <c r="AX182" s="2599"/>
      <c r="AY182" s="2599"/>
      <c r="AZ182" s="2599"/>
      <c r="BA182" s="2599"/>
      <c r="BB182" s="2599"/>
      <c r="BC182" s="2603"/>
      <c r="BD182" s="2604"/>
      <c r="BE182" s="2605"/>
    </row>
    <row r="183" spans="1:57" ht="15.75" customHeight="1">
      <c r="A183" s="1206"/>
      <c r="B183" s="1206"/>
      <c r="C183" s="2363" t="s">
        <v>2488</v>
      </c>
      <c r="D183" s="2364"/>
      <c r="E183" s="2364"/>
      <c r="F183" s="2364"/>
      <c r="G183" s="2364"/>
      <c r="H183" s="2364"/>
      <c r="I183" s="2364"/>
      <c r="J183" s="2364"/>
      <c r="K183" s="2364"/>
      <c r="L183" s="2364"/>
      <c r="M183" s="2364"/>
      <c r="N183" s="2377">
        <f>'Sources and Uses Budget'!B105</f>
        <v>204000115</v>
      </c>
      <c r="O183" s="2377"/>
      <c r="P183" s="2377"/>
      <c r="Q183" s="2377"/>
      <c r="R183" s="2377"/>
      <c r="S183" s="2377"/>
      <c r="T183" s="2377"/>
      <c r="U183" s="2378"/>
      <c r="V183" s="2378"/>
      <c r="W183" s="2378"/>
      <c r="X183" s="2378"/>
      <c r="Y183" s="2378"/>
      <c r="Z183" s="2378"/>
      <c r="AA183" s="2378"/>
      <c r="AB183" s="2378"/>
      <c r="AC183" s="2378"/>
      <c r="AD183" s="2378"/>
      <c r="AE183" s="2379"/>
      <c r="AF183" s="1206"/>
      <c r="AG183" s="1206"/>
      <c r="AH183" s="2374" t="s">
        <v>2606</v>
      </c>
      <c r="AI183" s="2374"/>
      <c r="AJ183" s="2374"/>
      <c r="AK183" s="2374"/>
      <c r="AL183" s="2374"/>
      <c r="AM183" s="2374"/>
      <c r="AN183" s="2374"/>
      <c r="AO183" s="2374"/>
      <c r="AP183" s="2374"/>
      <c r="AQ183" s="2374"/>
      <c r="AR183" s="2374"/>
      <c r="AS183" s="2374"/>
      <c r="AT183" s="2374"/>
      <c r="AU183" s="2600">
        <f>MAX(0,Application!AG439-100)*20000</f>
        <v>6420000</v>
      </c>
      <c r="AV183" s="2600"/>
      <c r="AW183" s="2600"/>
      <c r="AX183" s="2600"/>
      <c r="AY183" s="2600"/>
      <c r="AZ183" s="2600"/>
      <c r="BA183" s="2600"/>
      <c r="BB183" s="2600"/>
      <c r="BC183" s="2333"/>
      <c r="BD183" s="2334"/>
      <c r="BE183" s="2335"/>
    </row>
    <row r="184" spans="1:57" ht="15.75" customHeight="1">
      <c r="A184" s="1206"/>
      <c r="B184" s="1206"/>
      <c r="C184" s="2363" t="s">
        <v>2489</v>
      </c>
      <c r="D184" s="2364"/>
      <c r="E184" s="2364"/>
      <c r="F184" s="2364"/>
      <c r="G184" s="2364"/>
      <c r="H184" s="2364"/>
      <c r="I184" s="2364"/>
      <c r="J184" s="2364"/>
      <c r="K184" s="2364"/>
      <c r="L184" s="2364"/>
      <c r="M184" s="2364"/>
      <c r="N184" s="2377">
        <f>N183/J29</f>
        <v>484560.84323040379</v>
      </c>
      <c r="O184" s="2377"/>
      <c r="P184" s="2377"/>
      <c r="Q184" s="2377"/>
      <c r="R184" s="2377"/>
      <c r="S184" s="2377"/>
      <c r="T184" s="2377"/>
      <c r="U184" s="1222"/>
      <c r="V184" s="1222"/>
      <c r="W184" s="1222"/>
      <c r="X184" s="1222"/>
      <c r="Y184" s="1222"/>
      <c r="Z184" s="1222"/>
      <c r="AA184" s="1222"/>
      <c r="AB184" s="1222"/>
      <c r="AC184" s="1222"/>
      <c r="AD184" s="1222"/>
      <c r="AE184" s="1221"/>
      <c r="AF184" s="1206"/>
      <c r="AG184" s="1206"/>
      <c r="AH184" s="2592" t="s">
        <v>2605</v>
      </c>
      <c r="AI184" s="2592"/>
      <c r="AJ184" s="2592"/>
      <c r="AK184" s="2592"/>
      <c r="AL184" s="2592"/>
      <c r="AM184" s="2592"/>
      <c r="AN184" s="2592"/>
      <c r="AO184" s="2592"/>
      <c r="AP184" s="2592"/>
      <c r="AQ184" s="2592"/>
      <c r="AR184" s="2592"/>
      <c r="AS184" s="2592"/>
      <c r="AT184" s="2592"/>
      <c r="AU184" s="2332">
        <f>AU182+AU183</f>
        <v>8920000</v>
      </c>
      <c r="AV184" s="2332"/>
      <c r="AW184" s="2332"/>
      <c r="AX184" s="2332"/>
      <c r="AY184" s="2332"/>
      <c r="AZ184" s="2332"/>
      <c r="BA184" s="2332"/>
      <c r="BB184" s="2332"/>
      <c r="BC184" s="2333"/>
      <c r="BD184" s="2334"/>
      <c r="BE184" s="2335"/>
    </row>
    <row r="185" spans="1:57" ht="15.75" customHeight="1">
      <c r="A185" s="1206"/>
      <c r="B185" s="1206"/>
      <c r="C185" s="2380" t="s">
        <v>2490</v>
      </c>
      <c r="D185" s="2381"/>
      <c r="E185" s="2381"/>
      <c r="F185" s="2381"/>
      <c r="G185" s="2381"/>
      <c r="H185" s="2381"/>
      <c r="I185" s="2381"/>
      <c r="J185" s="2381"/>
      <c r="K185" s="2381"/>
      <c r="L185" s="2381"/>
      <c r="M185" s="2381"/>
      <c r="N185" s="2215">
        <v>0</v>
      </c>
      <c r="O185" s="2215"/>
      <c r="P185" s="2215"/>
      <c r="Q185" s="2215"/>
      <c r="R185" s="2215"/>
      <c r="S185" s="2215"/>
      <c r="T185" s="2215"/>
      <c r="U185" s="2358"/>
      <c r="V185" s="2358"/>
      <c r="W185" s="2358"/>
      <c r="X185" s="2358"/>
      <c r="Y185" s="2358"/>
      <c r="Z185" s="2358"/>
      <c r="AA185" s="2358"/>
      <c r="AB185" s="2358"/>
      <c r="AC185" s="2358"/>
      <c r="AD185" s="2358"/>
      <c r="AE185" s="2359"/>
      <c r="AF185" s="1206"/>
      <c r="AG185" s="1206"/>
      <c r="AH185" s="2602" t="s">
        <v>2604</v>
      </c>
      <c r="AI185" s="2602"/>
      <c r="AJ185" s="2602"/>
      <c r="AK185" s="2602"/>
      <c r="AL185" s="2602"/>
      <c r="AM185" s="2602"/>
      <c r="AN185" s="2602"/>
      <c r="AO185" s="2602"/>
      <c r="AP185" s="2602"/>
      <c r="AQ185" s="2602"/>
      <c r="AR185" s="2602"/>
      <c r="AS185" s="2602"/>
      <c r="AT185" s="2602"/>
      <c r="AU185" s="2601" t="str">
        <f>IF(AU189-AU192&lt;=AU184,"Y","N")</f>
        <v>Y</v>
      </c>
      <c r="AV185" s="2601"/>
      <c r="AW185" s="2601"/>
      <c r="AX185" s="2601"/>
      <c r="AY185" s="2601"/>
      <c r="AZ185" s="2601"/>
      <c r="BA185" s="2601"/>
      <c r="BB185" s="2601"/>
      <c r="BC185" s="2333"/>
      <c r="BD185" s="2334"/>
      <c r="BE185" s="2335"/>
    </row>
    <row r="186" spans="1:57" ht="15.75" customHeight="1" thickBot="1">
      <c r="A186" s="1206"/>
      <c r="B186" s="1206"/>
      <c r="C186" s="2363" t="s">
        <v>2491</v>
      </c>
      <c r="D186" s="2364"/>
      <c r="E186" s="2364"/>
      <c r="F186" s="2364"/>
      <c r="G186" s="2364"/>
      <c r="H186" s="2364"/>
      <c r="I186" s="2364"/>
      <c r="J186" s="2364"/>
      <c r="K186" s="2364"/>
      <c r="L186" s="2364"/>
      <c r="M186" s="2364"/>
      <c r="N186" s="2365">
        <f>SUM('Sources and Uses Budget'!B85:B86)</f>
        <v>3143912</v>
      </c>
      <c r="O186" s="2365"/>
      <c r="P186" s="2365"/>
      <c r="Q186" s="2365"/>
      <c r="R186" s="2365"/>
      <c r="S186" s="2365"/>
      <c r="T186" s="2365"/>
      <c r="U186" s="2358"/>
      <c r="V186" s="2358"/>
      <c r="W186" s="2358"/>
      <c r="X186" s="2358"/>
      <c r="Y186" s="2358"/>
      <c r="Z186" s="2358"/>
      <c r="AA186" s="2358"/>
      <c r="AB186" s="2358"/>
      <c r="AC186" s="2358"/>
      <c r="AD186" s="2358"/>
      <c r="AE186" s="2359"/>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63" t="s">
        <v>2492</v>
      </c>
      <c r="D187" s="2364"/>
      <c r="E187" s="2364"/>
      <c r="F187" s="2364"/>
      <c r="G187" s="2364"/>
      <c r="H187" s="2364"/>
      <c r="I187" s="2364"/>
      <c r="J187" s="2364"/>
      <c r="K187" s="2364"/>
      <c r="L187" s="2364"/>
      <c r="M187" s="2364"/>
      <c r="N187" s="2365">
        <f>'Sources and Uses Budget'!B8</f>
        <v>16350000</v>
      </c>
      <c r="O187" s="2365"/>
      <c r="P187" s="2365"/>
      <c r="Q187" s="2365"/>
      <c r="R187" s="2365"/>
      <c r="S187" s="2365"/>
      <c r="T187" s="2365"/>
      <c r="U187" s="2358"/>
      <c r="V187" s="2358"/>
      <c r="W187" s="2358"/>
      <c r="X187" s="2358"/>
      <c r="Y187" s="2358"/>
      <c r="Z187" s="2358"/>
      <c r="AA187" s="2358"/>
      <c r="AB187" s="2358"/>
      <c r="AC187" s="2358"/>
      <c r="AD187" s="2358"/>
      <c r="AE187" s="2359"/>
      <c r="AF187" s="1206"/>
      <c r="AG187" s="1206"/>
      <c r="AH187" s="2366" t="s">
        <v>1849</v>
      </c>
      <c r="AI187" s="2367"/>
      <c r="AJ187" s="2367"/>
      <c r="AK187" s="2367"/>
      <c r="AL187" s="2367"/>
      <c r="AM187" s="2367"/>
      <c r="AN187" s="2367"/>
      <c r="AO187" s="2367"/>
      <c r="AP187" s="2367"/>
      <c r="AQ187" s="2367"/>
      <c r="AR187" s="2367"/>
      <c r="AS187" s="2367"/>
      <c r="AT187" s="2367"/>
      <c r="AU187" s="2367"/>
      <c r="AV187" s="2367"/>
      <c r="AW187" s="2367"/>
      <c r="AX187" s="2367"/>
      <c r="AY187" s="2367"/>
      <c r="AZ187" s="2367"/>
      <c r="BA187" s="2367"/>
      <c r="BB187" s="2367"/>
      <c r="BC187" s="2367"/>
      <c r="BD187" s="2367"/>
      <c r="BE187" s="2368"/>
    </row>
    <row r="188" spans="1:57" ht="15.75" customHeight="1">
      <c r="A188" s="1206"/>
      <c r="B188" s="1206"/>
      <c r="C188" s="2363" t="s">
        <v>2493</v>
      </c>
      <c r="D188" s="2364"/>
      <c r="E188" s="2364"/>
      <c r="F188" s="2364"/>
      <c r="G188" s="2364"/>
      <c r="H188" s="2364"/>
      <c r="I188" s="2364"/>
      <c r="J188" s="2364"/>
      <c r="K188" s="2364"/>
      <c r="L188" s="2364"/>
      <c r="M188" s="2364"/>
      <c r="N188" s="2357">
        <v>0</v>
      </c>
      <c r="O188" s="2357"/>
      <c r="P188" s="2357"/>
      <c r="Q188" s="2357"/>
      <c r="R188" s="2357"/>
      <c r="S188" s="2357"/>
      <c r="T188" s="2357"/>
      <c r="U188" s="2358"/>
      <c r="V188" s="2358"/>
      <c r="W188" s="2358"/>
      <c r="X188" s="2358"/>
      <c r="Y188" s="2358"/>
      <c r="Z188" s="2358"/>
      <c r="AA188" s="2358"/>
      <c r="AB188" s="2358"/>
      <c r="AC188" s="2358"/>
      <c r="AD188" s="2358"/>
      <c r="AE188" s="2359"/>
      <c r="AF188" s="1206"/>
      <c r="AG188" s="1206"/>
      <c r="AH188" s="2369" t="s">
        <v>1849</v>
      </c>
      <c r="AI188" s="2369"/>
      <c r="AJ188" s="2369"/>
      <c r="AK188" s="2369"/>
      <c r="AL188" s="2369"/>
      <c r="AM188" s="2369"/>
      <c r="AN188" s="2369"/>
      <c r="AO188" s="2369"/>
      <c r="AP188" s="2369"/>
      <c r="AQ188" s="2369"/>
      <c r="AR188" s="2369"/>
      <c r="AS188" s="2369"/>
      <c r="AT188" s="2369"/>
      <c r="AU188" s="2370">
        <v>0</v>
      </c>
      <c r="AV188" s="2370"/>
      <c r="AW188" s="2370"/>
      <c r="AX188" s="2370"/>
      <c r="AY188" s="2370"/>
      <c r="AZ188" s="2370"/>
      <c r="BA188" s="2370"/>
      <c r="BB188" s="2370"/>
      <c r="BC188" s="2371"/>
      <c r="BD188" s="2372"/>
      <c r="BE188" s="2373"/>
    </row>
    <row r="189" spans="1:57" ht="15.75" customHeight="1">
      <c r="A189" s="1206"/>
      <c r="B189" s="1206"/>
      <c r="C189" s="2363" t="s">
        <v>2494</v>
      </c>
      <c r="D189" s="2364"/>
      <c r="E189" s="2364"/>
      <c r="F189" s="2364"/>
      <c r="G189" s="2364"/>
      <c r="H189" s="2364"/>
      <c r="I189" s="2364"/>
      <c r="J189" s="2364"/>
      <c r="K189" s="2364"/>
      <c r="L189" s="2364"/>
      <c r="M189" s="2364"/>
      <c r="N189" s="2357">
        <v>0</v>
      </c>
      <c r="O189" s="2357"/>
      <c r="P189" s="2357"/>
      <c r="Q189" s="2357"/>
      <c r="R189" s="2357"/>
      <c r="S189" s="2357"/>
      <c r="T189" s="2357"/>
      <c r="U189" s="2358"/>
      <c r="V189" s="2358"/>
      <c r="W189" s="2358"/>
      <c r="X189" s="2358"/>
      <c r="Y189" s="2358"/>
      <c r="Z189" s="2358"/>
      <c r="AA189" s="2358"/>
      <c r="AB189" s="2358"/>
      <c r="AC189" s="2358"/>
      <c r="AD189" s="2358"/>
      <c r="AE189" s="2359"/>
      <c r="AF189" s="1206"/>
      <c r="AG189" s="1206"/>
      <c r="AH189" s="2374" t="s">
        <v>2603</v>
      </c>
      <c r="AI189" s="2374"/>
      <c r="AJ189" s="2374"/>
      <c r="AK189" s="2374"/>
      <c r="AL189" s="2374"/>
      <c r="AM189" s="2374"/>
      <c r="AN189" s="2374"/>
      <c r="AO189" s="2374"/>
      <c r="AP189" s="2374"/>
      <c r="AQ189" s="2374"/>
      <c r="AR189" s="2374"/>
      <c r="AS189" s="2374"/>
      <c r="AT189" s="2374"/>
      <c r="AU189" s="2362"/>
      <c r="AV189" s="2362"/>
      <c r="AW189" s="2362"/>
      <c r="AX189" s="2362"/>
      <c r="AY189" s="2362"/>
      <c r="AZ189" s="2362"/>
      <c r="BA189" s="2362"/>
      <c r="BB189" s="2362"/>
      <c r="BC189" s="2333"/>
      <c r="BD189" s="2334"/>
      <c r="BE189" s="2335"/>
    </row>
    <row r="190" spans="1:57" ht="15.75" customHeight="1">
      <c r="A190" s="1206"/>
      <c r="B190" s="1206"/>
      <c r="C190" s="2360" t="s">
        <v>300</v>
      </c>
      <c r="D190" s="2361"/>
      <c r="E190" s="2356" t="s">
        <v>1843</v>
      </c>
      <c r="F190" s="2356"/>
      <c r="G190" s="2356"/>
      <c r="H190" s="2356"/>
      <c r="I190" s="2356"/>
      <c r="J190" s="2356"/>
      <c r="K190" s="2356"/>
      <c r="L190" s="2356"/>
      <c r="M190" s="2356"/>
      <c r="N190" s="2357">
        <v>0</v>
      </c>
      <c r="O190" s="2357"/>
      <c r="P190" s="2357"/>
      <c r="Q190" s="2357"/>
      <c r="R190" s="2357"/>
      <c r="S190" s="2357"/>
      <c r="T190" s="2357"/>
      <c r="U190" s="2358"/>
      <c r="V190" s="2358"/>
      <c r="W190" s="2358"/>
      <c r="X190" s="2358"/>
      <c r="Y190" s="2358"/>
      <c r="Z190" s="2358"/>
      <c r="AA190" s="2358"/>
      <c r="AB190" s="2358"/>
      <c r="AC190" s="2358"/>
      <c r="AD190" s="2358"/>
      <c r="AE190" s="2359"/>
      <c r="AF190" s="1206"/>
      <c r="AG190" s="1206"/>
      <c r="AH190" s="2592" t="s">
        <v>2602</v>
      </c>
      <c r="AI190" s="2592"/>
      <c r="AJ190" s="2592"/>
      <c r="AK190" s="2592"/>
      <c r="AL190" s="2592"/>
      <c r="AM190" s="2592"/>
      <c r="AN190" s="2592"/>
      <c r="AO190" s="2592"/>
      <c r="AP190" s="2592"/>
      <c r="AQ190" s="2592"/>
      <c r="AR190" s="2592"/>
      <c r="AS190" s="2592"/>
      <c r="AT190" s="2592"/>
      <c r="AU190" s="2332">
        <f>SUM(AU188:BB189)</f>
        <v>0</v>
      </c>
      <c r="AV190" s="2332"/>
      <c r="AW190" s="2332"/>
      <c r="AX190" s="2332"/>
      <c r="AY190" s="2332"/>
      <c r="AZ190" s="2332"/>
      <c r="BA190" s="2332"/>
      <c r="BB190" s="2332"/>
      <c r="BC190" s="2333"/>
      <c r="BD190" s="2334"/>
      <c r="BE190" s="2335"/>
    </row>
    <row r="191" spans="1:57" ht="15.75" customHeight="1" thickBot="1">
      <c r="A191" s="1206"/>
      <c r="B191" s="1206"/>
      <c r="C191" s="2354" t="s">
        <v>300</v>
      </c>
      <c r="D191" s="2355"/>
      <c r="E191" s="2356" t="s">
        <v>1843</v>
      </c>
      <c r="F191" s="2356"/>
      <c r="G191" s="2356"/>
      <c r="H191" s="2356"/>
      <c r="I191" s="2356"/>
      <c r="J191" s="2356"/>
      <c r="K191" s="2356"/>
      <c r="L191" s="2356"/>
      <c r="M191" s="2356"/>
      <c r="N191" s="2357">
        <v>0</v>
      </c>
      <c r="O191" s="2357"/>
      <c r="P191" s="2357"/>
      <c r="Q191" s="2357"/>
      <c r="R191" s="2357"/>
      <c r="S191" s="2357"/>
      <c r="T191" s="2357"/>
      <c r="U191" s="2358"/>
      <c r="V191" s="2358"/>
      <c r="W191" s="2358"/>
      <c r="X191" s="2358"/>
      <c r="Y191" s="2358"/>
      <c r="Z191" s="2358"/>
      <c r="AA191" s="2358"/>
      <c r="AB191" s="2358"/>
      <c r="AC191" s="2358"/>
      <c r="AD191" s="2358"/>
      <c r="AE191" s="2359"/>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6"/>
      <c r="BD191" s="2337"/>
      <c r="BE191" s="2338"/>
    </row>
    <row r="192" spans="1:57" ht="15.75" customHeight="1" thickBot="1">
      <c r="A192" s="1206"/>
      <c r="B192" s="1206"/>
      <c r="C192" s="2343" t="s">
        <v>300</v>
      </c>
      <c r="D192" s="2344"/>
      <c r="E192" s="2345" t="s">
        <v>1843</v>
      </c>
      <c r="F192" s="2345"/>
      <c r="G192" s="2345"/>
      <c r="H192" s="2345"/>
      <c r="I192" s="2345"/>
      <c r="J192" s="2345"/>
      <c r="K192" s="2345"/>
      <c r="L192" s="2345"/>
      <c r="M192" s="2346"/>
      <c r="N192" s="2347">
        <v>0</v>
      </c>
      <c r="O192" s="2347"/>
      <c r="P192" s="2347"/>
      <c r="Q192" s="2347"/>
      <c r="R192" s="2347"/>
      <c r="S192" s="2347"/>
      <c r="T192" s="2348"/>
      <c r="U192" s="2349"/>
      <c r="V192" s="2350"/>
      <c r="W192" s="2350"/>
      <c r="X192" s="2350"/>
      <c r="Y192" s="2350"/>
      <c r="Z192" s="2350"/>
      <c r="AA192" s="2350"/>
      <c r="AB192" s="2350"/>
      <c r="AC192" s="2350"/>
      <c r="AD192" s="2350"/>
      <c r="AE192" s="2351"/>
      <c r="AF192" s="1206"/>
      <c r="AG192" s="1206"/>
      <c r="AH192" s="2317" t="s">
        <v>1850</v>
      </c>
      <c r="AI192" s="2318"/>
      <c r="AJ192" s="2318"/>
      <c r="AK192" s="2318"/>
      <c r="AL192" s="2318"/>
      <c r="AM192" s="2318"/>
      <c r="AN192" s="2318"/>
      <c r="AO192" s="2318"/>
      <c r="AP192" s="2318"/>
      <c r="AQ192" s="2318"/>
      <c r="AR192" s="2318"/>
      <c r="AS192" s="2318"/>
      <c r="AT192" s="2318"/>
      <c r="AU192" s="2327"/>
      <c r="AV192" s="2327"/>
      <c r="AW192" s="2327"/>
      <c r="AX192" s="2327"/>
      <c r="AY192" s="2327"/>
      <c r="AZ192" s="2327"/>
      <c r="BA192" s="2327"/>
      <c r="BB192" s="2327"/>
      <c r="BC192" s="1219"/>
      <c r="BD192" s="1219"/>
      <c r="BE192" s="1218"/>
    </row>
    <row r="193" spans="1:57" ht="15.75" customHeight="1">
      <c r="A193" s="1206"/>
      <c r="B193" s="1206"/>
      <c r="C193" s="2339" t="s">
        <v>1851</v>
      </c>
      <c r="D193" s="2340"/>
      <c r="E193" s="2340"/>
      <c r="F193" s="2340"/>
      <c r="G193" s="2340"/>
      <c r="H193" s="2340"/>
      <c r="I193" s="2340"/>
      <c r="J193" s="2340"/>
      <c r="K193" s="2340"/>
      <c r="L193" s="2340"/>
      <c r="M193" s="2340"/>
      <c r="N193" s="2341">
        <f>SUM(N185:T192)</f>
        <v>19493912</v>
      </c>
      <c r="O193" s="2341"/>
      <c r="P193" s="2341"/>
      <c r="Q193" s="2341"/>
      <c r="R193" s="2341"/>
      <c r="S193" s="2341"/>
      <c r="T193" s="2342"/>
      <c r="U193" s="1206"/>
      <c r="V193" s="1206"/>
      <c r="W193" s="1206"/>
      <c r="X193" s="1206"/>
      <c r="Y193" s="1206"/>
      <c r="Z193" s="1206"/>
      <c r="AA193" s="1206"/>
      <c r="AB193" s="1206"/>
      <c r="AC193" s="1206"/>
      <c r="AD193" s="1206"/>
      <c r="AE193" s="1206"/>
      <c r="AF193" s="1206"/>
      <c r="AG193" s="1206"/>
      <c r="AH193" s="2352" t="s">
        <v>2601</v>
      </c>
      <c r="AI193" s="2352"/>
      <c r="AJ193" s="2352"/>
      <c r="AK193" s="2352"/>
      <c r="AL193" s="2352"/>
      <c r="AM193" s="2352"/>
      <c r="AN193" s="2352"/>
      <c r="AO193" s="2352"/>
      <c r="AP193" s="2352"/>
      <c r="AQ193" s="2352"/>
      <c r="AR193" s="2352"/>
      <c r="AS193" s="2352"/>
      <c r="AT193" s="2352"/>
      <c r="AU193" s="2352"/>
      <c r="AV193" s="2352"/>
      <c r="AW193" s="2352"/>
      <c r="AX193" s="2352"/>
      <c r="AY193" s="2352"/>
      <c r="AZ193" s="2352"/>
      <c r="BA193" s="2352"/>
      <c r="BB193" s="2352"/>
      <c r="BC193" s="2352"/>
      <c r="BD193" s="2352"/>
      <c r="BE193" s="2353"/>
    </row>
    <row r="194" spans="1:57" ht="15.75" customHeight="1" thickBot="1">
      <c r="A194" s="1206"/>
      <c r="B194" s="1206"/>
      <c r="C194" s="2319" t="s">
        <v>2495</v>
      </c>
      <c r="D194" s="2320"/>
      <c r="E194" s="2320"/>
      <c r="F194" s="2320"/>
      <c r="G194" s="2320"/>
      <c r="H194" s="2320"/>
      <c r="I194" s="2320"/>
      <c r="J194" s="2320"/>
      <c r="K194" s="2320"/>
      <c r="L194" s="2320"/>
      <c r="M194" s="2320"/>
      <c r="N194" s="2321">
        <f>(N183-N193)/J29</f>
        <v>438257.01425178145</v>
      </c>
      <c r="O194" s="2322"/>
      <c r="P194" s="2322"/>
      <c r="Q194" s="2322"/>
      <c r="R194" s="2322"/>
      <c r="S194" s="2322"/>
      <c r="T194" s="2323"/>
      <c r="U194" s="1217"/>
      <c r="V194" s="1206"/>
      <c r="W194" s="1206"/>
      <c r="X194" s="1206"/>
      <c r="Y194" s="1206"/>
      <c r="Z194" s="1206"/>
      <c r="AA194" s="1206"/>
      <c r="AB194" s="1206"/>
      <c r="AC194" s="1206"/>
      <c r="AD194" s="1206"/>
      <c r="AE194" s="1206"/>
      <c r="AF194" s="1206"/>
      <c r="AG194" s="1206"/>
      <c r="AH194" s="2352"/>
      <c r="AI194" s="2352"/>
      <c r="AJ194" s="2352"/>
      <c r="AK194" s="2352"/>
      <c r="AL194" s="2352"/>
      <c r="AM194" s="2352"/>
      <c r="AN194" s="2352"/>
      <c r="AO194" s="2352"/>
      <c r="AP194" s="2352"/>
      <c r="AQ194" s="2352"/>
      <c r="AR194" s="2352"/>
      <c r="AS194" s="2352"/>
      <c r="AT194" s="2352"/>
      <c r="AU194" s="2352"/>
      <c r="AV194" s="2352"/>
      <c r="AW194" s="2352"/>
      <c r="AX194" s="2352"/>
      <c r="AY194" s="2352"/>
      <c r="AZ194" s="2352"/>
      <c r="BA194" s="2352"/>
      <c r="BB194" s="2352"/>
      <c r="BC194" s="2352"/>
      <c r="BD194" s="2352"/>
      <c r="BE194" s="2353"/>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24"/>
      <c r="AI195" s="2324"/>
      <c r="AJ195" s="2324"/>
      <c r="AK195" s="2324"/>
      <c r="AL195" s="2324"/>
      <c r="AM195" s="2324"/>
      <c r="AN195" s="2324"/>
      <c r="AO195" s="2324"/>
      <c r="AP195" s="2324"/>
      <c r="AQ195" s="2324"/>
      <c r="AR195" s="2324"/>
      <c r="AS195" s="2328"/>
      <c r="AT195" s="2328"/>
      <c r="AU195" s="2328"/>
      <c r="AV195" s="2328"/>
      <c r="AW195" s="2328"/>
      <c r="AX195" s="2328"/>
      <c r="AY195" s="2328"/>
      <c r="AZ195" s="2328"/>
      <c r="BA195" s="2328"/>
      <c r="BB195" s="2328"/>
      <c r="BC195" s="2328"/>
      <c r="BD195" s="2328"/>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9" t="s">
        <v>2600</v>
      </c>
      <c r="D197" s="2330"/>
      <c r="E197" s="2330"/>
      <c r="F197" s="2330"/>
      <c r="G197" s="2330"/>
      <c r="H197" s="2330"/>
      <c r="I197" s="2330"/>
      <c r="J197" s="2330"/>
      <c r="K197" s="2330"/>
      <c r="L197" s="2330"/>
      <c r="M197" s="2330"/>
      <c r="N197" s="2330"/>
      <c r="O197" s="2330"/>
      <c r="P197" s="2330"/>
      <c r="Q197" s="2330"/>
      <c r="R197" s="2330"/>
      <c r="S197" s="2330"/>
      <c r="T197" s="2330"/>
      <c r="U197" s="2330"/>
      <c r="V197" s="2330"/>
      <c r="W197" s="2330"/>
      <c r="X197" s="2330"/>
      <c r="Y197" s="2330"/>
      <c r="Z197" s="2330"/>
      <c r="AA197" s="2330"/>
      <c r="AB197" s="2330"/>
      <c r="AC197" s="2330"/>
      <c r="AD197" s="2330"/>
      <c r="AE197" s="2331"/>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5" t="s">
        <v>2599</v>
      </c>
      <c r="D198" s="2595"/>
      <c r="E198" s="2595"/>
      <c r="F198" s="2595"/>
      <c r="G198" s="2595"/>
      <c r="H198" s="2595"/>
      <c r="I198" s="2595"/>
      <c r="J198" s="2595"/>
      <c r="K198" s="2595"/>
      <c r="L198" s="2595"/>
      <c r="M198" s="2595"/>
      <c r="N198" s="2595"/>
      <c r="O198" s="2596" t="s">
        <v>2598</v>
      </c>
      <c r="P198" s="2596"/>
      <c r="Q198" s="2596"/>
      <c r="R198" s="2596"/>
      <c r="S198" s="2596"/>
      <c r="T198" s="2596"/>
      <c r="U198" s="2596"/>
      <c r="V198" s="2596"/>
      <c r="W198" s="2596"/>
      <c r="X198" s="2596" t="s">
        <v>2597</v>
      </c>
      <c r="Y198" s="2596"/>
      <c r="Z198" s="2596"/>
      <c r="AA198" s="2596"/>
      <c r="AB198" s="2596"/>
      <c r="AC198" s="2596"/>
      <c r="AD198" s="2596"/>
      <c r="AE198" s="259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93" t="s">
        <v>2596</v>
      </c>
      <c r="D199" s="2593"/>
      <c r="E199" s="2593"/>
      <c r="F199" s="2593"/>
      <c r="G199" s="2593"/>
      <c r="H199" s="2593"/>
      <c r="I199" s="2593"/>
      <c r="J199" s="2593"/>
      <c r="K199" s="2593"/>
      <c r="L199" s="2593"/>
      <c r="M199" s="2593"/>
      <c r="N199" s="2593"/>
      <c r="O199" s="2325" t="s">
        <v>2595</v>
      </c>
      <c r="P199" s="2325"/>
      <c r="Q199" s="2325"/>
      <c r="R199" s="2325"/>
      <c r="S199" s="2325"/>
      <c r="T199" s="2325"/>
      <c r="U199" s="2325"/>
      <c r="V199" s="2325"/>
      <c r="W199" s="2325"/>
      <c r="X199" s="2326">
        <v>0.03</v>
      </c>
      <c r="Y199" s="2326"/>
      <c r="Z199" s="2326"/>
      <c r="AA199" s="2326"/>
      <c r="AB199" s="2326"/>
      <c r="AC199" s="2326"/>
      <c r="AD199" s="2326"/>
      <c r="AE199" s="2326"/>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93" t="s">
        <v>864</v>
      </c>
      <c r="D200" s="2593"/>
      <c r="E200" s="2593"/>
      <c r="F200" s="2593"/>
      <c r="G200" s="2593"/>
      <c r="H200" s="2593"/>
      <c r="I200" s="2593"/>
      <c r="J200" s="2593"/>
      <c r="K200" s="2593"/>
      <c r="L200" s="2593"/>
      <c r="M200" s="2593"/>
      <c r="N200" s="2593"/>
      <c r="O200" s="2325" t="s">
        <v>2595</v>
      </c>
      <c r="P200" s="2325"/>
      <c r="Q200" s="2325"/>
      <c r="R200" s="2325"/>
      <c r="S200" s="2325"/>
      <c r="T200" s="2325"/>
      <c r="U200" s="2325"/>
      <c r="V200" s="2325"/>
      <c r="W200" s="2325"/>
      <c r="X200" s="2326">
        <v>0.03</v>
      </c>
      <c r="Y200" s="2326"/>
      <c r="Z200" s="2326"/>
      <c r="AA200" s="2326"/>
      <c r="AB200" s="2326"/>
      <c r="AC200" s="2326"/>
      <c r="AD200" s="2326"/>
      <c r="AE200" s="2326"/>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93" t="s">
        <v>2594</v>
      </c>
      <c r="D201" s="2593"/>
      <c r="E201" s="2593"/>
      <c r="F201" s="2593"/>
      <c r="G201" s="2593"/>
      <c r="H201" s="2593"/>
      <c r="I201" s="2593"/>
      <c r="J201" s="2593"/>
      <c r="K201" s="2593"/>
      <c r="L201" s="2593"/>
      <c r="M201" s="2593"/>
      <c r="N201" s="2593"/>
      <c r="O201" s="2597">
        <f>SUM(O199:W200)</f>
        <v>0</v>
      </c>
      <c r="P201" s="2598"/>
      <c r="Q201" s="2598"/>
      <c r="R201" s="2598"/>
      <c r="S201" s="2598"/>
      <c r="T201" s="2598"/>
      <c r="U201" s="2598"/>
      <c r="V201" s="2598"/>
      <c r="W201" s="2598"/>
      <c r="X201" s="2598" t="s">
        <v>2593</v>
      </c>
      <c r="Y201" s="2598"/>
      <c r="Z201" s="2598"/>
      <c r="AA201" s="2598"/>
      <c r="AB201" s="2598"/>
      <c r="AC201" s="2598"/>
      <c r="AD201" s="2598"/>
      <c r="AE201" s="259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94" t="s">
        <v>2592</v>
      </c>
      <c r="D202" s="2594"/>
      <c r="E202" s="2594"/>
      <c r="F202" s="2594"/>
      <c r="G202" s="2594"/>
      <c r="H202" s="2594"/>
      <c r="I202" s="2594"/>
      <c r="J202" s="2594"/>
      <c r="K202" s="2594"/>
      <c r="L202" s="2594"/>
      <c r="M202" s="2594"/>
      <c r="N202" s="2594"/>
      <c r="O202" s="2594"/>
      <c r="P202" s="2594"/>
      <c r="Q202" s="2594"/>
      <c r="R202" s="2594"/>
      <c r="S202" s="2594"/>
      <c r="T202" s="2594"/>
      <c r="U202" s="2594"/>
      <c r="V202" s="2594"/>
      <c r="W202" s="2594"/>
      <c r="X202" s="2594"/>
      <c r="Y202" s="2594"/>
      <c r="Z202" s="2594"/>
      <c r="AA202" s="2594"/>
      <c r="AB202" s="2594"/>
      <c r="AC202" s="2594"/>
      <c r="AD202" s="2594"/>
      <c r="AE202" s="259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304" t="s">
        <v>2591</v>
      </c>
      <c r="D204" s="2305"/>
      <c r="E204" s="2305"/>
      <c r="F204" s="2305"/>
      <c r="G204" s="2305"/>
      <c r="H204" s="2305"/>
      <c r="I204" s="2305"/>
      <c r="J204" s="2305"/>
      <c r="K204" s="2305"/>
      <c r="L204" s="2305"/>
      <c r="M204" s="2305"/>
      <c r="N204" s="2305"/>
      <c r="O204" s="2305"/>
      <c r="P204" s="2305"/>
      <c r="Q204" s="2305"/>
      <c r="R204" s="2305"/>
      <c r="S204" s="2305"/>
      <c r="T204" s="2305"/>
      <c r="U204" s="2305"/>
      <c r="V204" s="2305"/>
      <c r="W204" s="2305"/>
      <c r="X204" s="2305"/>
      <c r="Y204" s="2305"/>
      <c r="Z204" s="2305"/>
      <c r="AA204" s="2305"/>
      <c r="AB204" s="2305"/>
      <c r="AC204" s="2305"/>
      <c r="AD204" s="2305"/>
      <c r="AE204" s="2305"/>
      <c r="AF204" s="2305"/>
      <c r="AG204" s="2305"/>
      <c r="AH204" s="2305"/>
      <c r="AI204" s="2305"/>
      <c r="AJ204" s="2305"/>
      <c r="AK204" s="2306"/>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7" t="s">
        <v>2590</v>
      </c>
      <c r="D205" s="2265"/>
      <c r="E205" s="2265"/>
      <c r="F205" s="2308"/>
      <c r="G205" s="2264" t="s">
        <v>2589</v>
      </c>
      <c r="H205" s="2265"/>
      <c r="I205" s="2265"/>
      <c r="J205" s="2265"/>
      <c r="K205" s="2265"/>
      <c r="L205" s="2265"/>
      <c r="M205" s="2265"/>
      <c r="N205" s="2265"/>
      <c r="O205" s="2308"/>
      <c r="P205" s="2311" t="s">
        <v>2588</v>
      </c>
      <c r="Q205" s="2312"/>
      <c r="R205" s="2312"/>
      <c r="S205" s="2312"/>
      <c r="T205" s="2313"/>
      <c r="U205" s="2258" t="s">
        <v>2587</v>
      </c>
      <c r="V205" s="2259"/>
      <c r="W205" s="2259"/>
      <c r="X205" s="2260"/>
      <c r="Y205" s="2258" t="s">
        <v>2586</v>
      </c>
      <c r="Z205" s="2259"/>
      <c r="AA205" s="2259"/>
      <c r="AB205" s="2260"/>
      <c r="AC205" s="2258" t="s">
        <v>2585</v>
      </c>
      <c r="AD205" s="2259"/>
      <c r="AE205" s="2259"/>
      <c r="AF205" s="2260"/>
      <c r="AG205" s="2264" t="s">
        <v>2584</v>
      </c>
      <c r="AH205" s="2265"/>
      <c r="AI205" s="2265"/>
      <c r="AJ205" s="2265"/>
      <c r="AK205" s="2266"/>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9"/>
      <c r="D206" s="2268"/>
      <c r="E206" s="2268"/>
      <c r="F206" s="2310"/>
      <c r="G206" s="2267"/>
      <c r="H206" s="2268"/>
      <c r="I206" s="2268"/>
      <c r="J206" s="2268"/>
      <c r="K206" s="2268"/>
      <c r="L206" s="2268"/>
      <c r="M206" s="2268"/>
      <c r="N206" s="2268"/>
      <c r="O206" s="2310"/>
      <c r="P206" s="2314"/>
      <c r="Q206" s="2315"/>
      <c r="R206" s="2315"/>
      <c r="S206" s="2315"/>
      <c r="T206" s="2316"/>
      <c r="U206" s="2261"/>
      <c r="V206" s="2262"/>
      <c r="W206" s="2262"/>
      <c r="X206" s="2263"/>
      <c r="Y206" s="2261"/>
      <c r="Z206" s="2262"/>
      <c r="AA206" s="2262"/>
      <c r="AB206" s="2263"/>
      <c r="AC206" s="2261"/>
      <c r="AD206" s="2262"/>
      <c r="AE206" s="2262"/>
      <c r="AF206" s="2263"/>
      <c r="AG206" s="2267"/>
      <c r="AH206" s="2268"/>
      <c r="AI206" s="2268"/>
      <c r="AJ206" s="2268"/>
      <c r="AK206" s="226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70">
        <v>1</v>
      </c>
      <c r="D207" s="2271"/>
      <c r="E207" s="2271"/>
      <c r="F207" s="2271"/>
      <c r="G207" s="2272" t="s">
        <v>2152</v>
      </c>
      <c r="H207" s="2272"/>
      <c r="I207" s="2272"/>
      <c r="J207" s="2272"/>
      <c r="K207" s="2272"/>
      <c r="L207" s="2272"/>
      <c r="M207" s="2272"/>
      <c r="N207" s="2272"/>
      <c r="O207" s="2272"/>
      <c r="P207" s="2273"/>
      <c r="Q207" s="2274"/>
      <c r="R207" s="2274"/>
      <c r="S207" s="2274"/>
      <c r="T207" s="2274"/>
      <c r="U207" s="2275" t="s">
        <v>2152</v>
      </c>
      <c r="V207" s="2275"/>
      <c r="W207" s="2275"/>
      <c r="X207" s="2275"/>
      <c r="Y207" s="2275" t="s">
        <v>2152</v>
      </c>
      <c r="Z207" s="2275"/>
      <c r="AA207" s="2275"/>
      <c r="AB207" s="2275"/>
      <c r="AC207" s="2276" t="s">
        <v>2152</v>
      </c>
      <c r="AD207" s="2276"/>
      <c r="AE207" s="2276"/>
      <c r="AF207" s="2276"/>
      <c r="AG207" s="2255"/>
      <c r="AH207" s="2256"/>
      <c r="AI207" s="2256"/>
      <c r="AJ207" s="2256"/>
      <c r="AK207" s="2257"/>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70">
        <v>2</v>
      </c>
      <c r="D208" s="2271"/>
      <c r="E208" s="2271"/>
      <c r="F208" s="2271"/>
      <c r="G208" s="2272" t="s">
        <v>2152</v>
      </c>
      <c r="H208" s="2272"/>
      <c r="I208" s="2272"/>
      <c r="J208" s="2272"/>
      <c r="K208" s="2272"/>
      <c r="L208" s="2272"/>
      <c r="M208" s="2272"/>
      <c r="N208" s="2272"/>
      <c r="O208" s="2272"/>
      <c r="P208" s="2273"/>
      <c r="Q208" s="2273"/>
      <c r="R208" s="2273"/>
      <c r="S208" s="2273"/>
      <c r="T208" s="2273"/>
      <c r="U208" s="2275" t="s">
        <v>2152</v>
      </c>
      <c r="V208" s="2275"/>
      <c r="W208" s="2275"/>
      <c r="X208" s="2275"/>
      <c r="Y208" s="2275" t="s">
        <v>2152</v>
      </c>
      <c r="Z208" s="2275"/>
      <c r="AA208" s="2275"/>
      <c r="AB208" s="2275"/>
      <c r="AC208" s="2276" t="s">
        <v>2152</v>
      </c>
      <c r="AD208" s="2276"/>
      <c r="AE208" s="2276"/>
      <c r="AF208" s="2276"/>
      <c r="AG208" s="2255"/>
      <c r="AH208" s="2256"/>
      <c r="AI208" s="2256"/>
      <c r="AJ208" s="2256"/>
      <c r="AK208" s="2257"/>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70">
        <v>3</v>
      </c>
      <c r="D209" s="2271"/>
      <c r="E209" s="2271"/>
      <c r="F209" s="2271"/>
      <c r="G209" s="2272" t="s">
        <v>2152</v>
      </c>
      <c r="H209" s="2272"/>
      <c r="I209" s="2272"/>
      <c r="J209" s="2272"/>
      <c r="K209" s="2272"/>
      <c r="L209" s="2272"/>
      <c r="M209" s="2272"/>
      <c r="N209" s="2272"/>
      <c r="O209" s="2272"/>
      <c r="P209" s="2273"/>
      <c r="Q209" s="2273"/>
      <c r="R209" s="2273"/>
      <c r="S209" s="2273"/>
      <c r="T209" s="2273"/>
      <c r="U209" s="2275" t="s">
        <v>2152</v>
      </c>
      <c r="V209" s="2275"/>
      <c r="W209" s="2275"/>
      <c r="X209" s="2275"/>
      <c r="Y209" s="2275" t="s">
        <v>2152</v>
      </c>
      <c r="Z209" s="2275"/>
      <c r="AA209" s="2275"/>
      <c r="AB209" s="2275"/>
      <c r="AC209" s="2276" t="s">
        <v>2152</v>
      </c>
      <c r="AD209" s="2276"/>
      <c r="AE209" s="2276"/>
      <c r="AF209" s="2276"/>
      <c r="AG209" s="2255"/>
      <c r="AH209" s="2256"/>
      <c r="AI209" s="2256"/>
      <c r="AJ209" s="2256"/>
      <c r="AK209" s="2257"/>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70">
        <v>4</v>
      </c>
      <c r="D210" s="2271"/>
      <c r="E210" s="2271"/>
      <c r="F210" s="2271"/>
      <c r="G210" s="2272" t="s">
        <v>2152</v>
      </c>
      <c r="H210" s="2272"/>
      <c r="I210" s="2272"/>
      <c r="J210" s="2272"/>
      <c r="K210" s="2272"/>
      <c r="L210" s="2272"/>
      <c r="M210" s="2272"/>
      <c r="N210" s="2272"/>
      <c r="O210" s="2272"/>
      <c r="P210" s="2273"/>
      <c r="Q210" s="2273"/>
      <c r="R210" s="2273"/>
      <c r="S210" s="2273"/>
      <c r="T210" s="2273"/>
      <c r="U210" s="2275" t="s">
        <v>2152</v>
      </c>
      <c r="V210" s="2275"/>
      <c r="W210" s="2275"/>
      <c r="X210" s="2275"/>
      <c r="Y210" s="2275" t="s">
        <v>2152</v>
      </c>
      <c r="Z210" s="2275"/>
      <c r="AA210" s="2275"/>
      <c r="AB210" s="2275"/>
      <c r="AC210" s="2276" t="s">
        <v>2152</v>
      </c>
      <c r="AD210" s="2276"/>
      <c r="AE210" s="2276"/>
      <c r="AF210" s="2276"/>
      <c r="AG210" s="2255"/>
      <c r="AH210" s="2256"/>
      <c r="AI210" s="2256"/>
      <c r="AJ210" s="2256"/>
      <c r="AK210" s="2257"/>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70">
        <v>5</v>
      </c>
      <c r="D211" s="2271"/>
      <c r="E211" s="2271"/>
      <c r="F211" s="2271"/>
      <c r="G211" s="2272"/>
      <c r="H211" s="2272"/>
      <c r="I211" s="2272"/>
      <c r="J211" s="2272"/>
      <c r="K211" s="2272"/>
      <c r="L211" s="2272"/>
      <c r="M211" s="2272"/>
      <c r="N211" s="2272"/>
      <c r="O211" s="2272"/>
      <c r="P211" s="2273"/>
      <c r="Q211" s="2273"/>
      <c r="R211" s="2273"/>
      <c r="S211" s="2273"/>
      <c r="T211" s="2273"/>
      <c r="U211" s="2275" t="s">
        <v>2152</v>
      </c>
      <c r="V211" s="2275"/>
      <c r="W211" s="2275"/>
      <c r="X211" s="2275"/>
      <c r="Y211" s="2275" t="s">
        <v>2152</v>
      </c>
      <c r="Z211" s="2275"/>
      <c r="AA211" s="2275"/>
      <c r="AB211" s="2275"/>
      <c r="AC211" s="2276" t="s">
        <v>2152</v>
      </c>
      <c r="AD211" s="2276"/>
      <c r="AE211" s="2276"/>
      <c r="AF211" s="2276"/>
      <c r="AG211" s="2255"/>
      <c r="AH211" s="2256"/>
      <c r="AI211" s="2256"/>
      <c r="AJ211" s="2256"/>
      <c r="AK211" s="2257"/>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70">
        <v>6</v>
      </c>
      <c r="D212" s="2271"/>
      <c r="E212" s="2271"/>
      <c r="F212" s="2271"/>
      <c r="G212" s="2272" t="s">
        <v>2152</v>
      </c>
      <c r="H212" s="2272"/>
      <c r="I212" s="2272"/>
      <c r="J212" s="2272"/>
      <c r="K212" s="2272"/>
      <c r="L212" s="2272"/>
      <c r="M212" s="2272"/>
      <c r="N212" s="2272"/>
      <c r="O212" s="2272"/>
      <c r="P212" s="2273"/>
      <c r="Q212" s="2273"/>
      <c r="R212" s="2273"/>
      <c r="S212" s="2273"/>
      <c r="T212" s="2273"/>
      <c r="U212" s="2275"/>
      <c r="V212" s="2275"/>
      <c r="W212" s="2275"/>
      <c r="X212" s="2275"/>
      <c r="Y212" s="2275"/>
      <c r="Z212" s="2275"/>
      <c r="AA212" s="2275"/>
      <c r="AB212" s="2275"/>
      <c r="AC212" s="2276" t="s">
        <v>2152</v>
      </c>
      <c r="AD212" s="2276"/>
      <c r="AE212" s="2276"/>
      <c r="AF212" s="2276"/>
      <c r="AG212" s="2255"/>
      <c r="AH212" s="2256"/>
      <c r="AI212" s="2256"/>
      <c r="AJ212" s="2256"/>
      <c r="AK212" s="2257"/>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70">
        <v>7</v>
      </c>
      <c r="D213" s="2271"/>
      <c r="E213" s="2271"/>
      <c r="F213" s="2271"/>
      <c r="G213" s="2606"/>
      <c r="H213" s="2607"/>
      <c r="I213" s="2607"/>
      <c r="J213" s="2607"/>
      <c r="K213" s="2607"/>
      <c r="L213" s="2607"/>
      <c r="M213" s="2607"/>
      <c r="N213" s="2607"/>
      <c r="O213" s="2608"/>
      <c r="P213" s="2273"/>
      <c r="Q213" s="2273"/>
      <c r="R213" s="2273"/>
      <c r="S213" s="2273"/>
      <c r="T213" s="2273"/>
      <c r="U213" s="2275"/>
      <c r="V213" s="2275"/>
      <c r="W213" s="2275"/>
      <c r="X213" s="2275"/>
      <c r="Y213" s="2275"/>
      <c r="Z213" s="2275"/>
      <c r="AA213" s="2275"/>
      <c r="AB213" s="2275"/>
      <c r="AC213" s="2276" t="s">
        <v>2152</v>
      </c>
      <c r="AD213" s="2276"/>
      <c r="AE213" s="2276"/>
      <c r="AF213" s="2276"/>
      <c r="AG213" s="2255"/>
      <c r="AH213" s="2256"/>
      <c r="AI213" s="2256"/>
      <c r="AJ213" s="2256"/>
      <c r="AK213" s="2257"/>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9" t="s">
        <v>2583</v>
      </c>
      <c r="D214" s="2610"/>
      <c r="E214" s="2610"/>
      <c r="F214" s="2610"/>
      <c r="G214" s="2610"/>
      <c r="H214" s="2610"/>
      <c r="I214" s="2610"/>
      <c r="J214" s="2610"/>
      <c r="K214" s="2610"/>
      <c r="L214" s="2610"/>
      <c r="M214" s="2610"/>
      <c r="N214" s="2610"/>
      <c r="O214" s="2610"/>
      <c r="P214" s="2611"/>
      <c r="Q214" s="2611"/>
      <c r="R214" s="2611"/>
      <c r="S214" s="2611"/>
      <c r="T214" s="2611"/>
      <c r="U214" s="2612">
        <v>0</v>
      </c>
      <c r="V214" s="2612"/>
      <c r="W214" s="2612"/>
      <c r="X214" s="2612"/>
      <c r="Y214" s="2612">
        <v>0</v>
      </c>
      <c r="Z214" s="2612"/>
      <c r="AA214" s="2612"/>
      <c r="AB214" s="2612"/>
      <c r="AC214" s="2613">
        <v>0</v>
      </c>
      <c r="AD214" s="2613"/>
      <c r="AE214" s="2613"/>
      <c r="AF214" s="2613"/>
      <c r="AG214" s="2252"/>
      <c r="AH214" s="2253"/>
      <c r="AI214" s="2253"/>
      <c r="AJ214" s="2253"/>
      <c r="AK214" s="2254"/>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80" t="s">
        <v>1852</v>
      </c>
      <c r="C219" s="2281"/>
      <c r="D219" s="2281"/>
      <c r="E219" s="2281"/>
      <c r="F219" s="2281"/>
      <c r="G219" s="2281"/>
      <c r="H219" s="2281"/>
      <c r="I219" s="2281"/>
      <c r="J219" s="2281"/>
      <c r="K219" s="2281"/>
      <c r="L219" s="2281"/>
      <c r="M219" s="2281"/>
      <c r="N219" s="2281"/>
      <c r="O219" s="2281"/>
      <c r="P219" s="2281"/>
      <c r="Q219" s="2281"/>
      <c r="R219" s="2281"/>
      <c r="S219" s="2281"/>
      <c r="T219" s="2281"/>
      <c r="U219" s="2281"/>
      <c r="V219" s="2281"/>
      <c r="W219" s="2281"/>
      <c r="X219" s="2281"/>
      <c r="Y219" s="2281"/>
      <c r="Z219" s="2281"/>
      <c r="AA219" s="2281"/>
      <c r="AB219" s="2281"/>
      <c r="AC219" s="2281"/>
      <c r="AD219" s="2281"/>
      <c r="AE219" s="2281"/>
      <c r="AF219" s="2281"/>
      <c r="AG219" s="2281"/>
      <c r="AH219" s="2281"/>
      <c r="AI219" s="2281"/>
      <c r="AJ219" s="2281"/>
      <c r="AK219" s="2281"/>
      <c r="AL219" s="2281"/>
      <c r="AM219" s="2281"/>
      <c r="AN219" s="2281"/>
      <c r="AO219" s="2281"/>
      <c r="AP219" s="2281"/>
      <c r="AQ219" s="2281"/>
      <c r="AR219" s="2281"/>
      <c r="AS219" s="2281"/>
      <c r="AT219" s="2281"/>
      <c r="AU219" s="2281"/>
      <c r="AV219" s="2281"/>
      <c r="AW219" s="2281"/>
      <c r="AX219" s="2281"/>
      <c r="AY219" s="2281"/>
      <c r="AZ219" s="2281"/>
      <c r="BA219" s="2281"/>
      <c r="BB219" s="2281"/>
      <c r="BC219" s="2281"/>
      <c r="BD219" s="2282"/>
      <c r="BE219" s="1202"/>
    </row>
    <row r="220" spans="1:57" ht="15.75" customHeight="1">
      <c r="A220" s="1206"/>
      <c r="B220" s="2283"/>
      <c r="C220" s="2284"/>
      <c r="D220" s="2284"/>
      <c r="E220" s="2284"/>
      <c r="F220" s="2284"/>
      <c r="G220" s="2284"/>
      <c r="H220" s="2284"/>
      <c r="I220" s="2284"/>
      <c r="J220" s="2284"/>
      <c r="K220" s="2284"/>
      <c r="L220" s="2284"/>
      <c r="M220" s="2284"/>
      <c r="N220" s="2284"/>
      <c r="O220" s="2284"/>
      <c r="P220" s="2284"/>
      <c r="Q220" s="2284"/>
      <c r="R220" s="2284"/>
      <c r="S220" s="2284"/>
      <c r="T220" s="2284"/>
      <c r="U220" s="2284"/>
      <c r="V220" s="2284"/>
      <c r="W220" s="2284"/>
      <c r="X220" s="2284"/>
      <c r="Y220" s="2284"/>
      <c r="Z220" s="2284"/>
      <c r="AA220" s="2284"/>
      <c r="AB220" s="2284"/>
      <c r="AC220" s="2284"/>
      <c r="AD220" s="2284"/>
      <c r="AE220" s="2284"/>
      <c r="AF220" s="2284"/>
      <c r="AG220" s="2284"/>
      <c r="AH220" s="2284"/>
      <c r="AI220" s="2284"/>
      <c r="AJ220" s="2284"/>
      <c r="AK220" s="2284"/>
      <c r="AL220" s="2284"/>
      <c r="AM220" s="2284"/>
      <c r="AN220" s="2284"/>
      <c r="AO220" s="2284"/>
      <c r="AP220" s="2284"/>
      <c r="AQ220" s="2284"/>
      <c r="AR220" s="2284"/>
      <c r="AS220" s="2284"/>
      <c r="AT220" s="2284"/>
      <c r="AU220" s="2284"/>
      <c r="AV220" s="2284"/>
      <c r="AW220" s="2284"/>
      <c r="AX220" s="2284"/>
      <c r="AY220" s="2284"/>
      <c r="AZ220" s="2284"/>
      <c r="BA220" s="2284"/>
      <c r="BB220" s="2284"/>
      <c r="BC220" s="2284"/>
      <c r="BD220" s="2285"/>
      <c r="BE220" s="1202"/>
    </row>
    <row r="221" spans="1:57" ht="15.75" customHeight="1">
      <c r="A221" s="1206"/>
      <c r="B221" s="2286" t="s">
        <v>1853</v>
      </c>
      <c r="C221" s="2287"/>
      <c r="D221" s="2287"/>
      <c r="E221" s="2287"/>
      <c r="F221" s="2287"/>
      <c r="G221" s="2287"/>
      <c r="H221" s="2287"/>
      <c r="I221" s="2287"/>
      <c r="J221" s="2287"/>
      <c r="K221" s="2287"/>
      <c r="L221" s="2287"/>
      <c r="M221" s="2287"/>
      <c r="N221" s="2287"/>
      <c r="O221" s="2287"/>
      <c r="P221" s="2287"/>
      <c r="Q221" s="2287"/>
      <c r="R221" s="2287"/>
      <c r="S221" s="2287"/>
      <c r="T221" s="2287"/>
      <c r="U221" s="2287"/>
      <c r="V221" s="2287"/>
      <c r="W221" s="2287"/>
      <c r="X221" s="2287"/>
      <c r="Y221" s="2287"/>
      <c r="Z221" s="2287"/>
      <c r="AA221" s="2287"/>
      <c r="AB221" s="2287"/>
      <c r="AC221" s="2287"/>
      <c r="AD221" s="2287"/>
      <c r="AE221" s="2287"/>
      <c r="AF221" s="2287"/>
      <c r="AG221" s="2287"/>
      <c r="AH221" s="2287"/>
      <c r="AI221" s="2287"/>
      <c r="AJ221" s="2287"/>
      <c r="AK221" s="2287"/>
      <c r="AL221" s="2287"/>
      <c r="AM221" s="2287"/>
      <c r="AN221" s="2287"/>
      <c r="AO221" s="2287"/>
      <c r="AP221" s="2287"/>
      <c r="AQ221" s="2287"/>
      <c r="AR221" s="2287"/>
      <c r="AS221" s="2287"/>
      <c r="AT221" s="2287"/>
      <c r="AU221" s="2287"/>
      <c r="AV221" s="2287"/>
      <c r="AW221" s="2287"/>
      <c r="AX221" s="2287"/>
      <c r="AY221" s="2287"/>
      <c r="AZ221" s="2287"/>
      <c r="BA221" s="2287"/>
      <c r="BB221" s="2287"/>
      <c r="BC221" s="2287"/>
      <c r="BD221" s="2288"/>
      <c r="BE221" s="1202"/>
    </row>
    <row r="222" spans="1:57" ht="15.75" customHeight="1">
      <c r="A222" s="1206"/>
      <c r="B222" s="2286" t="s">
        <v>1854</v>
      </c>
      <c r="C222" s="2287"/>
      <c r="D222" s="2287"/>
      <c r="E222" s="2287"/>
      <c r="F222" s="2287"/>
      <c r="G222" s="2287"/>
      <c r="H222" s="2287"/>
      <c r="I222" s="2287"/>
      <c r="J222" s="2287"/>
      <c r="K222" s="2287"/>
      <c r="L222" s="2287"/>
      <c r="M222" s="2287"/>
      <c r="N222" s="2287"/>
      <c r="O222" s="2287"/>
      <c r="P222" s="2287"/>
      <c r="Q222" s="2287"/>
      <c r="R222" s="2287"/>
      <c r="S222" s="2287"/>
      <c r="T222" s="2287"/>
      <c r="U222" s="2287"/>
      <c r="V222" s="2287"/>
      <c r="W222" s="2287"/>
      <c r="X222" s="2287"/>
      <c r="Y222" s="2287"/>
      <c r="Z222" s="2287"/>
      <c r="AA222" s="2287"/>
      <c r="AB222" s="2287"/>
      <c r="AC222" s="2287"/>
      <c r="AD222" s="2287"/>
      <c r="AE222" s="2287"/>
      <c r="AF222" s="2287"/>
      <c r="AG222" s="2287"/>
      <c r="AH222" s="2287"/>
      <c r="AI222" s="2287"/>
      <c r="AJ222" s="2287"/>
      <c r="AK222" s="2287"/>
      <c r="AL222" s="2287"/>
      <c r="AM222" s="2287"/>
      <c r="AN222" s="2287"/>
      <c r="AO222" s="2287"/>
      <c r="AP222" s="2287"/>
      <c r="AQ222" s="2287"/>
      <c r="AR222" s="2287"/>
      <c r="AS222" s="2287"/>
      <c r="AT222" s="2287"/>
      <c r="AU222" s="2287"/>
      <c r="AV222" s="2287"/>
      <c r="AW222" s="2287"/>
      <c r="AX222" s="2287"/>
      <c r="AY222" s="2287"/>
      <c r="AZ222" s="2287"/>
      <c r="BA222" s="2287"/>
      <c r="BB222" s="2287"/>
      <c r="BC222" s="2287"/>
      <c r="BD222" s="2288"/>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9" t="s">
        <v>1855</v>
      </c>
      <c r="C224" s="2290"/>
      <c r="D224" s="2290"/>
      <c r="E224" s="2290"/>
      <c r="F224" s="2290"/>
      <c r="G224" s="2290"/>
      <c r="H224" s="2290"/>
      <c r="I224" s="2290"/>
      <c r="J224" s="2290"/>
      <c r="K224" s="2290"/>
      <c r="L224" s="2290"/>
      <c r="M224" s="2290"/>
      <c r="N224" s="2290"/>
      <c r="O224" s="2290"/>
      <c r="P224" s="2290"/>
      <c r="Q224" s="2290"/>
      <c r="R224" s="2290"/>
      <c r="S224" s="2290"/>
      <c r="T224" s="2290"/>
      <c r="U224" s="2290"/>
      <c r="V224" s="2290"/>
      <c r="W224" s="2290"/>
      <c r="X224" s="2290"/>
      <c r="Y224" s="2290"/>
      <c r="Z224" s="2290"/>
      <c r="AA224" s="2290"/>
      <c r="AB224" s="2290"/>
      <c r="AC224" s="2290"/>
      <c r="AD224" s="2290"/>
      <c r="AE224" s="2290"/>
      <c r="AF224" s="2290"/>
      <c r="AG224" s="2290"/>
      <c r="AH224" s="2290"/>
      <c r="AI224" s="2290"/>
      <c r="AJ224" s="2290"/>
      <c r="AK224" s="2290"/>
      <c r="AL224" s="2290"/>
      <c r="AM224" s="2290"/>
      <c r="AN224" s="2290"/>
      <c r="AO224" s="2290"/>
      <c r="AP224" s="2290"/>
      <c r="AQ224" s="2290"/>
      <c r="AR224" s="2290"/>
      <c r="AS224" s="2290"/>
      <c r="AT224" s="2290"/>
      <c r="AU224" s="2290"/>
      <c r="AV224" s="2290"/>
      <c r="AW224" s="2290"/>
      <c r="AX224" s="2290"/>
      <c r="AY224" s="2290"/>
      <c r="AZ224" s="2290"/>
      <c r="BA224" s="2290"/>
      <c r="BB224" s="2290"/>
      <c r="BC224" s="2290"/>
      <c r="BD224" s="2291"/>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303" t="s">
        <v>1857</v>
      </c>
      <c r="I228" s="2303"/>
      <c r="J228" s="2303"/>
      <c r="K228" s="2303"/>
      <c r="L228" s="2303"/>
      <c r="M228" s="2303"/>
      <c r="N228" s="2303"/>
      <c r="O228" s="2303"/>
      <c r="P228" s="2303"/>
      <c r="Q228" s="2303"/>
      <c r="R228" s="2303"/>
      <c r="S228" s="2303"/>
      <c r="T228" s="2303"/>
      <c r="U228" s="2303"/>
      <c r="V228" s="2303"/>
      <c r="W228" s="2303"/>
      <c r="X228" s="2303"/>
      <c r="Y228" s="2303"/>
      <c r="Z228" s="2303"/>
      <c r="AA228" s="2303"/>
      <c r="AB228" s="2303"/>
      <c r="AC228" s="2303"/>
      <c r="AD228" s="2303"/>
      <c r="AE228" s="2303"/>
      <c r="AF228" s="2303"/>
      <c r="AG228" s="2303"/>
      <c r="AH228" s="2303"/>
      <c r="AI228" s="2303"/>
      <c r="AJ228" s="2303"/>
      <c r="AK228" s="2303"/>
      <c r="AL228" s="2303"/>
      <c r="AM228" s="2303"/>
      <c r="AN228" s="2303"/>
      <c r="AO228" s="2303"/>
      <c r="AP228" s="2303"/>
      <c r="AQ228" s="2303"/>
      <c r="AR228" s="2303"/>
      <c r="AS228" s="2303"/>
      <c r="AT228" s="2303"/>
      <c r="AU228" s="2303"/>
      <c r="AV228" s="2303"/>
      <c r="AW228" s="2303"/>
      <c r="AX228" s="2303"/>
      <c r="AY228" s="2303"/>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302" t="s">
        <v>2496</v>
      </c>
      <c r="I230" s="2302"/>
      <c r="J230" s="2302"/>
      <c r="K230" s="2302"/>
      <c r="L230" s="2302"/>
      <c r="M230" s="2302"/>
      <c r="N230" s="2302"/>
      <c r="O230" s="2302"/>
      <c r="P230" s="2302"/>
      <c r="Q230" s="2302"/>
      <c r="R230" s="2302"/>
      <c r="S230" s="2302"/>
      <c r="T230" s="2302"/>
      <c r="U230" s="2302"/>
      <c r="V230" s="2302"/>
      <c r="W230" s="2302"/>
      <c r="X230" s="2302"/>
      <c r="Y230" s="2302"/>
      <c r="Z230" s="2302"/>
      <c r="AA230" s="2302"/>
      <c r="AB230" s="2302"/>
      <c r="AC230" s="2302"/>
      <c r="AD230" s="2302"/>
      <c r="AE230" s="2302"/>
      <c r="AF230" s="2302"/>
      <c r="AG230" s="2302"/>
      <c r="AH230" s="2302"/>
      <c r="AI230" s="2302"/>
      <c r="AJ230" s="2302"/>
      <c r="AK230" s="2302"/>
      <c r="AL230" s="2302"/>
      <c r="AM230" s="2302"/>
      <c r="AN230" s="2302"/>
      <c r="AO230" s="2302"/>
      <c r="AP230" s="2302"/>
      <c r="AQ230" s="2302"/>
      <c r="AR230" s="2302"/>
      <c r="AS230" s="2302"/>
      <c r="AT230" s="2302"/>
      <c r="AU230" s="2302"/>
      <c r="AV230" s="2302"/>
      <c r="AW230" s="2302"/>
      <c r="AX230" s="2302"/>
      <c r="AY230" s="2302"/>
      <c r="AZ230" s="2302"/>
      <c r="BA230" s="1206"/>
      <c r="BB230" s="1206"/>
      <c r="BC230" s="1206"/>
      <c r="BD230" s="1202"/>
      <c r="BE230" s="1202"/>
    </row>
    <row r="231" spans="1:57" ht="15.75" customHeight="1">
      <c r="A231" s="1206"/>
      <c r="B231" s="1212"/>
      <c r="C231" s="1206"/>
      <c r="D231" s="1206"/>
      <c r="E231" s="1206"/>
      <c r="F231" s="1206"/>
      <c r="G231" s="1206"/>
      <c r="H231" s="2302"/>
      <c r="I231" s="2302"/>
      <c r="J231" s="2302"/>
      <c r="K231" s="2302"/>
      <c r="L231" s="2302"/>
      <c r="M231" s="2302"/>
      <c r="N231" s="2302"/>
      <c r="O231" s="2302"/>
      <c r="P231" s="2302"/>
      <c r="Q231" s="2302"/>
      <c r="R231" s="2302"/>
      <c r="S231" s="2302"/>
      <c r="T231" s="2302"/>
      <c r="U231" s="2302"/>
      <c r="V231" s="2302"/>
      <c r="W231" s="2302"/>
      <c r="X231" s="2302"/>
      <c r="Y231" s="2302"/>
      <c r="Z231" s="2302"/>
      <c r="AA231" s="2302"/>
      <c r="AB231" s="2302"/>
      <c r="AC231" s="2302"/>
      <c r="AD231" s="2302"/>
      <c r="AE231" s="2302"/>
      <c r="AF231" s="2302"/>
      <c r="AG231" s="2302"/>
      <c r="AH231" s="2302"/>
      <c r="AI231" s="2302"/>
      <c r="AJ231" s="2302"/>
      <c r="AK231" s="2302"/>
      <c r="AL231" s="2302"/>
      <c r="AM231" s="2302"/>
      <c r="AN231" s="2302"/>
      <c r="AO231" s="2302"/>
      <c r="AP231" s="2302"/>
      <c r="AQ231" s="2302"/>
      <c r="AR231" s="2302"/>
      <c r="AS231" s="2302"/>
      <c r="AT231" s="2302"/>
      <c r="AU231" s="2302"/>
      <c r="AV231" s="2302"/>
      <c r="AW231" s="2302"/>
      <c r="AX231" s="2302"/>
      <c r="AY231" s="2302"/>
      <c r="AZ231" s="2302"/>
      <c r="BA231" s="1206"/>
      <c r="BB231" s="1206"/>
      <c r="BC231" s="1206"/>
      <c r="BD231" s="1202"/>
      <c r="BE231" s="1202"/>
    </row>
    <row r="232" spans="1:57" ht="15.75" customHeight="1">
      <c r="A232" s="1206"/>
      <c r="B232" s="1212"/>
      <c r="C232" s="1206"/>
      <c r="D232" s="1206"/>
      <c r="E232" s="1206"/>
      <c r="F232" s="1206"/>
      <c r="G232" s="1206"/>
      <c r="H232" s="2302"/>
      <c r="I232" s="2302"/>
      <c r="J232" s="2302"/>
      <c r="K232" s="2302"/>
      <c r="L232" s="2302"/>
      <c r="M232" s="2302"/>
      <c r="N232" s="2302"/>
      <c r="O232" s="2302"/>
      <c r="P232" s="2302"/>
      <c r="Q232" s="2302"/>
      <c r="R232" s="2302"/>
      <c r="S232" s="2302"/>
      <c r="T232" s="2302"/>
      <c r="U232" s="2302"/>
      <c r="V232" s="2302"/>
      <c r="W232" s="2302"/>
      <c r="X232" s="2302"/>
      <c r="Y232" s="2302"/>
      <c r="Z232" s="2302"/>
      <c r="AA232" s="2302"/>
      <c r="AB232" s="2302"/>
      <c r="AC232" s="2302"/>
      <c r="AD232" s="2302"/>
      <c r="AE232" s="2302"/>
      <c r="AF232" s="2302"/>
      <c r="AG232" s="2302"/>
      <c r="AH232" s="2302"/>
      <c r="AI232" s="2302"/>
      <c r="AJ232" s="2302"/>
      <c r="AK232" s="2302"/>
      <c r="AL232" s="2302"/>
      <c r="AM232" s="2302"/>
      <c r="AN232" s="2302"/>
      <c r="AO232" s="2302"/>
      <c r="AP232" s="2302"/>
      <c r="AQ232" s="2302"/>
      <c r="AR232" s="2302"/>
      <c r="AS232" s="2302"/>
      <c r="AT232" s="2302"/>
      <c r="AU232" s="2302"/>
      <c r="AV232" s="2302"/>
      <c r="AW232" s="2302"/>
      <c r="AX232" s="2302"/>
      <c r="AY232" s="2302"/>
      <c r="AZ232" s="2302"/>
      <c r="BA232" s="1206"/>
      <c r="BB232" s="1206"/>
      <c r="BC232" s="1206"/>
      <c r="BD232" s="1202"/>
      <c r="BE232" s="1202"/>
    </row>
    <row r="233" spans="1:57" ht="15.75" customHeight="1">
      <c r="A233" s="1206"/>
      <c r="B233" s="1212"/>
      <c r="C233" s="1206"/>
      <c r="D233" s="1206"/>
      <c r="E233" s="1206"/>
      <c r="F233" s="1206"/>
      <c r="G233" s="1206"/>
      <c r="H233" s="2302"/>
      <c r="I233" s="2302"/>
      <c r="J233" s="2302"/>
      <c r="K233" s="2302"/>
      <c r="L233" s="2302"/>
      <c r="M233" s="2302"/>
      <c r="N233" s="2302"/>
      <c r="O233" s="2302"/>
      <c r="P233" s="2302"/>
      <c r="Q233" s="2302"/>
      <c r="R233" s="2302"/>
      <c r="S233" s="2302"/>
      <c r="T233" s="2302"/>
      <c r="U233" s="2302"/>
      <c r="V233" s="2302"/>
      <c r="W233" s="2302"/>
      <c r="X233" s="2302"/>
      <c r="Y233" s="2302"/>
      <c r="Z233" s="2302"/>
      <c r="AA233" s="2302"/>
      <c r="AB233" s="2302"/>
      <c r="AC233" s="2302"/>
      <c r="AD233" s="2302"/>
      <c r="AE233" s="2302"/>
      <c r="AF233" s="2302"/>
      <c r="AG233" s="2302"/>
      <c r="AH233" s="2302"/>
      <c r="AI233" s="2302"/>
      <c r="AJ233" s="2302"/>
      <c r="AK233" s="2302"/>
      <c r="AL233" s="2302"/>
      <c r="AM233" s="2302"/>
      <c r="AN233" s="2302"/>
      <c r="AO233" s="2302"/>
      <c r="AP233" s="2302"/>
      <c r="AQ233" s="2302"/>
      <c r="AR233" s="2302"/>
      <c r="AS233" s="2302"/>
      <c r="AT233" s="2302"/>
      <c r="AU233" s="2302"/>
      <c r="AV233" s="2302"/>
      <c r="AW233" s="2302"/>
      <c r="AX233" s="2302"/>
      <c r="AY233" s="2302"/>
      <c r="AZ233" s="2302"/>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301" t="s">
        <v>1858</v>
      </c>
      <c r="I235" s="2301"/>
      <c r="J235" s="2301"/>
      <c r="K235" s="2301"/>
      <c r="L235" s="2301"/>
      <c r="M235" s="2301"/>
      <c r="N235" s="2301"/>
      <c r="O235" s="2301"/>
      <c r="P235" s="2301"/>
      <c r="Q235" s="2301"/>
      <c r="R235" s="2301"/>
      <c r="S235" s="2301"/>
      <c r="T235" s="2301"/>
      <c r="U235" s="2301"/>
      <c r="V235" s="2301"/>
      <c r="W235" s="2301"/>
      <c r="X235" s="2301"/>
      <c r="Y235" s="2301"/>
      <c r="Z235" s="2301"/>
      <c r="AA235" s="2301"/>
      <c r="AB235" s="2301"/>
      <c r="AC235" s="2301"/>
      <c r="AD235" s="2301"/>
      <c r="AE235" s="2301"/>
      <c r="AF235" s="2301"/>
      <c r="AG235" s="2301"/>
      <c r="AH235" s="2301"/>
      <c r="AI235" s="2301"/>
      <c r="AJ235" s="2301"/>
      <c r="AK235" s="2301"/>
      <c r="AL235" s="2301"/>
      <c r="AM235" s="2301"/>
      <c r="AN235" s="2301"/>
      <c r="AO235" s="2301"/>
      <c r="AP235" s="2301"/>
      <c r="AQ235" s="2301"/>
      <c r="AR235" s="2301"/>
      <c r="AS235" s="2301"/>
      <c r="AT235" s="2301"/>
      <c r="AU235" s="2301"/>
      <c r="AV235" s="2301"/>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7" t="s">
        <v>1859</v>
      </c>
      <c r="I237" s="2277"/>
      <c r="J237" s="2277"/>
      <c r="K237" s="2277"/>
      <c r="L237" s="1208"/>
      <c r="M237" s="1208"/>
      <c r="N237" s="1208"/>
      <c r="O237" s="1208"/>
      <c r="P237" s="1208"/>
      <c r="Q237" s="1208"/>
      <c r="R237" s="1208"/>
      <c r="S237" s="2298"/>
      <c r="T237" s="2299"/>
      <c r="U237" s="2299"/>
      <c r="V237" s="2299"/>
      <c r="W237" s="2299"/>
      <c r="X237" s="2299"/>
      <c r="Y237" s="2299"/>
      <c r="Z237" s="2299"/>
      <c r="AA237" s="2299"/>
      <c r="AB237" s="2299"/>
      <c r="AC237" s="2299"/>
      <c r="AD237" s="2299"/>
      <c r="AE237" s="2299"/>
      <c r="AF237" s="2299"/>
      <c r="AG237" s="2299"/>
      <c r="AH237" s="2299"/>
      <c r="AI237" s="2299"/>
      <c r="AJ237" s="2300"/>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7" t="s">
        <v>1860</v>
      </c>
      <c r="I239" s="2277"/>
      <c r="J239" s="2277"/>
      <c r="K239" s="1210"/>
      <c r="L239" s="1208"/>
      <c r="M239" s="1208"/>
      <c r="N239" s="1208"/>
      <c r="O239" s="1208"/>
      <c r="P239" s="1208"/>
      <c r="Q239" s="1208"/>
      <c r="R239" s="1208"/>
      <c r="S239" s="2295"/>
      <c r="T239" s="2296"/>
      <c r="U239" s="2296"/>
      <c r="V239" s="2296"/>
      <c r="W239" s="2296"/>
      <c r="X239" s="2296"/>
      <c r="Y239" s="2296"/>
      <c r="Z239" s="2296"/>
      <c r="AA239" s="2296"/>
      <c r="AB239" s="2296"/>
      <c r="AC239" s="2296"/>
      <c r="AD239" s="2296"/>
      <c r="AE239" s="2296"/>
      <c r="AF239" s="2296"/>
      <c r="AG239" s="2296"/>
      <c r="AH239" s="2296"/>
      <c r="AI239" s="2296"/>
      <c r="AJ239" s="2297"/>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7" t="s">
        <v>442</v>
      </c>
      <c r="I241" s="2277"/>
      <c r="J241" s="1210"/>
      <c r="K241" s="1210"/>
      <c r="L241" s="1208"/>
      <c r="M241" s="1208"/>
      <c r="N241" s="1208"/>
      <c r="O241" s="1208"/>
      <c r="P241" s="1208"/>
      <c r="Q241" s="1208"/>
      <c r="R241" s="1208"/>
      <c r="S241" s="2295"/>
      <c r="T241" s="2296"/>
      <c r="U241" s="2296"/>
      <c r="V241" s="2296"/>
      <c r="W241" s="2296"/>
      <c r="X241" s="2296"/>
      <c r="Y241" s="2296"/>
      <c r="Z241" s="2296"/>
      <c r="AA241" s="2296"/>
      <c r="AB241" s="2296"/>
      <c r="AC241" s="2296"/>
      <c r="AD241" s="2296"/>
      <c r="AE241" s="2296"/>
      <c r="AF241" s="2296"/>
      <c r="AG241" s="2296"/>
      <c r="AH241" s="2296"/>
      <c r="AI241" s="2296"/>
      <c r="AJ241" s="2297"/>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8" t="s">
        <v>1861</v>
      </c>
      <c r="I243" s="2278"/>
      <c r="J243" s="2278"/>
      <c r="K243" s="2278"/>
      <c r="L243" s="2278"/>
      <c r="M243" s="2278"/>
      <c r="N243" s="2278"/>
      <c r="O243" s="2278"/>
      <c r="P243" s="1208"/>
      <c r="Q243" s="1208"/>
      <c r="R243" s="1208"/>
      <c r="S243" s="2295"/>
      <c r="T243" s="2296"/>
      <c r="U243" s="2296"/>
      <c r="V243" s="2296"/>
      <c r="W243" s="2296"/>
      <c r="X243" s="2296"/>
      <c r="Y243" s="2296"/>
      <c r="Z243" s="2296"/>
      <c r="AA243" s="2296"/>
      <c r="AB243" s="2296"/>
      <c r="AC243" s="2296"/>
      <c r="AD243" s="2296"/>
      <c r="AE243" s="2296"/>
      <c r="AF243" s="2296"/>
      <c r="AG243" s="2296"/>
      <c r="AH243" s="2296"/>
      <c r="AI243" s="2296"/>
      <c r="AJ243" s="2297"/>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9" t="s">
        <v>1862</v>
      </c>
      <c r="I245" s="2279"/>
      <c r="J245" s="1208"/>
      <c r="K245" s="1208"/>
      <c r="L245" s="1208"/>
      <c r="M245" s="1208"/>
      <c r="N245" s="1208"/>
      <c r="O245" s="1208"/>
      <c r="P245" s="1208"/>
      <c r="Q245" s="1208"/>
      <c r="R245" s="1208"/>
      <c r="S245" s="2292"/>
      <c r="T245" s="2293"/>
      <c r="U245" s="2293"/>
      <c r="V245" s="2293"/>
      <c r="W245" s="2293"/>
      <c r="X245" s="2293"/>
      <c r="Y245" s="2293"/>
      <c r="Z245" s="2293"/>
      <c r="AA245" s="2293"/>
      <c r="AB245" s="2293"/>
      <c r="AC245" s="2293"/>
      <c r="AD245" s="2293"/>
      <c r="AE245" s="2293"/>
      <c r="AF245" s="2293"/>
      <c r="AG245" s="2293"/>
      <c r="AH245" s="2293"/>
      <c r="AI245" s="2293"/>
      <c r="AJ245" s="2294"/>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9" workbookViewId="0">
      <selection activeCell="AB47" sqref="AB47:AF48"/>
    </sheetView>
  </sheetViews>
  <sheetFormatPr defaultColWidth="0" defaultRowHeight="12.9" customHeight="1"/>
  <cols>
    <col min="1" max="1" width="1.5546875" style="433" customWidth="1"/>
    <col min="2" max="2" width="0.88671875" style="433" customWidth="1"/>
    <col min="3" max="18" width="2.5546875" style="433" customWidth="1"/>
    <col min="19" max="19" width="6.33203125" style="433" customWidth="1"/>
    <col min="20" max="39" width="2.6640625" style="433" customWidth="1"/>
    <col min="40" max="40" width="1.5546875" style="433" customWidth="1"/>
    <col min="41" max="256" width="2.5546875" style="433" hidden="1"/>
    <col min="257" max="257" width="1.5546875" style="433" hidden="1" customWidth="1"/>
    <col min="258" max="258" width="0.88671875" style="433" hidden="1" customWidth="1"/>
    <col min="259" max="274" width="2.5546875" style="433" hidden="1" customWidth="1"/>
    <col min="275" max="275" width="4" style="433" hidden="1" customWidth="1"/>
    <col min="276" max="279" width="2.5546875" style="433" hidden="1" customWidth="1"/>
    <col min="280" max="280" width="2.44140625" style="433" hidden="1" customWidth="1"/>
    <col min="281" max="284" width="2.5546875" style="433" hidden="1" customWidth="1"/>
    <col min="285" max="285" width="2.44140625" style="433" hidden="1" customWidth="1"/>
    <col min="286" max="289" width="2.5546875" style="433" hidden="1" customWidth="1"/>
    <col min="290" max="295" width="2.44140625" style="433" hidden="1" customWidth="1"/>
    <col min="296" max="296" width="1.5546875" style="433" hidden="1" customWidth="1"/>
    <col min="297" max="512" width="2.5546875" style="433" hidden="1"/>
    <col min="513" max="513" width="1.5546875" style="433" hidden="1" customWidth="1"/>
    <col min="514" max="514" width="0.88671875" style="433" hidden="1" customWidth="1"/>
    <col min="515" max="530" width="2.5546875" style="433" hidden="1" customWidth="1"/>
    <col min="531" max="531" width="4" style="433" hidden="1" customWidth="1"/>
    <col min="532" max="535" width="2.5546875" style="433" hidden="1" customWidth="1"/>
    <col min="536" max="536" width="2.44140625" style="433" hidden="1" customWidth="1"/>
    <col min="537" max="540" width="2.5546875" style="433" hidden="1" customWidth="1"/>
    <col min="541" max="541" width="2.44140625" style="433" hidden="1" customWidth="1"/>
    <col min="542" max="545" width="2.5546875" style="433" hidden="1" customWidth="1"/>
    <col min="546" max="551" width="2.44140625" style="433" hidden="1" customWidth="1"/>
    <col min="552" max="552" width="1.5546875" style="433" hidden="1" customWidth="1"/>
    <col min="553" max="768" width="2.5546875" style="433" hidden="1"/>
    <col min="769" max="769" width="1.5546875" style="433" hidden="1" customWidth="1"/>
    <col min="770" max="770" width="0.88671875" style="433" hidden="1" customWidth="1"/>
    <col min="771" max="786" width="2.5546875" style="433" hidden="1" customWidth="1"/>
    <col min="787" max="787" width="4" style="433" hidden="1" customWidth="1"/>
    <col min="788" max="791" width="2.5546875" style="433" hidden="1" customWidth="1"/>
    <col min="792" max="792" width="2.44140625" style="433" hidden="1" customWidth="1"/>
    <col min="793" max="796" width="2.5546875" style="433" hidden="1" customWidth="1"/>
    <col min="797" max="797" width="2.44140625" style="433" hidden="1" customWidth="1"/>
    <col min="798" max="801" width="2.5546875" style="433" hidden="1" customWidth="1"/>
    <col min="802" max="807" width="2.44140625" style="433" hidden="1" customWidth="1"/>
    <col min="808" max="808" width="1.5546875" style="433" hidden="1" customWidth="1"/>
    <col min="809" max="1024" width="2.5546875" style="433" hidden="1"/>
    <col min="1025" max="1025" width="1.5546875" style="433" hidden="1" customWidth="1"/>
    <col min="1026" max="1026" width="0.88671875" style="433" hidden="1" customWidth="1"/>
    <col min="1027" max="1042" width="2.5546875" style="433" hidden="1" customWidth="1"/>
    <col min="1043" max="1043" width="4" style="433" hidden="1" customWidth="1"/>
    <col min="1044" max="1047" width="2.5546875" style="433" hidden="1" customWidth="1"/>
    <col min="1048" max="1048" width="2.44140625" style="433" hidden="1" customWidth="1"/>
    <col min="1049" max="1052" width="2.5546875" style="433" hidden="1" customWidth="1"/>
    <col min="1053" max="1053" width="2.44140625" style="433" hidden="1" customWidth="1"/>
    <col min="1054" max="1057" width="2.5546875" style="433" hidden="1" customWidth="1"/>
    <col min="1058" max="1063" width="2.44140625" style="433" hidden="1" customWidth="1"/>
    <col min="1064" max="1064" width="1.5546875" style="433" hidden="1" customWidth="1"/>
    <col min="1065" max="1280" width="2.5546875" style="433" hidden="1"/>
    <col min="1281" max="1281" width="1.5546875" style="433" hidden="1" customWidth="1"/>
    <col min="1282" max="1282" width="0.88671875" style="433" hidden="1" customWidth="1"/>
    <col min="1283" max="1298" width="2.5546875" style="433" hidden="1" customWidth="1"/>
    <col min="1299" max="1299" width="4" style="433" hidden="1" customWidth="1"/>
    <col min="1300" max="1303" width="2.5546875" style="433" hidden="1" customWidth="1"/>
    <col min="1304" max="1304" width="2.44140625" style="433" hidden="1" customWidth="1"/>
    <col min="1305" max="1308" width="2.5546875" style="433" hidden="1" customWidth="1"/>
    <col min="1309" max="1309" width="2.44140625" style="433" hidden="1" customWidth="1"/>
    <col min="1310" max="1313" width="2.5546875" style="433" hidden="1" customWidth="1"/>
    <col min="1314" max="1319" width="2.44140625" style="433" hidden="1" customWidth="1"/>
    <col min="1320" max="1320" width="1.5546875" style="433" hidden="1" customWidth="1"/>
    <col min="1321" max="1536" width="2.5546875" style="433" hidden="1"/>
    <col min="1537" max="1537" width="1.5546875" style="433" hidden="1" customWidth="1"/>
    <col min="1538" max="1538" width="0.88671875" style="433" hidden="1" customWidth="1"/>
    <col min="1539" max="1554" width="2.5546875" style="433" hidden="1" customWidth="1"/>
    <col min="1555" max="1555" width="4" style="433" hidden="1" customWidth="1"/>
    <col min="1556" max="1559" width="2.5546875" style="433" hidden="1" customWidth="1"/>
    <col min="1560" max="1560" width="2.44140625" style="433" hidden="1" customWidth="1"/>
    <col min="1561" max="1564" width="2.5546875" style="433" hidden="1" customWidth="1"/>
    <col min="1565" max="1565" width="2.44140625" style="433" hidden="1" customWidth="1"/>
    <col min="1566" max="1569" width="2.5546875" style="433" hidden="1" customWidth="1"/>
    <col min="1570" max="1575" width="2.44140625" style="433" hidden="1" customWidth="1"/>
    <col min="1576" max="1576" width="1.5546875" style="433" hidden="1" customWidth="1"/>
    <col min="1577" max="1792" width="2.5546875" style="433" hidden="1"/>
    <col min="1793" max="1793" width="1.5546875" style="433" hidden="1" customWidth="1"/>
    <col min="1794" max="1794" width="0.88671875" style="433" hidden="1" customWidth="1"/>
    <col min="1795" max="1810" width="2.5546875" style="433" hidden="1" customWidth="1"/>
    <col min="1811" max="1811" width="4" style="433" hidden="1" customWidth="1"/>
    <col min="1812" max="1815" width="2.5546875" style="433" hidden="1" customWidth="1"/>
    <col min="1816" max="1816" width="2.44140625" style="433" hidden="1" customWidth="1"/>
    <col min="1817" max="1820" width="2.5546875" style="433" hidden="1" customWidth="1"/>
    <col min="1821" max="1821" width="2.44140625" style="433" hidden="1" customWidth="1"/>
    <col min="1822" max="1825" width="2.5546875" style="433" hidden="1" customWidth="1"/>
    <col min="1826" max="1831" width="2.44140625" style="433" hidden="1" customWidth="1"/>
    <col min="1832" max="1832" width="1.5546875" style="433" hidden="1" customWidth="1"/>
    <col min="1833" max="2048" width="2.5546875" style="433" hidden="1"/>
    <col min="2049" max="2049" width="1.5546875" style="433" hidden="1" customWidth="1"/>
    <col min="2050" max="2050" width="0.88671875" style="433" hidden="1" customWidth="1"/>
    <col min="2051" max="2066" width="2.5546875" style="433" hidden="1" customWidth="1"/>
    <col min="2067" max="2067" width="4" style="433" hidden="1" customWidth="1"/>
    <col min="2068" max="2071" width="2.5546875" style="433" hidden="1" customWidth="1"/>
    <col min="2072" max="2072" width="2.44140625" style="433" hidden="1" customWidth="1"/>
    <col min="2073" max="2076" width="2.5546875" style="433" hidden="1" customWidth="1"/>
    <col min="2077" max="2077" width="2.44140625" style="433" hidden="1" customWidth="1"/>
    <col min="2078" max="2081" width="2.5546875" style="433" hidden="1" customWidth="1"/>
    <col min="2082" max="2087" width="2.44140625" style="433" hidden="1" customWidth="1"/>
    <col min="2088" max="2088" width="1.5546875" style="433" hidden="1" customWidth="1"/>
    <col min="2089" max="2304" width="2.5546875" style="433" hidden="1"/>
    <col min="2305" max="2305" width="1.5546875" style="433" hidden="1" customWidth="1"/>
    <col min="2306" max="2306" width="0.88671875" style="433" hidden="1" customWidth="1"/>
    <col min="2307" max="2322" width="2.5546875" style="433" hidden="1" customWidth="1"/>
    <col min="2323" max="2323" width="4" style="433" hidden="1" customWidth="1"/>
    <col min="2324" max="2327" width="2.5546875" style="433" hidden="1" customWidth="1"/>
    <col min="2328" max="2328" width="2.44140625" style="433" hidden="1" customWidth="1"/>
    <col min="2329" max="2332" width="2.5546875" style="433" hidden="1" customWidth="1"/>
    <col min="2333" max="2333" width="2.44140625" style="433" hidden="1" customWidth="1"/>
    <col min="2334" max="2337" width="2.5546875" style="433" hidden="1" customWidth="1"/>
    <col min="2338" max="2343" width="2.44140625" style="433" hidden="1" customWidth="1"/>
    <col min="2344" max="2344" width="1.5546875" style="433" hidden="1" customWidth="1"/>
    <col min="2345" max="2560" width="2.5546875" style="433" hidden="1"/>
    <col min="2561" max="2561" width="1.5546875" style="433" hidden="1" customWidth="1"/>
    <col min="2562" max="2562" width="0.88671875" style="433" hidden="1" customWidth="1"/>
    <col min="2563" max="2578" width="2.5546875" style="433" hidden="1" customWidth="1"/>
    <col min="2579" max="2579" width="4" style="433" hidden="1" customWidth="1"/>
    <col min="2580" max="2583" width="2.5546875" style="433" hidden="1" customWidth="1"/>
    <col min="2584" max="2584" width="2.44140625" style="433" hidden="1" customWidth="1"/>
    <col min="2585" max="2588" width="2.5546875" style="433" hidden="1" customWidth="1"/>
    <col min="2589" max="2589" width="2.44140625" style="433" hidden="1" customWidth="1"/>
    <col min="2590" max="2593" width="2.5546875" style="433" hidden="1" customWidth="1"/>
    <col min="2594" max="2599" width="2.44140625" style="433" hidden="1" customWidth="1"/>
    <col min="2600" max="2600" width="1.5546875" style="433" hidden="1" customWidth="1"/>
    <col min="2601" max="2816" width="2.5546875" style="433" hidden="1"/>
    <col min="2817" max="2817" width="1.5546875" style="433" hidden="1" customWidth="1"/>
    <col min="2818" max="2818" width="0.88671875" style="433" hidden="1" customWidth="1"/>
    <col min="2819" max="2834" width="2.5546875" style="433" hidden="1" customWidth="1"/>
    <col min="2835" max="2835" width="4" style="433" hidden="1" customWidth="1"/>
    <col min="2836" max="2839" width="2.5546875" style="433" hidden="1" customWidth="1"/>
    <col min="2840" max="2840" width="2.44140625" style="433" hidden="1" customWidth="1"/>
    <col min="2841" max="2844" width="2.5546875" style="433" hidden="1" customWidth="1"/>
    <col min="2845" max="2845" width="2.44140625" style="433" hidden="1" customWidth="1"/>
    <col min="2846" max="2849" width="2.5546875" style="433" hidden="1" customWidth="1"/>
    <col min="2850" max="2855" width="2.44140625" style="433" hidden="1" customWidth="1"/>
    <col min="2856" max="2856" width="1.5546875" style="433" hidden="1" customWidth="1"/>
    <col min="2857" max="3072" width="2.5546875" style="433" hidden="1"/>
    <col min="3073" max="3073" width="1.5546875" style="433" hidden="1" customWidth="1"/>
    <col min="3074" max="3074" width="0.88671875" style="433" hidden="1" customWidth="1"/>
    <col min="3075" max="3090" width="2.5546875" style="433" hidden="1" customWidth="1"/>
    <col min="3091" max="3091" width="4" style="433" hidden="1" customWidth="1"/>
    <col min="3092" max="3095" width="2.5546875" style="433" hidden="1" customWidth="1"/>
    <col min="3096" max="3096" width="2.44140625" style="433" hidden="1" customWidth="1"/>
    <col min="3097" max="3100" width="2.5546875" style="433" hidden="1" customWidth="1"/>
    <col min="3101" max="3101" width="2.44140625" style="433" hidden="1" customWidth="1"/>
    <col min="3102" max="3105" width="2.5546875" style="433" hidden="1" customWidth="1"/>
    <col min="3106" max="3111" width="2.44140625" style="433" hidden="1" customWidth="1"/>
    <col min="3112" max="3112" width="1.5546875" style="433" hidden="1" customWidth="1"/>
    <col min="3113" max="3328" width="2.5546875" style="433" hidden="1"/>
    <col min="3329" max="3329" width="1.5546875" style="433" hidden="1" customWidth="1"/>
    <col min="3330" max="3330" width="0.88671875" style="433" hidden="1" customWidth="1"/>
    <col min="3331" max="3346" width="2.5546875" style="433" hidden="1" customWidth="1"/>
    <col min="3347" max="3347" width="4" style="433" hidden="1" customWidth="1"/>
    <col min="3348" max="3351" width="2.5546875" style="433" hidden="1" customWidth="1"/>
    <col min="3352" max="3352" width="2.44140625" style="433" hidden="1" customWidth="1"/>
    <col min="3353" max="3356" width="2.5546875" style="433" hidden="1" customWidth="1"/>
    <col min="3357" max="3357" width="2.44140625" style="433" hidden="1" customWidth="1"/>
    <col min="3358" max="3361" width="2.5546875" style="433" hidden="1" customWidth="1"/>
    <col min="3362" max="3367" width="2.44140625" style="433" hidden="1" customWidth="1"/>
    <col min="3368" max="3368" width="1.5546875" style="433" hidden="1" customWidth="1"/>
    <col min="3369" max="3584" width="2.5546875" style="433" hidden="1"/>
    <col min="3585" max="3585" width="1.5546875" style="433" hidden="1" customWidth="1"/>
    <col min="3586" max="3586" width="0.88671875" style="433" hidden="1" customWidth="1"/>
    <col min="3587" max="3602" width="2.5546875" style="433" hidden="1" customWidth="1"/>
    <col min="3603" max="3603" width="4" style="433" hidden="1" customWidth="1"/>
    <col min="3604" max="3607" width="2.5546875" style="433" hidden="1" customWidth="1"/>
    <col min="3608" max="3608" width="2.44140625" style="433" hidden="1" customWidth="1"/>
    <col min="3609" max="3612" width="2.5546875" style="433" hidden="1" customWidth="1"/>
    <col min="3613" max="3613" width="2.44140625" style="433" hidden="1" customWidth="1"/>
    <col min="3614" max="3617" width="2.5546875" style="433" hidden="1" customWidth="1"/>
    <col min="3618" max="3623" width="2.44140625" style="433" hidden="1" customWidth="1"/>
    <col min="3624" max="3624" width="1.5546875" style="433" hidden="1" customWidth="1"/>
    <col min="3625" max="3840" width="2.5546875" style="433" hidden="1"/>
    <col min="3841" max="3841" width="1.5546875" style="433" hidden="1" customWidth="1"/>
    <col min="3842" max="3842" width="0.88671875" style="433" hidden="1" customWidth="1"/>
    <col min="3843" max="3858" width="2.5546875" style="433" hidden="1" customWidth="1"/>
    <col min="3859" max="3859" width="4" style="433" hidden="1" customWidth="1"/>
    <col min="3860" max="3863" width="2.5546875" style="433" hidden="1" customWidth="1"/>
    <col min="3864" max="3864" width="2.44140625" style="433" hidden="1" customWidth="1"/>
    <col min="3865" max="3868" width="2.5546875" style="433" hidden="1" customWidth="1"/>
    <col min="3869" max="3869" width="2.44140625" style="433" hidden="1" customWidth="1"/>
    <col min="3870" max="3873" width="2.5546875" style="433" hidden="1" customWidth="1"/>
    <col min="3874" max="3879" width="2.44140625" style="433" hidden="1" customWidth="1"/>
    <col min="3880" max="3880" width="1.5546875" style="433" hidden="1" customWidth="1"/>
    <col min="3881" max="4096" width="2.5546875" style="433" hidden="1"/>
    <col min="4097" max="4097" width="1.5546875" style="433" hidden="1" customWidth="1"/>
    <col min="4098" max="4098" width="0.88671875" style="433" hidden="1" customWidth="1"/>
    <col min="4099" max="4114" width="2.5546875" style="433" hidden="1" customWidth="1"/>
    <col min="4115" max="4115" width="4" style="433" hidden="1" customWidth="1"/>
    <col min="4116" max="4119" width="2.5546875" style="433" hidden="1" customWidth="1"/>
    <col min="4120" max="4120" width="2.44140625" style="433" hidden="1" customWidth="1"/>
    <col min="4121" max="4124" width="2.5546875" style="433" hidden="1" customWidth="1"/>
    <col min="4125" max="4125" width="2.44140625" style="433" hidden="1" customWidth="1"/>
    <col min="4126" max="4129" width="2.5546875" style="433" hidden="1" customWidth="1"/>
    <col min="4130" max="4135" width="2.44140625" style="433" hidden="1" customWidth="1"/>
    <col min="4136" max="4136" width="1.5546875" style="433" hidden="1" customWidth="1"/>
    <col min="4137" max="4352" width="2.5546875" style="433" hidden="1"/>
    <col min="4353" max="4353" width="1.5546875" style="433" hidden="1" customWidth="1"/>
    <col min="4354" max="4354" width="0.88671875" style="433" hidden="1" customWidth="1"/>
    <col min="4355" max="4370" width="2.5546875" style="433" hidden="1" customWidth="1"/>
    <col min="4371" max="4371" width="4" style="433" hidden="1" customWidth="1"/>
    <col min="4372" max="4375" width="2.5546875" style="433" hidden="1" customWidth="1"/>
    <col min="4376" max="4376" width="2.44140625" style="433" hidden="1" customWidth="1"/>
    <col min="4377" max="4380" width="2.5546875" style="433" hidden="1" customWidth="1"/>
    <col min="4381" max="4381" width="2.44140625" style="433" hidden="1" customWidth="1"/>
    <col min="4382" max="4385" width="2.5546875" style="433" hidden="1" customWidth="1"/>
    <col min="4386" max="4391" width="2.44140625" style="433" hidden="1" customWidth="1"/>
    <col min="4392" max="4392" width="1.5546875" style="433" hidden="1" customWidth="1"/>
    <col min="4393" max="4608" width="2.5546875" style="433" hidden="1"/>
    <col min="4609" max="4609" width="1.5546875" style="433" hidden="1" customWidth="1"/>
    <col min="4610" max="4610" width="0.88671875" style="433" hidden="1" customWidth="1"/>
    <col min="4611" max="4626" width="2.5546875" style="433" hidden="1" customWidth="1"/>
    <col min="4627" max="4627" width="4" style="433" hidden="1" customWidth="1"/>
    <col min="4628" max="4631" width="2.5546875" style="433" hidden="1" customWidth="1"/>
    <col min="4632" max="4632" width="2.44140625" style="433" hidden="1" customWidth="1"/>
    <col min="4633" max="4636" width="2.5546875" style="433" hidden="1" customWidth="1"/>
    <col min="4637" max="4637" width="2.44140625" style="433" hidden="1" customWidth="1"/>
    <col min="4638" max="4641" width="2.5546875" style="433" hidden="1" customWidth="1"/>
    <col min="4642" max="4647" width="2.44140625" style="433" hidden="1" customWidth="1"/>
    <col min="4648" max="4648" width="1.5546875" style="433" hidden="1" customWidth="1"/>
    <col min="4649" max="4864" width="2.5546875" style="433" hidden="1"/>
    <col min="4865" max="4865" width="1.5546875" style="433" hidden="1" customWidth="1"/>
    <col min="4866" max="4866" width="0.88671875" style="433" hidden="1" customWidth="1"/>
    <col min="4867" max="4882" width="2.5546875" style="433" hidden="1" customWidth="1"/>
    <col min="4883" max="4883" width="4" style="433" hidden="1" customWidth="1"/>
    <col min="4884" max="4887" width="2.5546875" style="433" hidden="1" customWidth="1"/>
    <col min="4888" max="4888" width="2.44140625" style="433" hidden="1" customWidth="1"/>
    <col min="4889" max="4892" width="2.5546875" style="433" hidden="1" customWidth="1"/>
    <col min="4893" max="4893" width="2.44140625" style="433" hidden="1" customWidth="1"/>
    <col min="4894" max="4897" width="2.5546875" style="433" hidden="1" customWidth="1"/>
    <col min="4898" max="4903" width="2.44140625" style="433" hidden="1" customWidth="1"/>
    <col min="4904" max="4904" width="1.5546875" style="433" hidden="1" customWidth="1"/>
    <col min="4905" max="5120" width="2.5546875" style="433" hidden="1"/>
    <col min="5121" max="5121" width="1.5546875" style="433" hidden="1" customWidth="1"/>
    <col min="5122" max="5122" width="0.88671875" style="433" hidden="1" customWidth="1"/>
    <col min="5123" max="5138" width="2.5546875" style="433" hidden="1" customWidth="1"/>
    <col min="5139" max="5139" width="4" style="433" hidden="1" customWidth="1"/>
    <col min="5140" max="5143" width="2.5546875" style="433" hidden="1" customWidth="1"/>
    <col min="5144" max="5144" width="2.44140625" style="433" hidden="1" customWidth="1"/>
    <col min="5145" max="5148" width="2.5546875" style="433" hidden="1" customWidth="1"/>
    <col min="5149" max="5149" width="2.44140625" style="433" hidden="1" customWidth="1"/>
    <col min="5150" max="5153" width="2.5546875" style="433" hidden="1" customWidth="1"/>
    <col min="5154" max="5159" width="2.44140625" style="433" hidden="1" customWidth="1"/>
    <col min="5160" max="5160" width="1.5546875" style="433" hidden="1" customWidth="1"/>
    <col min="5161" max="5376" width="2.5546875" style="433" hidden="1"/>
    <col min="5377" max="5377" width="1.5546875" style="433" hidden="1" customWidth="1"/>
    <col min="5378" max="5378" width="0.88671875" style="433" hidden="1" customWidth="1"/>
    <col min="5379" max="5394" width="2.5546875" style="433" hidden="1" customWidth="1"/>
    <col min="5395" max="5395" width="4" style="433" hidden="1" customWidth="1"/>
    <col min="5396" max="5399" width="2.5546875" style="433" hidden="1" customWidth="1"/>
    <col min="5400" max="5400" width="2.44140625" style="433" hidden="1" customWidth="1"/>
    <col min="5401" max="5404" width="2.5546875" style="433" hidden="1" customWidth="1"/>
    <col min="5405" max="5405" width="2.44140625" style="433" hidden="1" customWidth="1"/>
    <col min="5406" max="5409" width="2.5546875" style="433" hidden="1" customWidth="1"/>
    <col min="5410" max="5415" width="2.44140625" style="433" hidden="1" customWidth="1"/>
    <col min="5416" max="5416" width="1.5546875" style="433" hidden="1" customWidth="1"/>
    <col min="5417" max="5632" width="2.5546875" style="433" hidden="1"/>
    <col min="5633" max="5633" width="1.5546875" style="433" hidden="1" customWidth="1"/>
    <col min="5634" max="5634" width="0.88671875" style="433" hidden="1" customWidth="1"/>
    <col min="5635" max="5650" width="2.5546875" style="433" hidden="1" customWidth="1"/>
    <col min="5651" max="5651" width="4" style="433" hidden="1" customWidth="1"/>
    <col min="5652" max="5655" width="2.5546875" style="433" hidden="1" customWidth="1"/>
    <col min="5656" max="5656" width="2.44140625" style="433" hidden="1" customWidth="1"/>
    <col min="5657" max="5660" width="2.5546875" style="433" hidden="1" customWidth="1"/>
    <col min="5661" max="5661" width="2.44140625" style="433" hidden="1" customWidth="1"/>
    <col min="5662" max="5665" width="2.5546875" style="433" hidden="1" customWidth="1"/>
    <col min="5666" max="5671" width="2.44140625" style="433" hidden="1" customWidth="1"/>
    <col min="5672" max="5672" width="1.5546875" style="433" hidden="1" customWidth="1"/>
    <col min="5673" max="5888" width="2.5546875" style="433" hidden="1"/>
    <col min="5889" max="5889" width="1.5546875" style="433" hidden="1" customWidth="1"/>
    <col min="5890" max="5890" width="0.88671875" style="433" hidden="1" customWidth="1"/>
    <col min="5891" max="5906" width="2.5546875" style="433" hidden="1" customWidth="1"/>
    <col min="5907" max="5907" width="4" style="433" hidden="1" customWidth="1"/>
    <col min="5908" max="5911" width="2.5546875" style="433" hidden="1" customWidth="1"/>
    <col min="5912" max="5912" width="2.44140625" style="433" hidden="1" customWidth="1"/>
    <col min="5913" max="5916" width="2.5546875" style="433" hidden="1" customWidth="1"/>
    <col min="5917" max="5917" width="2.44140625" style="433" hidden="1" customWidth="1"/>
    <col min="5918" max="5921" width="2.5546875" style="433" hidden="1" customWidth="1"/>
    <col min="5922" max="5927" width="2.44140625" style="433" hidden="1" customWidth="1"/>
    <col min="5928" max="5928" width="1.5546875" style="433" hidden="1" customWidth="1"/>
    <col min="5929" max="6144" width="2.5546875" style="433" hidden="1"/>
    <col min="6145" max="6145" width="1.5546875" style="433" hidden="1" customWidth="1"/>
    <col min="6146" max="6146" width="0.88671875" style="433" hidden="1" customWidth="1"/>
    <col min="6147" max="6162" width="2.5546875" style="433" hidden="1" customWidth="1"/>
    <col min="6163" max="6163" width="4" style="433" hidden="1" customWidth="1"/>
    <col min="6164" max="6167" width="2.5546875" style="433" hidden="1" customWidth="1"/>
    <col min="6168" max="6168" width="2.44140625" style="433" hidden="1" customWidth="1"/>
    <col min="6169" max="6172" width="2.5546875" style="433" hidden="1" customWidth="1"/>
    <col min="6173" max="6173" width="2.44140625" style="433" hidden="1" customWidth="1"/>
    <col min="6174" max="6177" width="2.5546875" style="433" hidden="1" customWidth="1"/>
    <col min="6178" max="6183" width="2.44140625" style="433" hidden="1" customWidth="1"/>
    <col min="6184" max="6184" width="1.5546875" style="433" hidden="1" customWidth="1"/>
    <col min="6185" max="6400" width="2.5546875" style="433" hidden="1"/>
    <col min="6401" max="6401" width="1.5546875" style="433" hidden="1" customWidth="1"/>
    <col min="6402" max="6402" width="0.88671875" style="433" hidden="1" customWidth="1"/>
    <col min="6403" max="6418" width="2.5546875" style="433" hidden="1" customWidth="1"/>
    <col min="6419" max="6419" width="4" style="433" hidden="1" customWidth="1"/>
    <col min="6420" max="6423" width="2.5546875" style="433" hidden="1" customWidth="1"/>
    <col min="6424" max="6424" width="2.44140625" style="433" hidden="1" customWidth="1"/>
    <col min="6425" max="6428" width="2.5546875" style="433" hidden="1" customWidth="1"/>
    <col min="6429" max="6429" width="2.44140625" style="433" hidden="1" customWidth="1"/>
    <col min="6430" max="6433" width="2.5546875" style="433" hidden="1" customWidth="1"/>
    <col min="6434" max="6439" width="2.44140625" style="433" hidden="1" customWidth="1"/>
    <col min="6440" max="6440" width="1.5546875" style="433" hidden="1" customWidth="1"/>
    <col min="6441" max="6656" width="2.5546875" style="433" hidden="1"/>
    <col min="6657" max="6657" width="1.5546875" style="433" hidden="1" customWidth="1"/>
    <col min="6658" max="6658" width="0.88671875" style="433" hidden="1" customWidth="1"/>
    <col min="6659" max="6674" width="2.5546875" style="433" hidden="1" customWidth="1"/>
    <col min="6675" max="6675" width="4" style="433" hidden="1" customWidth="1"/>
    <col min="6676" max="6679" width="2.5546875" style="433" hidden="1" customWidth="1"/>
    <col min="6680" max="6680" width="2.44140625" style="433" hidden="1" customWidth="1"/>
    <col min="6681" max="6684" width="2.5546875" style="433" hidden="1" customWidth="1"/>
    <col min="6685" max="6685" width="2.44140625" style="433" hidden="1" customWidth="1"/>
    <col min="6686" max="6689" width="2.5546875" style="433" hidden="1" customWidth="1"/>
    <col min="6690" max="6695" width="2.44140625" style="433" hidden="1" customWidth="1"/>
    <col min="6696" max="6696" width="1.5546875" style="433" hidden="1" customWidth="1"/>
    <col min="6697" max="6912" width="2.5546875" style="433" hidden="1"/>
    <col min="6913" max="6913" width="1.5546875" style="433" hidden="1" customWidth="1"/>
    <col min="6914" max="6914" width="0.88671875" style="433" hidden="1" customWidth="1"/>
    <col min="6915" max="6930" width="2.5546875" style="433" hidden="1" customWidth="1"/>
    <col min="6931" max="6931" width="4" style="433" hidden="1" customWidth="1"/>
    <col min="6932" max="6935" width="2.5546875" style="433" hidden="1" customWidth="1"/>
    <col min="6936" max="6936" width="2.44140625" style="433" hidden="1" customWidth="1"/>
    <col min="6937" max="6940" width="2.5546875" style="433" hidden="1" customWidth="1"/>
    <col min="6941" max="6941" width="2.44140625" style="433" hidden="1" customWidth="1"/>
    <col min="6942" max="6945" width="2.5546875" style="433" hidden="1" customWidth="1"/>
    <col min="6946" max="6951" width="2.44140625" style="433" hidden="1" customWidth="1"/>
    <col min="6952" max="6952" width="1.5546875" style="433" hidden="1" customWidth="1"/>
    <col min="6953" max="7168" width="2.5546875" style="433" hidden="1"/>
    <col min="7169" max="7169" width="1.5546875" style="433" hidden="1" customWidth="1"/>
    <col min="7170" max="7170" width="0.88671875" style="433" hidden="1" customWidth="1"/>
    <col min="7171" max="7186" width="2.5546875" style="433" hidden="1" customWidth="1"/>
    <col min="7187" max="7187" width="4" style="433" hidden="1" customWidth="1"/>
    <col min="7188" max="7191" width="2.5546875" style="433" hidden="1" customWidth="1"/>
    <col min="7192" max="7192" width="2.44140625" style="433" hidden="1" customWidth="1"/>
    <col min="7193" max="7196" width="2.5546875" style="433" hidden="1" customWidth="1"/>
    <col min="7197" max="7197" width="2.44140625" style="433" hidden="1" customWidth="1"/>
    <col min="7198" max="7201" width="2.5546875" style="433" hidden="1" customWidth="1"/>
    <col min="7202" max="7207" width="2.44140625" style="433" hidden="1" customWidth="1"/>
    <col min="7208" max="7208" width="1.5546875" style="433" hidden="1" customWidth="1"/>
    <col min="7209" max="7424" width="2.5546875" style="433" hidden="1"/>
    <col min="7425" max="7425" width="1.5546875" style="433" hidden="1" customWidth="1"/>
    <col min="7426" max="7426" width="0.88671875" style="433" hidden="1" customWidth="1"/>
    <col min="7427" max="7442" width="2.5546875" style="433" hidden="1" customWidth="1"/>
    <col min="7443" max="7443" width="4" style="433" hidden="1" customWidth="1"/>
    <col min="7444" max="7447" width="2.5546875" style="433" hidden="1" customWidth="1"/>
    <col min="7448" max="7448" width="2.44140625" style="433" hidden="1" customWidth="1"/>
    <col min="7449" max="7452" width="2.5546875" style="433" hidden="1" customWidth="1"/>
    <col min="7453" max="7453" width="2.44140625" style="433" hidden="1" customWidth="1"/>
    <col min="7454" max="7457" width="2.5546875" style="433" hidden="1" customWidth="1"/>
    <col min="7458" max="7463" width="2.44140625" style="433" hidden="1" customWidth="1"/>
    <col min="7464" max="7464" width="1.5546875" style="433" hidden="1" customWidth="1"/>
    <col min="7465" max="7680" width="2.5546875" style="433" hidden="1"/>
    <col min="7681" max="7681" width="1.5546875" style="433" hidden="1" customWidth="1"/>
    <col min="7682" max="7682" width="0.88671875" style="433" hidden="1" customWidth="1"/>
    <col min="7683" max="7698" width="2.5546875" style="433" hidden="1" customWidth="1"/>
    <col min="7699" max="7699" width="4" style="433" hidden="1" customWidth="1"/>
    <col min="7700" max="7703" width="2.5546875" style="433" hidden="1" customWidth="1"/>
    <col min="7704" max="7704" width="2.44140625" style="433" hidden="1" customWidth="1"/>
    <col min="7705" max="7708" width="2.5546875" style="433" hidden="1" customWidth="1"/>
    <col min="7709" max="7709" width="2.44140625" style="433" hidden="1" customWidth="1"/>
    <col min="7710" max="7713" width="2.5546875" style="433" hidden="1" customWidth="1"/>
    <col min="7714" max="7719" width="2.44140625" style="433" hidden="1" customWidth="1"/>
    <col min="7720" max="7720" width="1.5546875" style="433" hidden="1" customWidth="1"/>
    <col min="7721" max="7936" width="2.5546875" style="433" hidden="1"/>
    <col min="7937" max="7937" width="1.5546875" style="433" hidden="1" customWidth="1"/>
    <col min="7938" max="7938" width="0.88671875" style="433" hidden="1" customWidth="1"/>
    <col min="7939" max="7954" width="2.5546875" style="433" hidden="1" customWidth="1"/>
    <col min="7955" max="7955" width="4" style="433" hidden="1" customWidth="1"/>
    <col min="7956" max="7959" width="2.5546875" style="433" hidden="1" customWidth="1"/>
    <col min="7960" max="7960" width="2.44140625" style="433" hidden="1" customWidth="1"/>
    <col min="7961" max="7964" width="2.5546875" style="433" hidden="1" customWidth="1"/>
    <col min="7965" max="7965" width="2.44140625" style="433" hidden="1" customWidth="1"/>
    <col min="7966" max="7969" width="2.5546875" style="433" hidden="1" customWidth="1"/>
    <col min="7970" max="7975" width="2.44140625" style="433" hidden="1" customWidth="1"/>
    <col min="7976" max="7976" width="1.5546875" style="433" hidden="1" customWidth="1"/>
    <col min="7977" max="8192" width="2.5546875" style="433" hidden="1"/>
    <col min="8193" max="8193" width="1.5546875" style="433" hidden="1" customWidth="1"/>
    <col min="8194" max="8194" width="0.88671875" style="433" hidden="1" customWidth="1"/>
    <col min="8195" max="8210" width="2.5546875" style="433" hidden="1" customWidth="1"/>
    <col min="8211" max="8211" width="4" style="433" hidden="1" customWidth="1"/>
    <col min="8212" max="8215" width="2.5546875" style="433" hidden="1" customWidth="1"/>
    <col min="8216" max="8216" width="2.44140625" style="433" hidden="1" customWidth="1"/>
    <col min="8217" max="8220" width="2.5546875" style="433" hidden="1" customWidth="1"/>
    <col min="8221" max="8221" width="2.44140625" style="433" hidden="1" customWidth="1"/>
    <col min="8222" max="8225" width="2.5546875" style="433" hidden="1" customWidth="1"/>
    <col min="8226" max="8231" width="2.44140625" style="433" hidden="1" customWidth="1"/>
    <col min="8232" max="8232" width="1.5546875" style="433" hidden="1" customWidth="1"/>
    <col min="8233" max="8448" width="2.5546875" style="433" hidden="1"/>
    <col min="8449" max="8449" width="1.5546875" style="433" hidden="1" customWidth="1"/>
    <col min="8450" max="8450" width="0.88671875" style="433" hidden="1" customWidth="1"/>
    <col min="8451" max="8466" width="2.5546875" style="433" hidden="1" customWidth="1"/>
    <col min="8467" max="8467" width="4" style="433" hidden="1" customWidth="1"/>
    <col min="8468" max="8471" width="2.5546875" style="433" hidden="1" customWidth="1"/>
    <col min="8472" max="8472" width="2.44140625" style="433" hidden="1" customWidth="1"/>
    <col min="8473" max="8476" width="2.5546875" style="433" hidden="1" customWidth="1"/>
    <col min="8477" max="8477" width="2.44140625" style="433" hidden="1" customWidth="1"/>
    <col min="8478" max="8481" width="2.5546875" style="433" hidden="1" customWidth="1"/>
    <col min="8482" max="8487" width="2.44140625" style="433" hidden="1" customWidth="1"/>
    <col min="8488" max="8488" width="1.5546875" style="433" hidden="1" customWidth="1"/>
    <col min="8489" max="8704" width="2.5546875" style="433" hidden="1"/>
    <col min="8705" max="8705" width="1.5546875" style="433" hidden="1" customWidth="1"/>
    <col min="8706" max="8706" width="0.88671875" style="433" hidden="1" customWidth="1"/>
    <col min="8707" max="8722" width="2.5546875" style="433" hidden="1" customWidth="1"/>
    <col min="8723" max="8723" width="4" style="433" hidden="1" customWidth="1"/>
    <col min="8724" max="8727" width="2.5546875" style="433" hidden="1" customWidth="1"/>
    <col min="8728" max="8728" width="2.44140625" style="433" hidden="1" customWidth="1"/>
    <col min="8729" max="8732" width="2.5546875" style="433" hidden="1" customWidth="1"/>
    <col min="8733" max="8733" width="2.44140625" style="433" hidden="1" customWidth="1"/>
    <col min="8734" max="8737" width="2.5546875" style="433" hidden="1" customWidth="1"/>
    <col min="8738" max="8743" width="2.44140625" style="433" hidden="1" customWidth="1"/>
    <col min="8744" max="8744" width="1.5546875" style="433" hidden="1" customWidth="1"/>
    <col min="8745" max="8960" width="2.5546875" style="433" hidden="1"/>
    <col min="8961" max="8961" width="1.5546875" style="433" hidden="1" customWidth="1"/>
    <col min="8962" max="8962" width="0.88671875" style="433" hidden="1" customWidth="1"/>
    <col min="8963" max="8978" width="2.5546875" style="433" hidden="1" customWidth="1"/>
    <col min="8979" max="8979" width="4" style="433" hidden="1" customWidth="1"/>
    <col min="8980" max="8983" width="2.5546875" style="433" hidden="1" customWidth="1"/>
    <col min="8984" max="8984" width="2.44140625" style="433" hidden="1" customWidth="1"/>
    <col min="8985" max="8988" width="2.5546875" style="433" hidden="1" customWidth="1"/>
    <col min="8989" max="8989" width="2.44140625" style="433" hidden="1" customWidth="1"/>
    <col min="8990" max="8993" width="2.5546875" style="433" hidden="1" customWidth="1"/>
    <col min="8994" max="8999" width="2.44140625" style="433" hidden="1" customWidth="1"/>
    <col min="9000" max="9000" width="1.5546875" style="433" hidden="1" customWidth="1"/>
    <col min="9001" max="9216" width="2.5546875" style="433" hidden="1"/>
    <col min="9217" max="9217" width="1.5546875" style="433" hidden="1" customWidth="1"/>
    <col min="9218" max="9218" width="0.88671875" style="433" hidden="1" customWidth="1"/>
    <col min="9219" max="9234" width="2.5546875" style="433" hidden="1" customWidth="1"/>
    <col min="9235" max="9235" width="4" style="433" hidden="1" customWidth="1"/>
    <col min="9236" max="9239" width="2.5546875" style="433" hidden="1" customWidth="1"/>
    <col min="9240" max="9240" width="2.44140625" style="433" hidden="1" customWidth="1"/>
    <col min="9241" max="9244" width="2.5546875" style="433" hidden="1" customWidth="1"/>
    <col min="9245" max="9245" width="2.44140625" style="433" hidden="1" customWidth="1"/>
    <col min="9246" max="9249" width="2.5546875" style="433" hidden="1" customWidth="1"/>
    <col min="9250" max="9255" width="2.44140625" style="433" hidden="1" customWidth="1"/>
    <col min="9256" max="9256" width="1.5546875" style="433" hidden="1" customWidth="1"/>
    <col min="9257" max="9472" width="2.5546875" style="433" hidden="1"/>
    <col min="9473" max="9473" width="1.5546875" style="433" hidden="1" customWidth="1"/>
    <col min="9474" max="9474" width="0.88671875" style="433" hidden="1" customWidth="1"/>
    <col min="9475" max="9490" width="2.5546875" style="433" hidden="1" customWidth="1"/>
    <col min="9491" max="9491" width="4" style="433" hidden="1" customWidth="1"/>
    <col min="9492" max="9495" width="2.5546875" style="433" hidden="1" customWidth="1"/>
    <col min="9496" max="9496" width="2.44140625" style="433" hidden="1" customWidth="1"/>
    <col min="9497" max="9500" width="2.5546875" style="433" hidden="1" customWidth="1"/>
    <col min="9501" max="9501" width="2.44140625" style="433" hidden="1" customWidth="1"/>
    <col min="9502" max="9505" width="2.5546875" style="433" hidden="1" customWidth="1"/>
    <col min="9506" max="9511" width="2.44140625" style="433" hidden="1" customWidth="1"/>
    <col min="9512" max="9512" width="1.5546875" style="433" hidden="1" customWidth="1"/>
    <col min="9513" max="9728" width="2.5546875" style="433" hidden="1"/>
    <col min="9729" max="9729" width="1.5546875" style="433" hidden="1" customWidth="1"/>
    <col min="9730" max="9730" width="0.88671875" style="433" hidden="1" customWidth="1"/>
    <col min="9731" max="9746" width="2.5546875" style="433" hidden="1" customWidth="1"/>
    <col min="9747" max="9747" width="4" style="433" hidden="1" customWidth="1"/>
    <col min="9748" max="9751" width="2.5546875" style="433" hidden="1" customWidth="1"/>
    <col min="9752" max="9752" width="2.44140625" style="433" hidden="1" customWidth="1"/>
    <col min="9753" max="9756" width="2.5546875" style="433" hidden="1" customWidth="1"/>
    <col min="9757" max="9757" width="2.44140625" style="433" hidden="1" customWidth="1"/>
    <col min="9758" max="9761" width="2.5546875" style="433" hidden="1" customWidth="1"/>
    <col min="9762" max="9767" width="2.44140625" style="433" hidden="1" customWidth="1"/>
    <col min="9768" max="9768" width="1.5546875" style="433" hidden="1" customWidth="1"/>
    <col min="9769" max="9984" width="2.5546875" style="433" hidden="1"/>
    <col min="9985" max="9985" width="1.5546875" style="433" hidden="1" customWidth="1"/>
    <col min="9986" max="9986" width="0.88671875" style="433" hidden="1" customWidth="1"/>
    <col min="9987" max="10002" width="2.5546875" style="433" hidden="1" customWidth="1"/>
    <col min="10003" max="10003" width="4" style="433" hidden="1" customWidth="1"/>
    <col min="10004" max="10007" width="2.5546875" style="433" hidden="1" customWidth="1"/>
    <col min="10008" max="10008" width="2.44140625" style="433" hidden="1" customWidth="1"/>
    <col min="10009" max="10012" width="2.5546875" style="433" hidden="1" customWidth="1"/>
    <col min="10013" max="10013" width="2.44140625" style="433" hidden="1" customWidth="1"/>
    <col min="10014" max="10017" width="2.5546875" style="433" hidden="1" customWidth="1"/>
    <col min="10018" max="10023" width="2.44140625" style="433" hidden="1" customWidth="1"/>
    <col min="10024" max="10024" width="1.5546875" style="433" hidden="1" customWidth="1"/>
    <col min="10025" max="10240" width="2.5546875" style="433" hidden="1"/>
    <col min="10241" max="10241" width="1.5546875" style="433" hidden="1" customWidth="1"/>
    <col min="10242" max="10242" width="0.88671875" style="433" hidden="1" customWidth="1"/>
    <col min="10243" max="10258" width="2.5546875" style="433" hidden="1" customWidth="1"/>
    <col min="10259" max="10259" width="4" style="433" hidden="1" customWidth="1"/>
    <col min="10260" max="10263" width="2.5546875" style="433" hidden="1" customWidth="1"/>
    <col min="10264" max="10264" width="2.44140625" style="433" hidden="1" customWidth="1"/>
    <col min="10265" max="10268" width="2.5546875" style="433" hidden="1" customWidth="1"/>
    <col min="10269" max="10269" width="2.44140625" style="433" hidden="1" customWidth="1"/>
    <col min="10270" max="10273" width="2.5546875" style="433" hidden="1" customWidth="1"/>
    <col min="10274" max="10279" width="2.44140625" style="433" hidden="1" customWidth="1"/>
    <col min="10280" max="10280" width="1.5546875" style="433" hidden="1" customWidth="1"/>
    <col min="10281" max="10496" width="2.5546875" style="433" hidden="1"/>
    <col min="10497" max="10497" width="1.5546875" style="433" hidden="1" customWidth="1"/>
    <col min="10498" max="10498" width="0.88671875" style="433" hidden="1" customWidth="1"/>
    <col min="10499" max="10514" width="2.5546875" style="433" hidden="1" customWidth="1"/>
    <col min="10515" max="10515" width="4" style="433" hidden="1" customWidth="1"/>
    <col min="10516" max="10519" width="2.5546875" style="433" hidden="1" customWidth="1"/>
    <col min="10520" max="10520" width="2.44140625" style="433" hidden="1" customWidth="1"/>
    <col min="10521" max="10524" width="2.5546875" style="433" hidden="1" customWidth="1"/>
    <col min="10525" max="10525" width="2.44140625" style="433" hidden="1" customWidth="1"/>
    <col min="10526" max="10529" width="2.5546875" style="433" hidden="1" customWidth="1"/>
    <col min="10530" max="10535" width="2.44140625" style="433" hidden="1" customWidth="1"/>
    <col min="10536" max="10536" width="1.5546875" style="433" hidden="1" customWidth="1"/>
    <col min="10537" max="10752" width="2.5546875" style="433" hidden="1"/>
    <col min="10753" max="10753" width="1.5546875" style="433" hidden="1" customWidth="1"/>
    <col min="10754" max="10754" width="0.88671875" style="433" hidden="1" customWidth="1"/>
    <col min="10755" max="10770" width="2.5546875" style="433" hidden="1" customWidth="1"/>
    <col min="10771" max="10771" width="4" style="433" hidden="1" customWidth="1"/>
    <col min="10772" max="10775" width="2.5546875" style="433" hidden="1" customWidth="1"/>
    <col min="10776" max="10776" width="2.44140625" style="433" hidden="1" customWidth="1"/>
    <col min="10777" max="10780" width="2.5546875" style="433" hidden="1" customWidth="1"/>
    <col min="10781" max="10781" width="2.44140625" style="433" hidden="1" customWidth="1"/>
    <col min="10782" max="10785" width="2.5546875" style="433" hidden="1" customWidth="1"/>
    <col min="10786" max="10791" width="2.44140625" style="433" hidden="1" customWidth="1"/>
    <col min="10792" max="10792" width="1.5546875" style="433" hidden="1" customWidth="1"/>
    <col min="10793" max="11008" width="2.5546875" style="433" hidden="1"/>
    <col min="11009" max="11009" width="1.5546875" style="433" hidden="1" customWidth="1"/>
    <col min="11010" max="11010" width="0.88671875" style="433" hidden="1" customWidth="1"/>
    <col min="11011" max="11026" width="2.5546875" style="433" hidden="1" customWidth="1"/>
    <col min="11027" max="11027" width="4" style="433" hidden="1" customWidth="1"/>
    <col min="11028" max="11031" width="2.5546875" style="433" hidden="1" customWidth="1"/>
    <col min="11032" max="11032" width="2.44140625" style="433" hidden="1" customWidth="1"/>
    <col min="11033" max="11036" width="2.5546875" style="433" hidden="1" customWidth="1"/>
    <col min="11037" max="11037" width="2.44140625" style="433" hidden="1" customWidth="1"/>
    <col min="11038" max="11041" width="2.5546875" style="433" hidden="1" customWidth="1"/>
    <col min="11042" max="11047" width="2.44140625" style="433" hidden="1" customWidth="1"/>
    <col min="11048" max="11048" width="1.5546875" style="433" hidden="1" customWidth="1"/>
    <col min="11049" max="11264" width="2.5546875" style="433" hidden="1"/>
    <col min="11265" max="11265" width="1.5546875" style="433" hidden="1" customWidth="1"/>
    <col min="11266" max="11266" width="0.88671875" style="433" hidden="1" customWidth="1"/>
    <col min="11267" max="11282" width="2.5546875" style="433" hidden="1" customWidth="1"/>
    <col min="11283" max="11283" width="4" style="433" hidden="1" customWidth="1"/>
    <col min="11284" max="11287" width="2.5546875" style="433" hidden="1" customWidth="1"/>
    <col min="11288" max="11288" width="2.44140625" style="433" hidden="1" customWidth="1"/>
    <col min="11289" max="11292" width="2.5546875" style="433" hidden="1" customWidth="1"/>
    <col min="11293" max="11293" width="2.44140625" style="433" hidden="1" customWidth="1"/>
    <col min="11294" max="11297" width="2.5546875" style="433" hidden="1" customWidth="1"/>
    <col min="11298" max="11303" width="2.44140625" style="433" hidden="1" customWidth="1"/>
    <col min="11304" max="11304" width="1.5546875" style="433" hidden="1" customWidth="1"/>
    <col min="11305" max="11520" width="2.5546875" style="433" hidden="1"/>
    <col min="11521" max="11521" width="1.5546875" style="433" hidden="1" customWidth="1"/>
    <col min="11522" max="11522" width="0.88671875" style="433" hidden="1" customWidth="1"/>
    <col min="11523" max="11538" width="2.5546875" style="433" hidden="1" customWidth="1"/>
    <col min="11539" max="11539" width="4" style="433" hidden="1" customWidth="1"/>
    <col min="11540" max="11543" width="2.5546875" style="433" hidden="1" customWidth="1"/>
    <col min="11544" max="11544" width="2.44140625" style="433" hidden="1" customWidth="1"/>
    <col min="11545" max="11548" width="2.5546875" style="433" hidden="1" customWidth="1"/>
    <col min="11549" max="11549" width="2.44140625" style="433" hidden="1" customWidth="1"/>
    <col min="11550" max="11553" width="2.5546875" style="433" hidden="1" customWidth="1"/>
    <col min="11554" max="11559" width="2.44140625" style="433" hidden="1" customWidth="1"/>
    <col min="11560" max="11560" width="1.5546875" style="433" hidden="1" customWidth="1"/>
    <col min="11561" max="11776" width="2.5546875" style="433" hidden="1"/>
    <col min="11777" max="11777" width="1.5546875" style="433" hidden="1" customWidth="1"/>
    <col min="11778" max="11778" width="0.88671875" style="433" hidden="1" customWidth="1"/>
    <col min="11779" max="11794" width="2.5546875" style="433" hidden="1" customWidth="1"/>
    <col min="11795" max="11795" width="4" style="433" hidden="1" customWidth="1"/>
    <col min="11796" max="11799" width="2.5546875" style="433" hidden="1" customWidth="1"/>
    <col min="11800" max="11800" width="2.44140625" style="433" hidden="1" customWidth="1"/>
    <col min="11801" max="11804" width="2.5546875" style="433" hidden="1" customWidth="1"/>
    <col min="11805" max="11805" width="2.44140625" style="433" hidden="1" customWidth="1"/>
    <col min="11806" max="11809" width="2.5546875" style="433" hidden="1" customWidth="1"/>
    <col min="11810" max="11815" width="2.44140625" style="433" hidden="1" customWidth="1"/>
    <col min="11816" max="11816" width="1.5546875" style="433" hidden="1" customWidth="1"/>
    <col min="11817" max="12032" width="2.5546875" style="433" hidden="1"/>
    <col min="12033" max="12033" width="1.5546875" style="433" hidden="1" customWidth="1"/>
    <col min="12034" max="12034" width="0.88671875" style="433" hidden="1" customWidth="1"/>
    <col min="12035" max="12050" width="2.5546875" style="433" hidden="1" customWidth="1"/>
    <col min="12051" max="12051" width="4" style="433" hidden="1" customWidth="1"/>
    <col min="12052" max="12055" width="2.5546875" style="433" hidden="1" customWidth="1"/>
    <col min="12056" max="12056" width="2.44140625" style="433" hidden="1" customWidth="1"/>
    <col min="12057" max="12060" width="2.5546875" style="433" hidden="1" customWidth="1"/>
    <col min="12061" max="12061" width="2.44140625" style="433" hidden="1" customWidth="1"/>
    <col min="12062" max="12065" width="2.5546875" style="433" hidden="1" customWidth="1"/>
    <col min="12066" max="12071" width="2.44140625" style="433" hidden="1" customWidth="1"/>
    <col min="12072" max="12072" width="1.5546875" style="433" hidden="1" customWidth="1"/>
    <col min="12073" max="12288" width="2.5546875" style="433" hidden="1"/>
    <col min="12289" max="12289" width="1.5546875" style="433" hidden="1" customWidth="1"/>
    <col min="12290" max="12290" width="0.88671875" style="433" hidden="1" customWidth="1"/>
    <col min="12291" max="12306" width="2.5546875" style="433" hidden="1" customWidth="1"/>
    <col min="12307" max="12307" width="4" style="433" hidden="1" customWidth="1"/>
    <col min="12308" max="12311" width="2.5546875" style="433" hidden="1" customWidth="1"/>
    <col min="12312" max="12312" width="2.44140625" style="433" hidden="1" customWidth="1"/>
    <col min="12313" max="12316" width="2.5546875" style="433" hidden="1" customWidth="1"/>
    <col min="12317" max="12317" width="2.44140625" style="433" hidden="1" customWidth="1"/>
    <col min="12318" max="12321" width="2.5546875" style="433" hidden="1" customWidth="1"/>
    <col min="12322" max="12327" width="2.44140625" style="433" hidden="1" customWidth="1"/>
    <col min="12328" max="12328" width="1.5546875" style="433" hidden="1" customWidth="1"/>
    <col min="12329" max="12544" width="2.5546875" style="433" hidden="1"/>
    <col min="12545" max="12545" width="1.5546875" style="433" hidden="1" customWidth="1"/>
    <col min="12546" max="12546" width="0.88671875" style="433" hidden="1" customWidth="1"/>
    <col min="12547" max="12562" width="2.5546875" style="433" hidden="1" customWidth="1"/>
    <col min="12563" max="12563" width="4" style="433" hidden="1" customWidth="1"/>
    <col min="12564" max="12567" width="2.5546875" style="433" hidden="1" customWidth="1"/>
    <col min="12568" max="12568" width="2.44140625" style="433" hidden="1" customWidth="1"/>
    <col min="12569" max="12572" width="2.5546875" style="433" hidden="1" customWidth="1"/>
    <col min="12573" max="12573" width="2.44140625" style="433" hidden="1" customWidth="1"/>
    <col min="12574" max="12577" width="2.5546875" style="433" hidden="1" customWidth="1"/>
    <col min="12578" max="12583" width="2.44140625" style="433" hidden="1" customWidth="1"/>
    <col min="12584" max="12584" width="1.5546875" style="433" hidden="1" customWidth="1"/>
    <col min="12585" max="12800" width="2.5546875" style="433" hidden="1"/>
    <col min="12801" max="12801" width="1.5546875" style="433" hidden="1" customWidth="1"/>
    <col min="12802" max="12802" width="0.88671875" style="433" hidden="1" customWidth="1"/>
    <col min="12803" max="12818" width="2.5546875" style="433" hidden="1" customWidth="1"/>
    <col min="12819" max="12819" width="4" style="433" hidden="1" customWidth="1"/>
    <col min="12820" max="12823" width="2.5546875" style="433" hidden="1" customWidth="1"/>
    <col min="12824" max="12824" width="2.44140625" style="433" hidden="1" customWidth="1"/>
    <col min="12825" max="12828" width="2.5546875" style="433" hidden="1" customWidth="1"/>
    <col min="12829" max="12829" width="2.44140625" style="433" hidden="1" customWidth="1"/>
    <col min="12830" max="12833" width="2.5546875" style="433" hidden="1" customWidth="1"/>
    <col min="12834" max="12839" width="2.44140625" style="433" hidden="1" customWidth="1"/>
    <col min="12840" max="12840" width="1.5546875" style="433" hidden="1" customWidth="1"/>
    <col min="12841" max="13056" width="2.5546875" style="433" hidden="1"/>
    <col min="13057" max="13057" width="1.5546875" style="433" hidden="1" customWidth="1"/>
    <col min="13058" max="13058" width="0.88671875" style="433" hidden="1" customWidth="1"/>
    <col min="13059" max="13074" width="2.5546875" style="433" hidden="1" customWidth="1"/>
    <col min="13075" max="13075" width="4" style="433" hidden="1" customWidth="1"/>
    <col min="13076" max="13079" width="2.5546875" style="433" hidden="1" customWidth="1"/>
    <col min="13080" max="13080" width="2.44140625" style="433" hidden="1" customWidth="1"/>
    <col min="13081" max="13084" width="2.5546875" style="433" hidden="1" customWidth="1"/>
    <col min="13085" max="13085" width="2.44140625" style="433" hidden="1" customWidth="1"/>
    <col min="13086" max="13089" width="2.5546875" style="433" hidden="1" customWidth="1"/>
    <col min="13090" max="13095" width="2.44140625" style="433" hidden="1" customWidth="1"/>
    <col min="13096" max="13096" width="1.5546875" style="433" hidden="1" customWidth="1"/>
    <col min="13097" max="13312" width="2.5546875" style="433" hidden="1"/>
    <col min="13313" max="13313" width="1.5546875" style="433" hidden="1" customWidth="1"/>
    <col min="13314" max="13314" width="0.88671875" style="433" hidden="1" customWidth="1"/>
    <col min="13315" max="13330" width="2.5546875" style="433" hidden="1" customWidth="1"/>
    <col min="13331" max="13331" width="4" style="433" hidden="1" customWidth="1"/>
    <col min="13332" max="13335" width="2.5546875" style="433" hidden="1" customWidth="1"/>
    <col min="13336" max="13336" width="2.44140625" style="433" hidden="1" customWidth="1"/>
    <col min="13337" max="13340" width="2.5546875" style="433" hidden="1" customWidth="1"/>
    <col min="13341" max="13341" width="2.44140625" style="433" hidden="1" customWidth="1"/>
    <col min="13342" max="13345" width="2.5546875" style="433" hidden="1" customWidth="1"/>
    <col min="13346" max="13351" width="2.44140625" style="433" hidden="1" customWidth="1"/>
    <col min="13352" max="13352" width="1.5546875" style="433" hidden="1" customWidth="1"/>
    <col min="13353" max="13568" width="2.5546875" style="433" hidden="1"/>
    <col min="13569" max="13569" width="1.5546875" style="433" hidden="1" customWidth="1"/>
    <col min="13570" max="13570" width="0.88671875" style="433" hidden="1" customWidth="1"/>
    <col min="13571" max="13586" width="2.5546875" style="433" hidden="1" customWidth="1"/>
    <col min="13587" max="13587" width="4" style="433" hidden="1" customWidth="1"/>
    <col min="13588" max="13591" width="2.5546875" style="433" hidden="1" customWidth="1"/>
    <col min="13592" max="13592" width="2.44140625" style="433" hidden="1" customWidth="1"/>
    <col min="13593" max="13596" width="2.5546875" style="433" hidden="1" customWidth="1"/>
    <col min="13597" max="13597" width="2.44140625" style="433" hidden="1" customWidth="1"/>
    <col min="13598" max="13601" width="2.5546875" style="433" hidden="1" customWidth="1"/>
    <col min="13602" max="13607" width="2.44140625" style="433" hidden="1" customWidth="1"/>
    <col min="13608" max="13608" width="1.5546875" style="433" hidden="1" customWidth="1"/>
    <col min="13609" max="13824" width="2.5546875" style="433" hidden="1"/>
    <col min="13825" max="13825" width="1.5546875" style="433" hidden="1" customWidth="1"/>
    <col min="13826" max="13826" width="0.88671875" style="433" hidden="1" customWidth="1"/>
    <col min="13827" max="13842" width="2.5546875" style="433" hidden="1" customWidth="1"/>
    <col min="13843" max="13843" width="4" style="433" hidden="1" customWidth="1"/>
    <col min="13844" max="13847" width="2.5546875" style="433" hidden="1" customWidth="1"/>
    <col min="13848" max="13848" width="2.44140625" style="433" hidden="1" customWidth="1"/>
    <col min="13849" max="13852" width="2.5546875" style="433" hidden="1" customWidth="1"/>
    <col min="13853" max="13853" width="2.44140625" style="433" hidden="1" customWidth="1"/>
    <col min="13854" max="13857" width="2.5546875" style="433" hidden="1" customWidth="1"/>
    <col min="13858" max="13863" width="2.44140625" style="433" hidden="1" customWidth="1"/>
    <col min="13864" max="13864" width="1.5546875" style="433" hidden="1" customWidth="1"/>
    <col min="13865" max="14080" width="2.5546875" style="433" hidden="1"/>
    <col min="14081" max="14081" width="1.5546875" style="433" hidden="1" customWidth="1"/>
    <col min="14082" max="14082" width="0.88671875" style="433" hidden="1" customWidth="1"/>
    <col min="14083" max="14098" width="2.5546875" style="433" hidden="1" customWidth="1"/>
    <col min="14099" max="14099" width="4" style="433" hidden="1" customWidth="1"/>
    <col min="14100" max="14103" width="2.5546875" style="433" hidden="1" customWidth="1"/>
    <col min="14104" max="14104" width="2.44140625" style="433" hidden="1" customWidth="1"/>
    <col min="14105" max="14108" width="2.5546875" style="433" hidden="1" customWidth="1"/>
    <col min="14109" max="14109" width="2.44140625" style="433" hidden="1" customWidth="1"/>
    <col min="14110" max="14113" width="2.5546875" style="433" hidden="1" customWidth="1"/>
    <col min="14114" max="14119" width="2.44140625" style="433" hidden="1" customWidth="1"/>
    <col min="14120" max="14120" width="1.5546875" style="433" hidden="1" customWidth="1"/>
    <col min="14121" max="14336" width="2.5546875" style="433" hidden="1"/>
    <col min="14337" max="14337" width="1.5546875" style="433" hidden="1" customWidth="1"/>
    <col min="14338" max="14338" width="0.88671875" style="433" hidden="1" customWidth="1"/>
    <col min="14339" max="14354" width="2.5546875" style="433" hidden="1" customWidth="1"/>
    <col min="14355" max="14355" width="4" style="433" hidden="1" customWidth="1"/>
    <col min="14356" max="14359" width="2.5546875" style="433" hidden="1" customWidth="1"/>
    <col min="14360" max="14360" width="2.44140625" style="433" hidden="1" customWidth="1"/>
    <col min="14361" max="14364" width="2.5546875" style="433" hidden="1" customWidth="1"/>
    <col min="14365" max="14365" width="2.44140625" style="433" hidden="1" customWidth="1"/>
    <col min="14366" max="14369" width="2.5546875" style="433" hidden="1" customWidth="1"/>
    <col min="14370" max="14375" width="2.44140625" style="433" hidden="1" customWidth="1"/>
    <col min="14376" max="14376" width="1.5546875" style="433" hidden="1" customWidth="1"/>
    <col min="14377" max="14592" width="2.5546875" style="433" hidden="1"/>
    <col min="14593" max="14593" width="1.5546875" style="433" hidden="1" customWidth="1"/>
    <col min="14594" max="14594" width="0.88671875" style="433" hidden="1" customWidth="1"/>
    <col min="14595" max="14610" width="2.5546875" style="433" hidden="1" customWidth="1"/>
    <col min="14611" max="14611" width="4" style="433" hidden="1" customWidth="1"/>
    <col min="14612" max="14615" width="2.5546875" style="433" hidden="1" customWidth="1"/>
    <col min="14616" max="14616" width="2.44140625" style="433" hidden="1" customWidth="1"/>
    <col min="14617" max="14620" width="2.5546875" style="433" hidden="1" customWidth="1"/>
    <col min="14621" max="14621" width="2.44140625" style="433" hidden="1" customWidth="1"/>
    <col min="14622" max="14625" width="2.5546875" style="433" hidden="1" customWidth="1"/>
    <col min="14626" max="14631" width="2.44140625" style="433" hidden="1" customWidth="1"/>
    <col min="14632" max="14632" width="1.5546875" style="433" hidden="1" customWidth="1"/>
    <col min="14633" max="14848" width="2.5546875" style="433" hidden="1"/>
    <col min="14849" max="14849" width="1.5546875" style="433" hidden="1" customWidth="1"/>
    <col min="14850" max="14850" width="0.88671875" style="433" hidden="1" customWidth="1"/>
    <col min="14851" max="14866" width="2.5546875" style="433" hidden="1" customWidth="1"/>
    <col min="14867" max="14867" width="4" style="433" hidden="1" customWidth="1"/>
    <col min="14868" max="14871" width="2.5546875" style="433" hidden="1" customWidth="1"/>
    <col min="14872" max="14872" width="2.44140625" style="433" hidden="1" customWidth="1"/>
    <col min="14873" max="14876" width="2.5546875" style="433" hidden="1" customWidth="1"/>
    <col min="14877" max="14877" width="2.44140625" style="433" hidden="1" customWidth="1"/>
    <col min="14878" max="14881" width="2.5546875" style="433" hidden="1" customWidth="1"/>
    <col min="14882" max="14887" width="2.44140625" style="433" hidden="1" customWidth="1"/>
    <col min="14888" max="14888" width="1.5546875" style="433" hidden="1" customWidth="1"/>
    <col min="14889" max="15104" width="2.5546875" style="433" hidden="1"/>
    <col min="15105" max="15105" width="1.5546875" style="433" hidden="1" customWidth="1"/>
    <col min="15106" max="15106" width="0.88671875" style="433" hidden="1" customWidth="1"/>
    <col min="15107" max="15122" width="2.5546875" style="433" hidden="1" customWidth="1"/>
    <col min="15123" max="15123" width="4" style="433" hidden="1" customWidth="1"/>
    <col min="15124" max="15127" width="2.5546875" style="433" hidden="1" customWidth="1"/>
    <col min="15128" max="15128" width="2.44140625" style="433" hidden="1" customWidth="1"/>
    <col min="15129" max="15132" width="2.5546875" style="433" hidden="1" customWidth="1"/>
    <col min="15133" max="15133" width="2.44140625" style="433" hidden="1" customWidth="1"/>
    <col min="15134" max="15137" width="2.5546875" style="433" hidden="1" customWidth="1"/>
    <col min="15138" max="15143" width="2.44140625" style="433" hidden="1" customWidth="1"/>
    <col min="15144" max="15144" width="1.5546875" style="433" hidden="1" customWidth="1"/>
    <col min="15145" max="15360" width="2.5546875" style="433" hidden="1"/>
    <col min="15361" max="15361" width="1.5546875" style="433" hidden="1" customWidth="1"/>
    <col min="15362" max="15362" width="0.88671875" style="433" hidden="1" customWidth="1"/>
    <col min="15363" max="15378" width="2.5546875" style="433" hidden="1" customWidth="1"/>
    <col min="15379" max="15379" width="4" style="433" hidden="1" customWidth="1"/>
    <col min="15380" max="15383" width="2.5546875" style="433" hidden="1" customWidth="1"/>
    <col min="15384" max="15384" width="2.44140625" style="433" hidden="1" customWidth="1"/>
    <col min="15385" max="15388" width="2.5546875" style="433" hidden="1" customWidth="1"/>
    <col min="15389" max="15389" width="2.44140625" style="433" hidden="1" customWidth="1"/>
    <col min="15390" max="15393" width="2.5546875" style="433" hidden="1" customWidth="1"/>
    <col min="15394" max="15399" width="2.44140625" style="433" hidden="1" customWidth="1"/>
    <col min="15400" max="15400" width="1.5546875" style="433" hidden="1" customWidth="1"/>
    <col min="15401" max="15616" width="2.5546875" style="433" hidden="1"/>
    <col min="15617" max="15617" width="1.5546875" style="433" hidden="1" customWidth="1"/>
    <col min="15618" max="15618" width="0.88671875" style="433" hidden="1" customWidth="1"/>
    <col min="15619" max="15634" width="2.5546875" style="433" hidden="1" customWidth="1"/>
    <col min="15635" max="15635" width="4" style="433" hidden="1" customWidth="1"/>
    <col min="15636" max="15639" width="2.5546875" style="433" hidden="1" customWidth="1"/>
    <col min="15640" max="15640" width="2.44140625" style="433" hidden="1" customWidth="1"/>
    <col min="15641" max="15644" width="2.5546875" style="433" hidden="1" customWidth="1"/>
    <col min="15645" max="15645" width="2.44140625" style="433" hidden="1" customWidth="1"/>
    <col min="15646" max="15649" width="2.5546875" style="433" hidden="1" customWidth="1"/>
    <col min="15650" max="15655" width="2.44140625" style="433" hidden="1" customWidth="1"/>
    <col min="15656" max="15656" width="1.5546875" style="433" hidden="1" customWidth="1"/>
    <col min="15657" max="15872" width="2.5546875" style="433" hidden="1"/>
    <col min="15873" max="15873" width="1.5546875" style="433" hidden="1" customWidth="1"/>
    <col min="15874" max="15874" width="0.88671875" style="433" hidden="1" customWidth="1"/>
    <col min="15875" max="15890" width="2.5546875" style="433" hidden="1" customWidth="1"/>
    <col min="15891" max="15891" width="4" style="433" hidden="1" customWidth="1"/>
    <col min="15892" max="15895" width="2.5546875" style="433" hidden="1" customWidth="1"/>
    <col min="15896" max="15896" width="2.44140625" style="433" hidden="1" customWidth="1"/>
    <col min="15897" max="15900" width="2.5546875" style="433" hidden="1" customWidth="1"/>
    <col min="15901" max="15901" width="2.44140625" style="433" hidden="1" customWidth="1"/>
    <col min="15902" max="15905" width="2.5546875" style="433" hidden="1" customWidth="1"/>
    <col min="15906" max="15911" width="2.44140625" style="433" hidden="1" customWidth="1"/>
    <col min="15912" max="15912" width="1.5546875" style="433" hidden="1" customWidth="1"/>
    <col min="15913" max="16128" width="2.5546875" style="433" hidden="1"/>
    <col min="16129" max="16129" width="1.5546875" style="433" hidden="1" customWidth="1"/>
    <col min="16130" max="16130" width="0.88671875" style="433" hidden="1" customWidth="1"/>
    <col min="16131" max="16146" width="2.5546875" style="433" hidden="1" customWidth="1"/>
    <col min="16147" max="16147" width="4" style="433" hidden="1" customWidth="1"/>
    <col min="16148" max="16151" width="2.5546875" style="433" hidden="1" customWidth="1"/>
    <col min="16152" max="16152" width="2.44140625" style="433" hidden="1" customWidth="1"/>
    <col min="16153" max="16156" width="2.5546875" style="433" hidden="1" customWidth="1"/>
    <col min="16157" max="16157" width="2.44140625" style="433" hidden="1" customWidth="1"/>
    <col min="16158" max="16161" width="2.5546875" style="433" hidden="1" customWidth="1"/>
    <col min="16162" max="16167" width="2.44140625" style="433" hidden="1" customWidth="1"/>
    <col min="16168" max="16168" width="1.5546875" style="433" hidden="1" customWidth="1"/>
    <col min="16169" max="16384" width="2.5546875" style="433" hidden="1"/>
  </cols>
  <sheetData>
    <row r="1" spans="1:40" ht="12.9" customHeight="1">
      <c r="A1" s="2645" t="s">
        <v>1388</v>
      </c>
      <c r="B1" s="2645"/>
      <c r="C1" s="2645"/>
      <c r="D1" s="2645"/>
      <c r="E1" s="2645"/>
      <c r="F1" s="2645"/>
      <c r="G1" s="2645"/>
      <c r="H1" s="2645"/>
      <c r="I1" s="2645"/>
      <c r="J1" s="2645"/>
      <c r="K1" s="2645"/>
      <c r="L1" s="2645"/>
      <c r="M1" s="2645"/>
      <c r="N1" s="2645"/>
      <c r="O1" s="2645"/>
      <c r="P1" s="2645"/>
      <c r="Q1" s="2645"/>
      <c r="R1" s="2645"/>
      <c r="S1" s="2645"/>
      <c r="T1" s="2645"/>
      <c r="U1" s="2645"/>
      <c r="V1" s="2645"/>
      <c r="W1" s="2645"/>
      <c r="X1" s="2645"/>
      <c r="Y1" s="2645"/>
      <c r="Z1" s="2645"/>
      <c r="AA1" s="2645"/>
      <c r="AB1" s="2645"/>
      <c r="AC1" s="2645"/>
      <c r="AD1" s="2645"/>
      <c r="AE1" s="2645"/>
      <c r="AF1" s="2645"/>
      <c r="AG1" s="2645"/>
      <c r="AH1" s="2645"/>
      <c r="AI1" s="2645"/>
      <c r="AJ1" s="2645"/>
      <c r="AK1" s="2645"/>
      <c r="AL1" s="2645"/>
      <c r="AM1" s="2645"/>
      <c r="AN1" s="2645"/>
    </row>
    <row r="2" spans="1:40" ht="12.9" customHeight="1" thickBot="1">
      <c r="A2" s="2646"/>
      <c r="B2" s="2646"/>
      <c r="C2" s="2646"/>
      <c r="D2" s="2646"/>
      <c r="E2" s="2646"/>
      <c r="F2" s="2646"/>
      <c r="G2" s="2646"/>
      <c r="H2" s="2646"/>
      <c r="I2" s="2646"/>
      <c r="J2" s="2646"/>
      <c r="K2" s="2646"/>
      <c r="L2" s="2646"/>
      <c r="M2" s="2646"/>
      <c r="N2" s="2646"/>
      <c r="O2" s="2646"/>
      <c r="P2" s="2646"/>
      <c r="Q2" s="2646"/>
      <c r="R2" s="2646"/>
      <c r="S2" s="2646"/>
      <c r="T2" s="2646"/>
      <c r="U2" s="2646"/>
      <c r="V2" s="2646"/>
      <c r="W2" s="2646"/>
      <c r="X2" s="2646"/>
      <c r="Y2" s="2646"/>
      <c r="Z2" s="2646"/>
      <c r="AA2" s="2646"/>
      <c r="AB2" s="2646"/>
      <c r="AC2" s="2646"/>
      <c r="AD2" s="2646"/>
      <c r="AE2" s="2646"/>
      <c r="AF2" s="2646"/>
      <c r="AG2" s="2646"/>
      <c r="AH2" s="2646"/>
      <c r="AI2" s="2646"/>
      <c r="AJ2" s="2646"/>
      <c r="AK2" s="2646"/>
      <c r="AL2" s="2646"/>
      <c r="AM2" s="2646"/>
      <c r="AN2" s="2646"/>
    </row>
    <row r="3" spans="1:40" ht="12.9"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 customHeight="1">
      <c r="A4" s="435"/>
    </row>
    <row r="5" spans="1:40" ht="12.9" customHeight="1">
      <c r="A5" s="435" t="s">
        <v>319</v>
      </c>
      <c r="C5" s="435" t="s">
        <v>122</v>
      </c>
      <c r="F5" s="435"/>
    </row>
    <row r="6" spans="1:40" ht="12.9" customHeight="1">
      <c r="A6" s="435"/>
      <c r="C6" s="433" t="s">
        <v>1344</v>
      </c>
    </row>
    <row r="7" spans="1:40" ht="12.9" customHeight="1">
      <c r="B7" s="436"/>
      <c r="C7" s="437"/>
      <c r="D7" s="437"/>
      <c r="E7" s="437"/>
      <c r="F7" s="437"/>
      <c r="G7" s="437"/>
      <c r="H7" s="437"/>
      <c r="I7" s="437"/>
      <c r="J7" s="437"/>
      <c r="K7" s="437"/>
      <c r="L7" s="437"/>
      <c r="M7" s="437"/>
      <c r="N7" s="437"/>
      <c r="O7" s="437"/>
      <c r="P7" s="437"/>
      <c r="Q7" s="437"/>
      <c r="R7" s="437"/>
      <c r="S7" s="437"/>
      <c r="T7" s="2647" t="str">
        <f xml:space="preserve"> IF(T25=100%,'Sources and Basis Breakdown'!G2,'Sources and Basis Breakdown'!F2)</f>
        <v>30% PVC for New Const/
Rehabilitation
NON-DDA/
NON-QCT Building(s)</v>
      </c>
      <c r="U7" s="2647"/>
      <c r="V7" s="2647"/>
      <c r="W7" s="2647"/>
      <c r="X7" s="2647"/>
      <c r="Y7" s="2647" t="str">
        <f>IF(T25=100%,"",'Sources and Basis Breakdown'!G2)</f>
        <v/>
      </c>
      <c r="Z7" s="2647"/>
      <c r="AA7" s="2647"/>
      <c r="AB7" s="2647"/>
      <c r="AC7" s="2647"/>
      <c r="AD7" s="2647" t="str">
        <f xml:space="preserve"> IF(T25=100%, 'Sources and Basis Breakdown'!J2,'Sources and Basis Breakdown'!I2)</f>
        <v>30% PVC for Acquisition
NON-DDA/
NON-QCT Building(s)</v>
      </c>
      <c r="AE7" s="2647"/>
      <c r="AF7" s="2647"/>
      <c r="AG7" s="2647"/>
      <c r="AH7" s="2647"/>
      <c r="AI7" s="2647" t="str">
        <f>IF(T25=100%,"",'Sources and Basis Breakdown'!J2)</f>
        <v/>
      </c>
      <c r="AJ7" s="2647"/>
      <c r="AK7" s="2647"/>
      <c r="AL7" s="2647"/>
      <c r="AM7" s="2647"/>
    </row>
    <row r="8" spans="1:40" ht="12.9" customHeight="1">
      <c r="B8" s="438"/>
      <c r="T8" s="2647"/>
      <c r="U8" s="2647"/>
      <c r="V8" s="2647"/>
      <c r="W8" s="2647"/>
      <c r="X8" s="2647"/>
      <c r="Y8" s="2647"/>
      <c r="Z8" s="2647"/>
      <c r="AA8" s="2647"/>
      <c r="AB8" s="2647"/>
      <c r="AC8" s="2647"/>
      <c r="AD8" s="2647"/>
      <c r="AE8" s="2647"/>
      <c r="AF8" s="2647"/>
      <c r="AG8" s="2647"/>
      <c r="AH8" s="2647"/>
      <c r="AI8" s="2647"/>
      <c r="AJ8" s="2647"/>
      <c r="AK8" s="2647"/>
      <c r="AL8" s="2647"/>
      <c r="AM8" s="2647"/>
    </row>
    <row r="9" spans="1:40" ht="12.9" customHeight="1">
      <c r="B9" s="438"/>
      <c r="T9" s="2647"/>
      <c r="U9" s="2647"/>
      <c r="V9" s="2647"/>
      <c r="W9" s="2647"/>
      <c r="X9" s="2647"/>
      <c r="Y9" s="2647"/>
      <c r="Z9" s="2647"/>
      <c r="AA9" s="2647"/>
      <c r="AB9" s="2647"/>
      <c r="AC9" s="2647"/>
      <c r="AD9" s="2647"/>
      <c r="AE9" s="2647"/>
      <c r="AF9" s="2647"/>
      <c r="AG9" s="2647"/>
      <c r="AH9" s="2647"/>
      <c r="AI9" s="2647"/>
      <c r="AJ9" s="2647"/>
      <c r="AK9" s="2647"/>
      <c r="AL9" s="2647"/>
      <c r="AM9" s="2647"/>
    </row>
    <row r="10" spans="1:40" ht="12.9" customHeight="1">
      <c r="B10" s="439"/>
      <c r="C10" s="440"/>
      <c r="D10" s="440"/>
      <c r="E10" s="440"/>
      <c r="F10" s="440"/>
      <c r="G10" s="440"/>
      <c r="H10" s="440"/>
      <c r="I10" s="440"/>
      <c r="J10" s="440"/>
      <c r="K10" s="440"/>
      <c r="L10" s="440"/>
      <c r="M10" s="440"/>
      <c r="N10" s="440"/>
      <c r="O10" s="440"/>
      <c r="P10" s="440"/>
      <c r="Q10" s="440"/>
      <c r="R10" s="440"/>
      <c r="S10" s="440"/>
      <c r="T10" s="2647"/>
      <c r="U10" s="2647"/>
      <c r="V10" s="2647"/>
      <c r="W10" s="2647"/>
      <c r="X10" s="2647"/>
      <c r="Y10" s="2647"/>
      <c r="Z10" s="2647"/>
      <c r="AA10" s="2647"/>
      <c r="AB10" s="2647"/>
      <c r="AC10" s="2647"/>
      <c r="AD10" s="2647"/>
      <c r="AE10" s="2647"/>
      <c r="AF10" s="2647"/>
      <c r="AG10" s="2647"/>
      <c r="AH10" s="2647"/>
      <c r="AI10" s="2647"/>
      <c r="AJ10" s="2647"/>
      <c r="AK10" s="2647"/>
      <c r="AL10" s="2647"/>
      <c r="AM10" s="2647"/>
    </row>
    <row r="11" spans="1:40" ht="12.9" customHeight="1">
      <c r="B11" s="2626" t="s">
        <v>375</v>
      </c>
      <c r="C11" s="2627"/>
      <c r="D11" s="2627"/>
      <c r="E11" s="2627"/>
      <c r="F11" s="2627"/>
      <c r="G11" s="2627"/>
      <c r="H11" s="2627"/>
      <c r="I11" s="2627"/>
      <c r="J11" s="2627"/>
      <c r="K11" s="2627"/>
      <c r="L11" s="2627"/>
      <c r="M11" s="2627"/>
      <c r="N11" s="2627"/>
      <c r="O11" s="2627"/>
      <c r="P11" s="2627"/>
      <c r="Q11" s="2627"/>
      <c r="R11" s="2627"/>
      <c r="S11" s="2628"/>
      <c r="T11" s="2648">
        <f>IF('Sources and Basis Breakdown'!F107=0,'Sources and Basis Breakdown'!E107,'Sources and Basis Breakdown'!F107)</f>
        <v>168642956</v>
      </c>
      <c r="U11" s="2649"/>
      <c r="V11" s="2649"/>
      <c r="W11" s="2649"/>
      <c r="X11" s="2649"/>
      <c r="Y11" s="2648">
        <f>IF(Y7="",0,IF('Sources and Basis Breakdown'!G107+'Sources and Basis Breakdown'!F107='Sources and Basis Breakdown'!E107,'Sources and Basis Breakdown'!G107,0))</f>
        <v>0</v>
      </c>
      <c r="Z11" s="2649"/>
      <c r="AA11" s="2649"/>
      <c r="AB11" s="2649"/>
      <c r="AC11" s="2649"/>
      <c r="AD11" s="2649">
        <f>IF('Sources and Basis Breakdown'!I107=0,'Sources and Basis Breakdown'!H107,'Sources and Basis Breakdown'!I107)</f>
        <v>0</v>
      </c>
      <c r="AE11" s="2649"/>
      <c r="AF11" s="2649"/>
      <c r="AG11" s="2649"/>
      <c r="AH11" s="2649"/>
      <c r="AI11" s="2649">
        <f>IF(Y7="",0,IF('Sources and Basis Breakdown'!I107+'Sources and Basis Breakdown'!J107='Sources and Basis Breakdown'!H107,'Sources and Basis Breakdown'!J107,0))</f>
        <v>0</v>
      </c>
      <c r="AJ11" s="2649"/>
      <c r="AK11" s="2649"/>
      <c r="AL11" s="2649"/>
      <c r="AM11" s="2649"/>
    </row>
    <row r="12" spans="1:40" ht="12.9" customHeight="1">
      <c r="B12" s="2641" t="s">
        <v>504</v>
      </c>
      <c r="C12" s="1286"/>
      <c r="D12" s="1286"/>
      <c r="E12" s="1286"/>
      <c r="F12" s="1286"/>
      <c r="G12" s="1286"/>
      <c r="H12" s="1286"/>
      <c r="I12" s="1286"/>
      <c r="J12" s="1286"/>
      <c r="K12" s="1286"/>
      <c r="L12" s="1286"/>
      <c r="M12" s="1286"/>
      <c r="N12" s="1286"/>
      <c r="O12" s="1286"/>
      <c r="P12" s="1286"/>
      <c r="Q12" s="1286"/>
      <c r="R12" s="1286"/>
      <c r="S12" s="2642"/>
      <c r="T12" s="2614"/>
      <c r="U12" s="2615"/>
      <c r="V12" s="2615"/>
      <c r="W12" s="2615"/>
      <c r="X12" s="2616"/>
      <c r="Y12" s="2614"/>
      <c r="Z12" s="2615"/>
      <c r="AA12" s="2615"/>
      <c r="AB12" s="2615"/>
      <c r="AC12" s="2616"/>
      <c r="AD12" s="2614"/>
      <c r="AE12" s="2615"/>
      <c r="AF12" s="2615"/>
      <c r="AG12" s="2615"/>
      <c r="AH12" s="2616"/>
      <c r="AI12" s="2614"/>
      <c r="AJ12" s="2615"/>
      <c r="AK12" s="2615"/>
      <c r="AL12" s="2615"/>
      <c r="AM12" s="2616"/>
    </row>
    <row r="13" spans="1:40" ht="12.9" customHeight="1">
      <c r="B13" s="467"/>
      <c r="C13" s="2643" t="s">
        <v>505</v>
      </c>
      <c r="D13" s="2643"/>
      <c r="E13" s="2643"/>
      <c r="F13" s="2643"/>
      <c r="G13" s="2643"/>
      <c r="H13" s="2643"/>
      <c r="I13" s="2643"/>
      <c r="J13" s="2643"/>
      <c r="K13" s="2643"/>
      <c r="L13" s="2643"/>
      <c r="M13" s="2643"/>
      <c r="N13" s="2643"/>
      <c r="O13" s="2643"/>
      <c r="P13" s="2643"/>
      <c r="Q13" s="2643"/>
      <c r="R13" s="2643"/>
      <c r="S13" s="2644"/>
      <c r="T13" s="2650">
        <v>0</v>
      </c>
      <c r="U13" s="2651"/>
      <c r="V13" s="2651"/>
      <c r="W13" s="2651"/>
      <c r="X13" s="2651"/>
      <c r="Y13" s="2650"/>
      <c r="Z13" s="2651"/>
      <c r="AA13" s="2651"/>
      <c r="AB13" s="2651"/>
      <c r="AC13" s="2651"/>
      <c r="AD13" s="2651"/>
      <c r="AE13" s="2651"/>
      <c r="AF13" s="2651"/>
      <c r="AG13" s="2651"/>
      <c r="AH13" s="2651"/>
      <c r="AI13" s="2651"/>
      <c r="AJ13" s="2651"/>
      <c r="AK13" s="2651"/>
      <c r="AL13" s="2651"/>
      <c r="AM13" s="2651"/>
    </row>
    <row r="14" spans="1:40" ht="12.9" customHeight="1">
      <c r="B14" s="467"/>
      <c r="C14" s="2643" t="s">
        <v>506</v>
      </c>
      <c r="D14" s="2643"/>
      <c r="E14" s="2643"/>
      <c r="F14" s="2643"/>
      <c r="G14" s="2643"/>
      <c r="H14" s="2643"/>
      <c r="I14" s="2643"/>
      <c r="J14" s="2643"/>
      <c r="K14" s="2643"/>
      <c r="L14" s="2643"/>
      <c r="M14" s="2643"/>
      <c r="N14" s="2643"/>
      <c r="O14" s="2643"/>
      <c r="P14" s="2643"/>
      <c r="Q14" s="2643"/>
      <c r="R14" s="2643"/>
      <c r="S14" s="2644"/>
      <c r="T14" s="2617">
        <v>0</v>
      </c>
      <c r="U14" s="2618"/>
      <c r="V14" s="2618"/>
      <c r="W14" s="2618"/>
      <c r="X14" s="2618"/>
      <c r="Y14" s="2617"/>
      <c r="Z14" s="2618"/>
      <c r="AA14" s="2618"/>
      <c r="AB14" s="2618"/>
      <c r="AC14" s="2618"/>
      <c r="AD14" s="2618"/>
      <c r="AE14" s="2618"/>
      <c r="AF14" s="2618"/>
      <c r="AG14" s="2618"/>
      <c r="AH14" s="2618"/>
      <c r="AI14" s="2618"/>
      <c r="AJ14" s="2618"/>
      <c r="AK14" s="2618"/>
      <c r="AL14" s="2618"/>
      <c r="AM14" s="2618"/>
    </row>
    <row r="15" spans="1:40" ht="12.9" customHeight="1">
      <c r="B15" s="467"/>
      <c r="C15" s="2643" t="s">
        <v>507</v>
      </c>
      <c r="D15" s="2643"/>
      <c r="E15" s="2643"/>
      <c r="F15" s="2643"/>
      <c r="G15" s="2643"/>
      <c r="H15" s="2643"/>
      <c r="I15" s="2643"/>
      <c r="J15" s="2643"/>
      <c r="K15" s="2643"/>
      <c r="L15" s="2643"/>
      <c r="M15" s="2643"/>
      <c r="N15" s="2643"/>
      <c r="O15" s="2643"/>
      <c r="P15" s="2643"/>
      <c r="Q15" s="2643"/>
      <c r="R15" s="2643"/>
      <c r="S15" s="2644"/>
      <c r="T15" s="2617">
        <v>0</v>
      </c>
      <c r="U15" s="2618"/>
      <c r="V15" s="2618"/>
      <c r="W15" s="2618"/>
      <c r="X15" s="2618"/>
      <c r="Y15" s="2617"/>
      <c r="Z15" s="2618"/>
      <c r="AA15" s="2618"/>
      <c r="AB15" s="2618"/>
      <c r="AC15" s="2618"/>
      <c r="AD15" s="2618"/>
      <c r="AE15" s="2618"/>
      <c r="AF15" s="2618"/>
      <c r="AG15" s="2618"/>
      <c r="AH15" s="2618"/>
      <c r="AI15" s="2618"/>
      <c r="AJ15" s="2618"/>
      <c r="AK15" s="2618"/>
      <c r="AL15" s="2618"/>
      <c r="AM15" s="2618"/>
    </row>
    <row r="16" spans="1:40" ht="12.9" customHeight="1">
      <c r="B16" s="467"/>
      <c r="C16" s="2643" t="s">
        <v>813</v>
      </c>
      <c r="D16" s="2643"/>
      <c r="E16" s="2643"/>
      <c r="F16" s="2643"/>
      <c r="G16" s="2643"/>
      <c r="H16" s="2643"/>
      <c r="I16" s="2643"/>
      <c r="J16" s="2643"/>
      <c r="K16" s="2643"/>
      <c r="L16" s="2643"/>
      <c r="M16" s="2643"/>
      <c r="N16" s="2643"/>
      <c r="O16" s="2643"/>
      <c r="P16" s="2643"/>
      <c r="Q16" s="2643"/>
      <c r="R16" s="2643"/>
      <c r="S16" s="2644"/>
      <c r="T16" s="2617">
        <v>0</v>
      </c>
      <c r="U16" s="2618"/>
      <c r="V16" s="2618"/>
      <c r="W16" s="2618"/>
      <c r="X16" s="2618"/>
      <c r="Y16" s="2617"/>
      <c r="Z16" s="2618"/>
      <c r="AA16" s="2618"/>
      <c r="AB16" s="2618"/>
      <c r="AC16" s="2618"/>
      <c r="AD16" s="2618"/>
      <c r="AE16" s="2618"/>
      <c r="AF16" s="2618"/>
      <c r="AG16" s="2618"/>
      <c r="AH16" s="2618"/>
      <c r="AI16" s="2618"/>
      <c r="AJ16" s="2618"/>
      <c r="AK16" s="2618"/>
      <c r="AL16" s="2618"/>
      <c r="AM16" s="2618"/>
    </row>
    <row r="17" spans="1:40" ht="12.9" customHeight="1">
      <c r="B17" s="467"/>
      <c r="C17" s="2643" t="s">
        <v>508</v>
      </c>
      <c r="D17" s="2643"/>
      <c r="E17" s="2643"/>
      <c r="F17" s="2643"/>
      <c r="G17" s="2643"/>
      <c r="H17" s="2643"/>
      <c r="I17" s="2643"/>
      <c r="J17" s="2643"/>
      <c r="K17" s="2643"/>
      <c r="L17" s="2643"/>
      <c r="M17" s="2643"/>
      <c r="N17" s="2643"/>
      <c r="O17" s="2643"/>
      <c r="P17" s="2643"/>
      <c r="Q17" s="2643"/>
      <c r="R17" s="2643"/>
      <c r="S17" s="2644"/>
      <c r="T17" s="2617">
        <v>0</v>
      </c>
      <c r="U17" s="2618"/>
      <c r="V17" s="2618"/>
      <c r="W17" s="2618"/>
      <c r="X17" s="2618"/>
      <c r="Y17" s="2617"/>
      <c r="Z17" s="2618"/>
      <c r="AA17" s="2618"/>
      <c r="AB17" s="2618"/>
      <c r="AC17" s="2618"/>
      <c r="AD17" s="2618"/>
      <c r="AE17" s="2618"/>
      <c r="AF17" s="2618"/>
      <c r="AG17" s="2618"/>
      <c r="AH17" s="2618"/>
      <c r="AI17" s="2618"/>
      <c r="AJ17" s="2618"/>
      <c r="AK17" s="2618"/>
      <c r="AL17" s="2618"/>
      <c r="AM17" s="2618"/>
    </row>
    <row r="18" spans="1:40" ht="12.9" customHeight="1">
      <c r="A18"/>
      <c r="B18" s="1194"/>
      <c r="C18" s="1780" t="s">
        <v>978</v>
      </c>
      <c r="D18" s="1780"/>
      <c r="E18" s="1780"/>
      <c r="F18" s="1780"/>
      <c r="G18" s="1780"/>
      <c r="H18" s="1780"/>
      <c r="I18" s="1780"/>
      <c r="J18" s="1780"/>
      <c r="K18" s="1780"/>
      <c r="L18" s="1780"/>
      <c r="M18" s="1780"/>
      <c r="N18" s="1780"/>
      <c r="O18" s="1780"/>
      <c r="P18" s="1780"/>
      <c r="Q18" s="1780"/>
      <c r="R18" s="1780"/>
      <c r="S18" s="1781"/>
      <c r="T18" s="2617">
        <v>0</v>
      </c>
      <c r="U18" s="2618"/>
      <c r="V18" s="2618"/>
      <c r="W18" s="2618"/>
      <c r="X18" s="2618"/>
      <c r="Y18" s="2617"/>
      <c r="Z18" s="2618"/>
      <c r="AA18" s="2618"/>
      <c r="AB18" s="2618"/>
      <c r="AC18" s="2618"/>
      <c r="AD18" s="2618"/>
      <c r="AE18" s="2618"/>
      <c r="AF18" s="2618"/>
      <c r="AG18" s="2618"/>
      <c r="AH18" s="2618"/>
      <c r="AI18" s="2618"/>
      <c r="AJ18" s="2618"/>
      <c r="AK18" s="2618"/>
      <c r="AL18" s="2618"/>
      <c r="AM18" s="2618"/>
    </row>
    <row r="19" spans="1:40" ht="12.9" customHeight="1">
      <c r="B19" s="1194"/>
      <c r="C19" s="1780" t="s">
        <v>978</v>
      </c>
      <c r="D19" s="1780"/>
      <c r="E19" s="1780"/>
      <c r="F19" s="1780"/>
      <c r="G19" s="1780"/>
      <c r="H19" s="1780"/>
      <c r="I19" s="1780"/>
      <c r="J19" s="1780"/>
      <c r="K19" s="1780"/>
      <c r="L19" s="1780"/>
      <c r="M19" s="1780"/>
      <c r="N19" s="1780"/>
      <c r="O19" s="1780"/>
      <c r="P19" s="1780"/>
      <c r="Q19" s="1780"/>
      <c r="R19" s="1780"/>
      <c r="S19" s="1781"/>
      <c r="T19" s="2617">
        <v>0</v>
      </c>
      <c r="U19" s="2618"/>
      <c r="V19" s="2618"/>
      <c r="W19" s="2618"/>
      <c r="X19" s="2618"/>
      <c r="Y19" s="2617"/>
      <c r="Z19" s="2618"/>
      <c r="AA19" s="2618"/>
      <c r="AB19" s="2618"/>
      <c r="AC19" s="2618"/>
      <c r="AD19" s="2618"/>
      <c r="AE19" s="2618"/>
      <c r="AF19" s="2618"/>
      <c r="AG19" s="2618"/>
      <c r="AH19" s="2618"/>
      <c r="AI19" s="2618"/>
      <c r="AJ19" s="2618"/>
      <c r="AK19" s="2618"/>
      <c r="AL19" s="2618"/>
      <c r="AM19" s="2618"/>
    </row>
    <row r="20" spans="1:40" ht="12.9" customHeight="1">
      <c r="B20" s="2626" t="s">
        <v>509</v>
      </c>
      <c r="C20" s="2627"/>
      <c r="D20" s="2627"/>
      <c r="E20" s="2627"/>
      <c r="F20" s="2627"/>
      <c r="G20" s="2627"/>
      <c r="H20" s="2627"/>
      <c r="I20" s="2627"/>
      <c r="J20" s="2627"/>
      <c r="K20" s="2627"/>
      <c r="L20" s="2627"/>
      <c r="M20" s="2627"/>
      <c r="N20" s="2627"/>
      <c r="O20" s="2627"/>
      <c r="P20" s="2627"/>
      <c r="Q20" s="2627"/>
      <c r="R20" s="2627"/>
      <c r="S20" s="2628"/>
      <c r="T20" s="2619">
        <f>SUM(T13:X19)</f>
        <v>0</v>
      </c>
      <c r="U20" s="2620"/>
      <c r="V20" s="2620"/>
      <c r="W20" s="2620"/>
      <c r="X20" s="2620"/>
      <c r="Y20" s="2619">
        <f>SUM(Y13:AC19)</f>
        <v>0</v>
      </c>
      <c r="Z20" s="2620"/>
      <c r="AA20" s="2620"/>
      <c r="AB20" s="2620"/>
      <c r="AC20" s="2620"/>
      <c r="AD20" s="2621">
        <f>SUM(AD13:AH19)</f>
        <v>0</v>
      </c>
      <c r="AE20" s="2622"/>
      <c r="AF20" s="2622"/>
      <c r="AG20" s="2622"/>
      <c r="AH20" s="2619"/>
      <c r="AI20" s="2621">
        <f>SUM(AI13:AM19)</f>
        <v>0</v>
      </c>
      <c r="AJ20" s="2622"/>
      <c r="AK20" s="2622"/>
      <c r="AL20" s="2622"/>
      <c r="AM20" s="2619"/>
    </row>
    <row r="21" spans="1:40" ht="12.9" customHeight="1">
      <c r="B21" s="2626" t="s">
        <v>1371</v>
      </c>
      <c r="C21" s="2627"/>
      <c r="D21" s="2627"/>
      <c r="E21" s="2627"/>
      <c r="F21" s="2627"/>
      <c r="G21" s="2627"/>
      <c r="H21" s="2627"/>
      <c r="I21" s="2627"/>
      <c r="J21" s="2627"/>
      <c r="K21" s="2627"/>
      <c r="L21" s="2627"/>
      <c r="M21" s="2627"/>
      <c r="N21" s="2627"/>
      <c r="O21" s="2627"/>
      <c r="P21" s="2627"/>
      <c r="Q21" s="2627"/>
      <c r="R21" s="2627"/>
      <c r="S21" s="2628"/>
      <c r="T21" s="2617">
        <v>0</v>
      </c>
      <c r="U21" s="2618"/>
      <c r="V21" s="2618"/>
      <c r="W21" s="2618"/>
      <c r="X21" s="2618"/>
      <c r="Y21" s="2617"/>
      <c r="Z21" s="2618"/>
      <c r="AA21" s="2618"/>
      <c r="AB21" s="2618"/>
      <c r="AC21" s="2618"/>
      <c r="AD21" s="2614"/>
      <c r="AE21" s="2615"/>
      <c r="AF21" s="2615"/>
      <c r="AG21" s="2615"/>
      <c r="AH21" s="2616"/>
      <c r="AI21" s="2614"/>
      <c r="AJ21" s="2615"/>
      <c r="AK21" s="2615"/>
      <c r="AL21" s="2615"/>
      <c r="AM21" s="2616"/>
    </row>
    <row r="22" spans="1:40" ht="12.9" customHeight="1">
      <c r="B22" s="2626" t="s">
        <v>510</v>
      </c>
      <c r="C22" s="2627"/>
      <c r="D22" s="2627"/>
      <c r="E22" s="2627"/>
      <c r="F22" s="2627"/>
      <c r="G22" s="2627"/>
      <c r="H22" s="2627"/>
      <c r="I22" s="2627"/>
      <c r="J22" s="2627"/>
      <c r="K22" s="2627"/>
      <c r="L22" s="2627"/>
      <c r="M22" s="2627"/>
      <c r="N22" s="2627"/>
      <c r="O22" s="2627"/>
      <c r="P22" s="2627"/>
      <c r="Q22" s="2627"/>
      <c r="R22" s="2627"/>
      <c r="S22" s="2628"/>
      <c r="T22" s="2652">
        <f>(ABS(T20)+ABS(T21))*-1</f>
        <v>0</v>
      </c>
      <c r="U22" s="2653"/>
      <c r="V22" s="2653"/>
      <c r="W22" s="2653"/>
      <c r="X22" s="2653"/>
      <c r="Y22" s="2652">
        <f>(Y20+Y21)*-1</f>
        <v>0</v>
      </c>
      <c r="Z22" s="2653"/>
      <c r="AA22" s="2653"/>
      <c r="AB22" s="2653"/>
      <c r="AC22" s="2653"/>
      <c r="AD22" s="2654">
        <f>(AD20)*-1</f>
        <v>0</v>
      </c>
      <c r="AE22" s="2655"/>
      <c r="AF22" s="2655"/>
      <c r="AG22" s="2655"/>
      <c r="AH22" s="2652"/>
      <c r="AI22" s="2654">
        <f>(AI20)*-1</f>
        <v>0</v>
      </c>
      <c r="AJ22" s="2655"/>
      <c r="AK22" s="2655"/>
      <c r="AL22" s="2655"/>
      <c r="AM22" s="2652"/>
    </row>
    <row r="23" spans="1:40" ht="12.9" customHeight="1">
      <c r="B23" s="2626" t="s">
        <v>511</v>
      </c>
      <c r="C23" s="2627"/>
      <c r="D23" s="2627"/>
      <c r="E23" s="2627"/>
      <c r="F23" s="2627"/>
      <c r="G23" s="2627"/>
      <c r="H23" s="2627"/>
      <c r="I23" s="2627"/>
      <c r="J23" s="2627"/>
      <c r="K23" s="2627"/>
      <c r="L23" s="2627"/>
      <c r="M23" s="2627"/>
      <c r="N23" s="2627"/>
      <c r="O23" s="2627"/>
      <c r="P23" s="2627"/>
      <c r="Q23" s="2627"/>
      <c r="R23" s="2627"/>
      <c r="S23" s="2628"/>
      <c r="T23" s="2619">
        <f>T11+T22</f>
        <v>168642956</v>
      </c>
      <c r="U23" s="2620"/>
      <c r="V23" s="2620"/>
      <c r="W23" s="2620"/>
      <c r="X23" s="2620"/>
      <c r="Y23" s="2619">
        <f>Y11+Y22</f>
        <v>0</v>
      </c>
      <c r="Z23" s="2620"/>
      <c r="AA23" s="2620"/>
      <c r="AB23" s="2620"/>
      <c r="AC23" s="2620"/>
      <c r="AD23" s="2619">
        <f>AD11+AD22</f>
        <v>0</v>
      </c>
      <c r="AE23" s="2620"/>
      <c r="AF23" s="2620"/>
      <c r="AG23" s="2620"/>
      <c r="AH23" s="2620"/>
      <c r="AI23" s="2619">
        <f>AI11+AI22</f>
        <v>0</v>
      </c>
      <c r="AJ23" s="2620"/>
      <c r="AK23" s="2620"/>
      <c r="AL23" s="2620"/>
      <c r="AM23" s="2620"/>
    </row>
    <row r="24" spans="1:40" ht="12.9" customHeight="1">
      <c r="B24" s="2626" t="s">
        <v>979</v>
      </c>
      <c r="C24" s="2627"/>
      <c r="D24" s="2627"/>
      <c r="E24" s="2627"/>
      <c r="F24" s="2627"/>
      <c r="G24" s="2627"/>
      <c r="H24" s="2627"/>
      <c r="I24" s="2627"/>
      <c r="J24" s="2627"/>
      <c r="K24" s="2627"/>
      <c r="L24" s="2627"/>
      <c r="M24" s="2627"/>
      <c r="N24" s="2627"/>
      <c r="O24" s="2627"/>
      <c r="P24" s="2627"/>
      <c r="Q24" s="2627"/>
      <c r="R24" s="2627"/>
      <c r="S24" s="2628"/>
      <c r="T24" s="2621">
        <f>Application!AJ1052</f>
        <v>471903277</v>
      </c>
      <c r="U24" s="2622"/>
      <c r="V24" s="2622"/>
      <c r="W24" s="2622"/>
      <c r="X24" s="2622"/>
      <c r="Y24" s="2622"/>
      <c r="Z24" s="2622"/>
      <c r="AA24" s="2622"/>
      <c r="AB24" s="2622"/>
      <c r="AC24" s="2622"/>
      <c r="AD24" s="2622"/>
      <c r="AE24" s="2622"/>
      <c r="AF24" s="2622"/>
      <c r="AG24" s="2622"/>
      <c r="AH24" s="2622"/>
      <c r="AI24" s="2622"/>
      <c r="AJ24" s="2622"/>
      <c r="AK24" s="2622"/>
      <c r="AL24" s="2622"/>
      <c r="AM24" s="2619"/>
    </row>
    <row r="25" spans="1:40" ht="12.9" customHeight="1">
      <c r="B25" s="2630" t="s">
        <v>1372</v>
      </c>
      <c r="C25" s="2631"/>
      <c r="D25" s="2631"/>
      <c r="E25" s="2631"/>
      <c r="F25" s="2631"/>
      <c r="G25" s="2631"/>
      <c r="H25" s="2631"/>
      <c r="I25" s="2631"/>
      <c r="J25" s="2631"/>
      <c r="K25" s="2631"/>
      <c r="L25" s="2631"/>
      <c r="M25" s="2631"/>
      <c r="N25" s="2631"/>
      <c r="O25" s="2631"/>
      <c r="P25" s="2631"/>
      <c r="Q25" s="2631"/>
      <c r="R25" s="2631"/>
      <c r="S25" s="2632"/>
      <c r="T25" s="2656">
        <f>IF(OR(Application!T196="yes",Application!T195="yes"),1.3,1)</f>
        <v>1</v>
      </c>
      <c r="U25" s="2657"/>
      <c r="V25" s="2657"/>
      <c r="W25" s="2657"/>
      <c r="X25" s="2657"/>
      <c r="Y25" s="2656">
        <v>1</v>
      </c>
      <c r="Z25" s="2657"/>
      <c r="AA25" s="2657"/>
      <c r="AB25" s="2657"/>
      <c r="AC25" s="2657"/>
      <c r="AD25" s="2656">
        <v>1</v>
      </c>
      <c r="AE25" s="2657"/>
      <c r="AF25" s="2657"/>
      <c r="AG25" s="2657"/>
      <c r="AH25" s="2658"/>
      <c r="AI25" s="2656">
        <v>1</v>
      </c>
      <c r="AJ25" s="2657"/>
      <c r="AK25" s="2657"/>
      <c r="AL25" s="2657"/>
      <c r="AM25" s="2658"/>
    </row>
    <row r="26" spans="1:40" ht="12.9" customHeight="1">
      <c r="B26" s="2626" t="s">
        <v>512</v>
      </c>
      <c r="C26" s="2627"/>
      <c r="D26" s="2627"/>
      <c r="E26" s="2627"/>
      <c r="F26" s="2627"/>
      <c r="G26" s="2627"/>
      <c r="H26" s="2627"/>
      <c r="I26" s="2627"/>
      <c r="J26" s="2627"/>
      <c r="K26" s="2627"/>
      <c r="L26" s="2627"/>
      <c r="M26" s="2627"/>
      <c r="N26" s="2627"/>
      <c r="O26" s="2627"/>
      <c r="P26" s="2627"/>
      <c r="Q26" s="2627"/>
      <c r="R26" s="2627"/>
      <c r="S26" s="2628"/>
      <c r="T26" s="2619">
        <f>T23*T25</f>
        <v>168642956</v>
      </c>
      <c r="U26" s="2620"/>
      <c r="V26" s="2620"/>
      <c r="W26" s="2620"/>
      <c r="X26" s="2620"/>
      <c r="Y26" s="2619">
        <f>Y23*Y25</f>
        <v>0</v>
      </c>
      <c r="Z26" s="2620"/>
      <c r="AA26" s="2620"/>
      <c r="AB26" s="2620"/>
      <c r="AC26" s="2620"/>
      <c r="AD26" s="2619">
        <f>AD23*AD25</f>
        <v>0</v>
      </c>
      <c r="AE26" s="2620"/>
      <c r="AF26" s="2620"/>
      <c r="AG26" s="2620"/>
      <c r="AH26" s="2620"/>
      <c r="AI26" s="2619">
        <f>AI23*AI25</f>
        <v>0</v>
      </c>
      <c r="AJ26" s="2620"/>
      <c r="AK26" s="2620"/>
      <c r="AL26" s="2620"/>
      <c r="AM26" s="2620"/>
    </row>
    <row r="27" spans="1:40" ht="12.9" customHeight="1">
      <c r="A27" s="441"/>
      <c r="B27" s="2633" t="s">
        <v>426</v>
      </c>
      <c r="C27" s="2634"/>
      <c r="D27" s="2634"/>
      <c r="E27" s="2634"/>
      <c r="F27" s="2634"/>
      <c r="G27" s="2634"/>
      <c r="H27" s="2634"/>
      <c r="I27" s="2634"/>
      <c r="J27" s="2634"/>
      <c r="K27" s="2634"/>
      <c r="L27" s="2634"/>
      <c r="M27" s="2634"/>
      <c r="N27" s="2634"/>
      <c r="O27" s="2634"/>
      <c r="P27" s="2634"/>
      <c r="Q27" s="2634"/>
      <c r="R27" s="2634"/>
      <c r="S27" s="2635"/>
      <c r="T27" s="2639">
        <f>Application!$AG$445</f>
        <v>1</v>
      </c>
      <c r="U27" s="2640"/>
      <c r="V27" s="2640"/>
      <c r="W27" s="2640"/>
      <c r="X27" s="2640"/>
      <c r="Y27" s="2639">
        <f>Application!$AG$445</f>
        <v>1</v>
      </c>
      <c r="Z27" s="2640"/>
      <c r="AA27" s="2640"/>
      <c r="AB27" s="2640"/>
      <c r="AC27" s="2640"/>
      <c r="AD27" s="2639">
        <f>Application!$AG$445</f>
        <v>1</v>
      </c>
      <c r="AE27" s="2640"/>
      <c r="AF27" s="2640"/>
      <c r="AG27" s="2640"/>
      <c r="AH27" s="2640"/>
      <c r="AI27" s="2639">
        <f>Application!$AG$445</f>
        <v>1</v>
      </c>
      <c r="AJ27" s="2640"/>
      <c r="AK27" s="2640"/>
      <c r="AL27" s="2640"/>
      <c r="AM27" s="2640"/>
    </row>
    <row r="28" spans="1:40" ht="12.9" customHeight="1">
      <c r="A28" s="435"/>
      <c r="B28" s="2626" t="s">
        <v>513</v>
      </c>
      <c r="C28" s="2627"/>
      <c r="D28" s="2627"/>
      <c r="E28" s="2627"/>
      <c r="F28" s="2627"/>
      <c r="G28" s="2627"/>
      <c r="H28" s="2627"/>
      <c r="I28" s="2627"/>
      <c r="J28" s="2627"/>
      <c r="K28" s="2627"/>
      <c r="L28" s="2627"/>
      <c r="M28" s="2627"/>
      <c r="N28" s="2627"/>
      <c r="O28" s="2627"/>
      <c r="P28" s="2627"/>
      <c r="Q28" s="2627"/>
      <c r="R28" s="2627"/>
      <c r="S28" s="2628"/>
      <c r="T28" s="2619">
        <f>IF(ISERROR((T26*T27)),0,(T26*T27))</f>
        <v>168642956</v>
      </c>
      <c r="U28" s="2620"/>
      <c r="V28" s="2620"/>
      <c r="W28" s="2620"/>
      <c r="X28" s="2620"/>
      <c r="Y28" s="2619">
        <f>IF(ISERROR((Y26*Y27)),0,(Y26*Y27))</f>
        <v>0</v>
      </c>
      <c r="Z28" s="2620"/>
      <c r="AA28" s="2620"/>
      <c r="AB28" s="2620"/>
      <c r="AC28" s="2620"/>
      <c r="AD28" s="2619">
        <f>IF(ISERROR((AD26*AD27)),0,(AD26*AD27))</f>
        <v>0</v>
      </c>
      <c r="AE28" s="2620"/>
      <c r="AF28" s="2620"/>
      <c r="AG28" s="2620"/>
      <c r="AH28" s="2620"/>
      <c r="AI28" s="2619">
        <f>IF(ISERROR((AI26*AI27)),0,(AI26*AI27))</f>
        <v>0</v>
      </c>
      <c r="AJ28" s="2620"/>
      <c r="AK28" s="2620"/>
      <c r="AL28" s="2620"/>
      <c r="AM28" s="2620"/>
    </row>
    <row r="29" spans="1:40" ht="12.9" customHeight="1">
      <c r="B29" s="2626" t="s">
        <v>530</v>
      </c>
      <c r="C29" s="2627"/>
      <c r="D29" s="2627"/>
      <c r="E29" s="2627"/>
      <c r="F29" s="2627"/>
      <c r="G29" s="2627"/>
      <c r="H29" s="2627"/>
      <c r="I29" s="2627"/>
      <c r="J29" s="2627"/>
      <c r="K29" s="2627"/>
      <c r="L29" s="2627"/>
      <c r="M29" s="2627"/>
      <c r="N29" s="2627"/>
      <c r="O29" s="2627"/>
      <c r="P29" s="2627"/>
      <c r="Q29" s="2627"/>
      <c r="R29" s="2627"/>
      <c r="S29" s="2628"/>
      <c r="T29" s="2621">
        <f>T28+Y28+AD28+AI28</f>
        <v>168642956</v>
      </c>
      <c r="U29" s="2622"/>
      <c r="V29" s="2622"/>
      <c r="W29" s="2622"/>
      <c r="X29" s="2622"/>
      <c r="Y29" s="2622"/>
      <c r="Z29" s="2622"/>
      <c r="AA29" s="2622"/>
      <c r="AB29" s="2622"/>
      <c r="AC29" s="2622"/>
      <c r="AD29" s="2622"/>
      <c r="AE29" s="2622"/>
      <c r="AF29" s="2622"/>
      <c r="AG29" s="2622"/>
      <c r="AH29" s="2622"/>
      <c r="AI29" s="2622"/>
      <c r="AJ29" s="2622"/>
      <c r="AK29" s="2622"/>
      <c r="AL29" s="2622"/>
      <c r="AM29" s="2619"/>
    </row>
    <row r="30" spans="1:40" ht="12.9" customHeight="1">
      <c r="B30" s="2629" t="s">
        <v>1374</v>
      </c>
      <c r="C30" s="2629"/>
      <c r="D30" s="2629"/>
      <c r="E30" s="2629"/>
      <c r="F30" s="2629"/>
      <c r="G30" s="2629"/>
      <c r="H30" s="2629"/>
      <c r="I30" s="2629"/>
      <c r="J30" s="2629"/>
      <c r="K30" s="2629"/>
      <c r="L30" s="2629"/>
      <c r="M30" s="2629"/>
      <c r="N30" s="2629"/>
      <c r="O30" s="2629"/>
      <c r="P30" s="2629"/>
      <c r="Q30" s="2629"/>
      <c r="R30" s="2629"/>
      <c r="S30" s="2629"/>
      <c r="T30" s="2629"/>
      <c r="U30" s="2629"/>
      <c r="V30" s="2629"/>
      <c r="W30" s="2629"/>
      <c r="X30" s="2629"/>
      <c r="Y30" s="2629"/>
      <c r="Z30" s="2629"/>
      <c r="AA30" s="2629"/>
      <c r="AB30" s="2629"/>
      <c r="AC30" s="2629"/>
      <c r="AD30" s="2629"/>
      <c r="AE30" s="2629"/>
      <c r="AF30" s="2629"/>
      <c r="AG30" s="2629"/>
      <c r="AH30" s="2629"/>
      <c r="AI30" s="2629"/>
      <c r="AJ30" s="2629"/>
      <c r="AK30" s="2629"/>
      <c r="AL30" s="2629"/>
      <c r="AM30" s="2629"/>
    </row>
    <row r="31" spans="1:40" ht="12.9" customHeight="1">
      <c r="B31" s="2629" t="s">
        <v>1373</v>
      </c>
      <c r="C31" s="2629"/>
      <c r="D31" s="2629"/>
      <c r="E31" s="2629"/>
      <c r="F31" s="2629"/>
      <c r="G31" s="2629"/>
      <c r="H31" s="2629"/>
      <c r="I31" s="2629"/>
      <c r="J31" s="2629"/>
      <c r="K31" s="2629"/>
      <c r="L31" s="2629"/>
      <c r="M31" s="2629"/>
      <c r="N31" s="2629"/>
      <c r="O31" s="2629"/>
      <c r="P31" s="2629"/>
      <c r="Q31" s="2629"/>
      <c r="R31" s="2629"/>
      <c r="S31" s="2629"/>
      <c r="T31" s="2629"/>
      <c r="U31" s="2629"/>
      <c r="V31" s="2629"/>
      <c r="W31" s="2629"/>
      <c r="X31" s="2629"/>
      <c r="Y31" s="2629"/>
      <c r="Z31" s="2629"/>
      <c r="AA31" s="2629"/>
      <c r="AB31" s="2629"/>
      <c r="AC31" s="2629"/>
      <c r="AD31" s="2629"/>
      <c r="AE31" s="2629"/>
      <c r="AF31" s="2629"/>
      <c r="AG31" s="2629"/>
      <c r="AH31" s="2629"/>
      <c r="AI31" s="2629"/>
      <c r="AJ31" s="2629"/>
      <c r="AK31" s="2629"/>
      <c r="AL31" s="2629"/>
      <c r="AM31" s="2629"/>
      <c r="AN31" s="552"/>
    </row>
    <row r="32" spans="1:40" ht="12.9"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 customHeight="1">
      <c r="A34" s="435" t="s">
        <v>583</v>
      </c>
      <c r="C34" s="435" t="s">
        <v>575</v>
      </c>
    </row>
    <row r="35" spans="1:76" ht="12.9"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7" t="s">
        <v>1255</v>
      </c>
      <c r="Z35" s="2647"/>
      <c r="AA35" s="2647"/>
      <c r="AB35" s="2647"/>
      <c r="AC35" s="2647"/>
      <c r="AD35" s="2670" t="s">
        <v>369</v>
      </c>
      <c r="AE35" s="2670"/>
      <c r="AF35" s="2670"/>
      <c r="AG35" s="2670"/>
      <c r="AH35" s="2670"/>
    </row>
    <row r="36" spans="1:76" ht="12.9" customHeight="1">
      <c r="B36" s="438"/>
      <c r="X36" s="443"/>
      <c r="Y36" s="2647"/>
      <c r="Z36" s="2647"/>
      <c r="AA36" s="2647"/>
      <c r="AB36" s="2647"/>
      <c r="AC36" s="2647"/>
      <c r="AD36" s="2670"/>
      <c r="AE36" s="2670"/>
      <c r="AF36" s="2670"/>
      <c r="AG36" s="2670"/>
      <c r="AH36" s="2670"/>
    </row>
    <row r="37" spans="1:76" ht="12.9"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7"/>
      <c r="Z37" s="2647"/>
      <c r="AA37" s="2647"/>
      <c r="AB37" s="2647"/>
      <c r="AC37" s="2647"/>
      <c r="AD37" s="2670"/>
      <c r="AE37" s="2670"/>
      <c r="AF37" s="2670"/>
      <c r="AG37" s="2670"/>
      <c r="AH37" s="2670"/>
    </row>
    <row r="38" spans="1:76" ht="12.9" customHeight="1">
      <c r="A38" s="435"/>
      <c r="B38" s="2626" t="s">
        <v>513</v>
      </c>
      <c r="C38" s="2627"/>
      <c r="D38" s="2627"/>
      <c r="E38" s="2627"/>
      <c r="F38" s="2627"/>
      <c r="G38" s="2627"/>
      <c r="H38" s="2627"/>
      <c r="I38" s="2627"/>
      <c r="J38" s="2627"/>
      <c r="K38" s="2627"/>
      <c r="L38" s="2627"/>
      <c r="M38" s="2627"/>
      <c r="N38" s="2627"/>
      <c r="O38" s="2627"/>
      <c r="P38" s="2627"/>
      <c r="Q38" s="2627"/>
      <c r="R38" s="2627"/>
      <c r="S38" s="2627"/>
      <c r="T38" s="2627"/>
      <c r="U38" s="2627"/>
      <c r="V38" s="2627"/>
      <c r="W38" s="2627"/>
      <c r="X38" s="2628"/>
      <c r="Y38" s="2620">
        <f>IF(T24&gt;=(T23+Y23+AD23+AI23),T28+Y28,0)</f>
        <v>168642956</v>
      </c>
      <c r="Z38" s="2620"/>
      <c r="AA38" s="2620"/>
      <c r="AB38" s="2620"/>
      <c r="AC38" s="2620"/>
      <c r="AD38" s="2620">
        <f>IF(T24&gt;=(T23+Y23+AD23+AI23),AD28+AI28,0)</f>
        <v>0</v>
      </c>
      <c r="AE38" s="2620"/>
      <c r="AF38" s="2620"/>
      <c r="AG38" s="2620"/>
      <c r="AH38" s="2620"/>
    </row>
    <row r="39" spans="1:76" ht="12.9" customHeight="1">
      <c r="B39" s="2626" t="s">
        <v>1879</v>
      </c>
      <c r="C39" s="2627"/>
      <c r="D39" s="2627"/>
      <c r="E39" s="2627"/>
      <c r="F39" s="2627"/>
      <c r="G39" s="2627"/>
      <c r="H39" s="2627"/>
      <c r="I39" s="2627"/>
      <c r="J39" s="2627"/>
      <c r="K39" s="2627"/>
      <c r="L39" s="2627"/>
      <c r="M39" s="2627"/>
      <c r="N39" s="2627"/>
      <c r="O39" s="2627"/>
      <c r="P39" s="2627"/>
      <c r="Q39" s="2627"/>
      <c r="R39" s="2627"/>
      <c r="S39" s="2627"/>
      <c r="T39" s="2627"/>
      <c r="U39" s="2627"/>
      <c r="V39" s="2627"/>
      <c r="W39" s="2627"/>
      <c r="X39" s="2628"/>
      <c r="Y39" s="2671">
        <v>0.04</v>
      </c>
      <c r="Z39" s="2671"/>
      <c r="AA39" s="2671"/>
      <c r="AB39" s="2671"/>
      <c r="AC39" s="2671"/>
      <c r="AD39" s="2671">
        <v>0.04</v>
      </c>
      <c r="AE39" s="2671"/>
      <c r="AF39" s="2671"/>
      <c r="AG39" s="2671"/>
      <c r="AH39" s="2671"/>
    </row>
    <row r="40" spans="1:76" ht="12.9" customHeight="1">
      <c r="A40" s="435"/>
      <c r="B40" s="2626" t="s">
        <v>649</v>
      </c>
      <c r="C40" s="2627"/>
      <c r="D40" s="2627"/>
      <c r="E40" s="2627"/>
      <c r="F40" s="2627"/>
      <c r="G40" s="2627"/>
      <c r="H40" s="2627"/>
      <c r="I40" s="2627"/>
      <c r="J40" s="2627"/>
      <c r="K40" s="2627"/>
      <c r="L40" s="2627"/>
      <c r="M40" s="2627"/>
      <c r="N40" s="2627"/>
      <c r="O40" s="2627"/>
      <c r="P40" s="2627"/>
      <c r="Q40" s="2627"/>
      <c r="R40" s="2627"/>
      <c r="S40" s="2627"/>
      <c r="T40" s="2627"/>
      <c r="U40" s="2627"/>
      <c r="V40" s="2627"/>
      <c r="W40" s="2627"/>
      <c r="X40" s="2628"/>
      <c r="Y40" s="2620">
        <f>ROUND(Y38*Y39,0)</f>
        <v>6745718</v>
      </c>
      <c r="Z40" s="2620"/>
      <c r="AA40" s="2620"/>
      <c r="AB40" s="2620"/>
      <c r="AC40" s="2620"/>
      <c r="AD40" s="2619">
        <f>ROUND(AD38*AD39,0)</f>
        <v>0</v>
      </c>
      <c r="AE40" s="2620"/>
      <c r="AF40" s="2620"/>
      <c r="AG40" s="2620"/>
      <c r="AH40" s="2620"/>
    </row>
    <row r="41" spans="1:76" ht="12.9" customHeight="1">
      <c r="B41" s="2626" t="s">
        <v>650</v>
      </c>
      <c r="C41" s="2627"/>
      <c r="D41" s="2627"/>
      <c r="E41" s="2627"/>
      <c r="F41" s="2627"/>
      <c r="G41" s="2627"/>
      <c r="H41" s="2627"/>
      <c r="I41" s="2627"/>
      <c r="J41" s="2627"/>
      <c r="K41" s="2627"/>
      <c r="L41" s="2627"/>
      <c r="M41" s="2627"/>
      <c r="N41" s="2627"/>
      <c r="O41" s="2627"/>
      <c r="P41" s="2627"/>
      <c r="Q41" s="2627"/>
      <c r="R41" s="2627"/>
      <c r="S41" s="2627"/>
      <c r="T41" s="2627"/>
      <c r="U41" s="2627"/>
      <c r="V41" s="2627"/>
      <c r="W41" s="2627"/>
      <c r="X41" s="2628"/>
      <c r="Y41" s="2621">
        <f>Y40+AD40</f>
        <v>6745718</v>
      </c>
      <c r="Z41" s="2622"/>
      <c r="AA41" s="2622"/>
      <c r="AB41" s="2622"/>
      <c r="AC41" s="2622"/>
      <c r="AD41" s="2622"/>
      <c r="AE41" s="2622"/>
      <c r="AF41" s="2622"/>
      <c r="AG41" s="2622"/>
      <c r="AH41" s="2619"/>
    </row>
    <row r="42" spans="1:76" ht="12.9"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 customHeight="1" thickBot="1">
      <c r="A44" s="2624" t="s">
        <v>1384</v>
      </c>
      <c r="B44" s="2624"/>
      <c r="C44" s="2624"/>
      <c r="D44" s="2624"/>
      <c r="E44" s="2624"/>
      <c r="F44" s="2624"/>
      <c r="G44" s="2624"/>
      <c r="H44" s="2624"/>
      <c r="I44" s="2624"/>
      <c r="J44" s="2624"/>
      <c r="K44" s="2624"/>
      <c r="L44" s="2624"/>
      <c r="M44" s="2624"/>
      <c r="N44" s="2624"/>
      <c r="O44" s="2624"/>
      <c r="P44" s="2624"/>
      <c r="Q44" s="2624"/>
      <c r="R44" s="2624"/>
      <c r="S44" s="2624"/>
      <c r="T44" s="2624"/>
      <c r="U44" s="2624"/>
      <c r="V44" s="2624"/>
      <c r="W44" s="2624"/>
      <c r="X44" s="2624"/>
      <c r="Y44" s="2624"/>
      <c r="Z44" s="2624"/>
      <c r="AA44" s="2624"/>
      <c r="AB44" s="2624"/>
      <c r="AC44" s="2624"/>
      <c r="AD44" s="2624"/>
      <c r="AE44" s="2624"/>
      <c r="AF44" s="2624"/>
      <c r="AG44" s="2624"/>
      <c r="AH44" s="2624"/>
      <c r="AI44" s="2624"/>
      <c r="AJ44" s="2624"/>
      <c r="AK44" s="2624"/>
      <c r="AL44" s="2624"/>
      <c r="AM44" s="2624"/>
      <c r="AN44" s="2624"/>
      <c r="AO44" s="2624"/>
      <c r="AP44" s="2624"/>
      <c r="AQ44" s="2624"/>
      <c r="AR44" s="2624"/>
      <c r="AS44" s="2624"/>
      <c r="AT44" s="2624"/>
      <c r="AU44" s="2624"/>
      <c r="AV44" s="2624"/>
      <c r="AW44" s="2624"/>
      <c r="AX44" s="2624"/>
      <c r="AY44" s="2624"/>
      <c r="AZ44" s="2624"/>
      <c r="BA44" s="2624"/>
      <c r="BB44" s="2624"/>
      <c r="BC44" s="2624"/>
      <c r="BD44" s="2624"/>
      <c r="BE44" s="2624"/>
      <c r="BF44" s="2624"/>
      <c r="BG44" s="2624"/>
      <c r="BH44" s="2624"/>
      <c r="BI44" s="2624"/>
      <c r="BJ44" s="2624"/>
      <c r="BK44" s="2624"/>
      <c r="BL44" s="2624"/>
      <c r="BM44" s="2624"/>
      <c r="BN44" s="2624"/>
      <c r="BO44" s="2624"/>
      <c r="BP44" s="2624"/>
      <c r="BQ44" s="2624"/>
      <c r="BR44" s="2624"/>
      <c r="BS44" s="2624"/>
      <c r="BT44" s="2624"/>
      <c r="BU44" s="2624"/>
      <c r="BV44" s="2624"/>
      <c r="BW44" s="2624"/>
      <c r="BX44" s="2624"/>
    </row>
    <row r="45" spans="1:76" s="218" customFormat="1" ht="12.9" customHeight="1" thickTop="1"/>
    <row r="46" spans="1:76" ht="12.9" customHeight="1">
      <c r="A46" s="435" t="s">
        <v>593</v>
      </c>
      <c r="C46" s="435" t="s">
        <v>282</v>
      </c>
    </row>
    <row r="47" spans="1:76" ht="12.9" customHeight="1">
      <c r="D47" s="435" t="s">
        <v>283</v>
      </c>
      <c r="AB47" s="2636">
        <f>'Sources and Uses Budget'!B105-MAX(IF('Sources and Uses Budget'!B15="",0,'Sources and Uses Budget'!B15),IF(Application!AG394="",0,Application!AG394))</f>
        <v>204000115</v>
      </c>
      <c r="AC47" s="2637"/>
      <c r="AD47" s="2637"/>
      <c r="AE47" s="2637"/>
      <c r="AF47" s="2638"/>
    </row>
    <row r="48" spans="1:76" ht="12.9" customHeight="1">
      <c r="D48" s="435" t="s">
        <v>21</v>
      </c>
      <c r="AB48" s="2636">
        <f>Application!AO639-MAX(IF('Sources and Uses Budget'!B15="",0,'Sources and Uses Budget'!B15),IF(Application!AG394="",0,Application!AG394))</f>
        <v>140646705</v>
      </c>
      <c r="AC48" s="2637"/>
      <c r="AD48" s="2637"/>
      <c r="AE48" s="2637"/>
      <c r="AF48" s="2638"/>
    </row>
    <row r="49" spans="1:76" ht="12.9" customHeight="1">
      <c r="D49" s="435" t="s">
        <v>91</v>
      </c>
      <c r="AB49" s="2636">
        <f>AB47-AB48</f>
        <v>63353410</v>
      </c>
      <c r="AC49" s="2637"/>
      <c r="AD49" s="2637"/>
      <c r="AE49" s="2637"/>
      <c r="AF49" s="2638"/>
    </row>
    <row r="50" spans="1:76" ht="12.9" customHeight="1">
      <c r="D50" s="435" t="s">
        <v>688</v>
      </c>
      <c r="AA50" s="446"/>
      <c r="AB50" s="2663">
        <v>0.94</v>
      </c>
      <c r="AC50" s="2664"/>
      <c r="AD50" s="2664"/>
      <c r="AE50" s="2664"/>
      <c r="AF50" s="2665"/>
    </row>
    <row r="51" spans="1:76" s="448" customFormat="1" ht="12.9" customHeight="1">
      <c r="A51" s="433"/>
      <c r="B51" s="433"/>
      <c r="C51" s="433"/>
      <c r="D51" s="433"/>
      <c r="E51" s="2666" t="s">
        <v>2039</v>
      </c>
      <c r="F51" s="2666"/>
      <c r="G51" s="2666"/>
      <c r="H51" s="2666"/>
      <c r="I51" s="2666"/>
      <c r="J51" s="2666"/>
      <c r="K51" s="2666"/>
      <c r="L51" s="2666"/>
      <c r="M51" s="2666"/>
      <c r="N51" s="2666"/>
      <c r="O51" s="2666"/>
      <c r="P51" s="2666"/>
      <c r="Q51" s="2666"/>
      <c r="R51" s="2666"/>
      <c r="S51" s="2666"/>
      <c r="T51" s="2666"/>
      <c r="U51" s="2666"/>
      <c r="V51" s="2666"/>
      <c r="W51" s="2666"/>
      <c r="X51" s="2666"/>
      <c r="Y51" s="2666"/>
      <c r="Z51" s="2666"/>
      <c r="AA51" s="447"/>
      <c r="AB51" s="447"/>
      <c r="AC51" s="447"/>
      <c r="AD51" s="447"/>
      <c r="AE51" s="447"/>
      <c r="AF51" s="447"/>
      <c r="AG51" s="433"/>
      <c r="AH51" s="433"/>
      <c r="AI51" s="433"/>
      <c r="AJ51" s="433"/>
      <c r="AK51" s="433"/>
      <c r="AL51" s="433"/>
      <c r="AM51" s="433"/>
      <c r="AN51" s="433"/>
    </row>
    <row r="52" spans="1:76" s="448" customFormat="1" ht="12.9" customHeight="1">
      <c r="A52" s="433"/>
      <c r="B52" s="433"/>
      <c r="C52" s="433"/>
      <c r="D52" s="433"/>
      <c r="E52" s="2666"/>
      <c r="F52" s="2666"/>
      <c r="G52" s="2666"/>
      <c r="H52" s="2666"/>
      <c r="I52" s="2666"/>
      <c r="J52" s="2666"/>
      <c r="K52" s="2666"/>
      <c r="L52" s="2666"/>
      <c r="M52" s="2666"/>
      <c r="N52" s="2666"/>
      <c r="O52" s="2666"/>
      <c r="P52" s="2666"/>
      <c r="Q52" s="2666"/>
      <c r="R52" s="2666"/>
      <c r="S52" s="2666"/>
      <c r="T52" s="2666"/>
      <c r="U52" s="2666"/>
      <c r="V52" s="2666"/>
      <c r="W52" s="2666"/>
      <c r="X52" s="2666"/>
      <c r="Y52" s="2666"/>
      <c r="Z52" s="2666"/>
      <c r="AA52" s="449"/>
      <c r="AB52" s="449"/>
      <c r="AC52" s="449"/>
      <c r="AD52" s="449"/>
      <c r="AE52" s="449"/>
      <c r="AF52" s="449"/>
      <c r="AG52" s="450"/>
      <c r="AH52" s="433"/>
      <c r="AI52" s="433"/>
      <c r="AJ52" s="433"/>
      <c r="AK52" s="433"/>
      <c r="AL52" s="433"/>
      <c r="AM52" s="433"/>
      <c r="AN52" s="433"/>
    </row>
    <row r="53" spans="1:76" ht="12.9"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 customHeight="1">
      <c r="D54" s="435" t="s">
        <v>332</v>
      </c>
      <c r="AB54" s="2636">
        <f>ROUND(IF(ISERROR((AB49/AB50)),0,(AB49/AB50)),0)</f>
        <v>67397245</v>
      </c>
      <c r="AC54" s="2637"/>
      <c r="AD54" s="2637"/>
      <c r="AE54" s="2637"/>
      <c r="AF54" s="2638"/>
    </row>
    <row r="55" spans="1:76" ht="12.9" customHeight="1">
      <c r="D55" s="435" t="s">
        <v>333</v>
      </c>
      <c r="AB55" s="2636">
        <f>(AB54/10)</f>
        <v>6739724.5</v>
      </c>
      <c r="AC55" s="2637"/>
      <c r="AD55" s="2637"/>
      <c r="AE55" s="2637"/>
      <c r="AF55" s="2638"/>
    </row>
    <row r="56" spans="1:76" ht="12.9" customHeight="1">
      <c r="D56" s="435" t="s">
        <v>764</v>
      </c>
      <c r="AB56" s="2667">
        <f>(IF((Y41&lt;AB55),Y41,AB55))</f>
        <v>6739724.5</v>
      </c>
      <c r="AC56" s="2668"/>
      <c r="AD56" s="2668"/>
      <c r="AE56" s="2668"/>
      <c r="AF56" s="2669"/>
    </row>
    <row r="57" spans="1:76" ht="12.9" customHeight="1">
      <c r="D57" s="435" t="s">
        <v>763</v>
      </c>
      <c r="AB57" s="2636">
        <f>ROUND((10*AB56*AB50),0)</f>
        <v>63353410</v>
      </c>
      <c r="AC57" s="2637"/>
      <c r="AD57" s="2637"/>
      <c r="AE57" s="2637"/>
      <c r="AF57" s="2638"/>
    </row>
    <row r="58" spans="1:76" ht="12.9" customHeight="1">
      <c r="D58" s="435"/>
      <c r="AB58" s="454"/>
      <c r="AC58" s="454"/>
      <c r="AD58" s="454"/>
      <c r="AE58" s="454"/>
      <c r="AF58" s="454"/>
    </row>
    <row r="59" spans="1:76" ht="12.9" customHeight="1">
      <c r="D59" s="435" t="s">
        <v>762</v>
      </c>
      <c r="AB59" s="2659">
        <f>AB49-AB57</f>
        <v>0</v>
      </c>
      <c r="AC59" s="2659"/>
      <c r="AD59" s="2659"/>
      <c r="AE59" s="2659"/>
      <c r="AF59" s="2659"/>
    </row>
    <row r="60" spans="1:76" ht="12.9" customHeight="1">
      <c r="D60" s="435"/>
      <c r="AB60" s="454"/>
      <c r="AC60" s="454"/>
      <c r="AD60" s="454"/>
      <c r="AE60" s="454"/>
      <c r="AF60" s="454"/>
    </row>
    <row r="61" spans="1:76" s="218" customFormat="1" ht="12.9" customHeight="1" thickBot="1">
      <c r="A61" s="2624" t="str">
        <f>IF(Application!AP205="yes","Farmworker State Credit", "State Credit" )</f>
        <v>State Credit</v>
      </c>
      <c r="B61" s="2624"/>
      <c r="C61" s="2624"/>
      <c r="D61" s="2624"/>
      <c r="E61" s="2624"/>
      <c r="F61" s="2624"/>
      <c r="G61" s="2624"/>
      <c r="H61" s="2624"/>
      <c r="I61" s="2624"/>
      <c r="J61" s="2624"/>
      <c r="K61" s="2624"/>
      <c r="L61" s="2624"/>
      <c r="M61" s="2624"/>
      <c r="N61" s="2624"/>
      <c r="O61" s="2624"/>
      <c r="P61" s="2624"/>
      <c r="Q61" s="2624"/>
      <c r="R61" s="2624"/>
      <c r="S61" s="2624"/>
      <c r="T61" s="2624"/>
      <c r="U61" s="2624"/>
      <c r="V61" s="2624"/>
      <c r="W61" s="2624"/>
      <c r="X61" s="2624"/>
      <c r="Y61" s="2624"/>
      <c r="Z61" s="2624"/>
      <c r="AA61" s="2624"/>
      <c r="AB61" s="2624"/>
      <c r="AC61" s="2624"/>
      <c r="AD61" s="2624"/>
      <c r="AE61" s="2624"/>
      <c r="AF61" s="2624"/>
      <c r="AG61" s="2624"/>
      <c r="AH61" s="2624"/>
      <c r="AI61" s="2624"/>
      <c r="AJ61" s="2624"/>
      <c r="AK61" s="2624"/>
      <c r="AL61" s="2624"/>
      <c r="AM61" s="2624"/>
      <c r="AN61" s="2624"/>
      <c r="AO61" s="2624"/>
      <c r="AP61" s="2624"/>
      <c r="AQ61" s="2624"/>
      <c r="AR61" s="2624"/>
      <c r="AS61" s="2624"/>
      <c r="AT61" s="2624"/>
      <c r="AU61" s="2624"/>
      <c r="AV61" s="2624"/>
      <c r="AW61" s="2624"/>
      <c r="AX61" s="2624"/>
      <c r="AY61" s="2624"/>
      <c r="AZ61" s="2624"/>
      <c r="BA61" s="2624"/>
      <c r="BB61" s="2624"/>
      <c r="BC61" s="2624"/>
      <c r="BD61" s="2624"/>
      <c r="BE61" s="2624"/>
      <c r="BF61" s="2624"/>
      <c r="BG61" s="2624"/>
      <c r="BH61" s="2624"/>
      <c r="BI61" s="2624"/>
      <c r="BJ61" s="2624"/>
      <c r="BK61" s="2624"/>
      <c r="BL61" s="2624"/>
      <c r="BM61" s="2624"/>
      <c r="BN61" s="2624"/>
      <c r="BO61" s="2624"/>
      <c r="BP61" s="2624"/>
      <c r="BQ61" s="2624"/>
      <c r="BR61" s="2624"/>
      <c r="BS61" s="2624"/>
      <c r="BT61" s="2624"/>
      <c r="BU61" s="2624"/>
      <c r="BV61" s="2624"/>
      <c r="BW61" s="2624"/>
      <c r="BX61" s="2624"/>
    </row>
    <row r="62" spans="1:76" s="218" customFormat="1" ht="12.9" customHeight="1" thickTop="1"/>
    <row r="63" spans="1:76" ht="12.9" customHeight="1">
      <c r="A63" s="435" t="s">
        <v>596</v>
      </c>
      <c r="C63" s="219" t="s">
        <v>1356</v>
      </c>
      <c r="Y63" s="2660" t="s">
        <v>1002</v>
      </c>
      <c r="Z63" s="2660"/>
      <c r="AA63" s="2660"/>
      <c r="AB63" s="2660"/>
      <c r="AC63" s="2660"/>
      <c r="AD63" s="2660" t="s">
        <v>369</v>
      </c>
      <c r="AE63" s="2660"/>
      <c r="AF63" s="2660"/>
      <c r="AG63" s="2660"/>
      <c r="AH63" s="2660"/>
    </row>
    <row r="64" spans="1:76" ht="12.9"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1">
        <f>IF(Application!Z205="(select)",0,((T23*T27)+Y28))</f>
        <v>168642956</v>
      </c>
      <c r="Z64" s="2661"/>
      <c r="AA64" s="2661"/>
      <c r="AB64" s="2661"/>
      <c r="AC64" s="2662"/>
      <c r="AD64" s="2621">
        <f>IF(AND(OR(Application!D211="At-Risk",Application!D211="At-Risk and Special Needs"),Application!M358="yes"),AD28+AI28,0)</f>
        <v>0</v>
      </c>
      <c r="AE64" s="2661"/>
      <c r="AF64" s="2661"/>
      <c r="AG64" s="2661"/>
      <c r="AH64" s="2662"/>
    </row>
    <row r="65" spans="1:36" ht="12.9"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77">
        <f>IF(OR(Application!AP205="yes",Application!Z204="$500M (Farmworker Housing)"),0.75,IF(Application!Z204="15% set-aside",0.13,IF(Application!Z204="15% set-aside with qualifying low value rehab",0.95,0.3)))</f>
        <v>0.3</v>
      </c>
      <c r="Z67" s="2677"/>
      <c r="AA67" s="2677"/>
      <c r="AB67" s="2677"/>
      <c r="AC67" s="2677"/>
      <c r="AD67" s="2677">
        <f>IF(Application!Z204="15% set-aside with qualifying low value rehab", 0.95,0.13)</f>
        <v>0.13</v>
      </c>
      <c r="AE67" s="2677"/>
      <c r="AF67" s="2677"/>
      <c r="AG67" s="2677"/>
      <c r="AH67" s="2677"/>
    </row>
    <row r="68" spans="1:36" ht="12.9" customHeight="1">
      <c r="C68" s="435"/>
      <c r="D68" s="219" t="s">
        <v>2635</v>
      </c>
      <c r="Y68" s="2620">
        <f>ROUND(Y64*Y67,0)</f>
        <v>50592887</v>
      </c>
      <c r="Z68" s="2678"/>
      <c r="AA68" s="2678"/>
      <c r="AB68" s="2678"/>
      <c r="AC68" s="2678"/>
      <c r="AD68" s="2620">
        <f>ROUND(AD64*AD67,0)</f>
        <v>0</v>
      </c>
      <c r="AE68" s="2678"/>
      <c r="AF68" s="2678"/>
      <c r="AG68" s="2678"/>
      <c r="AH68" s="2678"/>
    </row>
    <row r="69" spans="1:36" ht="12.9" customHeight="1">
      <c r="C69" s="435"/>
      <c r="D69" s="219" t="s">
        <v>2636</v>
      </c>
      <c r="Y69" s="2620">
        <f>IF(OR(Application!AP205="yes",Application!Z204="$500M (Farmworker Housing)"),Y68+AD68,MIN(Y68+AD68,200000*(Application!G753+Application!O777)))</f>
        <v>50592887</v>
      </c>
      <c r="Z69" s="2620"/>
      <c r="AA69" s="2620"/>
      <c r="AB69" s="2620"/>
      <c r="AC69" s="2620"/>
      <c r="AD69" s="2620"/>
      <c r="AE69" s="2620"/>
      <c r="AF69" s="2620"/>
      <c r="AG69" s="2620"/>
      <c r="AH69" s="2620"/>
    </row>
    <row r="70" spans="1:36" ht="12.9" customHeight="1">
      <c r="C70" s="435"/>
      <c r="E70" s="435"/>
      <c r="AB70" s="453"/>
      <c r="AC70" s="453"/>
      <c r="AD70" s="453"/>
      <c r="AE70" s="453"/>
      <c r="AF70" s="453"/>
    </row>
    <row r="71" spans="1:36" ht="12.9" customHeight="1">
      <c r="A71" s="435" t="s">
        <v>597</v>
      </c>
      <c r="C71" s="219" t="s">
        <v>284</v>
      </c>
    </row>
    <row r="72" spans="1:36" ht="12.9" customHeight="1">
      <c r="A72" s="435"/>
      <c r="C72" s="435"/>
      <c r="D72" s="219" t="s">
        <v>1358</v>
      </c>
      <c r="AB72" s="2663"/>
      <c r="AC72" s="2664"/>
      <c r="AD72" s="2664"/>
      <c r="AE72" s="2664"/>
      <c r="AF72" s="2665"/>
    </row>
    <row r="73" spans="1:36" ht="12.9" customHeight="1">
      <c r="A73" s="435"/>
      <c r="C73" s="435"/>
      <c r="D73" s="435"/>
      <c r="E73" s="2679" t="s">
        <v>1359</v>
      </c>
      <c r="F73" s="2679"/>
      <c r="G73" s="2679"/>
      <c r="H73" s="2679"/>
      <c r="I73" s="2679"/>
      <c r="J73" s="2679"/>
      <c r="K73" s="2679"/>
      <c r="L73" s="2679"/>
      <c r="M73" s="2679"/>
      <c r="N73" s="2679"/>
      <c r="O73" s="2679"/>
      <c r="P73" s="2679"/>
      <c r="Q73" s="2679"/>
      <c r="R73" s="2679"/>
      <c r="S73" s="2679"/>
      <c r="T73" s="2679"/>
      <c r="U73" s="2679"/>
      <c r="V73" s="2679"/>
      <c r="W73" s="2679"/>
      <c r="X73" s="2679"/>
      <c r="Y73" s="2679"/>
      <c r="Z73" s="2679"/>
      <c r="AA73" s="2679"/>
      <c r="AB73" s="471"/>
      <c r="AC73" s="471"/>
    </row>
    <row r="74" spans="1:36" ht="12.9" customHeight="1">
      <c r="A74" s="435"/>
      <c r="C74" s="435"/>
      <c r="D74" s="435"/>
      <c r="E74" s="2679"/>
      <c r="F74" s="2679"/>
      <c r="G74" s="2679"/>
      <c r="H74" s="2679"/>
      <c r="I74" s="2679"/>
      <c r="J74" s="2679"/>
      <c r="K74" s="2679"/>
      <c r="L74" s="2679"/>
      <c r="M74" s="2679"/>
      <c r="N74" s="2679"/>
      <c r="O74" s="2679"/>
      <c r="P74" s="2679"/>
      <c r="Q74" s="2679"/>
      <c r="R74" s="2679"/>
      <c r="S74" s="2679"/>
      <c r="T74" s="2679"/>
      <c r="U74" s="2679"/>
      <c r="V74" s="2679"/>
      <c r="W74" s="2679"/>
      <c r="X74" s="2679"/>
      <c r="Y74" s="2679"/>
      <c r="Z74" s="2679"/>
      <c r="AA74" s="2679"/>
      <c r="AB74" s="471"/>
      <c r="AC74" s="471"/>
    </row>
    <row r="75" spans="1:36" ht="12.9" customHeight="1">
      <c r="A75" s="435"/>
      <c r="C75" s="435"/>
      <c r="D75" s="435"/>
      <c r="E75" s="2679"/>
      <c r="F75" s="2679"/>
      <c r="G75" s="2679"/>
      <c r="H75" s="2679"/>
      <c r="I75" s="2679"/>
      <c r="J75" s="2679"/>
      <c r="K75" s="2679"/>
      <c r="L75" s="2679"/>
      <c r="M75" s="2679"/>
      <c r="N75" s="2679"/>
      <c r="O75" s="2679"/>
      <c r="P75" s="2679"/>
      <c r="Q75" s="2679"/>
      <c r="R75" s="2679"/>
      <c r="S75" s="2679"/>
      <c r="T75" s="2679"/>
      <c r="U75" s="2679"/>
      <c r="V75" s="2679"/>
      <c r="W75" s="2679"/>
      <c r="X75" s="2679"/>
      <c r="Y75" s="2679"/>
      <c r="Z75" s="2679"/>
      <c r="AA75" s="2679"/>
      <c r="AB75" s="471"/>
      <c r="AC75" s="471"/>
    </row>
    <row r="76" spans="1:36" ht="12.9"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 customHeight="1">
      <c r="C77" s="435"/>
      <c r="D77" s="219" t="s">
        <v>1360</v>
      </c>
      <c r="AB77" s="2672">
        <f>ROUND(IF(ISERROR((AB59/AB72)),0,(AB59/AB72)),0)</f>
        <v>0</v>
      </c>
      <c r="AC77" s="2672"/>
      <c r="AD77" s="2672"/>
      <c r="AE77" s="2672"/>
      <c r="AF77" s="2672"/>
    </row>
    <row r="78" spans="1:36" ht="12.9" customHeight="1">
      <c r="C78" s="435"/>
      <c r="D78" s="219" t="s">
        <v>1361</v>
      </c>
      <c r="AB78" s="2673">
        <f>MIN(Y69,AB77)</f>
        <v>0</v>
      </c>
      <c r="AC78" s="2674"/>
      <c r="AD78" s="2674"/>
      <c r="AE78" s="2674"/>
      <c r="AF78" s="2675"/>
    </row>
    <row r="79" spans="1:36" ht="12.9" customHeight="1">
      <c r="C79" s="435"/>
      <c r="D79" s="219" t="s">
        <v>1362</v>
      </c>
      <c r="AB79" s="2676">
        <f>AB78*AB72</f>
        <v>0</v>
      </c>
      <c r="AC79" s="2676"/>
      <c r="AD79" s="2676"/>
      <c r="AE79" s="2676"/>
      <c r="AF79" s="2676"/>
    </row>
    <row r="80" spans="1:36" ht="12.9" customHeight="1">
      <c r="C80" s="435"/>
      <c r="D80" s="435"/>
      <c r="AB80" s="456"/>
      <c r="AC80" s="456"/>
      <c r="AD80" s="456"/>
      <c r="AE80" s="456"/>
      <c r="AF80" s="456"/>
    </row>
    <row r="81" spans="1:78" ht="12.9" customHeight="1">
      <c r="D81" s="435" t="s">
        <v>762</v>
      </c>
      <c r="AB81" s="2659">
        <f>AB49-(AB57+AB79)</f>
        <v>0</v>
      </c>
      <c r="AC81" s="2659"/>
      <c r="AD81" s="2659"/>
      <c r="AE81" s="2659"/>
      <c r="AF81" s="2659"/>
    </row>
    <row r="82" spans="1:78" ht="12.9" customHeight="1">
      <c r="F82" s="556"/>
      <c r="J82" s="556" t="str">
        <f>IF(AB81&gt;0,"FUNDING GAP MUST NOT EXCEED ZERO","")</f>
        <v/>
      </c>
    </row>
    <row r="83" spans="1:78" ht="12.9" customHeight="1">
      <c r="D83" s="557"/>
    </row>
    <row r="84" spans="1:78" ht="12.9" customHeight="1" thickBot="1">
      <c r="A84" s="2624"/>
      <c r="B84" s="2624"/>
      <c r="C84" s="2624"/>
      <c r="D84" s="2624"/>
      <c r="E84" s="2624"/>
      <c r="F84" s="2624"/>
      <c r="G84" s="2624"/>
      <c r="H84" s="2624"/>
      <c r="I84" s="2624"/>
      <c r="J84" s="2624"/>
      <c r="K84" s="2624"/>
      <c r="L84" s="2624"/>
      <c r="M84" s="2624"/>
      <c r="N84" s="2624"/>
      <c r="O84" s="2624"/>
      <c r="P84" s="2624"/>
      <c r="Q84" s="2624"/>
      <c r="R84" s="2624"/>
      <c r="S84" s="2624"/>
      <c r="T84" s="2624"/>
      <c r="U84" s="2624"/>
      <c r="V84" s="2624"/>
      <c r="W84" s="2624"/>
      <c r="X84" s="2624"/>
      <c r="Y84" s="2624"/>
      <c r="Z84" s="2624"/>
      <c r="AA84" s="2624"/>
      <c r="AB84" s="2624"/>
      <c r="AC84" s="2624"/>
      <c r="AD84" s="2624"/>
      <c r="AE84" s="2624"/>
      <c r="AF84" s="2624"/>
      <c r="AG84" s="2624"/>
      <c r="AH84" s="2624"/>
      <c r="AI84" s="2624"/>
      <c r="AJ84" s="2624"/>
      <c r="AK84" s="2624"/>
      <c r="AL84" s="2624"/>
      <c r="AM84" s="2624"/>
      <c r="AN84" s="2624"/>
      <c r="AO84" s="2624"/>
      <c r="AP84" s="2624"/>
      <c r="AQ84" s="2624"/>
      <c r="AR84" s="2624"/>
      <c r="AS84" s="2624"/>
      <c r="AT84" s="2624"/>
      <c r="AU84" s="2624"/>
      <c r="AV84" s="2624"/>
      <c r="AW84" s="2624"/>
      <c r="AX84" s="2624"/>
      <c r="AY84" s="2624"/>
      <c r="AZ84" s="2624"/>
      <c r="BA84" s="2624"/>
      <c r="BB84" s="2624"/>
      <c r="BC84" s="2624"/>
      <c r="BD84" s="2624"/>
      <c r="BE84" s="2624"/>
      <c r="BF84" s="2624"/>
      <c r="BG84" s="2624"/>
      <c r="BH84" s="2624"/>
      <c r="BI84" s="2624"/>
      <c r="BJ84" s="2624"/>
      <c r="BK84" s="2624"/>
      <c r="BL84" s="2624"/>
      <c r="BM84" s="2624"/>
      <c r="BN84" s="2624"/>
      <c r="BO84" s="2624"/>
      <c r="BP84" s="2624"/>
      <c r="BQ84" s="2624"/>
      <c r="BR84" s="2624"/>
      <c r="BS84" s="2624"/>
      <c r="BT84" s="2624"/>
      <c r="BU84" s="2624"/>
      <c r="BV84" s="2624"/>
      <c r="BW84" s="2624"/>
      <c r="BX84" s="2624"/>
    </row>
    <row r="85" spans="1:78" ht="12.9" customHeight="1" thickTop="1"/>
    <row r="86" spans="1:78" ht="12.9" customHeight="1">
      <c r="A86" s="435"/>
      <c r="C86" s="219"/>
    </row>
    <row r="87" spans="1:78" ht="12.9" customHeight="1">
      <c r="D87" s="219"/>
      <c r="AB87" s="2625"/>
      <c r="AC87" s="2625"/>
      <c r="AD87" s="2625"/>
      <c r="AE87" s="2625"/>
      <c r="AF87" s="2625"/>
    </row>
    <row r="88" spans="1:78" ht="12.9" customHeight="1" thickBot="1">
      <c r="D88" s="219"/>
      <c r="AB88" s="2623"/>
      <c r="AC88" s="2623"/>
      <c r="AD88" s="2623"/>
      <c r="AE88" s="2623"/>
      <c r="AF88" s="2623"/>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 customHeight="1" thickTop="1"/>
  </sheetData>
  <sheetProtection algorithmName="SHA-512" hashValue="m34/CB8VRXzH4BvCigKxvFoaSF7szDIwmLsd1mv909ufonlzlqVwveycz9UJL5efODoE6izDC845450X0Ambkg==" saltValue="pBkLoeCETt8sIZ6OTNOD8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09375" defaultRowHeight="13.8"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09375" style="327"/>
  </cols>
  <sheetData>
    <row r="1" spans="1:12">
      <c r="A1" s="2680" t="s">
        <v>923</v>
      </c>
      <c r="B1" s="2680"/>
      <c r="C1" s="2680"/>
      <c r="D1" s="2680"/>
      <c r="E1" s="2680"/>
      <c r="F1" s="2680"/>
      <c r="G1" s="2680"/>
      <c r="H1" s="2680"/>
      <c r="I1" s="2680"/>
      <c r="J1" s="2680"/>
      <c r="K1" s="218"/>
      <c r="L1" s="218"/>
    </row>
    <row r="2" spans="1:12">
      <c r="A2" s="225"/>
      <c r="B2" s="225"/>
      <c r="C2" s="225"/>
      <c r="D2" s="225"/>
      <c r="E2" s="225"/>
      <c r="F2" s="225"/>
      <c r="G2" s="225"/>
      <c r="H2" s="225"/>
      <c r="I2" s="225"/>
      <c r="J2" s="225"/>
    </row>
    <row r="3" spans="1:12" ht="82.8">
      <c r="A3" s="457" t="s">
        <v>924</v>
      </c>
      <c r="B3" s="457" t="s">
        <v>925</v>
      </c>
      <c r="C3" s="457" t="s">
        <v>2256</v>
      </c>
      <c r="D3" s="1190" t="s">
        <v>926</v>
      </c>
      <c r="E3" s="218"/>
      <c r="F3" s="1190" t="s">
        <v>927</v>
      </c>
      <c r="G3" s="457" t="s">
        <v>928</v>
      </c>
      <c r="H3" s="458"/>
      <c r="I3" s="457" t="s">
        <v>929</v>
      </c>
      <c r="J3" s="457" t="s">
        <v>930</v>
      </c>
      <c r="K3" s="218"/>
      <c r="L3" s="328"/>
    </row>
    <row r="4" spans="1:12">
      <c r="A4" s="459" t="str">
        <f>Application!B718</f>
        <v>SRO/Studio</v>
      </c>
      <c r="B4" s="1121">
        <f>Application!G718</f>
        <v>58</v>
      </c>
      <c r="C4" s="1122"/>
      <c r="D4" s="459">
        <f>Application!O718</f>
        <v>1028</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43</v>
      </c>
      <c r="C5" s="1122"/>
      <c r="D5" s="459">
        <f>Application!O719</f>
        <v>1713</v>
      </c>
      <c r="E5" s="460"/>
      <c r="F5" s="1123"/>
      <c r="G5" s="459">
        <f t="shared" ref="G5:G38" si="2">F5*B5</f>
        <v>0</v>
      </c>
      <c r="H5" s="460"/>
      <c r="I5" s="459" t="str">
        <f t="shared" si="0"/>
        <v/>
      </c>
      <c r="J5" s="459" t="str">
        <f t="shared" si="1"/>
        <v/>
      </c>
      <c r="K5" s="218"/>
      <c r="L5" s="328"/>
    </row>
    <row r="6" spans="1:12">
      <c r="A6" s="459" t="str">
        <f>Application!B720</f>
        <v>SRO/Studio</v>
      </c>
      <c r="B6" s="1121">
        <f>Application!G720</f>
        <v>103</v>
      </c>
      <c r="C6" s="1122"/>
      <c r="D6" s="459">
        <f>Application!O720</f>
        <v>2056</v>
      </c>
      <c r="E6" s="460"/>
      <c r="F6" s="1123"/>
      <c r="G6" s="459">
        <f t="shared" si="2"/>
        <v>0</v>
      </c>
      <c r="H6" s="460"/>
      <c r="I6" s="459" t="str">
        <f t="shared" si="0"/>
        <v/>
      </c>
      <c r="J6" s="459" t="str">
        <f t="shared" si="1"/>
        <v/>
      </c>
      <c r="K6" s="218"/>
      <c r="L6" s="328"/>
    </row>
    <row r="7" spans="1:12">
      <c r="A7" s="459" t="str">
        <f>Application!B721</f>
        <v>SRO/Studio</v>
      </c>
      <c r="B7" s="1121">
        <f>Application!G721</f>
        <v>217</v>
      </c>
      <c r="C7" s="1122"/>
      <c r="D7" s="459">
        <f>Application!O721</f>
        <v>2399</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931</v>
      </c>
      <c r="B40" s="462"/>
      <c r="C40" s="462"/>
      <c r="D40" s="463">
        <f>Application!O753</f>
        <v>865634</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4" zoomScale="90" zoomScaleNormal="90" workbookViewId="0">
      <selection activeCell="E67" sqref="E67"/>
    </sheetView>
  </sheetViews>
  <sheetFormatPr defaultColWidth="0" defaultRowHeight="13.2" zeroHeight="1"/>
  <cols>
    <col min="1" max="1" width="3.6640625" customWidth="1"/>
    <col min="2" max="2" width="30.5546875" customWidth="1"/>
    <col min="3" max="3" width="12.109375" style="229" bestFit="1"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26" t="s">
        <v>2408</v>
      </c>
      <c r="B1" s="226"/>
    </row>
    <row r="2" spans="1:34"/>
    <row r="3" spans="1:34" ht="15.6">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3.8">
      <c r="A4" s="235" t="s">
        <v>847</v>
      </c>
      <c r="C4" s="253">
        <v>1.0249999999999999</v>
      </c>
      <c r="E4" s="235">
        <f>Application!Y801</f>
        <v>10486296</v>
      </c>
      <c r="G4" s="235">
        <f>E4*$C$4</f>
        <v>10748453.399999999</v>
      </c>
      <c r="I4" s="235">
        <f>G4*$C$4</f>
        <v>11017164.734999998</v>
      </c>
      <c r="K4" s="235">
        <f>I4*$C$4</f>
        <v>11292593.853374997</v>
      </c>
      <c r="M4" s="235">
        <f>K4*$C$4</f>
        <v>11574908.699709371</v>
      </c>
      <c r="O4" s="235">
        <f>M4*$C$4</f>
        <v>11864281.417202104</v>
      </c>
      <c r="Q4" s="235">
        <f>O4*$C$4</f>
        <v>12160888.452632155</v>
      </c>
      <c r="S4" s="235">
        <f>Q4*$C$4</f>
        <v>12464910.663947958</v>
      </c>
      <c r="U4" s="235">
        <f>S4*$C$4</f>
        <v>12776533.430546656</v>
      </c>
      <c r="W4" s="235">
        <f>U4*$C$4</f>
        <v>13095946.766310321</v>
      </c>
      <c r="Y4" s="235">
        <f>W4*$C$4</f>
        <v>13423345.435468078</v>
      </c>
      <c r="AA4" s="235">
        <f>Y4*$C$4</f>
        <v>13758929.071354778</v>
      </c>
      <c r="AC4" s="235">
        <f>AA4*$C$4</f>
        <v>14102902.298138646</v>
      </c>
      <c r="AE4" s="235">
        <f>AC4*$C$4</f>
        <v>14455474.855592111</v>
      </c>
      <c r="AG4" s="235">
        <f>AE4*$C$4</f>
        <v>14816861.726981912</v>
      </c>
    </row>
    <row r="5" spans="1:34" s="225" customFormat="1" ht="13.8">
      <c r="B5" s="225" t="s">
        <v>848</v>
      </c>
      <c r="C5" s="254">
        <f>IF(Application!$D$211="Special Needs",0.1,0.05)</f>
        <v>0.05</v>
      </c>
      <c r="E5" s="237">
        <f>-E4*$C$5</f>
        <v>-524314.80000000005</v>
      </c>
      <c r="F5" s="237"/>
      <c r="G5" s="237">
        <f>-G4*$C$5</f>
        <v>-537422.66999999993</v>
      </c>
      <c r="H5" s="237"/>
      <c r="I5" s="237">
        <f>-I4*$C$5</f>
        <v>-550858.23674999992</v>
      </c>
      <c r="J5" s="237"/>
      <c r="K5" s="237">
        <f>-K4*$C$5</f>
        <v>-564629.69266874983</v>
      </c>
      <c r="L5" s="237"/>
      <c r="M5" s="237">
        <f>-M4*$C$5</f>
        <v>-578745.43498546851</v>
      </c>
      <c r="N5" s="237"/>
      <c r="O5" s="237">
        <f>-O4*$C$5</f>
        <v>-593214.07086010522</v>
      </c>
      <c r="P5" s="237"/>
      <c r="Q5" s="237">
        <f>-Q4*$C$5</f>
        <v>-608044.42263160774</v>
      </c>
      <c r="R5" s="237"/>
      <c r="S5" s="237">
        <f>-S4*$C$5</f>
        <v>-623245.53319739795</v>
      </c>
      <c r="T5" s="237"/>
      <c r="U5" s="237">
        <f>-U4*$C$5</f>
        <v>-638826.67152733286</v>
      </c>
      <c r="V5" s="237"/>
      <c r="W5" s="237">
        <f>-W4*$C$5</f>
        <v>-654797.33831551613</v>
      </c>
      <c r="X5" s="237"/>
      <c r="Y5" s="237">
        <f>-Y4*$C$5</f>
        <v>-671167.27177340398</v>
      </c>
      <c r="Z5" s="237"/>
      <c r="AA5" s="237">
        <f>-AA4*$C$5</f>
        <v>-687946.45356773899</v>
      </c>
      <c r="AB5" s="237"/>
      <c r="AC5" s="237">
        <f>-AC4*$C$5</f>
        <v>-705145.11490693234</v>
      </c>
      <c r="AD5" s="237"/>
      <c r="AE5" s="237">
        <f>-AE4*$C$5</f>
        <v>-722773.74277960556</v>
      </c>
      <c r="AF5" s="237"/>
      <c r="AG5" s="237">
        <f>-AG4*$C$5</f>
        <v>-740843.08634909568</v>
      </c>
    </row>
    <row r="6" spans="1:34" s="225" customFormat="1" ht="13.8">
      <c r="A6" s="225" t="s">
        <v>846</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3.8">
      <c r="B7" s="225" t="s">
        <v>848</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3.8">
      <c r="A8" s="225" t="s">
        <v>288</v>
      </c>
      <c r="C8" s="253">
        <v>1.0249999999999999</v>
      </c>
      <c r="E8" s="238">
        <f>Application!Z817</f>
        <v>399313</v>
      </c>
      <c r="F8" s="238"/>
      <c r="G8" s="238">
        <f>E8*$C$8</f>
        <v>409295.82499999995</v>
      </c>
      <c r="H8" s="238"/>
      <c r="I8" s="238">
        <f>G8*$C$8</f>
        <v>419528.2206249999</v>
      </c>
      <c r="J8" s="238"/>
      <c r="K8" s="238">
        <f>I8*$C$8</f>
        <v>430016.42614062486</v>
      </c>
      <c r="L8" s="238"/>
      <c r="M8" s="238">
        <f>K8*$C$8</f>
        <v>440766.83679414046</v>
      </c>
      <c r="N8" s="238"/>
      <c r="O8" s="238">
        <f>M8*$C$8</f>
        <v>451786.00771399395</v>
      </c>
      <c r="P8" s="238"/>
      <c r="Q8" s="238">
        <f>O8*$C$8</f>
        <v>463080.65790684376</v>
      </c>
      <c r="R8" s="238"/>
      <c r="S8" s="238">
        <f>Q8*$C$8</f>
        <v>474657.67435451481</v>
      </c>
      <c r="T8" s="238"/>
      <c r="U8" s="238">
        <f>S8*$C$8</f>
        <v>486524.11621337762</v>
      </c>
      <c r="V8" s="238"/>
      <c r="W8" s="238">
        <f>U8*$C$8</f>
        <v>498687.219118712</v>
      </c>
      <c r="X8" s="238"/>
      <c r="Y8" s="238">
        <f>W8*$C$8</f>
        <v>511154.39959667978</v>
      </c>
      <c r="Z8" s="238"/>
      <c r="AA8" s="238">
        <f>Y8*$C$8</f>
        <v>523933.25958659675</v>
      </c>
      <c r="AB8" s="238"/>
      <c r="AC8" s="238">
        <f>AA8*$C$8</f>
        <v>537031.5910762616</v>
      </c>
      <c r="AD8" s="238"/>
      <c r="AE8" s="238">
        <f>AC8*$C$8</f>
        <v>550457.38085316808</v>
      </c>
      <c r="AF8" s="238"/>
      <c r="AG8" s="238">
        <f>AE8*$C$8</f>
        <v>564218.81537449721</v>
      </c>
    </row>
    <row r="9" spans="1:34" s="225" customFormat="1" ht="13.8">
      <c r="B9" s="225" t="s">
        <v>848</v>
      </c>
      <c r="C9" s="254">
        <f>IF(Application!$D$211="Special Needs",0.1,0.05)</f>
        <v>0.05</v>
      </c>
      <c r="E9" s="237">
        <f>-E8*$C$9</f>
        <v>-19965.650000000001</v>
      </c>
      <c r="F9" s="237"/>
      <c r="G9" s="237">
        <f>-G8*$C$9</f>
        <v>-20464.791249999998</v>
      </c>
      <c r="H9" s="237"/>
      <c r="I9" s="237">
        <f>-I8*$C$9</f>
        <v>-20976.411031249998</v>
      </c>
      <c r="J9" s="237"/>
      <c r="K9" s="237">
        <f>-K8*$C$9</f>
        <v>-21500.821307031245</v>
      </c>
      <c r="L9" s="237"/>
      <c r="M9" s="237">
        <f>-M8*$C$9</f>
        <v>-22038.341839707024</v>
      </c>
      <c r="N9" s="237"/>
      <c r="O9" s="237">
        <f>-O8*$C$9</f>
        <v>-22589.300385699698</v>
      </c>
      <c r="P9" s="237"/>
      <c r="Q9" s="237">
        <f>-Q8*$C$9</f>
        <v>-23154.032895342189</v>
      </c>
      <c r="R9" s="237"/>
      <c r="S9" s="237">
        <f>-S8*$C$9</f>
        <v>-23732.883717725741</v>
      </c>
      <c r="T9" s="237"/>
      <c r="U9" s="237">
        <f>-U8*$C$9</f>
        <v>-24326.205810668882</v>
      </c>
      <c r="V9" s="237"/>
      <c r="W9" s="237">
        <f>-W8*$C$9</f>
        <v>-24934.360955935601</v>
      </c>
      <c r="X9" s="237"/>
      <c r="Y9" s="237">
        <f>-Y8*$C$9</f>
        <v>-25557.71997983399</v>
      </c>
      <c r="Z9" s="237"/>
      <c r="AA9" s="237">
        <f>-AA8*$C$9</f>
        <v>-26196.662979329838</v>
      </c>
      <c r="AB9" s="237"/>
      <c r="AC9" s="237">
        <f>-AC8*$C$9</f>
        <v>-26851.579553813081</v>
      </c>
      <c r="AD9" s="237"/>
      <c r="AE9" s="237">
        <f>-AE8*$C$9</f>
        <v>-27522.869042658407</v>
      </c>
      <c r="AF9" s="237"/>
      <c r="AG9" s="237">
        <f>-AG8*$C$9</f>
        <v>-28210.94076872486</v>
      </c>
    </row>
    <row r="10" spans="1:34" s="225" customFormat="1" ht="13.8">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8">
      <c r="A11" s="239" t="s">
        <v>869</v>
      </c>
      <c r="C11" s="231"/>
      <c r="E11" s="239">
        <f>SUM(E4:E10)</f>
        <v>10341328.549999999</v>
      </c>
      <c r="G11" s="239">
        <f>SUM(G4:G10)</f>
        <v>10599861.763749998</v>
      </c>
      <c r="I11" s="239">
        <f>SUM(I4:I10)</f>
        <v>10864858.307843748</v>
      </c>
      <c r="K11" s="239">
        <f>SUM(K4:K10)</f>
        <v>11136479.765539842</v>
      </c>
      <c r="M11" s="239">
        <f>SUM(M4:M10)</f>
        <v>11414891.759678336</v>
      </c>
      <c r="O11" s="239">
        <f>SUM(O4:O10)</f>
        <v>11700264.053670293</v>
      </c>
      <c r="Q11" s="239">
        <f>SUM(Q4:Q10)</f>
        <v>11992770.655012049</v>
      </c>
      <c r="S11" s="239">
        <f>SUM(S4:S10)</f>
        <v>12292589.92138735</v>
      </c>
      <c r="U11" s="239">
        <f>SUM(U4:U10)</f>
        <v>12599904.66942203</v>
      </c>
      <c r="W11" s="239">
        <f>SUM(W4:W10)</f>
        <v>12914902.286157582</v>
      </c>
      <c r="Y11" s="239">
        <f>SUM(Y4:Y10)</f>
        <v>13237774.84331152</v>
      </c>
      <c r="AA11" s="239">
        <f>SUM(AA4:AA10)</f>
        <v>13568719.214394307</v>
      </c>
      <c r="AC11" s="239">
        <f>SUM(AC4:AC10)</f>
        <v>13907937.194754163</v>
      </c>
      <c r="AE11" s="239">
        <f>SUM(AE4:AE10)</f>
        <v>14255635.624623016</v>
      </c>
      <c r="AG11" s="239">
        <f>SUM(AG4:AG10)</f>
        <v>14612026.515238589</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6">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8">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8">
      <c r="A15" s="235" t="s">
        <v>851</v>
      </c>
      <c r="C15" s="185"/>
      <c r="E15" s="235">
        <f>Application!W847</f>
        <v>174950</v>
      </c>
      <c r="G15" s="235">
        <f>E15*$C$14</f>
        <v>181073.25</v>
      </c>
      <c r="I15" s="235">
        <f>G15*$C$14</f>
        <v>187410.81374999997</v>
      </c>
      <c r="K15" s="235">
        <f>I15*$C$14</f>
        <v>193970.19223124997</v>
      </c>
      <c r="M15" s="235">
        <f>K15*$C$14</f>
        <v>200759.1489593437</v>
      </c>
      <c r="O15" s="235">
        <f>M15*$C$14</f>
        <v>207785.71917292071</v>
      </c>
      <c r="Q15" s="235">
        <f>O15*$C$14</f>
        <v>215058.21934397292</v>
      </c>
      <c r="S15" s="235">
        <f>Q15*$C$14</f>
        <v>222585.25702101196</v>
      </c>
      <c r="U15" s="235">
        <f>S15*$C$14</f>
        <v>230375.74101674737</v>
      </c>
      <c r="W15" s="235">
        <f>U15*$C$14</f>
        <v>238438.89195233351</v>
      </c>
      <c r="Y15" s="235">
        <f>W15*$C$14</f>
        <v>246784.25317066515</v>
      </c>
      <c r="AA15" s="235">
        <f>Y15*$C$14</f>
        <v>255421.70203163842</v>
      </c>
      <c r="AC15" s="235">
        <f>AA15*$C$14</f>
        <v>264361.46160274575</v>
      </c>
      <c r="AE15" s="235">
        <f>AC15*$C$14</f>
        <v>273614.11275884183</v>
      </c>
      <c r="AG15" s="235">
        <f>AE15*$C$14</f>
        <v>283190.60670540127</v>
      </c>
    </row>
    <row r="16" spans="1:34" s="225" customFormat="1" ht="13.8">
      <c r="A16" s="225" t="s">
        <v>344</v>
      </c>
      <c r="C16" s="249"/>
      <c r="E16" s="238">
        <f>Application!W849</f>
        <v>319623</v>
      </c>
      <c r="F16" s="238"/>
      <c r="G16" s="238">
        <f t="shared" ref="G16:AG21" si="0">E16*$C$14</f>
        <v>330809.80499999999</v>
      </c>
      <c r="H16" s="238"/>
      <c r="I16" s="238">
        <f t="shared" si="0"/>
        <v>342388.14817499998</v>
      </c>
      <c r="J16" s="238"/>
      <c r="K16" s="238">
        <f t="shared" si="0"/>
        <v>354371.73336112493</v>
      </c>
      <c r="L16" s="238"/>
      <c r="M16" s="238">
        <f t="shared" si="0"/>
        <v>366774.74402876425</v>
      </c>
      <c r="N16" s="238"/>
      <c r="O16" s="238">
        <f t="shared" si="0"/>
        <v>379611.86006977095</v>
      </c>
      <c r="P16" s="238"/>
      <c r="Q16" s="238">
        <f t="shared" si="0"/>
        <v>392898.27517221292</v>
      </c>
      <c r="R16" s="238"/>
      <c r="S16" s="238">
        <f t="shared" si="0"/>
        <v>406649.71480324032</v>
      </c>
      <c r="T16" s="238"/>
      <c r="U16" s="238">
        <f t="shared" si="0"/>
        <v>420882.45482135372</v>
      </c>
      <c r="V16" s="238"/>
      <c r="W16" s="238">
        <f t="shared" si="0"/>
        <v>435613.34074010106</v>
      </c>
      <c r="X16" s="238"/>
      <c r="Y16" s="238">
        <f t="shared" si="0"/>
        <v>450859.80766600458</v>
      </c>
      <c r="Z16" s="238"/>
      <c r="AA16" s="238">
        <f t="shared" si="0"/>
        <v>466639.9009343147</v>
      </c>
      <c r="AB16" s="238"/>
      <c r="AC16" s="238">
        <f t="shared" si="0"/>
        <v>482972.29746701568</v>
      </c>
      <c r="AD16" s="238"/>
      <c r="AE16" s="238">
        <f t="shared" si="0"/>
        <v>499876.32787836122</v>
      </c>
      <c r="AF16" s="238"/>
      <c r="AG16" s="238">
        <f t="shared" si="0"/>
        <v>517371.99935410381</v>
      </c>
    </row>
    <row r="17" spans="1:33" s="225" customFormat="1" ht="13.8">
      <c r="A17" s="225" t="s">
        <v>568</v>
      </c>
      <c r="C17" s="249"/>
      <c r="E17" s="238">
        <f>Application!W855</f>
        <v>615000</v>
      </c>
      <c r="F17" s="238"/>
      <c r="G17" s="238">
        <f t="shared" si="0"/>
        <v>636525</v>
      </c>
      <c r="H17" s="238"/>
      <c r="I17" s="238">
        <f t="shared" si="0"/>
        <v>658803.375</v>
      </c>
      <c r="J17" s="238"/>
      <c r="K17" s="238">
        <f t="shared" si="0"/>
        <v>681861.49312499992</v>
      </c>
      <c r="L17" s="238"/>
      <c r="M17" s="238">
        <f t="shared" si="0"/>
        <v>705726.64538437489</v>
      </c>
      <c r="N17" s="238"/>
      <c r="O17" s="238">
        <f t="shared" si="0"/>
        <v>730427.07797282794</v>
      </c>
      <c r="P17" s="238"/>
      <c r="Q17" s="238">
        <f t="shared" si="0"/>
        <v>755992.02570187685</v>
      </c>
      <c r="R17" s="238"/>
      <c r="S17" s="238">
        <f t="shared" si="0"/>
        <v>782451.74660144246</v>
      </c>
      <c r="T17" s="238"/>
      <c r="U17" s="238">
        <f t="shared" si="0"/>
        <v>809837.55773249292</v>
      </c>
      <c r="V17" s="238"/>
      <c r="W17" s="238">
        <f t="shared" si="0"/>
        <v>838181.87225313007</v>
      </c>
      <c r="X17" s="238"/>
      <c r="Y17" s="238">
        <f t="shared" si="0"/>
        <v>867518.2377819895</v>
      </c>
      <c r="Z17" s="238"/>
      <c r="AA17" s="238">
        <f t="shared" si="0"/>
        <v>897881.37610435905</v>
      </c>
      <c r="AB17" s="238"/>
      <c r="AC17" s="238">
        <f t="shared" si="0"/>
        <v>929307.22426801152</v>
      </c>
      <c r="AD17" s="238"/>
      <c r="AE17" s="238">
        <f t="shared" si="0"/>
        <v>961832.97711739189</v>
      </c>
      <c r="AF17" s="238"/>
      <c r="AG17" s="238">
        <f t="shared" si="0"/>
        <v>995497.13131650048</v>
      </c>
    </row>
    <row r="18" spans="1:33" s="225" customFormat="1" ht="13.8">
      <c r="A18" s="225" t="s">
        <v>852</v>
      </c>
      <c r="C18" s="249"/>
      <c r="E18" s="238">
        <f>Application!W862</f>
        <v>764400</v>
      </c>
      <c r="F18" s="238"/>
      <c r="G18" s="238">
        <f t="shared" si="0"/>
        <v>791153.99999999988</v>
      </c>
      <c r="H18" s="238"/>
      <c r="I18" s="238">
        <f t="shared" si="0"/>
        <v>818844.38999999978</v>
      </c>
      <c r="J18" s="238"/>
      <c r="K18" s="238">
        <f t="shared" si="0"/>
        <v>847503.94364999968</v>
      </c>
      <c r="L18" s="238"/>
      <c r="M18" s="238">
        <f t="shared" si="0"/>
        <v>877166.58167774964</v>
      </c>
      <c r="N18" s="238"/>
      <c r="O18" s="238">
        <f t="shared" si="0"/>
        <v>907867.41203647084</v>
      </c>
      <c r="P18" s="238"/>
      <c r="Q18" s="238">
        <f t="shared" si="0"/>
        <v>939642.77145774721</v>
      </c>
      <c r="R18" s="238"/>
      <c r="S18" s="238">
        <f t="shared" si="0"/>
        <v>972530.26845876826</v>
      </c>
      <c r="T18" s="238"/>
      <c r="U18" s="238">
        <f t="shared" si="0"/>
        <v>1006568.8278548251</v>
      </c>
      <c r="V18" s="238"/>
      <c r="W18" s="238">
        <f t="shared" si="0"/>
        <v>1041798.7368297438</v>
      </c>
      <c r="X18" s="238"/>
      <c r="Y18" s="238">
        <f t="shared" si="0"/>
        <v>1078261.6926187847</v>
      </c>
      <c r="Z18" s="238"/>
      <c r="AA18" s="238">
        <f t="shared" si="0"/>
        <v>1116000.8518604422</v>
      </c>
      <c r="AB18" s="238"/>
      <c r="AC18" s="238">
        <f t="shared" si="0"/>
        <v>1155060.8816755577</v>
      </c>
      <c r="AD18" s="238"/>
      <c r="AE18" s="238">
        <f t="shared" si="0"/>
        <v>1195488.0125342021</v>
      </c>
      <c r="AF18" s="238"/>
      <c r="AG18" s="238">
        <f t="shared" si="0"/>
        <v>1237330.0929728991</v>
      </c>
    </row>
    <row r="19" spans="1:33" s="225" customFormat="1" ht="13.8">
      <c r="A19" s="225" t="s">
        <v>155</v>
      </c>
      <c r="C19" s="249"/>
      <c r="E19" s="238">
        <f>Application!W863</f>
        <v>0</v>
      </c>
      <c r="F19" s="238"/>
      <c r="G19" s="238">
        <f t="shared" si="0"/>
        <v>0</v>
      </c>
      <c r="H19" s="238"/>
      <c r="I19" s="238">
        <f t="shared" si="0"/>
        <v>0</v>
      </c>
      <c r="J19" s="238"/>
      <c r="K19" s="238">
        <f t="shared" si="0"/>
        <v>0</v>
      </c>
      <c r="L19" s="238"/>
      <c r="M19" s="238">
        <f t="shared" si="0"/>
        <v>0</v>
      </c>
      <c r="N19" s="238"/>
      <c r="O19" s="238">
        <f t="shared" si="0"/>
        <v>0</v>
      </c>
      <c r="P19" s="238"/>
      <c r="Q19" s="238">
        <f t="shared" si="0"/>
        <v>0</v>
      </c>
      <c r="R19" s="238"/>
      <c r="S19" s="238">
        <f t="shared" si="0"/>
        <v>0</v>
      </c>
      <c r="T19" s="238"/>
      <c r="U19" s="238">
        <f t="shared" si="0"/>
        <v>0</v>
      </c>
      <c r="V19" s="238"/>
      <c r="W19" s="238">
        <f t="shared" si="0"/>
        <v>0</v>
      </c>
      <c r="X19" s="238"/>
      <c r="Y19" s="238">
        <f t="shared" si="0"/>
        <v>0</v>
      </c>
      <c r="Z19" s="238"/>
      <c r="AA19" s="238">
        <f t="shared" si="0"/>
        <v>0</v>
      </c>
      <c r="AB19" s="238"/>
      <c r="AC19" s="238">
        <f t="shared" si="0"/>
        <v>0</v>
      </c>
      <c r="AD19" s="238"/>
      <c r="AE19" s="238">
        <f t="shared" si="0"/>
        <v>0</v>
      </c>
      <c r="AF19" s="238"/>
      <c r="AG19" s="238">
        <f t="shared" si="0"/>
        <v>0</v>
      </c>
    </row>
    <row r="20" spans="1:33" s="225" customFormat="1" ht="13.8">
      <c r="A20" s="225" t="s">
        <v>390</v>
      </c>
      <c r="C20" s="249"/>
      <c r="E20" s="238">
        <f>Application!W872</f>
        <v>546900</v>
      </c>
      <c r="F20" s="238"/>
      <c r="G20" s="238">
        <f t="shared" si="0"/>
        <v>566041.5</v>
      </c>
      <c r="H20" s="238"/>
      <c r="I20" s="238">
        <f t="shared" si="0"/>
        <v>585852.9524999999</v>
      </c>
      <c r="J20" s="238"/>
      <c r="K20" s="238">
        <f t="shared" si="0"/>
        <v>606357.80583749979</v>
      </c>
      <c r="L20" s="238"/>
      <c r="M20" s="238">
        <f t="shared" si="0"/>
        <v>627580.32904181222</v>
      </c>
      <c r="N20" s="238"/>
      <c r="O20" s="238">
        <f t="shared" si="0"/>
        <v>649545.64055827563</v>
      </c>
      <c r="P20" s="238"/>
      <c r="Q20" s="238">
        <f t="shared" si="0"/>
        <v>672279.73797781521</v>
      </c>
      <c r="R20" s="238"/>
      <c r="S20" s="238">
        <f t="shared" si="0"/>
        <v>695809.52880703867</v>
      </c>
      <c r="T20" s="238"/>
      <c r="U20" s="238">
        <f t="shared" si="0"/>
        <v>720162.86231528502</v>
      </c>
      <c r="V20" s="238"/>
      <c r="W20" s="238">
        <f t="shared" si="0"/>
        <v>745368.56249632</v>
      </c>
      <c r="X20" s="238"/>
      <c r="Y20" s="238">
        <f t="shared" si="0"/>
        <v>771456.4621836911</v>
      </c>
      <c r="Z20" s="238"/>
      <c r="AA20" s="238">
        <f t="shared" si="0"/>
        <v>798457.43836012017</v>
      </c>
      <c r="AB20" s="238"/>
      <c r="AC20" s="238">
        <f t="shared" si="0"/>
        <v>826403.4487027243</v>
      </c>
      <c r="AD20" s="238"/>
      <c r="AE20" s="238">
        <f t="shared" si="0"/>
        <v>855327.56940731953</v>
      </c>
      <c r="AF20" s="238"/>
      <c r="AG20" s="238">
        <f t="shared" si="0"/>
        <v>885264.03433657566</v>
      </c>
    </row>
    <row r="21" spans="1:33" s="225" customFormat="1" ht="13.8">
      <c r="A21" s="242" t="s">
        <v>980</v>
      </c>
      <c r="B21" s="242"/>
      <c r="C21" s="249"/>
      <c r="E21" s="248">
        <f>Application!W879</f>
        <v>803788</v>
      </c>
      <c r="F21" s="238"/>
      <c r="G21" s="248">
        <f t="shared" si="0"/>
        <v>831920.58</v>
      </c>
      <c r="H21" s="238"/>
      <c r="I21" s="248">
        <f t="shared" si="0"/>
        <v>861037.80029999989</v>
      </c>
      <c r="J21" s="238"/>
      <c r="K21" s="248">
        <f t="shared" si="0"/>
        <v>891174.12331049982</v>
      </c>
      <c r="L21" s="238"/>
      <c r="M21" s="248">
        <f t="shared" si="0"/>
        <v>922365.21762636723</v>
      </c>
      <c r="N21" s="238"/>
      <c r="O21" s="248">
        <f t="shared" si="0"/>
        <v>954648.00024328998</v>
      </c>
      <c r="P21" s="238"/>
      <c r="Q21" s="248">
        <f t="shared" si="0"/>
        <v>988060.680251805</v>
      </c>
      <c r="R21" s="238"/>
      <c r="S21" s="248">
        <f t="shared" si="0"/>
        <v>1022642.804060618</v>
      </c>
      <c r="T21" s="238"/>
      <c r="U21" s="248">
        <f t="shared" si="0"/>
        <v>1058435.3022027395</v>
      </c>
      <c r="V21" s="238"/>
      <c r="W21" s="248">
        <f t="shared" si="0"/>
        <v>1095480.5377798353</v>
      </c>
      <c r="X21" s="238"/>
      <c r="Y21" s="248">
        <f t="shared" si="0"/>
        <v>1133822.3566021295</v>
      </c>
      <c r="Z21" s="238"/>
      <c r="AA21" s="248">
        <f t="shared" si="0"/>
        <v>1173506.1390832039</v>
      </c>
      <c r="AB21" s="238"/>
      <c r="AC21" s="248">
        <f t="shared" si="0"/>
        <v>1214578.8539511159</v>
      </c>
      <c r="AD21" s="238"/>
      <c r="AE21" s="248">
        <f t="shared" si="0"/>
        <v>1257089.1138394049</v>
      </c>
      <c r="AF21" s="238"/>
      <c r="AG21" s="248">
        <f t="shared" si="0"/>
        <v>1301087.232823784</v>
      </c>
    </row>
    <row r="22" spans="1:33" s="239" customFormat="1" ht="13.8">
      <c r="A22" s="239" t="s">
        <v>853</v>
      </c>
      <c r="C22" s="249"/>
      <c r="E22" s="239">
        <f>SUM(E15:E21)</f>
        <v>3224661</v>
      </c>
      <c r="G22" s="239">
        <f>SUM(G15:G21)</f>
        <v>3337524.1349999998</v>
      </c>
      <c r="I22" s="239">
        <f>SUM(I15:I21)</f>
        <v>3454337.4797249991</v>
      </c>
      <c r="K22" s="239">
        <f>SUM(K15:K21)</f>
        <v>3575239.2915153741</v>
      </c>
      <c r="M22" s="239">
        <f>SUM(M15:M21)</f>
        <v>3700372.6667184117</v>
      </c>
      <c r="O22" s="239">
        <f>SUM(O15:O21)</f>
        <v>3829885.7100535561</v>
      </c>
      <c r="Q22" s="239">
        <f>SUM(Q15:Q21)</f>
        <v>3963931.7099054302</v>
      </c>
      <c r="S22" s="239">
        <f>SUM(S15:S21)</f>
        <v>4102669.3197521199</v>
      </c>
      <c r="U22" s="239">
        <f>SUM(U15:U21)</f>
        <v>4246262.7459434438</v>
      </c>
      <c r="W22" s="239">
        <f>SUM(W15:W21)</f>
        <v>4394881.9420514638</v>
      </c>
      <c r="Y22" s="239">
        <f>SUM(Y15:Y21)</f>
        <v>4548702.810023265</v>
      </c>
      <c r="AA22" s="239">
        <f>SUM(AA15:AA21)</f>
        <v>4707907.4083740786</v>
      </c>
      <c r="AC22" s="239">
        <f>SUM(AC15:AC21)</f>
        <v>4872684.167667171</v>
      </c>
      <c r="AE22" s="239">
        <f>SUM(AE15:AE21)</f>
        <v>5043228.1135355216</v>
      </c>
      <c r="AG22" s="239">
        <f>SUM(AG15:AG21)</f>
        <v>5219741.0975092649</v>
      </c>
    </row>
    <row r="23" spans="1:33" s="225" customFormat="1" ht="13.8">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8">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8">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8">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8">
      <c r="A27" s="225" t="s">
        <v>855</v>
      </c>
      <c r="C27" s="253">
        <v>1.0349999999999999</v>
      </c>
      <c r="E27" s="238">
        <f>Application!AC888</f>
        <v>18600</v>
      </c>
      <c r="F27" s="238"/>
      <c r="G27" s="238">
        <f>E27*$C$27</f>
        <v>19251</v>
      </c>
      <c r="H27" s="238"/>
      <c r="I27" s="238">
        <f>G27*$C$27</f>
        <v>19924.785</v>
      </c>
      <c r="J27" s="238"/>
      <c r="K27" s="238">
        <f>I27*$C$27</f>
        <v>20622.152474999999</v>
      </c>
      <c r="L27" s="238"/>
      <c r="M27" s="238">
        <f>K27*$C$27</f>
        <v>21343.927811624999</v>
      </c>
      <c r="N27" s="238"/>
      <c r="O27" s="238">
        <f>M27*$C$27</f>
        <v>22090.965285031871</v>
      </c>
      <c r="P27" s="238"/>
      <c r="Q27" s="238">
        <f>O27*$C$27</f>
        <v>22864.149070007985</v>
      </c>
      <c r="R27" s="238"/>
      <c r="S27" s="238">
        <f>Q27*$C$27</f>
        <v>23664.394287458261</v>
      </c>
      <c r="T27" s="238"/>
      <c r="U27" s="238">
        <f>S27*$C$27</f>
        <v>24492.648087519297</v>
      </c>
      <c r="V27" s="238"/>
      <c r="W27" s="238">
        <f>U27*$C$27</f>
        <v>25349.890770582471</v>
      </c>
      <c r="X27" s="238"/>
      <c r="Y27" s="238">
        <f>W27*$C$27</f>
        <v>26237.136947552855</v>
      </c>
      <c r="Z27" s="238"/>
      <c r="AA27" s="238">
        <f>Y27*$C$27</f>
        <v>27155.436740717203</v>
      </c>
      <c r="AB27" s="238"/>
      <c r="AC27" s="238">
        <f>AA27*$C$27</f>
        <v>28105.877026642302</v>
      </c>
      <c r="AD27" s="238"/>
      <c r="AE27" s="238">
        <f>AC27*$C$27</f>
        <v>29089.582722574782</v>
      </c>
      <c r="AF27" s="238"/>
      <c r="AG27" s="238">
        <f>AE27*$C$27</f>
        <v>30107.718117864897</v>
      </c>
    </row>
    <row r="28" spans="1:33" s="225" customFormat="1" ht="13.8">
      <c r="A28" s="225" t="s">
        <v>856</v>
      </c>
      <c r="C28" s="253"/>
      <c r="E28" s="238">
        <f>Application!AC889</f>
        <v>127500</v>
      </c>
      <c r="F28" s="238"/>
      <c r="G28" s="238">
        <f>$E$28</f>
        <v>127500</v>
      </c>
      <c r="H28" s="238"/>
      <c r="I28" s="238">
        <f>$E$28</f>
        <v>127500</v>
      </c>
      <c r="J28" s="238"/>
      <c r="K28" s="238">
        <f>$E$28</f>
        <v>127500</v>
      </c>
      <c r="L28" s="238"/>
      <c r="M28" s="238">
        <f>$E$28</f>
        <v>127500</v>
      </c>
      <c r="N28" s="238"/>
      <c r="O28" s="238">
        <f>$E$28</f>
        <v>127500</v>
      </c>
      <c r="P28" s="238"/>
      <c r="Q28" s="238">
        <f>$E$28</f>
        <v>127500</v>
      </c>
      <c r="R28" s="238"/>
      <c r="S28" s="238">
        <f>$E$28</f>
        <v>127500</v>
      </c>
      <c r="T28" s="238"/>
      <c r="U28" s="238">
        <f>$E$28</f>
        <v>127500</v>
      </c>
      <c r="V28" s="238"/>
      <c r="W28" s="238">
        <f>$E$28</f>
        <v>127500</v>
      </c>
      <c r="X28" s="238"/>
      <c r="Y28" s="238">
        <f>$E$28</f>
        <v>127500</v>
      </c>
      <c r="Z28" s="238"/>
      <c r="AA28" s="238">
        <f>$E$28</f>
        <v>127500</v>
      </c>
      <c r="AB28" s="238"/>
      <c r="AC28" s="238">
        <f>$E$28</f>
        <v>127500</v>
      </c>
      <c r="AD28" s="238"/>
      <c r="AE28" s="238">
        <f>$E$28</f>
        <v>127500</v>
      </c>
      <c r="AF28" s="238"/>
      <c r="AG28" s="238">
        <f>$E$28</f>
        <v>127500</v>
      </c>
    </row>
    <row r="29" spans="1:33" s="225" customFormat="1" ht="13.8">
      <c r="A29" s="225" t="s">
        <v>1867</v>
      </c>
      <c r="C29" s="253"/>
      <c r="E29" s="238">
        <f>Application!AC890</f>
        <v>50523</v>
      </c>
      <c r="F29" s="238"/>
      <c r="G29" s="238">
        <f>$E$29</f>
        <v>50523</v>
      </c>
      <c r="H29" s="238"/>
      <c r="I29" s="238">
        <f>$E$29</f>
        <v>50523</v>
      </c>
      <c r="J29" s="238"/>
      <c r="K29" s="238">
        <f>$E$29</f>
        <v>50523</v>
      </c>
      <c r="L29" s="238"/>
      <c r="M29" s="238">
        <f>$E$29</f>
        <v>50523</v>
      </c>
      <c r="N29" s="238"/>
      <c r="O29" s="238">
        <f>$E$29</f>
        <v>50523</v>
      </c>
      <c r="P29" s="238"/>
      <c r="Q29" s="238">
        <f>$E$29</f>
        <v>50523</v>
      </c>
      <c r="R29" s="238"/>
      <c r="S29" s="238">
        <f>$E$29</f>
        <v>50523</v>
      </c>
      <c r="T29" s="238"/>
      <c r="U29" s="238">
        <f>$E$29</f>
        <v>50523</v>
      </c>
      <c r="V29" s="238"/>
      <c r="W29" s="238">
        <f>$E$29</f>
        <v>50523</v>
      </c>
      <c r="X29" s="238"/>
      <c r="Y29" s="238">
        <f>$E$29</f>
        <v>50523</v>
      </c>
      <c r="Z29" s="238"/>
      <c r="AA29" s="238">
        <f>$E$29</f>
        <v>50523</v>
      </c>
      <c r="AB29" s="238"/>
      <c r="AC29" s="238">
        <f>$E$29</f>
        <v>50523</v>
      </c>
      <c r="AD29" s="238"/>
      <c r="AE29" s="238">
        <f>$E$29</f>
        <v>50523</v>
      </c>
      <c r="AF29" s="238"/>
      <c r="AG29" s="238">
        <f>$E$29</f>
        <v>50523</v>
      </c>
    </row>
    <row r="30" spans="1:33" s="225" customFormat="1" ht="13.8">
      <c r="A30" s="225" t="s">
        <v>854</v>
      </c>
      <c r="C30" s="253">
        <v>1.02</v>
      </c>
      <c r="E30" s="238">
        <f>Application!AC891</f>
        <v>766</v>
      </c>
      <c r="F30" s="238"/>
      <c r="G30" s="238">
        <f>E30*$C$30</f>
        <v>781.32</v>
      </c>
      <c r="H30" s="238"/>
      <c r="I30" s="238">
        <f>G30*$C$30</f>
        <v>796.94640000000004</v>
      </c>
      <c r="J30" s="238"/>
      <c r="K30" s="238">
        <f>I30*$C$30</f>
        <v>812.88532800000007</v>
      </c>
      <c r="L30" s="238"/>
      <c r="M30" s="238">
        <f>K30*$C$30</f>
        <v>829.14303456000005</v>
      </c>
      <c r="N30" s="238"/>
      <c r="O30" s="238">
        <f>M30*$C$30</f>
        <v>845.72589525120009</v>
      </c>
      <c r="P30" s="238"/>
      <c r="Q30" s="238">
        <f>O30*$C$30</f>
        <v>862.6404131562241</v>
      </c>
      <c r="R30" s="238"/>
      <c r="S30" s="238">
        <f>Q30*$C$30</f>
        <v>879.89322141934861</v>
      </c>
      <c r="T30" s="238"/>
      <c r="U30" s="238">
        <f>S30*$C$30</f>
        <v>897.49108584773558</v>
      </c>
      <c r="V30" s="238"/>
      <c r="W30" s="238">
        <f>U30*$C$30</f>
        <v>915.44090756469029</v>
      </c>
      <c r="X30" s="238"/>
      <c r="Y30" s="238">
        <f>W30*$C$30</f>
        <v>933.74972571598414</v>
      </c>
      <c r="Z30" s="238"/>
      <c r="AA30" s="238">
        <f>Y30*$C$30</f>
        <v>952.42472023030382</v>
      </c>
      <c r="AB30" s="238"/>
      <c r="AC30" s="238">
        <f>AA30*$C$30</f>
        <v>971.47321463490994</v>
      </c>
      <c r="AD30" s="238"/>
      <c r="AE30" s="238">
        <f>AC30*$C$30</f>
        <v>990.90267892760812</v>
      </c>
      <c r="AF30" s="238"/>
      <c r="AG30" s="238">
        <f>AE30*$C$30</f>
        <v>1010.7207325061603</v>
      </c>
    </row>
    <row r="31" spans="1:33" s="225" customFormat="1" ht="13.8">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8">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3.8">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8">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8">
      <c r="A35" s="239" t="s">
        <v>177</v>
      </c>
      <c r="C35" s="240"/>
      <c r="E35" s="239">
        <f>SUM(E22:E33)</f>
        <v>3422050</v>
      </c>
      <c r="G35" s="239">
        <f>SUM(G22:G33)</f>
        <v>3535579.4549999996</v>
      </c>
      <c r="I35" s="239">
        <f>SUM(I22:I33)</f>
        <v>3653082.211124999</v>
      </c>
      <c r="K35" s="239">
        <f>SUM(K22:K33)</f>
        <v>3774697.3293183739</v>
      </c>
      <c r="M35" s="239">
        <f>SUM(M22:M33)</f>
        <v>3900568.7375645968</v>
      </c>
      <c r="O35" s="239">
        <f>SUM(O22:O33)</f>
        <v>4030845.4012338393</v>
      </c>
      <c r="Q35" s="239">
        <f>SUM(Q22:Q33)</f>
        <v>4165681.4993885946</v>
      </c>
      <c r="S35" s="239">
        <f>SUM(S22:S33)</f>
        <v>4305236.6072609974</v>
      </c>
      <c r="U35" s="239">
        <f>SUM(U22:U33)</f>
        <v>4449675.8851168109</v>
      </c>
      <c r="W35" s="239">
        <f>SUM(W22:W33)</f>
        <v>4599170.2737296112</v>
      </c>
      <c r="Y35" s="239">
        <f>SUM(Y22:Y33)</f>
        <v>4753896.6966965338</v>
      </c>
      <c r="AA35" s="239">
        <f>SUM(AA22:AA33)</f>
        <v>4914038.269835026</v>
      </c>
      <c r="AC35" s="239">
        <f>SUM(AC22:AC33)</f>
        <v>5079784.5179084484</v>
      </c>
      <c r="AE35" s="239">
        <f>SUM(AE22:AE33)</f>
        <v>5251331.5989370234</v>
      </c>
      <c r="AG35" s="239">
        <f>SUM(AG22:AG33)</f>
        <v>5428882.5363596361</v>
      </c>
    </row>
    <row r="36" spans="1:33" s="225" customFormat="1" ht="13.8">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8">
      <c r="A37" s="239" t="s">
        <v>857</v>
      </c>
      <c r="C37" s="240"/>
      <c r="E37" s="239">
        <f>E11-E35</f>
        <v>6919278.5499999989</v>
      </c>
      <c r="G37" s="239">
        <f>G11-G35</f>
        <v>7064282.308749998</v>
      </c>
      <c r="I37" s="239">
        <f>I11-I35</f>
        <v>7211776.096718749</v>
      </c>
      <c r="K37" s="239">
        <f>K11-K35</f>
        <v>7361782.4362214673</v>
      </c>
      <c r="M37" s="239">
        <f>M11-M35</f>
        <v>7514323.0221137386</v>
      </c>
      <c r="O37" s="239">
        <f>O11-O35</f>
        <v>7669418.6524364538</v>
      </c>
      <c r="Q37" s="239">
        <f>Q11-Q35</f>
        <v>7827089.1556234546</v>
      </c>
      <c r="S37" s="239">
        <f>S11-S35</f>
        <v>7987353.3141263528</v>
      </c>
      <c r="U37" s="239">
        <f>U11-U35</f>
        <v>8150228.7843052195</v>
      </c>
      <c r="W37" s="239">
        <f>W11-W35</f>
        <v>8315732.0124279708</v>
      </c>
      <c r="Y37" s="239">
        <f>Y11-Y35</f>
        <v>8483878.1466149874</v>
      </c>
      <c r="AA37" s="239">
        <f>AA11-AA35</f>
        <v>8654680.9445592798</v>
      </c>
      <c r="AC37" s="239">
        <f>AC11-AC35</f>
        <v>8828152.6768457144</v>
      </c>
      <c r="AE37" s="239">
        <f>AE11-AE35</f>
        <v>9004304.0256859921</v>
      </c>
      <c r="AG37" s="239">
        <f>AG11-AG35</f>
        <v>9183143.9788789526</v>
      </c>
    </row>
    <row r="38" spans="1:33" s="225" customFormat="1" ht="13.8">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8">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8">
      <c r="A40" s="241" t="str">
        <f>Application!C627</f>
        <v>Citibank Tax-Exempt Permanent Loan</v>
      </c>
      <c r="B40" s="242"/>
      <c r="C40" s="236"/>
      <c r="E40" s="238">
        <f>Application!AF627</f>
        <v>6016268</v>
      </c>
      <c r="F40" s="238"/>
      <c r="G40" s="238">
        <f>$E$40</f>
        <v>6016268</v>
      </c>
      <c r="H40" s="238"/>
      <c r="I40" s="238">
        <f>$E$40</f>
        <v>6016268</v>
      </c>
      <c r="J40" s="238"/>
      <c r="K40" s="238">
        <f>$E$40</f>
        <v>6016268</v>
      </c>
      <c r="L40" s="238"/>
      <c r="M40" s="238">
        <f>$E$40</f>
        <v>6016268</v>
      </c>
      <c r="N40" s="238"/>
      <c r="O40" s="238">
        <f>$E$40</f>
        <v>6016268</v>
      </c>
      <c r="P40" s="238"/>
      <c r="Q40" s="238">
        <f>$E$40</f>
        <v>6016268</v>
      </c>
      <c r="R40" s="238"/>
      <c r="S40" s="238">
        <f>$E$40</f>
        <v>6016268</v>
      </c>
      <c r="T40" s="238"/>
      <c r="U40" s="238">
        <f>$E$40</f>
        <v>6016268</v>
      </c>
      <c r="V40" s="238"/>
      <c r="W40" s="238">
        <f>$E$40</f>
        <v>6016268</v>
      </c>
      <c r="X40" s="238"/>
      <c r="Y40" s="238">
        <f>$E$40</f>
        <v>6016268</v>
      </c>
      <c r="Z40" s="238"/>
      <c r="AA40" s="238">
        <f>$E$40</f>
        <v>6016268</v>
      </c>
      <c r="AB40" s="238"/>
      <c r="AC40" s="238">
        <f>$E$40</f>
        <v>6016268</v>
      </c>
      <c r="AD40" s="238"/>
      <c r="AE40" s="238">
        <f>$E$40</f>
        <v>6016268</v>
      </c>
      <c r="AF40" s="238"/>
      <c r="AG40" s="238">
        <f>$E$40</f>
        <v>6016268</v>
      </c>
    </row>
    <row r="41" spans="1:33" s="225" customFormat="1" ht="13.8">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3.8">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8">
      <c r="A43" s="239" t="s">
        <v>858</v>
      </c>
      <c r="C43" s="240"/>
      <c r="E43" s="239">
        <f>SUM(E40:E42)</f>
        <v>6016268</v>
      </c>
      <c r="G43" s="239">
        <f>SUM(G40:G42)</f>
        <v>6016268</v>
      </c>
      <c r="I43" s="239">
        <f>SUM(I40:I42)</f>
        <v>6016268</v>
      </c>
      <c r="K43" s="239">
        <f>SUM(K40:K42)</f>
        <v>6016268</v>
      </c>
      <c r="M43" s="239">
        <f>SUM(M40:M42)</f>
        <v>6016268</v>
      </c>
      <c r="O43" s="239">
        <f>SUM(O40:O42)</f>
        <v>6016268</v>
      </c>
      <c r="Q43" s="239">
        <f>SUM(Q40:Q42)</f>
        <v>6016268</v>
      </c>
      <c r="S43" s="239">
        <f>SUM(S40:S42)</f>
        <v>6016268</v>
      </c>
      <c r="U43" s="239">
        <f>SUM(U40:U42)</f>
        <v>6016268</v>
      </c>
      <c r="W43" s="239">
        <f>SUM(W40:W42)</f>
        <v>6016268</v>
      </c>
      <c r="Y43" s="239">
        <f>SUM(Y40:Y42)</f>
        <v>6016268</v>
      </c>
      <c r="AA43" s="239">
        <f>SUM(AA40:AA42)</f>
        <v>6016268</v>
      </c>
      <c r="AC43" s="239">
        <f>SUM(AC40:AC42)</f>
        <v>6016268</v>
      </c>
      <c r="AE43" s="239">
        <f>SUM(AE40:AE42)</f>
        <v>6016268</v>
      </c>
      <c r="AG43" s="239">
        <f>SUM(AG40:AG42)</f>
        <v>6016268</v>
      </c>
    </row>
    <row r="44" spans="1:33" s="225" customFormat="1" ht="13.8">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8">
      <c r="A45" s="239" t="s">
        <v>859</v>
      </c>
      <c r="C45" s="240"/>
      <c r="E45" s="239">
        <f>E37-E43</f>
        <v>903010.54999999888</v>
      </c>
      <c r="G45" s="239">
        <f>G37-G43</f>
        <v>1048014.308749998</v>
      </c>
      <c r="I45" s="239">
        <f>I37-I43</f>
        <v>1195508.096718749</v>
      </c>
      <c r="K45" s="239">
        <f>K37-K43</f>
        <v>1345514.4362214673</v>
      </c>
      <c r="M45" s="239">
        <f>M37-M43</f>
        <v>1498055.0221137386</v>
      </c>
      <c r="O45" s="239">
        <f>O37-O43</f>
        <v>1653150.6524364538</v>
      </c>
      <c r="Q45" s="239">
        <f>Q37-Q43</f>
        <v>1810821.1556234546</v>
      </c>
      <c r="S45" s="239">
        <f>S37-S43</f>
        <v>1971085.3141263528</v>
      </c>
      <c r="U45" s="239">
        <f>U37-U43</f>
        <v>2133960.7843052195</v>
      </c>
      <c r="W45" s="239">
        <f>W37-W43</f>
        <v>2299464.0124279708</v>
      </c>
      <c r="Y45" s="239">
        <f>Y37-Y43</f>
        <v>2467610.1466149874</v>
      </c>
      <c r="AA45" s="239">
        <f>AA37-AA43</f>
        <v>2638412.9445592798</v>
      </c>
      <c r="AC45" s="239">
        <f>AC37-AC43</f>
        <v>2811884.6768457144</v>
      </c>
      <c r="AE45" s="239">
        <f>AE37-AE43</f>
        <v>2988036.0256859921</v>
      </c>
      <c r="AG45" s="239">
        <f>AG37-AG43</f>
        <v>3166875.9788789526</v>
      </c>
    </row>
    <row r="46" spans="1:33" s="225" customFormat="1" ht="13.8">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8">
      <c r="A47" s="243" t="s">
        <v>861</v>
      </c>
      <c r="C47" s="236"/>
      <c r="E47" s="243">
        <f>E45/(E4+E6+E8)</f>
        <v>8.2954527394838343E-2</v>
      </c>
      <c r="G47" s="243">
        <f>G45/(G4+G6+G8)</f>
        <v>9.3927035606950399E-2</v>
      </c>
      <c r="I47" s="243">
        <f>I45/(I4+I6+I8)</f>
        <v>0.10453267403062989</v>
      </c>
      <c r="K47" s="243">
        <f>K45/(K4+K6+K8)</f>
        <v>0.11477942234185268</v>
      </c>
      <c r="M47" s="243">
        <f>M45/(M4+M6+M8)</f>
        <v>0.12467505614334054</v>
      </c>
      <c r="O47" s="243">
        <f>O45/(O4+O6+O8)</f>
        <v>0.13422715184978909</v>
      </c>
      <c r="Q47" s="243">
        <f>Q45/(Q4+Q6+Q8)</f>
        <v>0.14344309145304451</v>
      </c>
      <c r="S47" s="243">
        <f>S45/(S4+S6+S8)</f>
        <v>0.1523300671701493</v>
      </c>
      <c r="U47" s="243">
        <f>U45/(U4+U6+U8)</f>
        <v>0.16089508597710292</v>
      </c>
      <c r="W47" s="243">
        <f>W45/(W4+W6+W8)</f>
        <v>0.16914497403111967</v>
      </c>
      <c r="Y47" s="243">
        <f>Y45/(Y4+Y6+Y8)</f>
        <v>0.17708638098408788</v>
      </c>
      <c r="AA47" s="243">
        <f>AA45/(AA4+AA6+AA8)</f>
        <v>0.18472578418988259</v>
      </c>
      <c r="AC47" s="243">
        <f>AC45/(AC4+AC6+AC8)</f>
        <v>0.19206949280810628</v>
      </c>
      <c r="AE47" s="243">
        <f>AE45/(AE4+AE6+AE8)</f>
        <v>0.1991236518067751</v>
      </c>
      <c r="AG47" s="243">
        <f>AG45/(AG4+AG6+AG8)</f>
        <v>0.20589424586640787</v>
      </c>
    </row>
    <row r="48" spans="1:33" s="243" customFormat="1" ht="13.8">
      <c r="A48" s="243" t="s">
        <v>862</v>
      </c>
      <c r="C48" s="236"/>
      <c r="E48" s="243">
        <f>E45/E43</f>
        <v>0.15009480129542083</v>
      </c>
      <c r="G48" s="243">
        <f>G45/G43</f>
        <v>0.17419674601430621</v>
      </c>
      <c r="I48" s="243">
        <f>I45/I43</f>
        <v>0.19871257342903426</v>
      </c>
      <c r="K48" s="243">
        <f>K45/K43</f>
        <v>0.22364602710874371</v>
      </c>
      <c r="M48" s="243">
        <f>M45/M43</f>
        <v>0.24900071308554383</v>
      </c>
      <c r="O48" s="243">
        <f>O45/O43</f>
        <v>0.27478008832659279</v>
      </c>
      <c r="Q48" s="243">
        <f>Q45/Q43</f>
        <v>0.30098744863484383</v>
      </c>
      <c r="S48" s="243">
        <f>S45/S43</f>
        <v>0.3276259159542681</v>
      </c>
      <c r="U48" s="243">
        <f>U45/U43</f>
        <v>0.35469842505440574</v>
      </c>
      <c r="W48" s="243">
        <f>W45/W43</f>
        <v>0.38220770956811945</v>
      </c>
      <c r="Y48" s="243">
        <f>Y45/Y43</f>
        <v>0.41015628735538168</v>
      </c>
      <c r="AA48" s="243">
        <f>AA45/AA43</f>
        <v>0.43854644516488955</v>
      </c>
      <c r="AC48" s="243">
        <f>AC45/AC43</f>
        <v>0.46738022256417339</v>
      </c>
      <c r="AE48" s="243">
        <f>AE45/AE43</f>
        <v>0.49665939510772994</v>
      </c>
      <c r="AG48" s="243">
        <f>AG45/AG43</f>
        <v>0.52638545671152825</v>
      </c>
    </row>
    <row r="49" spans="1:35" s="244" customFormat="1" ht="13.8">
      <c r="A49" s="244" t="s">
        <v>860</v>
      </c>
      <c r="C49" s="245"/>
      <c r="E49" s="244">
        <f>E37/E43</f>
        <v>1.1500948012954209</v>
      </c>
      <c r="G49" s="244">
        <f>G37/G43</f>
        <v>1.1741967460143061</v>
      </c>
      <c r="I49" s="244">
        <f>I37/I43</f>
        <v>1.1987125734290343</v>
      </c>
      <c r="K49" s="244">
        <f>K37/K43</f>
        <v>1.2236460271087437</v>
      </c>
      <c r="M49" s="244">
        <f>M37/M43</f>
        <v>1.2490007130855438</v>
      </c>
      <c r="O49" s="244">
        <f>O37/O43</f>
        <v>1.2747800883265927</v>
      </c>
      <c r="Q49" s="244">
        <f>Q37/Q43</f>
        <v>1.3009874486348438</v>
      </c>
      <c r="S49" s="244">
        <f>S37/S43</f>
        <v>1.327625915954268</v>
      </c>
      <c r="U49" s="244">
        <f>U37/U43</f>
        <v>1.3546984250544059</v>
      </c>
      <c r="W49" s="244">
        <f>W37/W43</f>
        <v>1.3822077095681193</v>
      </c>
      <c r="Y49" s="244">
        <f>Y37/Y43</f>
        <v>1.4101562873553817</v>
      </c>
      <c r="AA49" s="244">
        <f>AA37/AA43</f>
        <v>1.4385464451648895</v>
      </c>
      <c r="AC49" s="244">
        <f>AC37/AC43</f>
        <v>1.4673802225641734</v>
      </c>
      <c r="AE49" s="244">
        <f>AE37/AE43</f>
        <v>1.4966593951077298</v>
      </c>
      <c r="AG49" s="244">
        <f>AG37/AG43</f>
        <v>1.5263854567115283</v>
      </c>
    </row>
    <row r="50" spans="1:35" s="225" customFormat="1" ht="13.8">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3" t="s">
        <v>2735</v>
      </c>
      <c r="B52" s="2683"/>
      <c r="C52" s="2683"/>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v>1.03</v>
      </c>
      <c r="E53" s="999">
        <v>25000</v>
      </c>
      <c r="G53" s="995">
        <f>E53*$C$53</f>
        <v>25750</v>
      </c>
      <c r="I53" s="995">
        <f>G53*$C$53</f>
        <v>26522.5</v>
      </c>
      <c r="K53" s="995">
        <f>I53*$C$53</f>
        <v>27318.174999999999</v>
      </c>
      <c r="M53" s="995">
        <f>K53*$C$53</f>
        <v>28137.720249999998</v>
      </c>
      <c r="O53" s="995">
        <f>M53*$C$53</f>
        <v>28981.851857499998</v>
      </c>
      <c r="Q53" s="995">
        <f>O53*$C$53</f>
        <v>29851.307413225</v>
      </c>
      <c r="S53" s="995">
        <f>Q53*$C$53</f>
        <v>30746.84663562175</v>
      </c>
      <c r="U53" s="995">
        <f>S53*$C$53</f>
        <v>31669.252034690402</v>
      </c>
      <c r="W53" s="995">
        <f>U53*$C$53</f>
        <v>32619.329595731117</v>
      </c>
      <c r="Y53" s="995">
        <f>W53*$C$53</f>
        <v>33597.909483603049</v>
      </c>
      <c r="AA53" s="995">
        <f>Y53*$C$53</f>
        <v>34605.846768111143</v>
      </c>
      <c r="AC53" s="995">
        <f>AA53*$C$53</f>
        <v>35644.02217115448</v>
      </c>
      <c r="AE53" s="995">
        <f>AC53*$C$53</f>
        <v>36713.342836289114</v>
      </c>
      <c r="AG53" s="995">
        <f>AE53*$C$53</f>
        <v>37814.743121377789</v>
      </c>
    </row>
    <row r="54" spans="1:35" s="3" customFormat="1">
      <c r="A54" s="3" t="s">
        <v>865</v>
      </c>
      <c r="C54" s="993"/>
      <c r="E54" s="1000">
        <v>25000</v>
      </c>
      <c r="F54" s="995"/>
      <c r="G54" s="995">
        <f t="shared" ref="G54:AG57" si="1">E54*$C$53</f>
        <v>25750</v>
      </c>
      <c r="H54" s="995"/>
      <c r="I54" s="995">
        <f t="shared" si="1"/>
        <v>26522.5</v>
      </c>
      <c r="J54" s="995"/>
      <c r="K54" s="995">
        <f t="shared" si="1"/>
        <v>27318.174999999999</v>
      </c>
      <c r="L54" s="995"/>
      <c r="M54" s="995">
        <f t="shared" si="1"/>
        <v>28137.720249999998</v>
      </c>
      <c r="N54" s="995"/>
      <c r="O54" s="995">
        <f t="shared" si="1"/>
        <v>28981.851857499998</v>
      </c>
      <c r="P54" s="995"/>
      <c r="Q54" s="995">
        <f t="shared" si="1"/>
        <v>29851.307413225</v>
      </c>
      <c r="R54" s="995"/>
      <c r="S54" s="995">
        <f t="shared" si="1"/>
        <v>30746.84663562175</v>
      </c>
      <c r="T54" s="995"/>
      <c r="U54" s="995">
        <f t="shared" si="1"/>
        <v>31669.252034690402</v>
      </c>
      <c r="V54" s="995"/>
      <c r="W54" s="995">
        <f t="shared" si="1"/>
        <v>32619.329595731117</v>
      </c>
      <c r="X54" s="995"/>
      <c r="Y54" s="995">
        <f t="shared" si="1"/>
        <v>33597.909483603049</v>
      </c>
      <c r="Z54" s="995"/>
      <c r="AA54" s="995">
        <f t="shared" si="1"/>
        <v>34605.846768111143</v>
      </c>
      <c r="AB54" s="995"/>
      <c r="AC54" s="995">
        <f t="shared" si="1"/>
        <v>35644.02217115448</v>
      </c>
      <c r="AD54" s="995"/>
      <c r="AE54" s="995">
        <f t="shared" si="1"/>
        <v>36713.342836289114</v>
      </c>
      <c r="AF54" s="995"/>
      <c r="AG54" s="995">
        <f t="shared" si="1"/>
        <v>37814.743121377789</v>
      </c>
      <c r="AH54" s="995"/>
      <c r="AI54" s="995"/>
    </row>
    <row r="55" spans="1:35" s="3" customFormat="1">
      <c r="A55" s="3" t="s">
        <v>866</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50000</v>
      </c>
      <c r="F58" s="995"/>
      <c r="G58" s="995">
        <f>SUM(G53:G57)</f>
        <v>51500</v>
      </c>
      <c r="H58" s="995"/>
      <c r="I58" s="995">
        <f>SUM(I53:I57)</f>
        <v>53045</v>
      </c>
      <c r="J58" s="995"/>
      <c r="K58" s="995">
        <f>SUM(K53:K57)</f>
        <v>54636.35</v>
      </c>
      <c r="L58" s="995"/>
      <c r="M58" s="995">
        <f>SUM(M53:M57)</f>
        <v>56275.440499999997</v>
      </c>
      <c r="N58" s="995"/>
      <c r="O58" s="995">
        <f>SUM(O53:O57)</f>
        <v>57963.703714999996</v>
      </c>
      <c r="P58" s="995"/>
      <c r="Q58" s="995">
        <f>SUM(Q53:Q57)</f>
        <v>59702.614826450001</v>
      </c>
      <c r="R58" s="995"/>
      <c r="S58" s="995">
        <f>SUM(S53:S57)</f>
        <v>61493.693271243501</v>
      </c>
      <c r="T58" s="995"/>
      <c r="U58" s="995">
        <f>SUM(U53:U57)</f>
        <v>63338.504069380804</v>
      </c>
      <c r="V58" s="995"/>
      <c r="W58" s="995">
        <f>SUM(W53:W57)</f>
        <v>65238.659191462233</v>
      </c>
      <c r="X58" s="995"/>
      <c r="Y58" s="995">
        <f>SUM(Y53:Y57)</f>
        <v>67195.818967206098</v>
      </c>
      <c r="Z58" s="995"/>
      <c r="AA58" s="995">
        <f>SUM(AA53:AA57)</f>
        <v>69211.693536222287</v>
      </c>
      <c r="AB58" s="995"/>
      <c r="AC58" s="995">
        <f>SUM(AC53:AC57)</f>
        <v>71288.04434230896</v>
      </c>
      <c r="AD58" s="995"/>
      <c r="AE58" s="995">
        <f>SUM(AE53:AE57)</f>
        <v>73426.685672578227</v>
      </c>
      <c r="AF58" s="995"/>
      <c r="AG58" s="995">
        <f>SUM(AG53:AG57)</f>
        <v>75629.486242755578</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853010.54999999888</v>
      </c>
      <c r="G60" s="997">
        <f>G45-G58</f>
        <v>996514.30874999799</v>
      </c>
      <c r="I60" s="997">
        <f>I45-I58</f>
        <v>1142463.096718749</v>
      </c>
      <c r="K60" s="997">
        <f>K45-K58</f>
        <v>1290878.0862214672</v>
      </c>
      <c r="M60" s="997">
        <f>M45-M58</f>
        <v>1441779.5816137386</v>
      </c>
      <c r="O60" s="997">
        <f>O45-O58</f>
        <v>1595186.9487214538</v>
      </c>
      <c r="Q60" s="997">
        <f>Q45-Q58</f>
        <v>1751118.5407970047</v>
      </c>
      <c r="S60" s="997">
        <f>S45-S58</f>
        <v>1909591.6208551093</v>
      </c>
      <c r="U60" s="997">
        <f>U45-U58</f>
        <v>2070622.2802358388</v>
      </c>
      <c r="W60" s="997">
        <f>W45-W58</f>
        <v>2234225.3532365086</v>
      </c>
      <c r="Y60" s="997">
        <f>Y45-Y58</f>
        <v>2400414.3276477815</v>
      </c>
      <c r="AA60" s="997">
        <f>AA45-AA58</f>
        <v>2569201.2510230574</v>
      </c>
      <c r="AC60" s="997">
        <f>AC45-AC58</f>
        <v>2740596.6325034057</v>
      </c>
      <c r="AE60" s="997">
        <f>AE45-AE58</f>
        <v>2914609.3400134137</v>
      </c>
      <c r="AG60" s="997">
        <f>AG45-AG58</f>
        <v>3091246.4926361968</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1</v>
      </c>
      <c r="E62" s="999">
        <f>E60*$C$62</f>
        <v>853010.54999999888</v>
      </c>
      <c r="G62" s="997">
        <f>G60*$C$62</f>
        <v>996514.30874999799</v>
      </c>
      <c r="I62" s="997">
        <f>I60*$C$62</f>
        <v>1142463.096718749</v>
      </c>
      <c r="K62" s="997">
        <f>K60*$C$62</f>
        <v>1290878.0862214672</v>
      </c>
      <c r="M62" s="997">
        <f>M60*$C$62</f>
        <v>1441779.5816137386</v>
      </c>
      <c r="O62" s="997">
        <f>O60*$C$62</f>
        <v>1595186.9487214538</v>
      </c>
      <c r="Q62" s="997">
        <f>Q60*$C$62</f>
        <v>1751118.5407970047</v>
      </c>
      <c r="S62" s="997">
        <f>S60*$C$62</f>
        <v>1909591.6208551093</v>
      </c>
      <c r="U62" s="997">
        <f>U60*$C$62</f>
        <v>2070622.2802358388</v>
      </c>
      <c r="W62" s="997">
        <f>W60*$C$62</f>
        <v>2234225.3532365086</v>
      </c>
      <c r="Y62" s="997">
        <f>Y60*$C$62</f>
        <v>2400414.3276477815</v>
      </c>
      <c r="AA62" s="997">
        <f>AA60*$C$62</f>
        <v>2569201.2510230574</v>
      </c>
      <c r="AC62" s="997">
        <f>AC60*$C$62</f>
        <v>2740596.6325034057</v>
      </c>
      <c r="AE62" s="997">
        <f>AE60*$C$62</f>
        <v>2914609.3400134137</v>
      </c>
      <c r="AG62" s="997">
        <f>AG60*$C$62</f>
        <v>3091246.4926361968</v>
      </c>
    </row>
    <row r="63" spans="1:35" s="997" customFormat="1">
      <c r="A63" s="2683" t="s">
        <v>2735</v>
      </c>
      <c r="B63" s="2683"/>
      <c r="C63" s="2683"/>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t="s">
        <v>2736</v>
      </c>
      <c r="C66" s="1263">
        <f>Application!AO628</f>
        <v>17200000</v>
      </c>
      <c r="E66" s="999">
        <f>$C$66*$C$67</f>
        <v>1376000</v>
      </c>
      <c r="G66" s="999">
        <f>SUM($C$66:$F$66)*$C$67</f>
        <v>1486080</v>
      </c>
      <c r="I66" s="999">
        <f>SUM($C$66:$H$66)*$C$67</f>
        <v>1604966.4000000001</v>
      </c>
      <c r="K66" s="999">
        <f>SUM($C$66:$J$66)*$C$67</f>
        <v>1733363.7119999998</v>
      </c>
      <c r="M66" s="999">
        <f>SUM($C$66:$L$66)*$C$67</f>
        <v>1872032.8089600001</v>
      </c>
      <c r="O66" s="999">
        <f>SUM($C$66:$M$66)*$C$67</f>
        <v>2021795.4336768002</v>
      </c>
      <c r="Q66" s="999">
        <f>SUM($C$66:$P$66)*$C$67</f>
        <v>2183539.0683709444</v>
      </c>
      <c r="S66" s="999">
        <f>SUM($C$66:$R$66)*$C$67</f>
        <v>2358222.1938406201</v>
      </c>
      <c r="U66" s="999">
        <f>SUM($C$66:$L$66)*$C$67</f>
        <v>1872032.8089600001</v>
      </c>
      <c r="W66" s="999">
        <f>SUM($C$66:$V$66)*$C$67</f>
        <v>2696642.5940646697</v>
      </c>
      <c r="Y66" s="999">
        <f>SUM($C$66:$L$66)*$C$67</f>
        <v>1872032.8089600001</v>
      </c>
      <c r="AA66" s="999">
        <f>SUM($C$66:$Z$66)*$C$67</f>
        <v>3062136.6263066428</v>
      </c>
      <c r="AC66" s="999">
        <f>SUM($C$66:$AB$66)*$C$67</f>
        <v>3307107.5564111746</v>
      </c>
      <c r="AE66" s="999">
        <f>SUM($C$66:$AD$66)*$C$67</f>
        <v>3571676.1609240687</v>
      </c>
      <c r="AG66" s="999">
        <f>SUM($C$66:$AF$66)*$C$67</f>
        <v>3857410.2537979945</v>
      </c>
    </row>
    <row r="67" spans="1:35" s="995" customFormat="1">
      <c r="A67" s="1000"/>
      <c r="B67" s="1000" t="s">
        <v>2761</v>
      </c>
      <c r="C67" s="994">
        <f>Application!W628</f>
        <v>0.08</v>
      </c>
      <c r="E67" s="999">
        <f>$C$68*E11</f>
        <v>103413.2855</v>
      </c>
      <c r="G67" s="999">
        <f>$C$68*G11</f>
        <v>105998.61763749998</v>
      </c>
      <c r="I67" s="999">
        <f>$C$68*I11</f>
        <v>108648.58307843748</v>
      </c>
      <c r="K67" s="999">
        <f>$C$68*K11</f>
        <v>111364.79765539842</v>
      </c>
      <c r="M67" s="999">
        <f>$C$68*M11</f>
        <v>114148.91759678336</v>
      </c>
      <c r="O67" s="999">
        <f>$C$68*O11</f>
        <v>117002.64053670294</v>
      </c>
      <c r="Q67" s="999">
        <f>$C$68*Q11</f>
        <v>119927.70655012049</v>
      </c>
      <c r="S67" s="999">
        <f>$C$68*S11</f>
        <v>122925.8992138735</v>
      </c>
      <c r="U67" s="999">
        <f>$C$68*U11</f>
        <v>125999.04669422031</v>
      </c>
      <c r="W67" s="999">
        <f>$C$68*W11</f>
        <v>129149.02286157582</v>
      </c>
      <c r="Y67" s="999">
        <f>$C$68*Y11</f>
        <v>132377.74843311519</v>
      </c>
      <c r="AA67" s="999">
        <f>$C$68*AA11</f>
        <v>135687.19214394307</v>
      </c>
      <c r="AC67" s="999">
        <f>$C$68*AC11</f>
        <v>139079.37194754163</v>
      </c>
      <c r="AE67" s="999">
        <f>$C$68*AE11</f>
        <v>142556.35624623016</v>
      </c>
      <c r="AG67" s="999">
        <f>$C$68*AG11</f>
        <v>146120.26515238589</v>
      </c>
    </row>
    <row r="68" spans="1:35" s="995" customFormat="1">
      <c r="A68" s="1000"/>
      <c r="B68" s="1000"/>
      <c r="C68" s="994">
        <v>0.01</v>
      </c>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1479413.2855</v>
      </c>
      <c r="G70" s="995">
        <f>SUM(G66:G69)</f>
        <v>1592078.6176374999</v>
      </c>
      <c r="I70" s="995">
        <f>SUM(I66:I69)</f>
        <v>1713614.9830784376</v>
      </c>
      <c r="K70" s="995">
        <f>SUM(K66:K69)</f>
        <v>1844728.5096553983</v>
      </c>
      <c r="M70" s="995">
        <f>SUM(M66:M69)</f>
        <v>1986181.7265567833</v>
      </c>
      <c r="O70" s="995">
        <f>SUM(O66:O69)</f>
        <v>2138798.0742135029</v>
      </c>
      <c r="Q70" s="995">
        <f>SUM(Q66:Q69)</f>
        <v>2303466.7749210647</v>
      </c>
      <c r="S70" s="995">
        <f>SUM(S66:S69)</f>
        <v>2481148.0930544934</v>
      </c>
      <c r="U70" s="995">
        <f>SUM(U66:U69)</f>
        <v>1998031.8556542203</v>
      </c>
      <c r="W70" s="995">
        <f>SUM(W66:W69)</f>
        <v>2825791.6169262454</v>
      </c>
      <c r="Y70" s="995">
        <f>SUM(Y66:Y69)</f>
        <v>2004410.5573931152</v>
      </c>
      <c r="AA70" s="995">
        <f>SUM(AA66:AA69)</f>
        <v>3197823.8184505859</v>
      </c>
      <c r="AC70" s="995">
        <f>SUM(AC66:AC69)</f>
        <v>3446186.9283587164</v>
      </c>
      <c r="AE70" s="995">
        <f>SUM(AE66:AE69)</f>
        <v>3714232.5171702988</v>
      </c>
      <c r="AG70" s="995">
        <f>SUM(AG66:AG69)</f>
        <v>4003530.5189503804</v>
      </c>
    </row>
    <row r="71" spans="1:35" s="995" customFormat="1">
      <c r="A71" s="997"/>
      <c r="C71" s="1005"/>
    </row>
    <row r="72" spans="1:35" s="995" customFormat="1">
      <c r="A72" s="997" t="s">
        <v>1911</v>
      </c>
      <c r="C72" s="1005"/>
      <c r="E72" s="997">
        <f>E60-E62</f>
        <v>0</v>
      </c>
      <c r="G72" s="997">
        <f>G60-G62</f>
        <v>0</v>
      </c>
      <c r="I72" s="997">
        <f>I60-I62</f>
        <v>0</v>
      </c>
      <c r="K72" s="997">
        <f>K60-K62</f>
        <v>0</v>
      </c>
      <c r="M72" s="997">
        <f>M60-M62</f>
        <v>0</v>
      </c>
      <c r="O72" s="997">
        <f>O60-O62</f>
        <v>0</v>
      </c>
      <c r="Q72" s="997">
        <f>Q60-Q62</f>
        <v>0</v>
      </c>
      <c r="S72" s="997">
        <f>S60-S62</f>
        <v>0</v>
      </c>
      <c r="U72" s="997">
        <f>U60-U62</f>
        <v>0</v>
      </c>
      <c r="W72" s="997">
        <f>W60-W62</f>
        <v>0</v>
      </c>
      <c r="Y72" s="997">
        <f>Y60-Y62</f>
        <v>0</v>
      </c>
      <c r="AA72" s="997">
        <f>AA60-AA62</f>
        <v>0</v>
      </c>
      <c r="AC72" s="997">
        <f>AC60-AC62</f>
        <v>0</v>
      </c>
      <c r="AE72" s="997">
        <f>AE60-AE62</f>
        <v>0</v>
      </c>
      <c r="AG72" s="997">
        <f>AG60-AG62</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81" t="s">
        <v>1909</v>
      </c>
      <c r="B77" s="2682"/>
      <c r="C77" s="2682"/>
      <c r="D77" s="2682"/>
      <c r="E77" s="2682"/>
      <c r="F77" s="2682"/>
      <c r="G77" s="2682"/>
      <c r="H77" s="2682"/>
      <c r="I77" s="2682"/>
      <c r="J77" s="2682"/>
      <c r="K77" s="2682"/>
      <c r="L77" s="2682"/>
      <c r="M77" s="2682"/>
      <c r="N77" s="2682"/>
      <c r="O77" s="2682"/>
      <c r="P77" s="2682"/>
      <c r="Q77" s="2682"/>
      <c r="R77" s="2682"/>
      <c r="S77" s="2682"/>
      <c r="T77" s="2682"/>
      <c r="U77" s="2682"/>
      <c r="V77" s="2682"/>
      <c r="W77" s="2682"/>
      <c r="X77" s="2682"/>
      <c r="Y77" s="2682"/>
      <c r="Z77" s="2682"/>
      <c r="AA77" s="2682"/>
      <c r="AB77" s="2682"/>
      <c r="AC77" s="2682"/>
      <c r="AD77" s="2682"/>
      <c r="AE77" s="2682"/>
      <c r="AF77" s="2682"/>
      <c r="AG77" s="2682"/>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88671875" hidden="1"/>
  </cols>
  <sheetData>
    <row r="1" spans="1:1" ht="46.8">
      <c r="A1" s="337" t="s">
        <v>989</v>
      </c>
    </row>
    <row r="2" spans="1:1" ht="15.6">
      <c r="A2" s="338"/>
    </row>
    <row r="3" spans="1:1" ht="15.6">
      <c r="A3" s="339" t="s">
        <v>984</v>
      </c>
    </row>
    <row r="4" spans="1:1" ht="15.6">
      <c r="A4" s="339" t="s">
        <v>985</v>
      </c>
    </row>
    <row r="5" spans="1:1" ht="15.6">
      <c r="A5" s="339" t="s">
        <v>986</v>
      </c>
    </row>
    <row r="6" spans="1:1" ht="15.6">
      <c r="A6" s="339" t="s">
        <v>988</v>
      </c>
    </row>
    <row r="7" spans="1:1" ht="15.6">
      <c r="A7" s="339" t="s">
        <v>987</v>
      </c>
    </row>
    <row r="8" spans="1:1" ht="15.6">
      <c r="A8" s="374" t="s">
        <v>1047</v>
      </c>
    </row>
    <row r="9" spans="1:1" ht="15.6">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4" workbookViewId="0"/>
  </sheetViews>
  <sheetFormatPr defaultColWidth="9.109375" defaultRowHeight="13.2" zeroHeight="1"/>
  <cols>
    <col min="1" max="1" width="35.6640625" style="218" customWidth="1"/>
    <col min="2" max="4" width="14.6640625" style="218" customWidth="1"/>
    <col min="5" max="5" width="50.6640625" style="218" customWidth="1"/>
    <col min="6" max="253" width="9.109375" style="218" customWidth="1"/>
    <col min="254" max="16384" width="9.109375" style="218"/>
  </cols>
  <sheetData>
    <row r="1" spans="1:7" s="296" customFormat="1" ht="18" customHeight="1">
      <c r="A1" s="547" t="s">
        <v>1322</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16350000</v>
      </c>
      <c r="C5" s="286">
        <f>'Sources and Uses Budget'!$C4</f>
        <v>16350000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16350000</v>
      </c>
      <c r="C9" s="290">
        <f>SUM(C5:C8)</f>
        <v>16350000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0</v>
      </c>
      <c r="C12" s="290">
        <f>SUM(C10:C11)</f>
        <v>0</v>
      </c>
      <c r="D12" s="290">
        <f t="shared" si="0"/>
        <v>0</v>
      </c>
      <c r="E12" s="288"/>
      <c r="F12" s="287"/>
      <c r="G12" s="383"/>
    </row>
    <row r="13" spans="1:7" s="380" customFormat="1">
      <c r="A13" s="396" t="s">
        <v>84</v>
      </c>
      <c r="B13" s="290">
        <f>SUM(B9+B12)</f>
        <v>16350000</v>
      </c>
      <c r="C13" s="290">
        <f>SUM(C9+C12)</f>
        <v>16350000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2.8">
      <c r="A15" s="395" t="s">
        <v>917</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605</v>
      </c>
      <c r="B30" s="286">
        <f>'Sources and Uses Budget'!$C29</f>
        <v>2586037</v>
      </c>
      <c r="C30" s="286">
        <f>'Sources and Uses Budget'!$C29</f>
        <v>2586037</v>
      </c>
      <c r="D30" s="290">
        <f t="shared" si="0"/>
        <v>0</v>
      </c>
      <c r="E30" s="288"/>
      <c r="F30" s="287"/>
      <c r="G30" s="383"/>
    </row>
    <row r="31" spans="1:7" s="380" customFormat="1">
      <c r="A31" s="145" t="s">
        <v>606</v>
      </c>
      <c r="B31" s="286">
        <f>'Sources and Uses Budget'!$C30</f>
        <v>90085053</v>
      </c>
      <c r="C31" s="286">
        <f>'Sources and Uses Budget'!$C30</f>
        <v>90085053</v>
      </c>
      <c r="D31" s="290">
        <f t="shared" si="0"/>
        <v>0</v>
      </c>
      <c r="E31" s="288"/>
      <c r="F31" s="287"/>
      <c r="G31" s="383"/>
    </row>
    <row r="32" spans="1:7" s="380" customFormat="1">
      <c r="A32" s="145" t="s">
        <v>607</v>
      </c>
      <c r="B32" s="286">
        <f>'Sources and Uses Budget'!$C31</f>
        <v>5630574</v>
      </c>
      <c r="C32" s="286">
        <f>'Sources and Uses Budget'!$C31</f>
        <v>5630574</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3397522</v>
      </c>
      <c r="C34" s="286">
        <f>'Sources and Uses Budget'!$C33</f>
        <v>3397522</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Preconstruction</v>
      </c>
      <c r="B38" s="286">
        <f>'Sources and Uses Budget'!$C37</f>
        <v>882114</v>
      </c>
      <c r="C38" s="286">
        <f>'Sources and Uses Budget'!$C37</f>
        <v>882114</v>
      </c>
      <c r="D38" s="290">
        <f t="shared" si="0"/>
        <v>0</v>
      </c>
      <c r="E38" s="288"/>
      <c r="F38" s="287"/>
      <c r="G38" s="383"/>
    </row>
    <row r="39" spans="1:7" s="380" customFormat="1">
      <c r="A39" s="291" t="s">
        <v>143</v>
      </c>
      <c r="B39" s="290">
        <f>SUM(B30:B38)</f>
        <v>102581300</v>
      </c>
      <c r="C39" s="290">
        <f>SUM(C30:C38)</f>
        <v>102581300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5262999</v>
      </c>
      <c r="C41" s="286">
        <f>'Sources and Uses Budget'!$C40</f>
        <v>5262999</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5262999</v>
      </c>
      <c r="C43" s="290">
        <f>SUM(C41:C42)</f>
        <v>5262999</v>
      </c>
      <c r="D43" s="290">
        <f t="shared" si="0"/>
        <v>0</v>
      </c>
      <c r="E43" s="288"/>
      <c r="F43" s="287"/>
      <c r="G43" s="383"/>
    </row>
    <row r="44" spans="1:7" s="380" customFormat="1">
      <c r="A44" s="291" t="s">
        <v>148</v>
      </c>
      <c r="B44" s="286">
        <f>'Sources and Uses Budget'!$C43</f>
        <v>0</v>
      </c>
      <c r="C44" s="286">
        <f>'Sources and Uses Budget'!$C43</f>
        <v>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16154336</v>
      </c>
      <c r="C46" s="286">
        <f>'Sources and Uses Budget'!$C45</f>
        <v>16154336</v>
      </c>
      <c r="D46" s="290">
        <f t="shared" si="0"/>
        <v>0</v>
      </c>
      <c r="E46" s="288"/>
      <c r="F46" s="287"/>
      <c r="G46" s="383"/>
    </row>
    <row r="47" spans="1:7" s="380" customFormat="1">
      <c r="A47" s="145" t="s">
        <v>151</v>
      </c>
      <c r="B47" s="286">
        <f>'Sources and Uses Budget'!$C46</f>
        <v>1017811</v>
      </c>
      <c r="C47" s="286">
        <f>'Sources and Uses Budget'!$C46</f>
        <v>1017811</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491406</v>
      </c>
      <c r="C49" s="286">
        <f>'Sources and Uses Budget'!$C48</f>
        <v>491406</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0</v>
      </c>
      <c r="C51" s="286">
        <f>'Sources and Uses Budget'!$C50</f>
        <v>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2131880</v>
      </c>
      <c r="C53" s="286">
        <f>'Sources and Uses Budget'!$C52</f>
        <v>2131880</v>
      </c>
      <c r="D53" s="290">
        <f t="shared" si="0"/>
        <v>0</v>
      </c>
      <c r="E53" s="288"/>
      <c r="F53" s="287"/>
      <c r="G53" s="383"/>
    </row>
    <row r="54" spans="1:7" s="380" customFormat="1">
      <c r="A54" s="155" t="str">
        <f>'Sources and Uses Budget'!A53</f>
        <v>Other: Cost of Issuance Contingency</v>
      </c>
      <c r="B54" s="286">
        <f>'Sources and Uses Budget'!$C53</f>
        <v>1500000</v>
      </c>
      <c r="C54" s="286">
        <f>'Sources and Uses Budget'!$C53</f>
        <v>1500000</v>
      </c>
      <c r="D54" s="290">
        <f t="shared" si="0"/>
        <v>0</v>
      </c>
      <c r="E54" s="288"/>
      <c r="F54" s="287"/>
      <c r="G54" s="383"/>
    </row>
    <row r="55" spans="1:7" s="381" customFormat="1">
      <c r="A55" s="291" t="s">
        <v>157</v>
      </c>
      <c r="B55" s="293">
        <f>SUM(B46:B54)</f>
        <v>21295433</v>
      </c>
      <c r="C55" s="293">
        <f>SUM(C46:C54)</f>
        <v>21295433</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982811</v>
      </c>
      <c r="C57" s="286">
        <f>'Sources and Uses Budget'!$C56</f>
        <v>982811</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65" customHeight="1">
      <c r="A63" s="291" t="s">
        <v>301</v>
      </c>
      <c r="B63" s="290">
        <f>SUM(B57:B62)</f>
        <v>982811</v>
      </c>
      <c r="C63" s="290">
        <f>SUM(C57:C62)</f>
        <v>982811</v>
      </c>
      <c r="D63" s="290">
        <f t="shared" si="0"/>
        <v>0</v>
      </c>
      <c r="E63" s="288"/>
      <c r="F63" s="287"/>
      <c r="G63" s="383"/>
    </row>
    <row r="64" spans="1:7" s="380" customFormat="1">
      <c r="A64" s="294" t="s">
        <v>302</v>
      </c>
      <c r="B64" s="290">
        <f>SUM(B9+B12+B14+B15+B17+B26+B28+B39+B43+B44+B55+B63)</f>
        <v>146472543</v>
      </c>
      <c r="C64" s="290">
        <f>SUM(C9+C12+C14+C15+C17+C26+C28+C39+C43+C44+C55+C63)</f>
        <v>146472543</v>
      </c>
      <c r="D64" s="290">
        <f t="shared" si="0"/>
        <v>0</v>
      </c>
      <c r="E64" s="288"/>
      <c r="F64" s="287"/>
      <c r="G64" s="383"/>
    </row>
    <row r="65" spans="1:7" s="380" customFormat="1" ht="22.8">
      <c r="A65" s="141" t="s">
        <v>1755</v>
      </c>
      <c r="B65" s="284"/>
      <c r="C65" s="284"/>
      <c r="D65" s="284"/>
      <c r="E65" s="303"/>
      <c r="F65" s="284"/>
      <c r="G65" s="383"/>
    </row>
    <row r="66" spans="1:7" s="380" customFormat="1">
      <c r="A66" s="145" t="s">
        <v>170</v>
      </c>
      <c r="B66" s="286">
        <f>'Sources and Uses Budget'!$C65</f>
        <v>158000</v>
      </c>
      <c r="C66" s="286">
        <f>'Sources and Uses Budget'!$C65</f>
        <v>158000</v>
      </c>
      <c r="D66" s="290">
        <f t="shared" si="0"/>
        <v>0</v>
      </c>
      <c r="E66" s="288"/>
      <c r="F66" s="287"/>
      <c r="G66" s="383"/>
    </row>
    <row r="67" spans="1:7" s="380" customFormat="1" ht="22.8">
      <c r="A67" s="304" t="s">
        <v>1752</v>
      </c>
      <c r="B67" s="286">
        <f>'Sources and Uses Budget'!$C66</f>
        <v>0</v>
      </c>
      <c r="C67" s="286">
        <f>'Sources and Uses Budget'!$C66</f>
        <v>0</v>
      </c>
      <c r="D67" s="290"/>
      <c r="E67" s="288"/>
      <c r="F67" s="287"/>
      <c r="G67" s="383"/>
    </row>
    <row r="68" spans="1:7" s="380" customFormat="1" ht="22.8">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Owner Legal</v>
      </c>
      <c r="B70" s="286">
        <f>'Sources and Uses Budget'!$C69</f>
        <v>1700000</v>
      </c>
      <c r="C70" s="286">
        <f>'Sources and Uses Budget'!$C69</f>
        <v>1700000</v>
      </c>
      <c r="D70" s="290">
        <f t="shared" si="0"/>
        <v>0</v>
      </c>
      <c r="E70" s="288"/>
      <c r="F70" s="287"/>
      <c r="G70" s="383"/>
    </row>
    <row r="71" spans="1:7" s="380" customFormat="1">
      <c r="A71" s="149" t="s">
        <v>1756</v>
      </c>
      <c r="B71" s="290">
        <f>SUM(B66:B70)</f>
        <v>1858000</v>
      </c>
      <c r="C71" s="290">
        <f>SUM(C66:C70)</f>
        <v>1858000</v>
      </c>
      <c r="D71" s="290">
        <f t="shared" si="0"/>
        <v>0</v>
      </c>
      <c r="E71" s="288"/>
      <c r="F71" s="287"/>
      <c r="G71" s="383"/>
    </row>
    <row r="72" spans="1:7" s="380" customFormat="1">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612</v>
      </c>
      <c r="B76" s="286">
        <f>'Sources and Uses Budget'!$C75</f>
        <v>2359580</v>
      </c>
      <c r="C76" s="286">
        <f>'Sources and Uses Budget'!$C75</f>
        <v>2359580</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613</v>
      </c>
      <c r="B78" s="290">
        <f>SUM(B73:B77)</f>
        <v>2359580</v>
      </c>
      <c r="C78" s="290">
        <f>SUM(C73:C77)</f>
        <v>2359580</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7287543</v>
      </c>
      <c r="C80" s="286">
        <f>'Sources and Uses Budget'!$C79</f>
        <v>7287543</v>
      </c>
      <c r="D80" s="290">
        <f t="shared" si="1"/>
        <v>0</v>
      </c>
      <c r="E80" s="288"/>
      <c r="F80" s="287"/>
      <c r="G80" s="383"/>
    </row>
    <row r="81" spans="1:7" s="380" customFormat="1">
      <c r="A81" s="544" t="s">
        <v>58</v>
      </c>
      <c r="B81" s="286">
        <f>'Sources and Uses Budget'!$C80</f>
        <v>1454691</v>
      </c>
      <c r="C81" s="286">
        <f>'Sources and Uses Budget'!$C80</f>
        <v>1454691</v>
      </c>
      <c r="D81" s="290">
        <f>C81-B81</f>
        <v>0</v>
      </c>
      <c r="E81" s="288"/>
      <c r="F81" s="287"/>
      <c r="G81" s="383"/>
    </row>
    <row r="82" spans="1:7" s="380" customFormat="1">
      <c r="A82" s="291" t="s">
        <v>1314</v>
      </c>
      <c r="B82" s="290">
        <f>SUM(B80:B81)</f>
        <v>8742234</v>
      </c>
      <c r="C82" s="290">
        <f>SUM(C80:C81)</f>
        <v>8742234</v>
      </c>
      <c r="D82" s="290">
        <f t="shared" si="1"/>
        <v>0</v>
      </c>
      <c r="E82" s="288"/>
      <c r="F82" s="287"/>
      <c r="G82" s="383"/>
    </row>
    <row r="83" spans="1:7" s="380" customFormat="1">
      <c r="A83" s="284" t="s">
        <v>773</v>
      </c>
      <c r="B83" s="284"/>
      <c r="C83" s="284"/>
      <c r="D83" s="284"/>
      <c r="E83" s="303"/>
      <c r="F83" s="284"/>
      <c r="G83" s="383"/>
    </row>
    <row r="84" spans="1:7" s="380" customFormat="1" ht="13.65" customHeight="1">
      <c r="A84" s="289" t="s">
        <v>774</v>
      </c>
      <c r="B84" s="286">
        <f>'Sources and Uses Budget'!$C83</f>
        <v>235931</v>
      </c>
      <c r="C84" s="286">
        <f>'Sources and Uses Budget'!$C83</f>
        <v>235931</v>
      </c>
      <c r="D84" s="290">
        <f t="shared" si="1"/>
        <v>0</v>
      </c>
      <c r="E84" s="288"/>
      <c r="F84" s="287"/>
      <c r="G84" s="383"/>
    </row>
    <row r="85" spans="1:7" s="380" customFormat="1">
      <c r="A85" s="289" t="s">
        <v>775</v>
      </c>
      <c r="B85" s="286">
        <f>'Sources and Uses Budget'!$C84</f>
        <v>0</v>
      </c>
      <c r="C85" s="286">
        <f>'Sources and Uses Budget'!$C84</f>
        <v>0</v>
      </c>
      <c r="D85" s="290">
        <f t="shared" si="1"/>
        <v>0</v>
      </c>
      <c r="E85" s="288"/>
      <c r="F85" s="287"/>
      <c r="G85" s="383"/>
    </row>
    <row r="86" spans="1:7" s="380" customFormat="1">
      <c r="A86" s="289" t="s">
        <v>776</v>
      </c>
      <c r="B86" s="286">
        <f>'Sources and Uses Budget'!$C85</f>
        <v>0</v>
      </c>
      <c r="C86" s="286">
        <f>'Sources and Uses Budget'!$C85</f>
        <v>0</v>
      </c>
      <c r="D86" s="290">
        <f t="shared" si="1"/>
        <v>0</v>
      </c>
      <c r="E86" s="288"/>
      <c r="F86" s="287"/>
      <c r="G86" s="383"/>
    </row>
    <row r="87" spans="1:7" s="380" customFormat="1">
      <c r="A87" s="289" t="s">
        <v>777</v>
      </c>
      <c r="B87" s="286">
        <f>'Sources and Uses Budget'!$C86</f>
        <v>3143912</v>
      </c>
      <c r="C87" s="286">
        <f>'Sources and Uses Budget'!$C86</f>
        <v>3143912</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869656</v>
      </c>
      <c r="C89" s="286">
        <f>'Sources and Uses Budget'!$C88</f>
        <v>869656</v>
      </c>
      <c r="D89" s="290">
        <f t="shared" si="1"/>
        <v>0</v>
      </c>
      <c r="E89" s="288"/>
      <c r="F89" s="287"/>
      <c r="G89" s="383"/>
    </row>
    <row r="90" spans="1:7" s="380" customFormat="1">
      <c r="A90" s="289" t="s">
        <v>780</v>
      </c>
      <c r="B90" s="286">
        <f>'Sources and Uses Budget'!$C89</f>
        <v>2000000</v>
      </c>
      <c r="C90" s="286">
        <f>'Sources and Uses Budget'!$C89</f>
        <v>2000000</v>
      </c>
      <c r="D90" s="290">
        <f t="shared" si="1"/>
        <v>0</v>
      </c>
      <c r="E90" s="288"/>
      <c r="F90" s="287"/>
      <c r="G90" s="383"/>
    </row>
    <row r="91" spans="1:7" s="380" customFormat="1">
      <c r="A91" s="289" t="s">
        <v>781</v>
      </c>
      <c r="B91" s="286">
        <f>'Sources and Uses Budget'!$C90</f>
        <v>2500</v>
      </c>
      <c r="C91" s="286">
        <f>'Sources and Uses Budget'!$C90</f>
        <v>2500</v>
      </c>
      <c r="D91" s="290">
        <f t="shared" si="1"/>
        <v>0</v>
      </c>
      <c r="E91" s="288"/>
      <c r="F91" s="287"/>
      <c r="G91" s="383"/>
    </row>
    <row r="92" spans="1:7" s="380" customFormat="1">
      <c r="A92" s="289" t="s">
        <v>372</v>
      </c>
      <c r="B92" s="286">
        <f>'Sources and Uses Budget'!$C91</f>
        <v>0</v>
      </c>
      <c r="C92" s="286">
        <f>'Sources and Uses Budget'!$C91</f>
        <v>0</v>
      </c>
      <c r="D92" s="290">
        <f t="shared" si="1"/>
        <v>0</v>
      </c>
      <c r="E92" s="288"/>
      <c r="F92" s="287"/>
      <c r="G92" s="383"/>
    </row>
    <row r="93" spans="1:7" s="380" customFormat="1">
      <c r="A93" s="544" t="s">
        <v>1316</v>
      </c>
      <c r="B93" s="286">
        <f>'Sources and Uses Budget'!$C92</f>
        <v>0</v>
      </c>
      <c r="C93" s="286">
        <f>'Sources and Uses Budget'!$C92</f>
        <v>0</v>
      </c>
      <c r="D93" s="290">
        <f t="shared" si="1"/>
        <v>0</v>
      </c>
      <c r="E93" s="288"/>
      <c r="F93" s="287"/>
      <c r="G93" s="383"/>
    </row>
    <row r="94" spans="1:7" s="380" customFormat="1">
      <c r="A94" s="292" t="s">
        <v>34</v>
      </c>
      <c r="B94" s="286">
        <f>'Sources and Uses Budget'!$C93</f>
        <v>1270000</v>
      </c>
      <c r="C94" s="286">
        <f>'Sources and Uses Budget'!$C93</f>
        <v>1270000</v>
      </c>
      <c r="D94" s="290">
        <f t="shared" si="1"/>
        <v>0</v>
      </c>
      <c r="E94" s="288"/>
      <c r="F94" s="287"/>
      <c r="G94" s="383"/>
    </row>
    <row r="95" spans="1:7" s="380" customFormat="1">
      <c r="A95" s="292" t="s">
        <v>34</v>
      </c>
      <c r="B95" s="286">
        <f>'Sources and Uses Budget'!$C94</f>
        <v>849919</v>
      </c>
      <c r="C95" s="286">
        <f>'Sources and Uses Budget'!$C94</f>
        <v>849919</v>
      </c>
      <c r="D95" s="290">
        <f t="shared" si="1"/>
        <v>0</v>
      </c>
      <c r="E95" s="288"/>
      <c r="F95" s="287"/>
      <c r="G95" s="383"/>
    </row>
    <row r="96" spans="1:7" s="380" customFormat="1">
      <c r="A96" s="292" t="s">
        <v>34</v>
      </c>
      <c r="B96" s="286">
        <f>'Sources and Uses Budget'!$C95</f>
        <v>8088681</v>
      </c>
      <c r="C96" s="286">
        <f>'Sources and Uses Budget'!$C95</f>
        <v>8088681</v>
      </c>
      <c r="D96" s="290">
        <f t="shared" si="1"/>
        <v>0</v>
      </c>
      <c r="E96" s="288"/>
      <c r="F96" s="287"/>
      <c r="G96" s="383"/>
    </row>
    <row r="97" spans="1:7" s="380" customFormat="1">
      <c r="A97" s="291" t="s">
        <v>782</v>
      </c>
      <c r="B97" s="290">
        <f>SUM(B84:B96)</f>
        <v>16460599</v>
      </c>
      <c r="C97" s="290">
        <f>SUM(C84:C96)</f>
        <v>16460599</v>
      </c>
      <c r="D97" s="290">
        <f t="shared" si="1"/>
        <v>0</v>
      </c>
      <c r="E97" s="288"/>
      <c r="F97" s="287"/>
      <c r="G97" s="383"/>
    </row>
    <row r="98" spans="1:7" s="380" customFormat="1">
      <c r="A98" s="291" t="s">
        <v>783</v>
      </c>
      <c r="B98" s="290">
        <f>SUM(B64+B71+B78+B82+B97)</f>
        <v>175892956</v>
      </c>
      <c r="C98" s="290">
        <f>SUM(C64+C71+C78+C82+C97)</f>
        <v>175892956</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28107159</v>
      </c>
      <c r="C100" s="286">
        <f>'Sources and Uses Budget'!$C99</f>
        <v>28107159</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28107159</v>
      </c>
      <c r="C105" s="290">
        <f>SUM(C100:C104)</f>
        <v>28107159</v>
      </c>
      <c r="D105" s="290">
        <f t="shared" si="1"/>
        <v>0</v>
      </c>
      <c r="E105" s="288"/>
      <c r="F105" s="287"/>
      <c r="G105" s="383"/>
    </row>
    <row r="106" spans="1:7" s="380" customFormat="1">
      <c r="A106" s="291" t="s">
        <v>788</v>
      </c>
      <c r="B106" s="293">
        <f>SUM(B98+B105)</f>
        <v>204000115</v>
      </c>
      <c r="C106" s="293">
        <f>SUM(C98+C105)</f>
        <v>204000115</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8671875" hidden="1"/>
  </cols>
  <sheetData>
    <row r="1" spans="1:9"/>
    <row r="2" spans="1:9">
      <c r="A2" s="1303" t="s">
        <v>1067</v>
      </c>
      <c r="B2" s="1303"/>
      <c r="C2" s="1267"/>
      <c r="D2" s="1267"/>
      <c r="E2" s="1267"/>
      <c r="F2" s="1267"/>
      <c r="G2" s="1267"/>
    </row>
    <row r="3" spans="1:9" s="173" customFormat="1">
      <c r="A3" s="1303" t="s">
        <v>1008</v>
      </c>
      <c r="B3" s="1303"/>
      <c r="C3" s="1267"/>
      <c r="D3" s="1267"/>
      <c r="E3" s="1267"/>
      <c r="F3" s="1267"/>
      <c r="G3" s="1267"/>
      <c r="I3" t="s">
        <v>307</v>
      </c>
    </row>
    <row r="4" spans="1:9">
      <c r="I4" s="3" t="s">
        <v>1068</v>
      </c>
    </row>
    <row r="5" spans="1:9">
      <c r="A5" s="1305" t="s">
        <v>1009</v>
      </c>
      <c r="B5" s="1305"/>
      <c r="C5" s="1267"/>
      <c r="D5" s="1267"/>
      <c r="E5" s="1267"/>
      <c r="F5" s="1267"/>
      <c r="G5" s="1267"/>
      <c r="I5" s="3" t="s">
        <v>1069</v>
      </c>
    </row>
    <row r="6" spans="1:9">
      <c r="A6" s="1305" t="s">
        <v>827</v>
      </c>
      <c r="B6" s="1305"/>
      <c r="C6" s="1267"/>
      <c r="D6" s="1267"/>
      <c r="E6" s="1267"/>
      <c r="F6" s="1267"/>
      <c r="G6" s="1267"/>
      <c r="I6" t="s">
        <v>598</v>
      </c>
    </row>
    <row r="7" spans="1:9" ht="11.85" customHeight="1"/>
    <row r="8" spans="1:9">
      <c r="A8" s="1303" t="s">
        <v>1164</v>
      </c>
      <c r="B8" s="1303"/>
      <c r="C8" s="1304"/>
      <c r="D8" s="1304"/>
      <c r="E8" s="1304"/>
      <c r="F8" s="1304"/>
      <c r="G8" s="1304"/>
    </row>
    <row r="9" spans="1:9">
      <c r="A9" s="1303" t="s">
        <v>1165</v>
      </c>
      <c r="B9" s="1303"/>
      <c r="C9" s="1304"/>
      <c r="D9" s="1304"/>
      <c r="E9" s="1304"/>
      <c r="F9" s="1304"/>
      <c r="G9" s="1304"/>
    </row>
    <row r="10" spans="1:9">
      <c r="A10" s="174"/>
      <c r="B10" s="174"/>
      <c r="C10" s="172"/>
      <c r="D10" s="172"/>
      <c r="E10" s="172"/>
      <c r="F10" s="172"/>
    </row>
    <row r="11" spans="1:9">
      <c r="A11" s="1286" t="s">
        <v>1167</v>
      </c>
      <c r="B11" s="1286"/>
      <c r="C11" s="1286"/>
      <c r="D11" s="1286"/>
      <c r="E11" s="1286"/>
      <c r="F11" s="1286"/>
      <c r="G11" s="1286"/>
    </row>
    <row r="12" spans="1:9">
      <c r="A12" s="172"/>
      <c r="B12" s="172"/>
      <c r="E12" s="2"/>
    </row>
    <row r="13" spans="1:9" ht="13.2" customHeight="1">
      <c r="C13" s="172"/>
      <c r="D13" s="1288" t="s">
        <v>1166</v>
      </c>
      <c r="E13" s="1288"/>
      <c r="F13" s="1288"/>
    </row>
    <row r="14" spans="1:9">
      <c r="C14" s="172"/>
      <c r="D14" s="1288"/>
      <c r="E14" s="1288"/>
      <c r="F14" s="1288"/>
    </row>
    <row r="15" spans="1:9">
      <c r="A15" s="175"/>
      <c r="B15" s="175"/>
      <c r="C15" s="175"/>
      <c r="D15" s="1285" t="s">
        <v>1149</v>
      </c>
      <c r="E15" s="1285"/>
      <c r="F15" s="1285"/>
    </row>
    <row r="16" spans="1:9">
      <c r="A16" s="175"/>
      <c r="B16" s="175"/>
      <c r="C16" s="175"/>
      <c r="D16" s="218"/>
    </row>
    <row r="17" spans="1:6" ht="14.4">
      <c r="A17" s="176"/>
      <c r="B17" s="468" t="s">
        <v>307</v>
      </c>
      <c r="C17" s="175"/>
      <c r="D17" s="1265" t="s">
        <v>1150</v>
      </c>
      <c r="E17" s="1265"/>
      <c r="F17" s="1265"/>
    </row>
    <row r="18" spans="1:6">
      <c r="A18" s="175"/>
      <c r="B18" s="175"/>
      <c r="C18" s="175"/>
      <c r="D18" s="1265"/>
      <c r="E18" s="1265"/>
      <c r="F18" s="1265"/>
    </row>
    <row r="19" spans="1:6">
      <c r="A19" s="175"/>
      <c r="B19" s="175"/>
      <c r="C19" s="175"/>
      <c r="D19" s="1265"/>
      <c r="E19" s="1265"/>
      <c r="F19" s="1265"/>
    </row>
    <row r="20" spans="1:6">
      <c r="A20" s="175"/>
      <c r="B20" s="175"/>
      <c r="C20" s="175"/>
    </row>
    <row r="21" spans="1:6" ht="14.4">
      <c r="A21" s="176"/>
      <c r="B21" s="468" t="s">
        <v>307</v>
      </c>
      <c r="D21" s="1289" t="s">
        <v>1151</v>
      </c>
      <c r="E21" s="1289"/>
      <c r="F21" s="1289"/>
    </row>
    <row r="22" spans="1:6" ht="14.4">
      <c r="A22" s="176"/>
      <c r="B22" s="176"/>
      <c r="D22" s="35"/>
    </row>
    <row r="23" spans="1:6" ht="14.4">
      <c r="A23" s="176"/>
      <c r="B23" s="468" t="s">
        <v>307</v>
      </c>
      <c r="D23" s="1265" t="s">
        <v>1152</v>
      </c>
      <c r="E23" s="1265"/>
      <c r="F23" s="1265"/>
    </row>
    <row r="24" spans="1:6" ht="14.4">
      <c r="A24" s="176"/>
      <c r="B24" s="176"/>
      <c r="D24" s="1265"/>
      <c r="E24" s="1265"/>
      <c r="F24" s="1265"/>
    </row>
    <row r="25" spans="1:6"/>
    <row r="26" spans="1:6" ht="14.4">
      <c r="A26" s="176"/>
      <c r="B26" s="468" t="s">
        <v>307</v>
      </c>
      <c r="D26" s="1265" t="s">
        <v>1153</v>
      </c>
      <c r="E26" s="1265"/>
      <c r="F26" s="1265"/>
    </row>
    <row r="27" spans="1:6">
      <c r="D27" s="1265"/>
      <c r="E27" s="1265"/>
      <c r="F27" s="1265"/>
    </row>
    <row r="28" spans="1:6">
      <c r="D28" s="1265"/>
      <c r="E28" s="1265"/>
      <c r="F28" s="1265"/>
    </row>
    <row r="29" spans="1:6">
      <c r="D29" s="1265"/>
      <c r="E29" s="1265"/>
      <c r="F29" s="1265"/>
    </row>
    <row r="30" spans="1:6">
      <c r="D30" s="1265"/>
      <c r="E30" s="1265"/>
      <c r="F30" s="1265"/>
    </row>
    <row r="31" spans="1:6">
      <c r="D31" s="220"/>
    </row>
    <row r="32" spans="1:6">
      <c r="B32" s="468" t="s">
        <v>307</v>
      </c>
      <c r="D32" s="1265" t="s">
        <v>1154</v>
      </c>
      <c r="E32" s="1265"/>
      <c r="F32" s="1265"/>
    </row>
    <row r="33" spans="1:6">
      <c r="D33" s="1265"/>
      <c r="E33" s="1265"/>
      <c r="F33" s="1265"/>
    </row>
    <row r="34" spans="1:6" ht="14.4">
      <c r="A34" s="176"/>
      <c r="B34" s="176"/>
      <c r="D34" s="220"/>
    </row>
    <row r="35" spans="1:6" ht="14.4" customHeight="1">
      <c r="A35" s="176"/>
      <c r="B35" s="468" t="s">
        <v>307</v>
      </c>
      <c r="D35" s="1265" t="s">
        <v>1155</v>
      </c>
      <c r="E35" s="1265"/>
      <c r="F35" s="1265"/>
    </row>
    <row r="36" spans="1:6" ht="14.4">
      <c r="A36" s="176"/>
      <c r="B36" s="176"/>
      <c r="D36" s="1265"/>
      <c r="E36" s="1265"/>
      <c r="F36" s="1265"/>
    </row>
    <row r="37" spans="1:6" ht="14.4">
      <c r="A37" s="176"/>
      <c r="B37" s="176"/>
      <c r="D37" s="1265"/>
      <c r="E37" s="1265"/>
      <c r="F37" s="1265"/>
    </row>
    <row r="38" spans="1:6" ht="14.4">
      <c r="A38" s="176"/>
      <c r="B38" s="176"/>
      <c r="D38"/>
    </row>
    <row r="39" spans="1:6" ht="14.4">
      <c r="A39" s="176"/>
      <c r="B39" s="468" t="s">
        <v>307</v>
      </c>
      <c r="D39" s="1265" t="s">
        <v>1156</v>
      </c>
      <c r="E39" s="1265"/>
      <c r="F39" s="1265"/>
    </row>
    <row r="40" spans="1:6" ht="14.4">
      <c r="A40" s="176"/>
      <c r="B40" s="176"/>
      <c r="D40" s="1265"/>
      <c r="E40" s="1265"/>
      <c r="F40" s="1265"/>
    </row>
    <row r="41" spans="1:6" ht="14.4">
      <c r="A41" s="176"/>
      <c r="B41" s="176"/>
      <c r="D41" s="1265"/>
      <c r="E41" s="1265"/>
      <c r="F41" s="1265"/>
    </row>
    <row r="42" spans="1:6" ht="14.4">
      <c r="A42" s="176"/>
      <c r="B42" s="176"/>
      <c r="D42" s="1265"/>
      <c r="E42" s="1265"/>
      <c r="F42" s="1265"/>
    </row>
    <row r="43" spans="1:6" ht="14.4">
      <c r="A43" s="176"/>
      <c r="B43" s="176"/>
      <c r="D43" s="1265"/>
      <c r="E43" s="1265"/>
      <c r="F43" s="1265"/>
    </row>
    <row r="44" spans="1:6" ht="14.4">
      <c r="A44" s="176"/>
      <c r="B44" s="176"/>
      <c r="D44" s="474"/>
      <c r="E44" s="474"/>
      <c r="F44" s="474"/>
    </row>
    <row r="45" spans="1:6" ht="14.4">
      <c r="A45" s="176"/>
      <c r="B45" s="468" t="s">
        <v>307</v>
      </c>
      <c r="D45" s="1265" t="s">
        <v>1157</v>
      </c>
      <c r="E45" s="1265"/>
      <c r="F45" s="1265"/>
    </row>
    <row r="46" spans="1:6" ht="14.4">
      <c r="A46" s="176"/>
      <c r="B46" s="176"/>
      <c r="D46" s="1265"/>
      <c r="E46" s="1265"/>
      <c r="F46" s="1265"/>
    </row>
    <row r="47" spans="1:6" ht="14.4">
      <c r="A47" s="176"/>
      <c r="B47" s="176"/>
      <c r="D47" s="1265"/>
      <c r="E47" s="1265"/>
      <c r="F47" s="1265"/>
    </row>
    <row r="48" spans="1:6" ht="23.25" customHeight="1">
      <c r="A48" s="176"/>
      <c r="B48" s="176"/>
      <c r="D48" s="1265"/>
      <c r="E48" s="1265"/>
      <c r="F48" s="1265"/>
    </row>
    <row r="49" spans="1:7" ht="14.4">
      <c r="A49" s="176"/>
      <c r="B49" s="176"/>
      <c r="D49" s="35"/>
    </row>
    <row r="50" spans="1:7" ht="14.4" customHeight="1">
      <c r="A50" s="176"/>
      <c r="B50" s="468" t="s">
        <v>307</v>
      </c>
      <c r="D50" s="1265" t="s">
        <v>1158</v>
      </c>
      <c r="E50" s="1265"/>
      <c r="F50" s="1265"/>
    </row>
    <row r="51" spans="1:7" ht="14.4">
      <c r="A51" s="176"/>
      <c r="B51" s="176"/>
      <c r="D51" s="1265"/>
      <c r="E51" s="1265"/>
      <c r="F51" s="1265"/>
    </row>
    <row r="52" spans="1:7" ht="14.4">
      <c r="A52" s="176"/>
      <c r="B52" s="176"/>
      <c r="D52" s="1265"/>
      <c r="E52" s="1265"/>
      <c r="F52" s="1265"/>
    </row>
    <row r="53" spans="1:7" ht="14.4">
      <c r="A53" s="176"/>
      <c r="B53" s="176"/>
      <c r="C53" s="385"/>
      <c r="D53" s="3"/>
      <c r="E53" s="3"/>
      <c r="F53" s="3"/>
      <c r="G53" s="3"/>
    </row>
    <row r="54" spans="1:7" ht="14.4">
      <c r="A54" s="176"/>
      <c r="B54" s="468" t="s">
        <v>307</v>
      </c>
      <c r="C54" s="385"/>
      <c r="D54" s="1265" t="s">
        <v>1159</v>
      </c>
      <c r="E54" s="1265"/>
      <c r="F54" s="1265"/>
      <c r="G54" s="3"/>
    </row>
    <row r="55" spans="1:7" ht="14.4">
      <c r="A55" s="176"/>
      <c r="B55" s="176"/>
      <c r="C55" s="385"/>
      <c r="D55" s="1265"/>
      <c r="E55" s="1265"/>
      <c r="F55" s="1265"/>
      <c r="G55" s="3"/>
    </row>
    <row r="56" spans="1:7">
      <c r="D56" s="220"/>
    </row>
    <row r="57" spans="1:7" ht="14.4">
      <c r="A57" s="176"/>
      <c r="B57" s="468" t="s">
        <v>307</v>
      </c>
      <c r="D57" s="1265" t="s">
        <v>1160</v>
      </c>
      <c r="E57" s="1265"/>
      <c r="F57" s="1265"/>
    </row>
    <row r="58" spans="1:7">
      <c r="D58" s="1265"/>
      <c r="E58" s="1265"/>
      <c r="F58" s="1265"/>
    </row>
    <row r="59" spans="1:7">
      <c r="D59" s="1265"/>
      <c r="E59" s="1265"/>
      <c r="F59" s="1265"/>
    </row>
    <row r="60" spans="1:7">
      <c r="D60" s="3"/>
    </row>
    <row r="61" spans="1:7" ht="14.4">
      <c r="A61" s="176"/>
      <c r="B61" s="468" t="s">
        <v>307</v>
      </c>
      <c r="D61" s="1265" t="s">
        <v>1161</v>
      </c>
      <c r="E61" s="1265"/>
      <c r="F61" s="1265"/>
    </row>
    <row r="62" spans="1:7">
      <c r="D62" s="1265"/>
      <c r="E62" s="1265"/>
      <c r="F62" s="1265"/>
    </row>
    <row r="63" spans="1:7"/>
    <row r="64" spans="1:7" ht="14.4">
      <c r="A64" s="176"/>
      <c r="B64" s="468" t="s">
        <v>307</v>
      </c>
      <c r="D64" s="1265" t="s">
        <v>1162</v>
      </c>
      <c r="E64" s="1265"/>
      <c r="F64" s="1265"/>
    </row>
    <row r="65" spans="1:7">
      <c r="D65" s="1265"/>
      <c r="E65" s="1265"/>
      <c r="F65" s="1265"/>
    </row>
    <row r="66" spans="1:7">
      <c r="D66" s="1265"/>
      <c r="E66" s="1265"/>
      <c r="F66" s="1265"/>
    </row>
    <row r="67" spans="1:7">
      <c r="D67"/>
    </row>
    <row r="68" spans="1:7" ht="14.4">
      <c r="A68" s="176"/>
      <c r="B68" s="468" t="s">
        <v>307</v>
      </c>
      <c r="D68" s="1265" t="s">
        <v>1163</v>
      </c>
      <c r="E68" s="1265"/>
      <c r="F68" s="1265"/>
    </row>
    <row r="69" spans="1:7">
      <c r="D69" s="1265"/>
      <c r="E69" s="1265"/>
      <c r="F69" s="1265"/>
    </row>
    <row r="70" spans="1:7" ht="14.4">
      <c r="A70" s="176"/>
      <c r="B70" s="176"/>
      <c r="D70" s="35"/>
    </row>
    <row r="71" spans="1:7">
      <c r="A71" s="1286" t="s">
        <v>1070</v>
      </c>
      <c r="B71" s="1286"/>
      <c r="C71" s="1286"/>
      <c r="D71" s="1286"/>
      <c r="E71" s="1286"/>
      <c r="F71" s="1286"/>
      <c r="G71" s="1286"/>
    </row>
    <row r="72" spans="1:7"/>
    <row r="73" spans="1:7">
      <c r="C73" s="177"/>
      <c r="D73" s="1297" t="s">
        <v>1168</v>
      </c>
      <c r="E73" s="1297"/>
      <c r="F73" s="1297"/>
    </row>
    <row r="74" spans="1:7">
      <c r="A74" s="35"/>
      <c r="B74" s="35"/>
      <c r="D74" s="1265" t="s">
        <v>1195</v>
      </c>
      <c r="E74" s="1265"/>
      <c r="F74" s="1265"/>
    </row>
    <row r="75" spans="1:7">
      <c r="A75" s="35"/>
      <c r="B75" s="35"/>
    </row>
    <row r="76" spans="1:7" ht="14.4">
      <c r="A76" s="176"/>
      <c r="B76" s="468" t="s">
        <v>307</v>
      </c>
      <c r="D76" s="1265" t="s">
        <v>1169</v>
      </c>
      <c r="E76" s="1265"/>
      <c r="F76" s="1265"/>
    </row>
    <row r="77" spans="1:7" ht="14.4">
      <c r="A77" s="176"/>
      <c r="B77" s="176"/>
      <c r="D77" s="1265"/>
      <c r="E77" s="1265"/>
      <c r="F77" s="1265"/>
    </row>
    <row r="78" spans="1:7" ht="14.4">
      <c r="A78" s="176"/>
      <c r="B78" s="176"/>
      <c r="D78" s="1265"/>
      <c r="E78" s="1265"/>
      <c r="F78" s="1265"/>
    </row>
    <row r="79" spans="1:7" ht="14.4">
      <c r="A79" s="176"/>
      <c r="B79" s="176"/>
      <c r="D79" s="1265"/>
      <c r="E79" s="1265"/>
      <c r="F79" s="1265"/>
    </row>
    <row r="80" spans="1:7" ht="14.4">
      <c r="A80" s="176"/>
      <c r="B80" s="176"/>
      <c r="D80" s="1265"/>
      <c r="E80" s="1265"/>
      <c r="F80" s="1265"/>
    </row>
    <row r="81" spans="1:6" ht="14.4">
      <c r="A81" s="176"/>
      <c r="B81" s="176"/>
      <c r="D81" s="1265"/>
      <c r="E81" s="1265"/>
      <c r="F81" s="1265"/>
    </row>
    <row r="82" spans="1:6" ht="14.4">
      <c r="A82" s="176"/>
      <c r="B82" s="176"/>
      <c r="D82" s="474"/>
      <c r="E82" s="474"/>
      <c r="F82" s="474"/>
    </row>
    <row r="83" spans="1:6" ht="14.4" customHeight="1">
      <c r="A83" s="176"/>
      <c r="B83" s="468" t="s">
        <v>307</v>
      </c>
      <c r="D83" s="1268" t="s">
        <v>1268</v>
      </c>
      <c r="E83" s="1268"/>
      <c r="F83" s="1268"/>
    </row>
    <row r="84" spans="1:6" ht="14.4">
      <c r="A84" s="176"/>
      <c r="B84" s="176"/>
      <c r="D84" s="1268"/>
      <c r="E84" s="1268"/>
      <c r="F84" s="1268"/>
    </row>
    <row r="85" spans="1:6" ht="14.4">
      <c r="A85" s="176"/>
      <c r="B85" s="176"/>
      <c r="D85" s="1268"/>
      <c r="E85" s="1268"/>
      <c r="F85" s="1268"/>
    </row>
    <row r="86" spans="1:6" ht="14.4">
      <c r="A86" s="176"/>
      <c r="B86" s="176"/>
      <c r="D86" s="1268"/>
      <c r="E86" s="1268"/>
      <c r="F86" s="1268"/>
    </row>
    <row r="87" spans="1:6" ht="14.4">
      <c r="A87" s="176"/>
      <c r="B87" s="176"/>
      <c r="D87" s="1268"/>
      <c r="E87" s="1268"/>
      <c r="F87" s="1268"/>
    </row>
    <row r="88" spans="1:6" ht="14.4">
      <c r="A88" s="176"/>
      <c r="B88" s="176"/>
      <c r="D88" s="1268"/>
      <c r="E88" s="1268"/>
      <c r="F88" s="1268"/>
    </row>
    <row r="89" spans="1:6" ht="14.4">
      <c r="A89" s="176"/>
      <c r="B89" s="176"/>
      <c r="D89" s="1268"/>
      <c r="E89" s="1268"/>
      <c r="F89" s="1268"/>
    </row>
    <row r="90" spans="1:6" ht="14.4">
      <c r="A90" s="176"/>
      <c r="B90" s="176"/>
      <c r="D90" s="1268"/>
      <c r="E90" s="1268"/>
      <c r="F90" s="1268"/>
    </row>
    <row r="91" spans="1:6" ht="14.4">
      <c r="A91" s="176"/>
      <c r="B91" s="176"/>
      <c r="D91" s="1268"/>
      <c r="E91" s="1268"/>
      <c r="F91" s="1268"/>
    </row>
    <row r="92" spans="1:6" ht="14.4">
      <c r="A92" s="176"/>
      <c r="B92" s="176"/>
      <c r="D92" s="1268"/>
      <c r="E92" s="1268"/>
      <c r="F92" s="1268"/>
    </row>
    <row r="93" spans="1:6" ht="14.4">
      <c r="A93" s="176"/>
      <c r="B93" s="176"/>
      <c r="D93" s="1268"/>
      <c r="E93" s="1268"/>
      <c r="F93" s="1268"/>
    </row>
    <row r="94" spans="1:6" ht="14.4">
      <c r="A94" s="176"/>
      <c r="B94" s="176"/>
      <c r="D94" s="1268"/>
      <c r="E94" s="1268"/>
      <c r="F94" s="1268"/>
    </row>
    <row r="95" spans="1:6" ht="14.4">
      <c r="A95" s="176"/>
      <c r="B95" s="176"/>
      <c r="D95" s="1268"/>
      <c r="E95" s="1268"/>
      <c r="F95" s="1268"/>
    </row>
    <row r="96" spans="1:6" ht="14.4">
      <c r="A96" s="176"/>
      <c r="B96" s="176"/>
      <c r="D96" s="1268"/>
      <c r="E96" s="1268"/>
      <c r="F96" s="1268"/>
    </row>
    <row r="97" spans="1:11" ht="14.4">
      <c r="A97" s="176"/>
      <c r="B97" s="468" t="s">
        <v>307</v>
      </c>
      <c r="D97" s="1265" t="s">
        <v>1170</v>
      </c>
      <c r="E97" s="1265"/>
      <c r="F97" s="1265"/>
    </row>
    <row r="98" spans="1:11" ht="14.4">
      <c r="A98" s="176"/>
      <c r="B98" s="176"/>
      <c r="D98" s="1265"/>
      <c r="E98" s="1265"/>
      <c r="F98" s="1265"/>
    </row>
    <row r="99" spans="1:11" ht="14.4">
      <c r="A99" s="176"/>
      <c r="B99" s="176"/>
      <c r="D99" s="1265"/>
      <c r="E99" s="1265"/>
      <c r="F99" s="1265"/>
    </row>
    <row r="100" spans="1:11" ht="14.4">
      <c r="A100" s="176"/>
      <c r="B100" s="176"/>
      <c r="D100" s="1265"/>
      <c r="E100" s="1265"/>
      <c r="F100" s="1265"/>
    </row>
    <row r="101" spans="1:11" ht="14.4">
      <c r="A101" s="176"/>
      <c r="B101" s="176"/>
      <c r="D101" s="1265"/>
      <c r="E101" s="1265"/>
      <c r="F101" s="1265"/>
    </row>
    <row r="102" spans="1:11" ht="14.4">
      <c r="A102" s="176"/>
      <c r="B102" s="176"/>
      <c r="D102" s="1265"/>
      <c r="E102" s="1265"/>
      <c r="F102" s="1265"/>
    </row>
    <row r="103" spans="1:11" ht="14.4">
      <c r="A103" s="176"/>
      <c r="B103" s="176"/>
      <c r="D103" s="1265"/>
      <c r="E103" s="1265"/>
      <c r="F103" s="1265"/>
    </row>
    <row r="104" spans="1:11" ht="14.4">
      <c r="A104" s="176"/>
      <c r="B104" s="176"/>
      <c r="D104" s="1265"/>
      <c r="E104" s="1265"/>
      <c r="F104" s="1265"/>
    </row>
    <row r="105" spans="1:11" ht="14.4">
      <c r="A105" s="176"/>
      <c r="B105" s="176"/>
      <c r="D105" s="474"/>
      <c r="E105" s="474"/>
      <c r="F105" s="474"/>
    </row>
    <row r="106" spans="1:11" ht="14.4">
      <c r="A106" s="176"/>
      <c r="B106" s="468" t="s">
        <v>307</v>
      </c>
      <c r="C106" s="179"/>
      <c r="D106" s="1306" t="s">
        <v>1171</v>
      </c>
      <c r="E106" s="1306"/>
      <c r="F106" s="1306"/>
      <c r="G106" s="183"/>
      <c r="H106" s="181"/>
      <c r="I106" s="181"/>
      <c r="J106" s="181"/>
      <c r="K106" s="181"/>
    </row>
    <row r="107" spans="1:11" ht="14.4">
      <c r="A107" s="176"/>
      <c r="B107" s="176"/>
      <c r="C107" s="179"/>
      <c r="D107" s="1306"/>
      <c r="E107" s="1306"/>
      <c r="F107" s="1306"/>
      <c r="G107" s="183"/>
      <c r="H107" s="181"/>
      <c r="I107" s="181"/>
      <c r="J107" s="181"/>
      <c r="K107" s="181"/>
    </row>
    <row r="108" spans="1:11" ht="14.4">
      <c r="A108" s="176"/>
      <c r="B108" s="176"/>
      <c r="C108" s="179"/>
      <c r="D108" s="1306"/>
      <c r="E108" s="1306"/>
      <c r="F108" s="1306"/>
      <c r="G108" s="183"/>
      <c r="H108" s="181"/>
      <c r="I108" s="181"/>
      <c r="J108" s="181"/>
      <c r="K108" s="181"/>
    </row>
    <row r="109" spans="1:11" ht="14.4">
      <c r="A109" s="176"/>
      <c r="B109" s="176"/>
      <c r="C109" s="179"/>
      <c r="D109" s="1306"/>
      <c r="E109" s="1306"/>
      <c r="F109" s="1306"/>
      <c r="G109" s="183"/>
      <c r="H109" s="181"/>
      <c r="I109" s="181"/>
      <c r="J109" s="181"/>
      <c r="K109" s="181"/>
    </row>
    <row r="110" spans="1:11" ht="14.4">
      <c r="A110" s="176"/>
      <c r="B110" s="176"/>
      <c r="C110" s="179"/>
      <c r="D110" s="1306"/>
      <c r="E110" s="1306"/>
      <c r="F110" s="1306"/>
      <c r="G110" s="183"/>
      <c r="H110" s="181"/>
      <c r="I110" s="181"/>
      <c r="J110" s="181"/>
      <c r="K110" s="181"/>
    </row>
    <row r="111" spans="1:11">
      <c r="C111"/>
      <c r="D111" s="1306"/>
      <c r="E111" s="1306"/>
      <c r="F111" s="1306"/>
      <c r="G111"/>
    </row>
    <row r="112" spans="1:11">
      <c r="C112"/>
      <c r="D112" s="1306"/>
      <c r="E112" s="1306"/>
      <c r="F112" s="1306"/>
      <c r="G112"/>
    </row>
    <row r="113" spans="1:7">
      <c r="C113"/>
      <c r="D113" s="330"/>
      <c r="E113"/>
      <c r="F113"/>
      <c r="G113"/>
    </row>
    <row r="114" spans="1:7" ht="14.4">
      <c r="A114" s="176"/>
      <c r="B114" s="468" t="s">
        <v>307</v>
      </c>
      <c r="C114"/>
      <c r="D114" s="1307" t="s">
        <v>1172</v>
      </c>
      <c r="E114" s="1307"/>
      <c r="F114" s="1307"/>
      <c r="G114"/>
    </row>
    <row r="115" spans="1:7" ht="14.4">
      <c r="A115" s="176"/>
      <c r="B115" s="176"/>
      <c r="C115"/>
      <c r="D115" s="1307"/>
      <c r="E115" s="1307"/>
      <c r="F115" s="1307"/>
      <c r="G115"/>
    </row>
    <row r="116" spans="1:7"/>
    <row r="117" spans="1:7" ht="14.4">
      <c r="A117" s="176"/>
      <c r="B117" s="468" t="s">
        <v>307</v>
      </c>
      <c r="D117" s="1265" t="s">
        <v>1173</v>
      </c>
      <c r="E117" s="1265"/>
      <c r="F117" s="1265"/>
    </row>
    <row r="118" spans="1:7">
      <c r="D118" s="1265"/>
      <c r="E118" s="1265"/>
      <c r="F118" s="1265"/>
    </row>
    <row r="119" spans="1:7">
      <c r="D119" s="1265"/>
      <c r="E119" s="1265"/>
      <c r="F119" s="1265"/>
    </row>
    <row r="120" spans="1:7">
      <c r="D120" s="1265"/>
      <c r="E120" s="1265"/>
      <c r="F120" s="1265"/>
    </row>
    <row r="121" spans="1:7">
      <c r="D121" s="1265"/>
      <c r="E121" s="1265"/>
      <c r="F121" s="1265"/>
    </row>
    <row r="122" spans="1:7"/>
    <row r="123" spans="1:7" ht="14.4">
      <c r="A123" s="176"/>
      <c r="B123" s="468" t="s">
        <v>307</v>
      </c>
      <c r="D123" s="1265" t="s">
        <v>1174</v>
      </c>
      <c r="E123" s="1265"/>
      <c r="F123" s="1265"/>
    </row>
    <row r="124" spans="1:7" s="197" customFormat="1" ht="13.65" customHeight="1">
      <c r="A124" s="195"/>
      <c r="B124" s="195"/>
      <c r="C124" s="195"/>
      <c r="D124" s="1265"/>
      <c r="E124" s="1265"/>
      <c r="F124" s="1265"/>
      <c r="G124" s="196"/>
    </row>
    <row r="125" spans="1:7" ht="13.65" customHeight="1">
      <c r="D125" s="1265"/>
      <c r="E125" s="1265"/>
      <c r="F125" s="1265"/>
    </row>
    <row r="126" spans="1:7" ht="13.65" customHeight="1">
      <c r="D126" s="1265"/>
      <c r="E126" s="1265"/>
      <c r="F126" s="1265"/>
    </row>
    <row r="127" spans="1:7" ht="13.65" customHeight="1">
      <c r="D127" s="1265"/>
      <c r="E127" s="1265"/>
      <c r="F127" s="1265"/>
    </row>
    <row r="128" spans="1:7" ht="13.65" customHeight="1">
      <c r="A128" s="256"/>
      <c r="B128" s="256"/>
      <c r="D128" s="1265"/>
      <c r="E128" s="1265"/>
      <c r="F128" s="1265"/>
    </row>
    <row r="129" spans="2:6" ht="13.65" customHeight="1">
      <c r="D129" s="1265"/>
      <c r="E129" s="1265"/>
      <c r="F129" s="1265"/>
    </row>
    <row r="130" spans="2:6" ht="13.65" customHeight="1">
      <c r="D130" s="1265"/>
      <c r="E130" s="1265"/>
      <c r="F130" s="1265"/>
    </row>
    <row r="131" spans="2:6" ht="13.65" customHeight="1">
      <c r="D131" s="1265"/>
      <c r="E131" s="1265"/>
      <c r="F131" s="1265"/>
    </row>
    <row r="132" spans="2:6" ht="13.65" customHeight="1">
      <c r="D132" s="1265"/>
      <c r="E132" s="1265"/>
      <c r="F132" s="1265"/>
    </row>
    <row r="133" spans="2:6" ht="13.65" customHeight="1">
      <c r="D133" s="1265"/>
      <c r="E133" s="1265"/>
      <c r="F133" s="1265"/>
    </row>
    <row r="134" spans="2:6" ht="13.65" customHeight="1">
      <c r="D134" s="1265"/>
      <c r="E134" s="1265"/>
      <c r="F134" s="1265"/>
    </row>
    <row r="135" spans="2:6" ht="13.65" customHeight="1">
      <c r="D135" s="218"/>
      <c r="E135" s="35"/>
      <c r="F135" s="35"/>
    </row>
    <row r="136" spans="2:6" ht="13.65" customHeight="1">
      <c r="B136" s="468" t="s">
        <v>307</v>
      </c>
      <c r="D136" s="1265" t="s">
        <v>1282</v>
      </c>
      <c r="E136" s="1265"/>
      <c r="F136" s="1265"/>
    </row>
    <row r="137" spans="2:6" ht="13.65" customHeight="1">
      <c r="D137" s="1265"/>
      <c r="E137" s="1265"/>
      <c r="F137" s="1265"/>
    </row>
    <row r="138" spans="2:6" ht="13.65" customHeight="1">
      <c r="D138" s="1265"/>
      <c r="E138" s="1265"/>
      <c r="F138" s="1265"/>
    </row>
    <row r="139" spans="2:6" ht="13.65" customHeight="1">
      <c r="D139" s="1265"/>
      <c r="E139" s="1265"/>
      <c r="F139" s="1265"/>
    </row>
    <row r="140" spans="2:6" ht="13.65" customHeight="1">
      <c r="D140" s="1265"/>
      <c r="E140" s="1265"/>
      <c r="F140" s="1265"/>
    </row>
    <row r="141" spans="2:6" ht="13.65" customHeight="1">
      <c r="D141" s="1265"/>
      <c r="E141" s="1265"/>
      <c r="F141" s="1265"/>
    </row>
    <row r="142" spans="2:6" ht="13.65" customHeight="1">
      <c r="D142" s="1265"/>
      <c r="E142" s="1265"/>
      <c r="F142" s="1265"/>
    </row>
    <row r="143" spans="2:6" ht="13.65" customHeight="1">
      <c r="D143" s="1265"/>
      <c r="E143" s="1265"/>
      <c r="F143" s="1265"/>
    </row>
    <row r="144" spans="2:6" ht="13.65" customHeight="1">
      <c r="D144" s="1265"/>
      <c r="E144" s="1265"/>
      <c r="F144" s="1265"/>
    </row>
    <row r="145" spans="1:7" ht="13.65" customHeight="1">
      <c r="D145" s="1265"/>
      <c r="E145" s="1265"/>
      <c r="F145" s="1265"/>
    </row>
    <row r="146" spans="1:7" ht="13.65" customHeight="1">
      <c r="D146" s="1265"/>
      <c r="E146" s="1265"/>
      <c r="F146" s="1265"/>
    </row>
    <row r="147" spans="1:7" ht="13.65" customHeight="1">
      <c r="D147" s="1265"/>
      <c r="E147" s="1265"/>
      <c r="F147" s="1265"/>
    </row>
    <row r="148" spans="1:7" ht="13.65" customHeight="1">
      <c r="D148" s="1265"/>
      <c r="E148" s="1265"/>
      <c r="F148" s="1265"/>
    </row>
    <row r="149" spans="1:7" ht="13.65" customHeight="1">
      <c r="D149" s="1265"/>
      <c r="E149" s="1265"/>
      <c r="F149" s="1265"/>
    </row>
    <row r="150" spans="1:7" ht="13.65" customHeight="1">
      <c r="D150" s="1265"/>
      <c r="E150" s="1265"/>
      <c r="F150" s="1265"/>
    </row>
    <row r="151" spans="1:7" ht="13.65" customHeight="1">
      <c r="D151" s="1265"/>
      <c r="E151" s="1265"/>
      <c r="F151" s="1265"/>
    </row>
    <row r="152" spans="1:7" ht="13.65" customHeight="1">
      <c r="D152" s="1265"/>
      <c r="E152" s="1265"/>
      <c r="F152" s="1265"/>
    </row>
    <row r="153" spans="1:7" ht="13.65" customHeight="1">
      <c r="D153" s="1265"/>
      <c r="E153" s="1265"/>
      <c r="F153" s="1265"/>
    </row>
    <row r="154" spans="1:7" ht="13.65" customHeight="1">
      <c r="D154" s="1265"/>
      <c r="E154" s="1265"/>
      <c r="F154" s="1265"/>
    </row>
    <row r="155" spans="1:7" ht="13.65" customHeight="1">
      <c r="D155" s="218"/>
      <c r="E155" s="35"/>
      <c r="F155" s="35"/>
    </row>
    <row r="156" spans="1:7" ht="13.65" customHeight="1">
      <c r="A156" s="256"/>
      <c r="B156" s="468" t="s">
        <v>307</v>
      </c>
      <c r="C156" s="218"/>
      <c r="D156" s="1268" t="s">
        <v>1175</v>
      </c>
      <c r="E156" s="1268"/>
      <c r="F156" s="1268"/>
      <c r="G156" s="218"/>
    </row>
    <row r="157" spans="1:7" ht="13.65" customHeight="1">
      <c r="A157" s="256"/>
      <c r="B157" s="256"/>
      <c r="C157" s="218"/>
      <c r="D157" s="1268"/>
      <c r="E157" s="1268"/>
      <c r="F157" s="1268"/>
      <c r="G157" s="218"/>
    </row>
    <row r="158" spans="1:7" ht="13.65" customHeight="1">
      <c r="A158" s="256"/>
      <c r="B158" s="256"/>
      <c r="C158" s="218"/>
      <c r="D158" s="218"/>
      <c r="E158" s="218"/>
      <c r="F158" s="218"/>
      <c r="G158" s="218"/>
    </row>
    <row r="159" spans="1:7" ht="13.65" customHeight="1">
      <c r="A159" s="256"/>
      <c r="B159" s="468" t="s">
        <v>307</v>
      </c>
      <c r="C159" s="218"/>
      <c r="D159" s="1268" t="s">
        <v>1176</v>
      </c>
      <c r="E159" s="1268"/>
      <c r="F159" s="1268"/>
      <c r="G159" s="218"/>
    </row>
    <row r="160" spans="1:7" ht="13.65" customHeight="1">
      <c r="A160" s="256"/>
      <c r="B160" s="256"/>
      <c r="C160" s="218"/>
      <c r="D160" s="1268"/>
      <c r="E160" s="1268"/>
      <c r="F160" s="1268"/>
      <c r="G160" s="218"/>
    </row>
    <row r="161" spans="1:7" ht="13.65" customHeight="1">
      <c r="A161" s="256"/>
      <c r="B161" s="256"/>
      <c r="C161" s="218"/>
      <c r="D161" s="1268"/>
      <c r="E161" s="1268"/>
      <c r="F161" s="1268"/>
      <c r="G161" s="218"/>
    </row>
    <row r="162" spans="1:7" ht="13.65" customHeight="1">
      <c r="A162" s="256"/>
      <c r="B162" s="256"/>
      <c r="C162" s="218"/>
      <c r="D162" s="1268"/>
      <c r="E162" s="1268"/>
      <c r="F162" s="1268"/>
      <c r="G162" s="218"/>
    </row>
    <row r="163" spans="1:7" ht="13.65" customHeight="1">
      <c r="D163" s="35"/>
      <c r="E163" s="35"/>
      <c r="F163" s="35"/>
    </row>
    <row r="164" spans="1:7" ht="13.65" customHeight="1">
      <c r="B164" s="468" t="s">
        <v>307</v>
      </c>
      <c r="D164" s="1302" t="s">
        <v>1177</v>
      </c>
      <c r="E164" s="1302"/>
      <c r="F164" s="1302"/>
    </row>
    <row r="165" spans="1:7" ht="13.65" customHeight="1">
      <c r="D165" s="1302"/>
      <c r="E165" s="1302"/>
      <c r="F165" s="1302"/>
    </row>
    <row r="166" spans="1:7" ht="13.65" customHeight="1">
      <c r="D166" s="1302"/>
      <c r="E166" s="1302"/>
      <c r="F166" s="1302"/>
    </row>
    <row r="167" spans="1:7" ht="13.65" customHeight="1">
      <c r="A167" s="13"/>
      <c r="B167" s="13"/>
      <c r="E167" s="35"/>
      <c r="F167" s="35"/>
    </row>
    <row r="168" spans="1:7">
      <c r="A168" s="1286" t="s">
        <v>1071</v>
      </c>
      <c r="B168" s="1286"/>
      <c r="C168" s="1286"/>
      <c r="D168" s="1286"/>
      <c r="E168" s="1286"/>
      <c r="F168" s="1286"/>
      <c r="G168" s="1286"/>
    </row>
    <row r="169" spans="1:7" ht="12" customHeight="1">
      <c r="D169" s="35"/>
      <c r="E169" s="35"/>
      <c r="F169" s="35"/>
    </row>
    <row r="170" spans="1:7">
      <c r="B170" s="1283" t="s">
        <v>447</v>
      </c>
      <c r="C170" s="1283"/>
      <c r="D170" s="1283"/>
      <c r="E170" s="1283"/>
      <c r="F170" s="1283"/>
    </row>
    <row r="171" spans="1:7" ht="12" customHeight="1">
      <c r="A171" s="172"/>
      <c r="B171" s="172"/>
      <c r="C171" s="172"/>
    </row>
    <row r="172" spans="1:7">
      <c r="A172" s="1286" t="s">
        <v>1072</v>
      </c>
      <c r="B172" s="1286"/>
      <c r="C172" s="1286"/>
      <c r="D172" s="1286"/>
      <c r="E172" s="1286"/>
      <c r="F172" s="1286"/>
      <c r="G172" s="1286"/>
    </row>
    <row r="173" spans="1:7" ht="12" customHeight="1">
      <c r="A173" s="2"/>
      <c r="B173" s="2"/>
      <c r="E173" s="2"/>
    </row>
    <row r="174" spans="1:7" ht="13.2" customHeight="1">
      <c r="A174" s="2"/>
      <c r="B174" s="2"/>
      <c r="D174" s="1308" t="s">
        <v>1180</v>
      </c>
      <c r="E174" s="1308"/>
      <c r="F174" s="1308"/>
    </row>
    <row r="175" spans="1:7">
      <c r="A175" s="2"/>
      <c r="B175" s="2"/>
      <c r="D175" s="1308"/>
      <c r="E175" s="1308"/>
      <c r="F175" s="1308"/>
    </row>
    <row r="176" spans="1:7">
      <c r="A176" s="2"/>
      <c r="B176" s="2"/>
      <c r="D176" s="1295" t="s">
        <v>1181</v>
      </c>
      <c r="E176" s="1295"/>
      <c r="F176" s="1295"/>
    </row>
    <row r="177" spans="1:7" ht="12" customHeight="1">
      <c r="A177" s="2"/>
      <c r="B177" s="2"/>
      <c r="E177" s="2"/>
    </row>
    <row r="178" spans="1:7" ht="14.4">
      <c r="A178" s="176"/>
      <c r="B178" s="468" t="s">
        <v>307</v>
      </c>
      <c r="D178" s="1280" t="s">
        <v>1179</v>
      </c>
      <c r="E178" s="1280"/>
      <c r="F178" s="1280"/>
    </row>
    <row r="179" spans="1:7" ht="14.4">
      <c r="A179" s="176"/>
      <c r="B179" s="176"/>
      <c r="D179" s="1280"/>
      <c r="E179" s="1280"/>
      <c r="F179" s="1280"/>
    </row>
    <row r="180" spans="1:7" ht="14.4">
      <c r="A180" s="176"/>
      <c r="B180" s="176"/>
      <c r="D180" s="1280"/>
      <c r="E180" s="1280"/>
      <c r="F180" s="1280"/>
    </row>
    <row r="181" spans="1:7">
      <c r="D181" s="1280"/>
      <c r="E181" s="1280"/>
      <c r="F181" s="1280"/>
    </row>
    <row r="182" spans="1:7">
      <c r="D182" s="220"/>
    </row>
    <row r="183" spans="1:7">
      <c r="D183" s="1301" t="s">
        <v>1088</v>
      </c>
      <c r="E183" s="1301"/>
      <c r="F183" s="1301"/>
    </row>
    <row r="184" spans="1:7">
      <c r="D184" s="1301"/>
      <c r="E184" s="1301"/>
      <c r="F184" s="1301"/>
    </row>
    <row r="185" spans="1:7">
      <c r="D185" s="475"/>
      <c r="E185" s="475"/>
      <c r="F185" s="475"/>
    </row>
    <row r="186" spans="1:7" ht="14.4">
      <c r="A186" s="176"/>
      <c r="B186" s="468" t="s">
        <v>307</v>
      </c>
      <c r="C186" s="385"/>
      <c r="D186" s="1265" t="s">
        <v>1178</v>
      </c>
      <c r="E186" s="1265"/>
      <c r="F186" s="1265"/>
      <c r="G186" s="3"/>
    </row>
    <row r="187" spans="1:7" ht="14.4" customHeight="1">
      <c r="A187" s="176"/>
      <c r="B187"/>
      <c r="C187" s="385"/>
      <c r="D187" s="1265"/>
      <c r="E187" s="1265"/>
      <c r="F187" s="1265"/>
      <c r="G187" s="3"/>
    </row>
    <row r="188" spans="1:7" ht="14.4">
      <c r="A188" s="176"/>
      <c r="B188" s="385"/>
      <c r="C188" s="385"/>
      <c r="D188" s="1265"/>
      <c r="E188" s="1265"/>
      <c r="F188" s="1265"/>
      <c r="G188" s="3"/>
    </row>
    <row r="189" spans="1:7" ht="14.4">
      <c r="A189" s="176"/>
      <c r="B189" s="385"/>
      <c r="C189" s="385"/>
      <c r="D189" s="1265"/>
      <c r="E189" s="1265"/>
      <c r="F189" s="1265"/>
      <c r="G189" s="3"/>
    </row>
    <row r="190" spans="1:7">
      <c r="D190" s="475"/>
      <c r="E190" s="475"/>
      <c r="F190" s="475"/>
    </row>
    <row r="191" spans="1:7">
      <c r="A191" s="1286" t="s">
        <v>1073</v>
      </c>
      <c r="B191" s="1286"/>
      <c r="C191" s="1286"/>
      <c r="D191" s="1286"/>
      <c r="E191" s="1286"/>
      <c r="F191" s="1286"/>
      <c r="G191" s="1286"/>
    </row>
    <row r="192" spans="1:7" ht="12" customHeight="1">
      <c r="D192" s="35"/>
      <c r="E192" s="35"/>
      <c r="F192" s="35"/>
    </row>
    <row r="193" spans="1:6">
      <c r="C193" s="177"/>
      <c r="D193" s="1284" t="s">
        <v>208</v>
      </c>
      <c r="E193" s="1284"/>
      <c r="F193" s="1284"/>
    </row>
    <row r="194" spans="1:6">
      <c r="A194" s="172"/>
      <c r="B194" s="172"/>
      <c r="C194" s="172"/>
      <c r="D194" s="1285" t="s">
        <v>1202</v>
      </c>
      <c r="E194" s="1291"/>
      <c r="F194" s="1291"/>
    </row>
    <row r="195" spans="1:6" ht="12" customHeight="1">
      <c r="A195" s="13"/>
      <c r="B195" s="13"/>
      <c r="C195" s="13"/>
    </row>
    <row r="196" spans="1:6" ht="13.2" customHeight="1">
      <c r="A196" s="13"/>
      <c r="C196" s="13"/>
      <c r="D196" s="1284" t="s">
        <v>553</v>
      </c>
      <c r="E196" s="1284"/>
      <c r="F196" s="1284"/>
    </row>
    <row r="197" spans="1:6" ht="14.4">
      <c r="A197" s="176"/>
      <c r="B197" s="468" t="s">
        <v>307</v>
      </c>
      <c r="D197" s="1265" t="s">
        <v>1196</v>
      </c>
      <c r="E197" s="1265"/>
      <c r="F197" s="1265"/>
    </row>
    <row r="198" spans="1:6" ht="14.4">
      <c r="A198" s="176"/>
      <c r="B198" s="176"/>
      <c r="D198" s="1265"/>
      <c r="E198" s="1265"/>
      <c r="F198" s="1265"/>
    </row>
    <row r="199" spans="1:6"/>
    <row r="200" spans="1:6" ht="14.4">
      <c r="A200" s="176"/>
      <c r="B200" s="468" t="s">
        <v>307</v>
      </c>
      <c r="D200" s="1265" t="s">
        <v>1197</v>
      </c>
      <c r="E200" s="1265"/>
      <c r="F200" s="1265"/>
    </row>
    <row r="201" spans="1:6" ht="14.4">
      <c r="A201" s="176"/>
      <c r="B201" s="176"/>
      <c r="D201" s="1265"/>
      <c r="E201" s="1265"/>
      <c r="F201" s="1265"/>
    </row>
    <row r="202" spans="1:6" ht="14.4">
      <c r="A202" s="176"/>
      <c r="B202" s="176"/>
      <c r="D202" s="1265"/>
      <c r="E202" s="1265"/>
      <c r="F202" s="1265"/>
    </row>
    <row r="203" spans="1:6" ht="5.0999999999999996" customHeight="1">
      <c r="A203" s="176"/>
      <c r="B203" s="176"/>
      <c r="D203" s="35"/>
      <c r="E203" s="35"/>
      <c r="F203" s="35"/>
    </row>
    <row r="204" spans="1:6" ht="14.4">
      <c r="A204" s="176"/>
      <c r="B204" s="176"/>
      <c r="D204" s="1265" t="s">
        <v>1198</v>
      </c>
      <c r="E204" s="1265"/>
      <c r="F204" s="1265"/>
    </row>
    <row r="205" spans="1:6" ht="14.4">
      <c r="A205" s="176"/>
      <c r="B205" s="176"/>
      <c r="D205" s="1265"/>
      <c r="E205" s="1265"/>
      <c r="F205" s="1265"/>
    </row>
    <row r="206" spans="1:6" ht="14.4">
      <c r="A206" s="176"/>
      <c r="B206" s="176"/>
      <c r="D206" s="1265"/>
      <c r="E206" s="1265"/>
      <c r="F206" s="1265"/>
    </row>
    <row r="207" spans="1:6" ht="14.4">
      <c r="A207" s="176"/>
      <c r="B207" s="176"/>
      <c r="D207" s="1265"/>
      <c r="E207" s="1265"/>
      <c r="F207" s="1265"/>
    </row>
    <row r="208" spans="1:6" ht="14.4">
      <c r="A208" s="176"/>
      <c r="B208" s="176"/>
      <c r="D208" s="1265"/>
      <c r="E208" s="1265"/>
      <c r="F208" s="1265"/>
    </row>
    <row r="209" spans="1:7" ht="14.4">
      <c r="A209" s="176"/>
      <c r="B209" s="176"/>
      <c r="D209" s="35"/>
      <c r="E209" s="35"/>
      <c r="F209" s="35"/>
    </row>
    <row r="210" spans="1:7" ht="14.4">
      <c r="A210" s="176"/>
      <c r="B210" s="468" t="s">
        <v>307</v>
      </c>
      <c r="D210" s="1265" t="s">
        <v>1199</v>
      </c>
      <c r="E210" s="1265"/>
      <c r="F210" s="1265"/>
    </row>
    <row r="211" spans="1:7" ht="14.4">
      <c r="A211" s="176"/>
      <c r="B211" s="176"/>
      <c r="D211" s="1265"/>
      <c r="E211" s="1265"/>
      <c r="F211" s="1265"/>
    </row>
    <row r="212" spans="1:7" ht="14.4">
      <c r="A212" s="176"/>
      <c r="B212" s="176"/>
      <c r="D212" s="1283" t="s">
        <v>908</v>
      </c>
      <c r="E212" s="1283"/>
      <c r="F212" s="1283"/>
    </row>
    <row r="213" spans="1:7" ht="14.4">
      <c r="A213" s="176"/>
      <c r="B213" s="176"/>
      <c r="D213" s="35"/>
      <c r="E213" s="35"/>
      <c r="F213" s="35"/>
    </row>
    <row r="214" spans="1:7" ht="14.4" customHeight="1">
      <c r="A214" s="176"/>
      <c r="B214" s="468" t="s">
        <v>307</v>
      </c>
      <c r="D214" s="1265" t="s">
        <v>1201</v>
      </c>
      <c r="E214" s="1265"/>
      <c r="F214" s="1265"/>
    </row>
    <row r="215" spans="1:7" ht="14.4">
      <c r="A215" s="176"/>
      <c r="B215" s="176"/>
      <c r="D215" s="1265"/>
      <c r="E215" s="1265"/>
      <c r="F215" s="1265"/>
    </row>
    <row r="216" spans="1:7" ht="14.4">
      <c r="A216" s="176"/>
      <c r="B216" s="176"/>
      <c r="D216" s="1265"/>
      <c r="E216" s="1265"/>
      <c r="F216" s="1265"/>
    </row>
    <row r="217" spans="1:7" ht="14.4">
      <c r="A217" s="176"/>
      <c r="B217" s="176"/>
      <c r="D217" s="1265"/>
      <c r="E217" s="1265"/>
      <c r="F217" s="1265"/>
    </row>
    <row r="218" spans="1:7" ht="14.4">
      <c r="A218" s="176"/>
      <c r="B218" s="176"/>
      <c r="D218" s="1265"/>
      <c r="E218" s="1265"/>
      <c r="F218" s="1265"/>
    </row>
    <row r="219" spans="1:7">
      <c r="D219" s="35"/>
      <c r="E219" s="35"/>
      <c r="F219" s="35"/>
    </row>
    <row r="220" spans="1:7" ht="14.4">
      <c r="A220" s="176"/>
      <c r="B220" s="468" t="s">
        <v>307</v>
      </c>
      <c r="D220" s="1265" t="s">
        <v>1200</v>
      </c>
      <c r="E220" s="1265"/>
      <c r="F220" s="1265"/>
    </row>
    <row r="221" spans="1:7" ht="14.4">
      <c r="A221" s="176"/>
      <c r="B221" s="176"/>
      <c r="D221" s="1265"/>
      <c r="E221" s="1265"/>
      <c r="F221" s="1265"/>
    </row>
    <row r="222" spans="1:7">
      <c r="D222" s="19"/>
    </row>
    <row r="223" spans="1:7">
      <c r="A223" s="1286" t="s">
        <v>1074</v>
      </c>
      <c r="B223" s="1286"/>
      <c r="C223" s="1286"/>
      <c r="D223" s="1286"/>
      <c r="E223" s="1286"/>
      <c r="F223" s="1286"/>
      <c r="G223" s="1286"/>
    </row>
    <row r="224" spans="1:7">
      <c r="D224" s="19"/>
    </row>
    <row r="225" spans="1:6">
      <c r="C225" s="177"/>
      <c r="D225" s="1284" t="s">
        <v>1203</v>
      </c>
      <c r="E225" s="1284"/>
      <c r="F225" s="1284"/>
    </row>
    <row r="226" spans="1:6">
      <c r="A226" s="172"/>
      <c r="B226" s="172"/>
      <c r="C226" s="172"/>
      <c r="D226" s="35"/>
      <c r="E226" s="35"/>
      <c r="F226" s="35"/>
    </row>
    <row r="227" spans="1:6">
      <c r="A227" s="175"/>
      <c r="B227" s="175"/>
      <c r="C227" s="175"/>
      <c r="D227" s="1284" t="s">
        <v>269</v>
      </c>
      <c r="E227" s="1284"/>
      <c r="F227" s="1284"/>
    </row>
    <row r="228" spans="1:6" ht="14.4">
      <c r="A228" s="176"/>
      <c r="B228" s="468" t="s">
        <v>307</v>
      </c>
      <c r="D228" s="1314" t="s">
        <v>1204</v>
      </c>
      <c r="E228" s="1314"/>
      <c r="F228" s="1314"/>
    </row>
    <row r="229" spans="1:6" ht="14.4">
      <c r="A229" s="176"/>
      <c r="B229" s="176"/>
      <c r="D229" s="1314"/>
      <c r="E229" s="1314"/>
      <c r="F229" s="1314"/>
    </row>
    <row r="230" spans="1:6">
      <c r="D230" s="35"/>
      <c r="E230" s="35"/>
      <c r="F230" s="35"/>
    </row>
    <row r="231" spans="1:6" ht="14.4" customHeight="1">
      <c r="A231" s="176"/>
      <c r="B231" s="468" t="s">
        <v>307</v>
      </c>
      <c r="D231" s="1265" t="s">
        <v>1205</v>
      </c>
      <c r="E231" s="1265"/>
      <c r="F231" s="1265"/>
    </row>
    <row r="232" spans="1:6">
      <c r="D232" s="1265"/>
      <c r="E232" s="1265"/>
      <c r="F232" s="1265"/>
    </row>
    <row r="233" spans="1:6">
      <c r="D233" s="1291" t="s">
        <v>900</v>
      </c>
      <c r="E233" s="1291"/>
      <c r="F233" s="1291"/>
    </row>
    <row r="234" spans="1:6">
      <c r="D234" s="35"/>
      <c r="E234" s="35"/>
      <c r="F234" s="35"/>
    </row>
    <row r="235" spans="1:6" ht="14.4" customHeight="1">
      <c r="A235" s="176"/>
      <c r="B235" s="468" t="s">
        <v>307</v>
      </c>
      <c r="D235" s="1265" t="s">
        <v>1207</v>
      </c>
      <c r="E235" s="1265"/>
      <c r="F235" s="1265"/>
    </row>
    <row r="236" spans="1:6">
      <c r="D236" s="1265"/>
      <c r="E236" s="1265"/>
      <c r="F236" s="1265"/>
    </row>
    <row r="237" spans="1:6">
      <c r="D237" s="1265"/>
      <c r="E237" s="1265"/>
      <c r="F237" s="1265"/>
    </row>
    <row r="238" spans="1:6">
      <c r="D238" s="1265"/>
      <c r="E238" s="1265"/>
      <c r="F238" s="1265"/>
    </row>
    <row r="239" spans="1:6">
      <c r="D239" s="1265"/>
      <c r="E239" s="1265"/>
      <c r="F239" s="1265"/>
    </row>
    <row r="240" spans="1:6">
      <c r="D240" s="35"/>
      <c r="E240" s="35"/>
      <c r="F240" s="35"/>
    </row>
    <row r="241" spans="1:7" ht="14.4">
      <c r="A241" s="176"/>
      <c r="B241" s="468" t="s">
        <v>307</v>
      </c>
      <c r="D241" s="1265" t="s">
        <v>1206</v>
      </c>
      <c r="E241" s="1265"/>
      <c r="F241" s="1265"/>
    </row>
    <row r="242" spans="1:7">
      <c r="D242" s="1265"/>
      <c r="E242" s="1265"/>
      <c r="F242" s="1265"/>
    </row>
    <row r="243" spans="1:7">
      <c r="D243" s="1265"/>
      <c r="E243" s="1265"/>
      <c r="F243" s="1265"/>
    </row>
    <row r="244" spans="1:7">
      <c r="D244" s="178"/>
      <c r="E244" s="35"/>
      <c r="F244" s="35"/>
    </row>
    <row r="245" spans="1:7">
      <c r="A245" s="1286" t="s">
        <v>1075</v>
      </c>
      <c r="B245" s="1286"/>
      <c r="C245" s="1286"/>
      <c r="D245" s="1286"/>
      <c r="E245" s="1286"/>
      <c r="F245" s="1286"/>
      <c r="G245" s="1286"/>
    </row>
    <row r="246" spans="1:7">
      <c r="D246" s="178"/>
      <c r="E246" s="35"/>
      <c r="F246" s="35"/>
    </row>
    <row r="247" spans="1:7">
      <c r="C247" s="172"/>
      <c r="D247" s="1297" t="s">
        <v>1208</v>
      </c>
      <c r="E247" s="1297"/>
      <c r="F247" s="1297"/>
    </row>
    <row r="248" spans="1:7">
      <c r="C248" s="172"/>
      <c r="D248" s="1297"/>
      <c r="E248" s="1297"/>
      <c r="F248" s="1297"/>
    </row>
    <row r="249" spans="1:7">
      <c r="A249" s="175"/>
      <c r="B249" s="175"/>
      <c r="C249" s="175"/>
      <c r="D249" s="2"/>
      <c r="E249" s="3"/>
      <c r="F249" s="3"/>
    </row>
    <row r="250" spans="1:7">
      <c r="C250" s="175"/>
      <c r="D250" s="1284" t="s">
        <v>209</v>
      </c>
      <c r="E250" s="1284"/>
      <c r="F250" s="1284"/>
    </row>
    <row r="251" spans="1:7" ht="15.75" customHeight="1">
      <c r="A251" s="176"/>
      <c r="B251" s="176"/>
      <c r="D251" s="1290" t="s">
        <v>1209</v>
      </c>
      <c r="E251" s="1290"/>
      <c r="F251" s="1290"/>
    </row>
    <row r="252" spans="1:7">
      <c r="E252" s="35"/>
      <c r="F252" s="35"/>
    </row>
    <row r="253" spans="1:7" ht="14.4">
      <c r="A253" s="176"/>
      <c r="B253" s="468" t="s">
        <v>307</v>
      </c>
      <c r="D253" s="1265" t="s">
        <v>1210</v>
      </c>
      <c r="E253" s="1265"/>
      <c r="F253" s="1265"/>
    </row>
    <row r="254" spans="1:7" ht="14.4">
      <c r="A254" s="176"/>
      <c r="B254" s="176"/>
      <c r="D254" s="1265"/>
      <c r="E254" s="1265"/>
      <c r="F254" s="1265"/>
    </row>
    <row r="255" spans="1:7">
      <c r="D255" s="35"/>
      <c r="E255" s="35"/>
      <c r="F255" s="35"/>
    </row>
    <row r="256" spans="1:7" ht="14.4">
      <c r="A256" s="176"/>
      <c r="B256" s="468" t="s">
        <v>307</v>
      </c>
      <c r="D256" s="1265" t="s">
        <v>1211</v>
      </c>
      <c r="E256" s="1265"/>
      <c r="F256" s="1265"/>
    </row>
    <row r="257" spans="1:7" ht="14.4">
      <c r="A257" s="176"/>
      <c r="B257" s="176"/>
      <c r="D257" s="1265"/>
      <c r="E257" s="1265"/>
      <c r="F257" s="1265"/>
    </row>
    <row r="258" spans="1:7" ht="14.4">
      <c r="A258" s="176"/>
      <c r="B258" s="176"/>
      <c r="D258" s="1265"/>
      <c r="E258" s="1265"/>
      <c r="F258" s="1265"/>
    </row>
    <row r="259" spans="1:7">
      <c r="D259" s="35"/>
      <c r="E259" s="35"/>
      <c r="F259" s="35"/>
    </row>
    <row r="260" spans="1:7" ht="14.4">
      <c r="A260" s="176"/>
      <c r="B260" s="468" t="s">
        <v>307</v>
      </c>
      <c r="D260" s="1265" t="s">
        <v>1212</v>
      </c>
      <c r="E260" s="1265"/>
      <c r="F260" s="1265"/>
    </row>
    <row r="261" spans="1:7" ht="14.4">
      <c r="A261" s="176"/>
      <c r="B261" s="176"/>
      <c r="D261" s="1265"/>
      <c r="E261" s="1265"/>
      <c r="F261" s="1265"/>
    </row>
    <row r="262" spans="1:7">
      <c r="A262" s="13"/>
      <c r="B262" s="13"/>
      <c r="E262" s="35"/>
      <c r="F262" s="35"/>
    </row>
    <row r="263" spans="1:7">
      <c r="A263" s="1286" t="s">
        <v>1076</v>
      </c>
      <c r="B263" s="1286"/>
      <c r="C263" s="1286"/>
      <c r="D263" s="1286"/>
      <c r="E263" s="1286"/>
      <c r="F263" s="1286"/>
      <c r="G263" s="1286"/>
    </row>
    <row r="264" spans="1:7">
      <c r="A264" s="13"/>
      <c r="B264" s="13"/>
      <c r="D264" s="35"/>
      <c r="E264" s="35"/>
      <c r="F264" s="35"/>
    </row>
    <row r="265" spans="1:7">
      <c r="C265" s="13"/>
      <c r="D265" s="1284" t="s">
        <v>689</v>
      </c>
      <c r="E265" s="1284"/>
      <c r="F265" s="1284"/>
    </row>
    <row r="266" spans="1:7">
      <c r="C266" s="13"/>
      <c r="D266" s="1285" t="s">
        <v>1213</v>
      </c>
      <c r="E266" s="1285"/>
      <c r="F266" s="1285"/>
    </row>
    <row r="267" spans="1:7">
      <c r="C267" s="13"/>
      <c r="D267" s="173"/>
    </row>
    <row r="268" spans="1:7">
      <c r="B268" s="468" t="s">
        <v>307</v>
      </c>
      <c r="D268" s="1285" t="s">
        <v>1214</v>
      </c>
      <c r="E268" s="1285"/>
      <c r="F268" s="1285"/>
    </row>
    <row r="269" spans="1:7" ht="14.4">
      <c r="A269" s="176"/>
      <c r="B269" s="176"/>
      <c r="D269" s="341"/>
      <c r="E269" s="342"/>
      <c r="F269" s="342"/>
    </row>
    <row r="270" spans="1:7" ht="13.2" customHeight="1">
      <c r="B270" s="468" t="s">
        <v>307</v>
      </c>
      <c r="D270" s="1315" t="s">
        <v>1215</v>
      </c>
      <c r="E270" s="1315"/>
      <c r="F270" s="1315"/>
    </row>
    <row r="271" spans="1:7" ht="14.4">
      <c r="A271" s="176"/>
      <c r="B271" s="176"/>
      <c r="D271" s="1315"/>
      <c r="E271" s="1315"/>
      <c r="F271" s="1315"/>
    </row>
    <row r="272" spans="1:7" ht="14.4">
      <c r="A272" s="176"/>
      <c r="B272" s="176"/>
      <c r="D272" s="1315"/>
      <c r="E272" s="1315"/>
      <c r="F272" s="1315"/>
    </row>
    <row r="273" spans="1:6" ht="14.4">
      <c r="A273" s="176"/>
      <c r="B273" s="176"/>
      <c r="D273" s="1315"/>
      <c r="E273" s="1315"/>
      <c r="F273" s="1315"/>
    </row>
    <row r="274" spans="1:6" ht="14.4">
      <c r="A274" s="176"/>
      <c r="B274" s="176"/>
      <c r="D274" s="1315"/>
      <c r="E274" s="1315"/>
      <c r="F274" s="1315"/>
    </row>
    <row r="275" spans="1:6" ht="14.4">
      <c r="A275" s="176"/>
      <c r="B275" s="176"/>
      <c r="D275" s="341"/>
      <c r="E275" s="342"/>
      <c r="F275" s="342"/>
    </row>
    <row r="276" spans="1:6" ht="13.2" customHeight="1">
      <c r="B276" s="468" t="s">
        <v>307</v>
      </c>
      <c r="D276" s="1315" t="s">
        <v>1216</v>
      </c>
      <c r="E276" s="1315"/>
      <c r="F276" s="1315"/>
    </row>
    <row r="277" spans="1:6">
      <c r="D277" s="1315"/>
      <c r="E277" s="1315"/>
      <c r="F277" s="1315"/>
    </row>
    <row r="278" spans="1:6" ht="14.4">
      <c r="A278" s="176"/>
      <c r="B278" s="176"/>
      <c r="D278" s="341"/>
      <c r="E278" s="342"/>
      <c r="F278" s="342"/>
    </row>
    <row r="279" spans="1:6">
      <c r="B279" s="468" t="s">
        <v>307</v>
      </c>
      <c r="D279" s="1285" t="s">
        <v>1217</v>
      </c>
      <c r="E279" s="1285"/>
      <c r="F279" s="1285"/>
    </row>
    <row r="280" spans="1:6">
      <c r="E280" s="35"/>
      <c r="F280" s="35"/>
    </row>
    <row r="281" spans="1:6" ht="14.4">
      <c r="A281" s="176"/>
      <c r="B281" s="468" t="s">
        <v>307</v>
      </c>
      <c r="D281" s="1265" t="s">
        <v>1218</v>
      </c>
      <c r="E281" s="1265"/>
      <c r="F281" s="1265"/>
    </row>
    <row r="282" spans="1:6" ht="14.4">
      <c r="A282" s="176"/>
      <c r="B282" s="176"/>
      <c r="D282" s="1265"/>
      <c r="E282" s="1265"/>
      <c r="F282" s="1265"/>
    </row>
    <row r="283" spans="1:6" ht="14.4">
      <c r="A283" s="176"/>
      <c r="B283" s="176"/>
      <c r="D283" s="1265"/>
      <c r="E283" s="1265"/>
      <c r="F283" s="1265"/>
    </row>
    <row r="284" spans="1:6" ht="14.4">
      <c r="A284" s="176"/>
      <c r="B284" s="176"/>
      <c r="D284" s="1265"/>
      <c r="E284" s="1265"/>
      <c r="F284" s="1265"/>
    </row>
    <row r="285" spans="1:6" ht="14.4">
      <c r="A285" s="176"/>
      <c r="B285" s="176"/>
      <c r="D285" s="1265"/>
      <c r="E285" s="1265"/>
      <c r="F285" s="1265"/>
    </row>
    <row r="286" spans="1:6" ht="14.4">
      <c r="A286" s="176"/>
      <c r="B286" s="176"/>
      <c r="D286" s="1265"/>
      <c r="E286" s="1265"/>
      <c r="F286" s="1265"/>
    </row>
    <row r="287" spans="1:6" ht="14.4">
      <c r="A287" s="176"/>
      <c r="B287" s="176"/>
      <c r="D287" s="1265"/>
      <c r="E287" s="1265"/>
      <c r="F287" s="1265"/>
    </row>
    <row r="288" spans="1:6" ht="14.4">
      <c r="A288" s="176"/>
      <c r="B288" s="176"/>
      <c r="D288" s="1265"/>
      <c r="E288" s="1265"/>
      <c r="F288" s="1265"/>
    </row>
    <row r="289" spans="1:6" ht="14.4">
      <c r="A289" s="176"/>
      <c r="B289" s="176"/>
      <c r="D289" s="1265"/>
      <c r="E289" s="1265"/>
      <c r="F289" s="1265"/>
    </row>
    <row r="290" spans="1:6" ht="14.4">
      <c r="A290" s="176"/>
      <c r="B290" s="176"/>
      <c r="D290" s="1265"/>
      <c r="E290" s="1265"/>
      <c r="F290" s="1265"/>
    </row>
    <row r="291" spans="1:6" ht="14.4">
      <c r="A291" s="176"/>
      <c r="B291" s="176"/>
      <c r="D291" s="1265"/>
      <c r="E291" s="1265"/>
      <c r="F291" s="1265"/>
    </row>
    <row r="292" spans="1:6" ht="14.4">
      <c r="A292" s="176"/>
      <c r="B292" s="176"/>
      <c r="D292" s="1265"/>
      <c r="E292" s="1265"/>
      <c r="F292" s="1265"/>
    </row>
    <row r="293" spans="1:6" ht="14.4">
      <c r="A293" s="176"/>
      <c r="B293" s="176"/>
      <c r="D293" s="1265"/>
      <c r="E293" s="1265"/>
      <c r="F293" s="1265"/>
    </row>
    <row r="294" spans="1:6" ht="14.4">
      <c r="A294" s="176"/>
      <c r="B294" s="176"/>
      <c r="D294" s="1265"/>
      <c r="E294" s="1265"/>
      <c r="F294" s="1265"/>
    </row>
    <row r="295" spans="1:6" ht="14.4">
      <c r="A295" s="176"/>
      <c r="B295" s="176"/>
      <c r="D295" s="1265"/>
      <c r="E295" s="1265"/>
      <c r="F295" s="1265"/>
    </row>
    <row r="296" spans="1:6">
      <c r="D296" s="35"/>
      <c r="E296" s="35"/>
      <c r="F296" s="35"/>
    </row>
    <row r="297" spans="1:6" ht="14.4">
      <c r="A297" s="176"/>
      <c r="B297" s="468" t="s">
        <v>307</v>
      </c>
      <c r="D297" s="1265" t="s">
        <v>1219</v>
      </c>
      <c r="E297" s="1265"/>
      <c r="F297" s="1265"/>
    </row>
    <row r="298" spans="1:6">
      <c r="D298" s="1265"/>
      <c r="E298" s="1265"/>
      <c r="F298" s="1265"/>
    </row>
    <row r="299" spans="1:6">
      <c r="D299" s="1265"/>
      <c r="E299" s="1265"/>
      <c r="F299" s="1265"/>
    </row>
    <row r="300" spans="1:6">
      <c r="D300" s="1265"/>
      <c r="E300" s="1265"/>
      <c r="F300" s="1265"/>
    </row>
    <row r="301" spans="1:6">
      <c r="D301" s="1265"/>
      <c r="E301" s="1265"/>
      <c r="F301" s="1265"/>
    </row>
    <row r="302" spans="1:6">
      <c r="D302" s="1265"/>
      <c r="E302" s="1265"/>
      <c r="F302" s="1265"/>
    </row>
    <row r="303" spans="1:6">
      <c r="D303" s="1265"/>
      <c r="E303" s="1265"/>
      <c r="F303" s="1265"/>
    </row>
    <row r="304" spans="1:6">
      <c r="D304" s="1265"/>
      <c r="E304" s="1265"/>
      <c r="F304" s="1265"/>
    </row>
    <row r="305" spans="1:7">
      <c r="D305" s="1265"/>
      <c r="E305" s="1265"/>
      <c r="F305" s="1265"/>
    </row>
    <row r="306" spans="1:7">
      <c r="D306" s="35"/>
      <c r="E306" s="35"/>
      <c r="F306" s="35"/>
    </row>
    <row r="307" spans="1:7" ht="14.4">
      <c r="A307" s="176"/>
      <c r="B307" s="468" t="s">
        <v>307</v>
      </c>
      <c r="D307" s="1265" t="s">
        <v>1220</v>
      </c>
      <c r="E307" s="1265"/>
      <c r="F307" s="1265"/>
    </row>
    <row r="308" spans="1:7">
      <c r="D308" s="1265"/>
      <c r="E308" s="1265"/>
      <c r="F308" s="1265"/>
      <c r="G308"/>
    </row>
    <row r="309" spans="1:7">
      <c r="D309" s="1265"/>
      <c r="E309" s="1265"/>
      <c r="F309" s="1265"/>
      <c r="G309"/>
    </row>
    <row r="310" spans="1:7">
      <c r="D310" s="1265"/>
      <c r="E310" s="1265"/>
      <c r="F310" s="1265"/>
      <c r="G310"/>
    </row>
    <row r="311" spans="1:7">
      <c r="D311" s="1265"/>
      <c r="E311" s="1265"/>
      <c r="F311" s="1265"/>
      <c r="G311"/>
    </row>
    <row r="312" spans="1:7">
      <c r="D312" s="1265"/>
      <c r="E312" s="1265"/>
      <c r="F312" s="1265"/>
      <c r="G312"/>
    </row>
    <row r="313" spans="1:7">
      <c r="D313" s="474"/>
      <c r="E313" s="474"/>
      <c r="F313" s="474"/>
      <c r="G313"/>
    </row>
    <row r="314" spans="1:7" ht="13.8" thickBot="1">
      <c r="D314" s="1311" t="s">
        <v>997</v>
      </c>
      <c r="E314" s="1311"/>
      <c r="F314" s="1311"/>
      <c r="G314"/>
    </row>
    <row r="315" spans="1:7" ht="13.8" thickTop="1">
      <c r="D315" s="1312" t="s">
        <v>1221</v>
      </c>
      <c r="E315" s="1312"/>
      <c r="F315" s="1312"/>
      <c r="G315"/>
    </row>
    <row r="316" spans="1:7">
      <c r="A316" s="218"/>
      <c r="B316" s="218"/>
      <c r="C316" s="218"/>
      <c r="D316" s="220"/>
      <c r="E316" s="220"/>
      <c r="F316" s="35"/>
      <c r="G316"/>
    </row>
    <row r="317" spans="1:7" ht="14.4">
      <c r="A317" s="176"/>
      <c r="B317" s="468" t="s">
        <v>307</v>
      </c>
      <c r="C317" s="218"/>
      <c r="D317" s="1313" t="s">
        <v>1222</v>
      </c>
      <c r="E317" s="1313"/>
      <c r="F317" s="1313"/>
      <c r="G317"/>
    </row>
    <row r="318" spans="1:7">
      <c r="A318" s="218"/>
      <c r="B318" s="218"/>
      <c r="C318" s="218"/>
      <c r="D318" s="220"/>
      <c r="E318" s="220"/>
      <c r="F318" s="35"/>
      <c r="G318"/>
    </row>
    <row r="319" spans="1:7">
      <c r="A319" s="218"/>
      <c r="B319" s="468" t="s">
        <v>307</v>
      </c>
      <c r="C319" s="218"/>
      <c r="D319" s="1268" t="s">
        <v>1223</v>
      </c>
      <c r="E319" s="1268"/>
      <c r="F319" s="1268"/>
      <c r="G319"/>
    </row>
    <row r="320" spans="1:7">
      <c r="A320" s="218"/>
      <c r="B320" s="218"/>
      <c r="C320" s="218"/>
      <c r="D320" s="1268"/>
      <c r="E320" s="1268"/>
      <c r="F320" s="1268"/>
      <c r="G320"/>
    </row>
    <row r="321" spans="1:7">
      <c r="A321" s="218"/>
      <c r="B321" s="218"/>
      <c r="C321" s="218"/>
      <c r="D321" s="1268"/>
      <c r="E321" s="1268"/>
      <c r="F321" s="1268"/>
      <c r="G321"/>
    </row>
    <row r="322" spans="1:7">
      <c r="A322" s="218"/>
      <c r="B322" s="218"/>
      <c r="C322" s="218"/>
      <c r="D322" s="1268"/>
      <c r="E322" s="1268"/>
      <c r="F322" s="1268"/>
      <c r="G322"/>
    </row>
    <row r="323" spans="1:7">
      <c r="A323" s="218"/>
      <c r="B323" s="218"/>
      <c r="C323" s="218"/>
      <c r="D323" s="1268"/>
      <c r="E323" s="1268"/>
      <c r="F323" s="1268"/>
      <c r="G323"/>
    </row>
    <row r="324" spans="1:7">
      <c r="A324" s="218"/>
      <c r="B324" s="218"/>
      <c r="C324" s="218"/>
      <c r="D324" s="1268"/>
      <c r="E324" s="1268"/>
      <c r="F324" s="1268"/>
      <c r="G324"/>
    </row>
    <row r="325" spans="1:7">
      <c r="A325" s="218"/>
      <c r="B325" s="218"/>
      <c r="C325" s="218"/>
      <c r="D325" s="1268"/>
      <c r="E325" s="1268"/>
      <c r="F325" s="1268"/>
      <c r="G325"/>
    </row>
    <row r="326" spans="1:7">
      <c r="A326" s="218"/>
      <c r="B326" s="218"/>
      <c r="C326" s="218"/>
      <c r="D326" s="1268"/>
      <c r="E326" s="1268"/>
      <c r="F326" s="1268"/>
      <c r="G326"/>
    </row>
    <row r="327" spans="1:7">
      <c r="A327" s="218"/>
      <c r="B327" s="218"/>
      <c r="C327" s="218"/>
      <c r="D327" s="1268"/>
      <c r="E327" s="1268"/>
      <c r="F327" s="1268"/>
      <c r="G327"/>
    </row>
    <row r="328" spans="1:7">
      <c r="A328" s="218"/>
      <c r="B328" s="218"/>
      <c r="C328" s="218"/>
      <c r="D328" s="1268"/>
      <c r="E328" s="1268"/>
      <c r="F328" s="1268"/>
      <c r="G328"/>
    </row>
    <row r="329" spans="1:7">
      <c r="A329" s="218"/>
      <c r="B329" s="218"/>
      <c r="C329" s="218"/>
      <c r="D329" s="1268"/>
      <c r="E329" s="1268"/>
      <c r="F329" s="1268"/>
      <c r="G329"/>
    </row>
    <row r="330" spans="1:7">
      <c r="A330" s="218"/>
      <c r="B330" s="218"/>
      <c r="C330" s="218"/>
      <c r="D330"/>
      <c r="E330" s="220"/>
      <c r="F330" s="35"/>
      <c r="G330"/>
    </row>
    <row r="331" spans="1:7" ht="14.4">
      <c r="A331" s="176"/>
      <c r="B331" s="468" t="s">
        <v>307</v>
      </c>
      <c r="C331" s="218"/>
      <c r="D331" s="1268" t="s">
        <v>1224</v>
      </c>
      <c r="E331" s="1268"/>
      <c r="F331" s="1268"/>
      <c r="G331"/>
    </row>
    <row r="332" spans="1:7">
      <c r="A332" s="218"/>
      <c r="B332" s="218"/>
      <c r="C332" s="218"/>
      <c r="D332" s="1268"/>
      <c r="E332" s="1268"/>
      <c r="F332" s="1268"/>
      <c r="G332"/>
    </row>
    <row r="333" spans="1:7">
      <c r="A333" s="218"/>
      <c r="B333" s="218"/>
      <c r="C333" s="218"/>
      <c r="D333" s="1268"/>
      <c r="E333" s="1268"/>
      <c r="F333" s="1268"/>
      <c r="G333"/>
    </row>
    <row r="334" spans="1:7">
      <c r="A334" s="218"/>
      <c r="B334" s="218"/>
      <c r="C334" s="218"/>
      <c r="D334" s="1268"/>
      <c r="E334" s="1268"/>
      <c r="F334" s="1268"/>
      <c r="G334"/>
    </row>
    <row r="335" spans="1:7">
      <c r="A335" s="218"/>
      <c r="B335" s="218"/>
      <c r="C335" s="218"/>
      <c r="D335" s="220"/>
      <c r="E335" s="220"/>
      <c r="F335" s="35"/>
      <c r="G335"/>
    </row>
    <row r="336" spans="1:7">
      <c r="A336" s="218"/>
      <c r="B336" s="218"/>
      <c r="C336" s="218"/>
      <c r="D336" s="1268" t="s">
        <v>1225</v>
      </c>
      <c r="E336" s="1268"/>
      <c r="F336" s="1268"/>
      <c r="G336"/>
    </row>
    <row r="337" spans="1:7">
      <c r="A337" s="218"/>
      <c r="B337" s="218"/>
      <c r="C337" s="218"/>
      <c r="D337" s="1268"/>
      <c r="E337" s="1268"/>
      <c r="F337" s="1268"/>
      <c r="G337"/>
    </row>
    <row r="338" spans="1:7">
      <c r="A338" s="218"/>
      <c r="B338" s="218"/>
      <c r="C338" s="218"/>
      <c r="D338" s="1268"/>
      <c r="E338" s="1268"/>
      <c r="F338" s="1268"/>
      <c r="G338"/>
    </row>
    <row r="339" spans="1:7">
      <c r="A339" s="218"/>
      <c r="B339" s="218"/>
      <c r="C339" s="218"/>
      <c r="D339" s="1268"/>
      <c r="E339" s="1268"/>
      <c r="F339" s="1268"/>
      <c r="G339"/>
    </row>
    <row r="340" spans="1:7" ht="18" customHeight="1">
      <c r="A340" s="218"/>
      <c r="B340" s="218"/>
      <c r="C340" s="218"/>
      <c r="D340" s="1268"/>
      <c r="E340" s="1268"/>
      <c r="F340" s="1268"/>
      <c r="G340"/>
    </row>
    <row r="341" spans="1:7">
      <c r="A341" s="218"/>
      <c r="B341" s="218"/>
      <c r="C341" s="218"/>
      <c r="D341" s="1268"/>
      <c r="E341" s="1268"/>
      <c r="F341" s="1268"/>
      <c r="G341"/>
    </row>
    <row r="342" spans="1:7">
      <c r="A342" s="218"/>
      <c r="B342" s="218"/>
      <c r="C342" s="218"/>
      <c r="D342" s="1268"/>
      <c r="E342" s="1268"/>
      <c r="F342" s="1268"/>
      <c r="G342"/>
    </row>
    <row r="343" spans="1:7">
      <c r="A343" s="218"/>
      <c r="B343" s="218"/>
      <c r="C343" s="218"/>
      <c r="D343" s="1268"/>
      <c r="E343" s="1268"/>
      <c r="F343" s="1268"/>
      <c r="G343"/>
    </row>
    <row r="344" spans="1:7" ht="8.25" customHeight="1">
      <c r="A344" s="218"/>
      <c r="B344" s="218"/>
      <c r="C344" s="218"/>
      <c r="D344" s="1268"/>
      <c r="E344" s="1268"/>
      <c r="F344" s="1268"/>
      <c r="G344"/>
    </row>
    <row r="345" spans="1:7" ht="13.2" customHeight="1">
      <c r="A345" s="218"/>
      <c r="B345" s="218"/>
      <c r="C345" s="218"/>
      <c r="D345" s="1268" t="s">
        <v>1226</v>
      </c>
      <c r="E345" s="1268"/>
      <c r="F345" s="1268"/>
      <c r="G345"/>
    </row>
    <row r="346" spans="1:7">
      <c r="A346" s="218"/>
      <c r="B346" s="218"/>
      <c r="C346" s="218"/>
      <c r="D346" s="1268"/>
      <c r="E346" s="1268"/>
      <c r="F346" s="1268"/>
      <c r="G346"/>
    </row>
    <row r="347" spans="1:7">
      <c r="A347" s="218"/>
      <c r="B347" s="218"/>
      <c r="C347" s="218"/>
      <c r="D347" s="1268"/>
      <c r="E347" s="1268"/>
      <c r="F347" s="1268"/>
      <c r="G347"/>
    </row>
    <row r="348" spans="1:7">
      <c r="A348" s="218"/>
      <c r="B348" s="218"/>
      <c r="C348" s="218"/>
      <c r="D348" s="1268"/>
      <c r="E348" s="1268"/>
      <c r="F348" s="1268"/>
      <c r="G348"/>
    </row>
    <row r="349" spans="1:7">
      <c r="A349" s="218"/>
      <c r="B349" s="218"/>
      <c r="C349" s="218"/>
      <c r="D349" s="1268"/>
      <c r="E349" s="1268"/>
      <c r="F349" s="1268"/>
      <c r="G349"/>
    </row>
    <row r="350" spans="1:7">
      <c r="A350" s="218"/>
      <c r="B350" s="218"/>
      <c r="C350" s="218"/>
      <c r="D350" s="1268"/>
      <c r="E350" s="1268"/>
      <c r="F350" s="1268"/>
      <c r="G350"/>
    </row>
    <row r="351" spans="1:7">
      <c r="A351" s="218"/>
      <c r="B351" s="218"/>
      <c r="C351" s="218"/>
      <c r="D351" s="1268"/>
      <c r="E351" s="1268"/>
      <c r="F351" s="1268"/>
      <c r="G351"/>
    </row>
    <row r="352" spans="1:7">
      <c r="A352" s="218"/>
      <c r="B352" s="218"/>
      <c r="C352" s="218"/>
      <c r="D352" s="1268"/>
      <c r="E352" s="1268"/>
      <c r="F352" s="1268"/>
      <c r="G352"/>
    </row>
    <row r="353" spans="1:7">
      <c r="A353" s="218"/>
      <c r="B353" s="218"/>
      <c r="C353" s="218"/>
      <c r="D353" s="1268"/>
      <c r="E353" s="1268"/>
      <c r="F353" s="1268"/>
      <c r="G353"/>
    </row>
    <row r="354" spans="1:7">
      <c r="A354" s="218"/>
      <c r="B354" s="218"/>
      <c r="C354" s="218"/>
      <c r="D354" s="1268"/>
      <c r="E354" s="1268"/>
      <c r="F354" s="1268"/>
      <c r="G354"/>
    </row>
    <row r="355" spans="1:7">
      <c r="A355" s="218"/>
      <c r="B355" s="218"/>
      <c r="C355" s="218"/>
      <c r="D355" s="1268"/>
      <c r="E355" s="1268"/>
      <c r="F355" s="1268"/>
      <c r="G355"/>
    </row>
    <row r="356" spans="1:7">
      <c r="A356" s="218"/>
      <c r="B356" s="218"/>
      <c r="C356" s="218"/>
      <c r="D356" s="1268"/>
      <c r="E356" s="1268"/>
      <c r="F356" s="1268"/>
      <c r="G356"/>
    </row>
    <row r="357" spans="1:7">
      <c r="A357" s="218"/>
      <c r="B357" s="218"/>
      <c r="C357" s="347"/>
      <c r="D357" s="1268"/>
      <c r="E357" s="1268"/>
      <c r="F357" s="1268"/>
      <c r="G357"/>
    </row>
    <row r="358" spans="1:7">
      <c r="A358" s="218"/>
      <c r="B358" s="218"/>
      <c r="C358" s="347"/>
      <c r="D358" s="1268"/>
      <c r="E358" s="1268"/>
      <c r="F358" s="1268"/>
      <c r="G358"/>
    </row>
    <row r="359" spans="1:7">
      <c r="A359" s="218"/>
      <c r="B359" s="218"/>
      <c r="C359" s="218"/>
      <c r="D359" s="1268"/>
      <c r="E359" s="1268"/>
      <c r="F359" s="1268"/>
      <c r="G359"/>
    </row>
    <row r="360" spans="1:7">
      <c r="A360" s="218"/>
      <c r="B360" s="218"/>
      <c r="C360" s="347"/>
      <c r="D360" s="1268"/>
      <c r="E360" s="1268"/>
      <c r="F360" s="1268"/>
      <c r="G360"/>
    </row>
    <row r="361" spans="1:7">
      <c r="A361" s="218"/>
      <c r="B361" s="218"/>
      <c r="C361" s="347"/>
      <c r="D361" s="1268"/>
      <c r="E361" s="1268"/>
      <c r="F361" s="1268"/>
      <c r="G361"/>
    </row>
    <row r="362" spans="1:7">
      <c r="A362" s="218"/>
      <c r="B362" s="218"/>
      <c r="C362" s="347"/>
      <c r="D362" s="1268"/>
      <c r="E362" s="1268"/>
      <c r="F362" s="1268"/>
      <c r="G362"/>
    </row>
    <row r="363" spans="1:7">
      <c r="A363" s="218"/>
      <c r="B363" s="218"/>
      <c r="C363" s="218"/>
      <c r="D363" s="220"/>
      <c r="E363" s="220"/>
      <c r="F363" s="35"/>
      <c r="G363"/>
    </row>
    <row r="364" spans="1:7">
      <c r="A364" s="218"/>
      <c r="B364" s="468" t="s">
        <v>307</v>
      </c>
      <c r="C364" s="218"/>
      <c r="D364" s="1268" t="s">
        <v>1227</v>
      </c>
      <c r="E364" s="1268"/>
      <c r="F364" s="1268"/>
      <c r="G364"/>
    </row>
    <row r="365" spans="1:7">
      <c r="A365" s="218"/>
      <c r="B365" s="218"/>
      <c r="C365" s="218"/>
      <c r="D365" s="1268"/>
      <c r="E365" s="1268"/>
      <c r="F365" s="1268"/>
      <c r="G365"/>
    </row>
    <row r="366" spans="1:7">
      <c r="A366" s="218"/>
      <c r="B366" s="218"/>
      <c r="C366" s="218"/>
      <c r="D366" s="220"/>
      <c r="E366" s="220"/>
      <c r="F366" s="35"/>
      <c r="G366"/>
    </row>
    <row r="367" spans="1:7" ht="14.4">
      <c r="A367" s="176"/>
      <c r="B367" s="468" t="s">
        <v>307</v>
      </c>
      <c r="C367" s="218"/>
      <c r="D367" s="1268" t="s">
        <v>1228</v>
      </c>
      <c r="E367" s="1268"/>
      <c r="F367" s="1268"/>
      <c r="G367"/>
    </row>
    <row r="368" spans="1:7" ht="14.4">
      <c r="A368" s="346"/>
      <c r="B368" s="346"/>
      <c r="C368" s="218"/>
      <c r="D368" s="1268"/>
      <c r="E368" s="1268"/>
      <c r="F368" s="1268"/>
      <c r="G368"/>
    </row>
    <row r="369" spans="1:7" ht="14.4">
      <c r="A369" s="346"/>
      <c r="B369" s="346"/>
      <c r="C369" s="218"/>
      <c r="D369" s="1268"/>
      <c r="E369" s="1268"/>
      <c r="F369" s="1268"/>
      <c r="G369"/>
    </row>
    <row r="370" spans="1:7" ht="14.4">
      <c r="A370" s="346"/>
      <c r="B370" s="346"/>
      <c r="C370" s="218"/>
      <c r="D370" s="1268"/>
      <c r="E370" s="1268"/>
      <c r="F370" s="1268"/>
      <c r="G370"/>
    </row>
    <row r="371" spans="1:7" ht="14.4">
      <c r="A371" s="346"/>
      <c r="B371" s="346"/>
      <c r="C371" s="218"/>
      <c r="D371" s="1268"/>
      <c r="E371" s="1268"/>
      <c r="F371" s="1268"/>
      <c r="G371"/>
    </row>
    <row r="372" spans="1:7">
      <c r="D372" s="35"/>
      <c r="E372" s="35"/>
      <c r="F372" s="35"/>
      <c r="G372"/>
    </row>
    <row r="373" spans="1:7" ht="14.4">
      <c r="A373" s="176"/>
      <c r="B373" s="468" t="s">
        <v>307</v>
      </c>
      <c r="C373" s="179"/>
      <c r="D373" s="1265" t="s">
        <v>1229</v>
      </c>
      <c r="E373" s="1265"/>
      <c r="F373" s="1265"/>
      <c r="G373"/>
    </row>
    <row r="374" spans="1:7" ht="14.4">
      <c r="A374" s="176"/>
      <c r="B374" s="176"/>
      <c r="D374" s="1265"/>
      <c r="E374" s="1265"/>
      <c r="F374" s="1265"/>
      <c r="G374"/>
    </row>
    <row r="375" spans="1:7">
      <c r="D375" s="1265"/>
      <c r="E375" s="1265"/>
      <c r="F375" s="1265"/>
      <c r="G375"/>
    </row>
    <row r="376" spans="1:7">
      <c r="D376" s="1265"/>
      <c r="E376" s="1265"/>
      <c r="F376" s="1265"/>
      <c r="G376"/>
    </row>
    <row r="377" spans="1:7">
      <c r="D377" s="1265"/>
      <c r="E377" s="1265"/>
      <c r="F377" s="1265"/>
      <c r="G377"/>
    </row>
    <row r="378" spans="1:7">
      <c r="D378" s="1265"/>
      <c r="E378" s="1265"/>
      <c r="F378" s="1265"/>
      <c r="G378"/>
    </row>
    <row r="379" spans="1:7">
      <c r="D379" s="1265"/>
      <c r="E379" s="1265"/>
      <c r="F379" s="1265"/>
      <c r="G379"/>
    </row>
    <row r="380" spans="1:7">
      <c r="D380" s="1265"/>
      <c r="E380" s="1265"/>
      <c r="F380" s="1265"/>
      <c r="G380"/>
    </row>
    <row r="381" spans="1:7">
      <c r="D381" s="1265"/>
      <c r="E381" s="1265"/>
      <c r="F381" s="1265"/>
      <c r="G381"/>
    </row>
    <row r="382" spans="1:7">
      <c r="D382" s="1265"/>
      <c r="E382" s="1265"/>
      <c r="F382" s="1265"/>
      <c r="G382"/>
    </row>
    <row r="383" spans="1:7">
      <c r="D383" s="1265"/>
      <c r="E383" s="1265"/>
      <c r="F383" s="1265"/>
      <c r="G383"/>
    </row>
    <row r="384" spans="1:7">
      <c r="D384" s="1265"/>
      <c r="E384" s="1265"/>
      <c r="F384" s="1265"/>
      <c r="G384"/>
    </row>
    <row r="385" spans="1:7">
      <c r="D385" s="1265"/>
      <c r="E385" s="1265"/>
      <c r="F385" s="1265"/>
      <c r="G385"/>
    </row>
    <row r="386" spans="1:7">
      <c r="A386"/>
      <c r="B386"/>
      <c r="C386"/>
      <c r="D386" s="1265"/>
      <c r="E386" s="1265"/>
      <c r="F386" s="1265"/>
      <c r="G386"/>
    </row>
    <row r="387" spans="1:7">
      <c r="A387"/>
      <c r="B387"/>
      <c r="C387"/>
      <c r="D387" s="1265"/>
      <c r="E387" s="1265"/>
      <c r="F387" s="1265"/>
      <c r="G387"/>
    </row>
    <row r="388" spans="1:7">
      <c r="A388"/>
      <c r="B388"/>
      <c r="C388"/>
      <c r="D388" s="1265"/>
      <c r="E388" s="1265"/>
      <c r="F388" s="1265"/>
      <c r="G388"/>
    </row>
    <row r="389" spans="1:7">
      <c r="A389"/>
      <c r="B389"/>
      <c r="C389"/>
      <c r="D389" s="1265"/>
      <c r="E389" s="1265"/>
      <c r="F389" s="1265"/>
      <c r="G389"/>
    </row>
    <row r="390" spans="1:7">
      <c r="A390"/>
      <c r="B390"/>
      <c r="C390"/>
      <c r="D390" s="1265"/>
      <c r="E390" s="1265"/>
      <c r="F390" s="1265"/>
      <c r="G390"/>
    </row>
    <row r="391" spans="1:7">
      <c r="A391"/>
      <c r="B391"/>
      <c r="C391"/>
      <c r="D391" s="1265"/>
      <c r="E391" s="1265"/>
      <c r="F391" s="1265"/>
      <c r="G391"/>
    </row>
    <row r="392" spans="1:7">
      <c r="A392"/>
      <c r="B392"/>
      <c r="C392"/>
      <c r="D392" s="1265"/>
      <c r="E392" s="1265"/>
      <c r="F392" s="1265"/>
      <c r="G392"/>
    </row>
    <row r="393" spans="1:7">
      <c r="A393"/>
      <c r="B393"/>
      <c r="C393"/>
      <c r="D393" s="1265"/>
      <c r="E393" s="1265"/>
      <c r="F393" s="1265"/>
      <c r="G393"/>
    </row>
    <row r="394" spans="1:7">
      <c r="A394"/>
      <c r="B394"/>
      <c r="C394"/>
      <c r="D394" s="1265"/>
      <c r="E394" s="1265"/>
      <c r="F394" s="1265"/>
      <c r="G394"/>
    </row>
    <row r="395" spans="1:7">
      <c r="A395"/>
      <c r="B395"/>
      <c r="C395"/>
      <c r="D395" s="1265"/>
      <c r="E395" s="1265"/>
      <c r="F395" s="1265"/>
      <c r="G395"/>
    </row>
    <row r="396" spans="1:7">
      <c r="A396"/>
      <c r="B396"/>
      <c r="C396"/>
      <c r="D396" s="1265"/>
      <c r="E396" s="1265"/>
      <c r="F396" s="1265"/>
      <c r="G396"/>
    </row>
    <row r="397" spans="1:7">
      <c r="A397"/>
      <c r="B397"/>
      <c r="C397"/>
      <c r="D397" s="1265"/>
      <c r="E397" s="1265"/>
      <c r="F397" s="1265"/>
      <c r="G397"/>
    </row>
    <row r="398" spans="1:7">
      <c r="A398"/>
      <c r="B398"/>
      <c r="C398"/>
      <c r="D398" s="1265"/>
      <c r="E398" s="1265"/>
      <c r="F398" s="1265"/>
      <c r="G398"/>
    </row>
    <row r="399" spans="1:7">
      <c r="A399"/>
      <c r="B399"/>
      <c r="C399"/>
      <c r="D399" s="1265"/>
      <c r="E399" s="1265"/>
      <c r="F399" s="1265"/>
      <c r="G399"/>
    </row>
    <row r="400" spans="1:7">
      <c r="A400"/>
      <c r="B400"/>
      <c r="C400"/>
      <c r="D400" s="1265"/>
      <c r="E400" s="1265"/>
      <c r="F400" s="1265"/>
      <c r="G400"/>
    </row>
    <row r="401" spans="1:7">
      <c r="A401"/>
      <c r="B401"/>
      <c r="C401"/>
      <c r="D401" s="1265"/>
      <c r="E401" s="1265"/>
      <c r="F401" s="1265"/>
      <c r="G401"/>
    </row>
    <row r="402" spans="1:7">
      <c r="D402" s="1265"/>
      <c r="E402" s="1265"/>
      <c r="F402" s="1265"/>
    </row>
    <row r="403" spans="1:7" ht="40.65" customHeight="1">
      <c r="D403" s="1265"/>
      <c r="E403" s="1265"/>
      <c r="F403" s="1265"/>
    </row>
    <row r="404" spans="1:7">
      <c r="D404" s="35"/>
      <c r="E404" s="35"/>
      <c r="F404" s="35"/>
    </row>
    <row r="405" spans="1:7" ht="14.4">
      <c r="A405" s="176"/>
      <c r="B405" s="468" t="s">
        <v>307</v>
      </c>
      <c r="C405" s="179"/>
      <c r="D405" s="1285" t="s">
        <v>1230</v>
      </c>
      <c r="E405" s="1285"/>
      <c r="F405" s="1285"/>
    </row>
    <row r="406" spans="1:7">
      <c r="D406" s="1310" t="s">
        <v>1005</v>
      </c>
      <c r="E406" s="1310"/>
      <c r="F406" s="1310"/>
    </row>
    <row r="407" spans="1:7">
      <c r="D407" s="1265" t="s">
        <v>1231</v>
      </c>
      <c r="E407" s="1265"/>
      <c r="F407" s="1265"/>
    </row>
    <row r="408" spans="1:7">
      <c r="D408" s="1265"/>
      <c r="E408" s="1265"/>
      <c r="F408" s="1265"/>
    </row>
    <row r="409" spans="1:7">
      <c r="D409" s="1265"/>
      <c r="E409" s="1265"/>
      <c r="F409" s="1265"/>
    </row>
    <row r="410" spans="1:7">
      <c r="D410" s="1265"/>
      <c r="E410" s="1265"/>
      <c r="F410" s="1265"/>
    </row>
    <row r="411" spans="1:7">
      <c r="D411" s="35"/>
      <c r="E411" s="35"/>
      <c r="F411" s="35"/>
      <c r="G411"/>
    </row>
    <row r="412" spans="1:7" ht="14.4">
      <c r="A412" s="176"/>
      <c r="B412" s="468" t="s">
        <v>307</v>
      </c>
      <c r="C412" s="179"/>
      <c r="D412" s="1265" t="s">
        <v>1232</v>
      </c>
      <c r="E412" s="1265"/>
      <c r="F412" s="1265"/>
      <c r="G412"/>
    </row>
    <row r="413" spans="1:7">
      <c r="D413" s="1265"/>
      <c r="E413" s="1265"/>
      <c r="F413" s="1265"/>
      <c r="G413"/>
    </row>
    <row r="414" spans="1:7">
      <c r="D414" s="1265"/>
      <c r="E414" s="1265"/>
      <c r="F414" s="1265"/>
      <c r="G414"/>
    </row>
    <row r="415" spans="1:7">
      <c r="D415" s="474"/>
      <c r="E415" s="474"/>
      <c r="F415" s="474"/>
      <c r="G415"/>
    </row>
    <row r="416" spans="1:7" ht="14.4">
      <c r="B416" s="468" t="s">
        <v>307</v>
      </c>
      <c r="C416" s="176"/>
      <c r="D416" s="1265" t="s">
        <v>1233</v>
      </c>
      <c r="E416" s="1265"/>
      <c r="F416" s="1265"/>
      <c r="G416"/>
    </row>
    <row r="417" spans="1:7">
      <c r="D417" s="1265"/>
      <c r="E417" s="1265"/>
      <c r="F417" s="1265"/>
      <c r="G417"/>
    </row>
    <row r="418" spans="1:7">
      <c r="D418" s="35"/>
      <c r="E418" s="35"/>
      <c r="F418" s="35"/>
      <c r="G418"/>
    </row>
    <row r="419" spans="1:7" ht="14.4">
      <c r="B419" s="468" t="s">
        <v>307</v>
      </c>
      <c r="C419" s="176"/>
      <c r="D419" s="1265" t="s">
        <v>1234</v>
      </c>
      <c r="E419" s="1265"/>
      <c r="F419" s="1265"/>
      <c r="G419"/>
    </row>
    <row r="420" spans="1:7">
      <c r="D420" s="1265"/>
      <c r="E420" s="1265"/>
      <c r="F420" s="1265"/>
      <c r="G420"/>
    </row>
    <row r="421" spans="1:7">
      <c r="D421" s="1265"/>
      <c r="E421" s="1265"/>
      <c r="F421" s="1265"/>
      <c r="G421"/>
    </row>
    <row r="422" spans="1:7">
      <c r="D422" s="1265"/>
      <c r="E422" s="1265"/>
      <c r="F422" s="1265"/>
      <c r="G422"/>
    </row>
    <row r="423" spans="1:7">
      <c r="B423" s="468" t="s">
        <v>307</v>
      </c>
      <c r="D423" s="1265"/>
      <c r="E423" s="1265"/>
      <c r="F423" s="1265"/>
      <c r="G423"/>
    </row>
    <row r="424" spans="1:7">
      <c r="A424"/>
      <c r="B424"/>
      <c r="C424"/>
      <c r="D424" s="1265"/>
      <c r="E424" s="1265"/>
      <c r="F424" s="1265"/>
      <c r="G424"/>
    </row>
    <row r="425" spans="1:7">
      <c r="A425"/>
      <c r="C425"/>
      <c r="D425" s="1265"/>
      <c r="E425" s="1265"/>
      <c r="F425" s="1265"/>
      <c r="G425"/>
    </row>
    <row r="426" spans="1:7">
      <c r="A426"/>
      <c r="B426" s="468" t="s">
        <v>307</v>
      </c>
      <c r="C426"/>
      <c r="D426" s="1265"/>
      <c r="E426" s="1265"/>
      <c r="F426" s="1265"/>
      <c r="G426"/>
    </row>
    <row r="427" spans="1:7">
      <c r="A427"/>
      <c r="B427"/>
      <c r="C427"/>
      <c r="D427" s="1265"/>
      <c r="E427" s="1265"/>
      <c r="F427" s="1265"/>
      <c r="G427"/>
    </row>
    <row r="428" spans="1:7">
      <c r="A428"/>
      <c r="C428"/>
      <c r="D428" s="1265"/>
      <c r="E428" s="1265"/>
      <c r="F428" s="1265"/>
      <c r="G428"/>
    </row>
    <row r="429" spans="1:7">
      <c r="A429"/>
      <c r="C429"/>
      <c r="D429" s="1265"/>
      <c r="E429" s="1265"/>
      <c r="F429" s="1265"/>
      <c r="G429"/>
    </row>
    <row r="430" spans="1:7">
      <c r="A430"/>
      <c r="B430" s="468" t="s">
        <v>307</v>
      </c>
      <c r="C430"/>
      <c r="D430" s="1265"/>
      <c r="E430" s="1265"/>
      <c r="F430" s="1265"/>
      <c r="G430"/>
    </row>
    <row r="431" spans="1:7">
      <c r="A431"/>
      <c r="B431"/>
      <c r="C431"/>
      <c r="D431" s="1265"/>
      <c r="E431" s="1265"/>
      <c r="F431" s="1265"/>
      <c r="G431"/>
    </row>
    <row r="432" spans="1:7">
      <c r="A432"/>
      <c r="B432" s="468" t="s">
        <v>307</v>
      </c>
      <c r="C432"/>
      <c r="D432" s="1265"/>
      <c r="E432" s="1265"/>
      <c r="F432" s="1265"/>
      <c r="G432"/>
    </row>
    <row r="433" spans="1:7">
      <c r="A433"/>
      <c r="B433"/>
      <c r="C433"/>
      <c r="D433" s="474"/>
      <c r="E433" s="474"/>
      <c r="F433" s="474"/>
      <c r="G433"/>
    </row>
    <row r="434" spans="1:7">
      <c r="A434"/>
      <c r="B434" s="468" t="s">
        <v>307</v>
      </c>
      <c r="C434"/>
      <c r="D434" s="1265" t="s">
        <v>1235</v>
      </c>
      <c r="E434" s="1265"/>
      <c r="F434" s="1265"/>
      <c r="G434"/>
    </row>
    <row r="435" spans="1:7">
      <c r="A435"/>
      <c r="B435"/>
      <c r="C435"/>
      <c r="D435" s="1265"/>
      <c r="E435" s="1265"/>
      <c r="F435" s="1265"/>
      <c r="G435"/>
    </row>
    <row r="436" spans="1:7">
      <c r="A436"/>
      <c r="B436"/>
      <c r="C436"/>
      <c r="D436" s="1265"/>
      <c r="E436" s="1265"/>
      <c r="F436" s="1265"/>
      <c r="G436"/>
    </row>
    <row r="437" spans="1:7">
      <c r="A437"/>
      <c r="B437"/>
      <c r="C437"/>
      <c r="D437" s="1265"/>
      <c r="E437" s="1265"/>
      <c r="F437" s="1265"/>
      <c r="G437"/>
    </row>
    <row r="438" spans="1:7">
      <c r="D438" s="1265"/>
      <c r="E438" s="1265"/>
      <c r="F438" s="1265"/>
    </row>
    <row r="439" spans="1:7">
      <c r="D439" s="35"/>
      <c r="E439" s="35"/>
      <c r="F439" s="35"/>
    </row>
    <row r="440" spans="1:7">
      <c r="B440" s="468" t="s">
        <v>307</v>
      </c>
      <c r="D440" s="1285" t="s">
        <v>1236</v>
      </c>
      <c r="E440" s="1285"/>
      <c r="F440" s="1285"/>
    </row>
    <row r="441" spans="1:7">
      <c r="A441" s="35"/>
      <c r="B441" s="35"/>
    </row>
    <row r="442" spans="1:7">
      <c r="A442" s="1286" t="s">
        <v>1077</v>
      </c>
      <c r="B442" s="1286"/>
      <c r="C442" s="1286"/>
      <c r="D442" s="1286"/>
      <c r="E442" s="1286"/>
      <c r="F442" s="1286"/>
      <c r="G442" s="1286"/>
    </row>
    <row r="443" spans="1:7">
      <c r="A443" s="35"/>
      <c r="B443" s="35"/>
    </row>
    <row r="444" spans="1:7">
      <c r="D444" s="1316" t="s">
        <v>894</v>
      </c>
      <c r="E444" s="1316"/>
      <c r="F444" s="1316"/>
    </row>
    <row r="445" spans="1:7" ht="14.4">
      <c r="A445" s="176"/>
      <c r="B445" s="176"/>
      <c r="D445" s="1313" t="s">
        <v>1237</v>
      </c>
      <c r="E445" s="1313"/>
      <c r="F445" s="1313"/>
    </row>
    <row r="446" spans="1:7" ht="14.4">
      <c r="A446" s="176"/>
      <c r="B446" s="176"/>
      <c r="D446" s="481"/>
      <c r="E446" s="3"/>
      <c r="F446" s="3"/>
    </row>
    <row r="447" spans="1:7" ht="14.4">
      <c r="A447" s="176"/>
      <c r="B447" s="468" t="s">
        <v>307</v>
      </c>
      <c r="D447" s="1268" t="s">
        <v>1238</v>
      </c>
      <c r="E447" s="1268"/>
      <c r="F447" s="1268"/>
    </row>
    <row r="448" spans="1:7" ht="14.4">
      <c r="A448" s="176"/>
      <c r="B448" s="176"/>
      <c r="D448" s="1268"/>
      <c r="E448" s="1268"/>
      <c r="F448" s="1268"/>
    </row>
    <row r="449" spans="1:7" ht="14.4">
      <c r="A449" s="176"/>
      <c r="B449" s="176"/>
      <c r="D449" s="118"/>
      <c r="E449" s="3"/>
      <c r="F449" s="3"/>
    </row>
    <row r="450" spans="1:7">
      <c r="B450" s="468" t="s">
        <v>307</v>
      </c>
      <c r="D450" s="1302" t="s">
        <v>1239</v>
      </c>
      <c r="E450" s="1302"/>
      <c r="F450" s="1302"/>
    </row>
    <row r="451" spans="1:7" ht="14.4">
      <c r="A451" s="176"/>
      <c r="D451" s="1302"/>
      <c r="E451" s="1302"/>
      <c r="F451" s="1302"/>
    </row>
    <row r="452" spans="1:7" ht="14.4">
      <c r="A452" s="176"/>
      <c r="B452" s="176"/>
      <c r="D452" s="1302"/>
      <c r="E452" s="1302"/>
      <c r="F452" s="1302"/>
    </row>
    <row r="453" spans="1:7" ht="14.4">
      <c r="A453" s="176"/>
      <c r="B453" s="176"/>
      <c r="D453" s="1302"/>
      <c r="E453" s="1302"/>
      <c r="F453" s="1302"/>
    </row>
    <row r="454" spans="1:7">
      <c r="D454" s="3"/>
      <c r="E454" s="3"/>
      <c r="F454" s="3"/>
      <c r="G454"/>
    </row>
    <row r="455" spans="1:7" ht="14.4">
      <c r="A455" s="176"/>
      <c r="B455" s="468" t="s">
        <v>307</v>
      </c>
      <c r="D455" s="1265" t="s">
        <v>1240</v>
      </c>
      <c r="E455" s="1265"/>
      <c r="F455" s="1265"/>
      <c r="G455"/>
    </row>
    <row r="456" spans="1:7" ht="14.4">
      <c r="A456" s="176"/>
      <c r="B456" s="176"/>
      <c r="D456" s="1265"/>
      <c r="E456" s="1265"/>
      <c r="F456" s="1265"/>
      <c r="G456"/>
    </row>
    <row r="457" spans="1:7" ht="14.4">
      <c r="A457" s="176"/>
      <c r="D457" s="1265"/>
      <c r="E457" s="1265"/>
      <c r="F457" s="1265"/>
      <c r="G457"/>
    </row>
    <row r="458" spans="1:7" ht="14.4">
      <c r="A458" s="176"/>
      <c r="B458" s="176"/>
      <c r="D458" s="3"/>
      <c r="E458" s="3"/>
      <c r="F458" s="3"/>
      <c r="G458"/>
    </row>
    <row r="459" spans="1:7" ht="14.4">
      <c r="A459" s="176"/>
      <c r="B459" s="468" t="s">
        <v>307</v>
      </c>
      <c r="D459" s="1285" t="s">
        <v>1241</v>
      </c>
      <c r="E459" s="1285"/>
      <c r="F459" s="1285"/>
      <c r="G459"/>
    </row>
    <row r="460" spans="1:7" ht="14.4">
      <c r="A460" s="176"/>
      <c r="B460" s="176"/>
      <c r="D460" s="118"/>
      <c r="E460" s="3"/>
      <c r="F460" s="3"/>
      <c r="G460"/>
    </row>
    <row r="461" spans="1:7" ht="14.4">
      <c r="A461" s="176"/>
      <c r="B461" s="468" t="s">
        <v>307</v>
      </c>
      <c r="D461" s="1265" t="s">
        <v>1242</v>
      </c>
      <c r="E461" s="1265"/>
      <c r="F461" s="1265"/>
      <c r="G461"/>
    </row>
    <row r="462" spans="1:7" ht="14.4">
      <c r="A462" s="176"/>
      <c r="D462" s="1265"/>
      <c r="E462" s="1265"/>
      <c r="F462" s="1265"/>
      <c r="G462"/>
    </row>
    <row r="463" spans="1:7">
      <c r="A463" s="13"/>
      <c r="B463" s="13"/>
      <c r="D463" s="481"/>
      <c r="E463" s="3"/>
      <c r="F463" s="3"/>
      <c r="G463"/>
    </row>
    <row r="464" spans="1:7">
      <c r="A464" s="13"/>
      <c r="B464" s="468" t="s">
        <v>307</v>
      </c>
      <c r="D464" s="1285" t="s">
        <v>1243</v>
      </c>
      <c r="E464" s="1285"/>
      <c r="F464" s="1285"/>
      <c r="G464"/>
    </row>
    <row r="465" spans="1:7" ht="14.4">
      <c r="A465" s="176"/>
      <c r="B465" s="176"/>
      <c r="D465" s="35"/>
    </row>
    <row r="466" spans="1:7">
      <c r="A466" s="1286" t="s">
        <v>1078</v>
      </c>
      <c r="B466" s="1286"/>
      <c r="C466" s="1286"/>
      <c r="D466" s="1286"/>
      <c r="E466" s="1286"/>
      <c r="F466" s="1286"/>
      <c r="G466" s="1286"/>
    </row>
    <row r="467" spans="1:7" ht="12" customHeight="1">
      <c r="A467" s="176"/>
      <c r="B467" s="176"/>
      <c r="D467" s="35"/>
    </row>
    <row r="468" spans="1:7">
      <c r="C468" s="172"/>
      <c r="D468" s="1284" t="s">
        <v>801</v>
      </c>
      <c r="E468" s="1284"/>
      <c r="F468" s="1284"/>
    </row>
    <row r="469" spans="1:7" ht="13.2" customHeight="1">
      <c r="A469" s="175"/>
      <c r="B469" s="175"/>
      <c r="C469" s="175"/>
      <c r="D469" s="1317" t="s">
        <v>1121</v>
      </c>
      <c r="E469" s="1317"/>
      <c r="F469" s="1317"/>
    </row>
    <row r="470" spans="1:7">
      <c r="A470" s="175"/>
      <c r="B470" s="175"/>
      <c r="C470" s="175"/>
      <c r="D470" s="1317"/>
      <c r="E470" s="1317"/>
      <c r="F470" s="1317"/>
    </row>
    <row r="471" spans="1:7">
      <c r="A471" s="175"/>
      <c r="B471" s="175"/>
      <c r="C471" s="175"/>
      <c r="D471" s="1317"/>
      <c r="E471" s="1317"/>
      <c r="F471" s="1317"/>
    </row>
    <row r="472" spans="1:7">
      <c r="A472" s="175"/>
      <c r="B472" s="175"/>
      <c r="C472" s="175"/>
      <c r="D472" s="1317"/>
      <c r="E472" s="1317"/>
      <c r="F472" s="1317"/>
    </row>
    <row r="473" spans="1:7">
      <c r="A473" s="175"/>
      <c r="B473" s="175"/>
      <c r="C473" s="175"/>
      <c r="D473" s="1317"/>
      <c r="E473" s="1317"/>
      <c r="F473" s="1317"/>
    </row>
    <row r="474" spans="1:7">
      <c r="A474" s="175"/>
      <c r="B474" s="175"/>
      <c r="C474" s="175"/>
      <c r="D474" s="326"/>
      <c r="F474" s="35"/>
    </row>
    <row r="475" spans="1:7" ht="14.4" customHeight="1">
      <c r="A475" s="176"/>
      <c r="B475" s="468" t="s">
        <v>307</v>
      </c>
      <c r="C475" s="175"/>
      <c r="D475" s="1301" t="s">
        <v>1112</v>
      </c>
      <c r="E475" s="1301"/>
      <c r="F475" s="1301"/>
    </row>
    <row r="476" spans="1:7">
      <c r="A476" s="175"/>
      <c r="B476" s="175"/>
      <c r="C476" s="175"/>
      <c r="D476" s="1301"/>
      <c r="E476" s="1301"/>
      <c r="F476" s="1301"/>
    </row>
    <row r="477" spans="1:7">
      <c r="A477" s="175"/>
      <c r="B477" s="175"/>
      <c r="C477" s="175"/>
      <c r="D477" s="1301"/>
      <c r="E477" s="1301"/>
      <c r="F477" s="1301"/>
    </row>
    <row r="478" spans="1:7">
      <c r="A478" s="175"/>
      <c r="B478" s="175"/>
      <c r="C478" s="175"/>
      <c r="D478" s="1301"/>
      <c r="E478" s="1301"/>
      <c r="F478" s="1301"/>
    </row>
    <row r="479" spans="1:7">
      <c r="A479" s="175"/>
      <c r="B479" s="175"/>
      <c r="C479" s="175"/>
      <c r="D479" s="1301"/>
      <c r="E479" s="1301"/>
      <c r="F479" s="1301"/>
    </row>
    <row r="480" spans="1:7">
      <c r="A480" s="175"/>
      <c r="B480" s="175"/>
      <c r="C480" s="175"/>
      <c r="D480" s="220"/>
      <c r="F480" s="35"/>
    </row>
    <row r="481" spans="1:6" ht="14.4" customHeight="1">
      <c r="A481" s="176"/>
      <c r="B481" s="468" t="s">
        <v>307</v>
      </c>
      <c r="C481" s="175"/>
      <c r="D481" s="1301" t="s">
        <v>1115</v>
      </c>
      <c r="E481" s="1301"/>
      <c r="F481" s="1301"/>
    </row>
    <row r="482" spans="1:6">
      <c r="A482" s="175"/>
      <c r="B482" s="175"/>
      <c r="C482" s="175"/>
      <c r="D482" s="1301"/>
      <c r="E482" s="1301"/>
      <c r="F482" s="1301"/>
    </row>
    <row r="483" spans="1:6">
      <c r="A483" s="175"/>
      <c r="B483" s="175"/>
      <c r="C483" s="175"/>
      <c r="D483" s="1301"/>
      <c r="E483" s="1301"/>
      <c r="F483" s="1301"/>
    </row>
    <row r="484" spans="1:6">
      <c r="A484" s="175"/>
      <c r="B484" s="175"/>
      <c r="C484" s="175"/>
      <c r="D484" s="1301"/>
      <c r="E484" s="1301"/>
      <c r="F484" s="1301"/>
    </row>
    <row r="485" spans="1:6" ht="9.9" customHeight="1">
      <c r="A485" s="175"/>
      <c r="B485" s="175"/>
      <c r="C485" s="175"/>
      <c r="D485" s="220"/>
      <c r="F485" s="35"/>
    </row>
    <row r="486" spans="1:6" ht="14.4" customHeight="1">
      <c r="A486" s="176"/>
      <c r="B486" s="468" t="s">
        <v>307</v>
      </c>
      <c r="C486" s="175"/>
      <c r="D486" s="1301" t="s">
        <v>1113</v>
      </c>
      <c r="E486" s="1301"/>
      <c r="F486" s="1301"/>
    </row>
    <row r="487" spans="1:6">
      <c r="A487" s="175"/>
      <c r="B487" s="175"/>
      <c r="C487" s="175"/>
      <c r="D487" s="1301"/>
      <c r="E487" s="1301"/>
      <c r="F487" s="1301"/>
    </row>
    <row r="488" spans="1:6">
      <c r="A488" s="175"/>
      <c r="B488" s="175"/>
      <c r="C488" s="175"/>
      <c r="D488" s="1301"/>
      <c r="E488" s="1301"/>
      <c r="F488" s="1301"/>
    </row>
    <row r="489" spans="1:6">
      <c r="A489" s="175"/>
      <c r="B489" s="175"/>
      <c r="C489" s="175"/>
      <c r="D489" s="475"/>
      <c r="E489" s="475"/>
      <c r="F489" s="475"/>
    </row>
    <row r="490" spans="1:6" ht="14.4" customHeight="1">
      <c r="A490" s="176"/>
      <c r="B490" s="468" t="s">
        <v>307</v>
      </c>
      <c r="C490" s="175"/>
      <c r="D490" s="1301" t="s">
        <v>1114</v>
      </c>
      <c r="E490" s="1301"/>
      <c r="F490" s="1301"/>
    </row>
    <row r="491" spans="1:6">
      <c r="A491" s="175"/>
      <c r="B491" s="175"/>
      <c r="C491" s="175"/>
      <c r="D491" s="1301"/>
      <c r="E491" s="1301"/>
      <c r="F491" s="1301"/>
    </row>
    <row r="492" spans="1:6">
      <c r="A492" s="175"/>
      <c r="B492" s="175"/>
      <c r="C492" s="175"/>
      <c r="D492" s="1301"/>
      <c r="E492" s="1301"/>
      <c r="F492" s="1301"/>
    </row>
    <row r="493" spans="1:6">
      <c r="A493" s="175"/>
      <c r="B493" s="175"/>
      <c r="C493" s="175"/>
      <c r="D493" s="1301"/>
      <c r="E493" s="1301"/>
      <c r="F493" s="1301"/>
    </row>
    <row r="494" spans="1:6">
      <c r="A494" s="175"/>
      <c r="B494" s="175"/>
      <c r="C494" s="175"/>
      <c r="D494" s="1301"/>
      <c r="E494" s="1301"/>
      <c r="F494" s="1301"/>
    </row>
    <row r="495" spans="1:6">
      <c r="A495" s="175"/>
      <c r="B495" s="175"/>
      <c r="C495" s="175"/>
      <c r="D495" s="1301"/>
      <c r="E495" s="1301"/>
      <c r="F495" s="1301"/>
    </row>
    <row r="496" spans="1:6">
      <c r="A496" s="175"/>
      <c r="B496" s="175"/>
      <c r="C496" s="175"/>
      <c r="D496" s="1301"/>
      <c r="E496" s="1301"/>
      <c r="F496" s="1301"/>
    </row>
    <row r="497" spans="1:7">
      <c r="A497" s="175"/>
      <c r="B497" s="175"/>
      <c r="C497" s="175"/>
      <c r="D497" s="1301"/>
      <c r="E497" s="1301"/>
      <c r="F497" s="1301"/>
    </row>
    <row r="498" spans="1:7">
      <c r="A498" s="175"/>
      <c r="B498" s="175"/>
      <c r="C498" s="175"/>
      <c r="D498" s="1301"/>
      <c r="E498" s="1301"/>
      <c r="F498" s="1301"/>
    </row>
    <row r="499" spans="1:7">
      <c r="A499" s="175"/>
      <c r="B499" s="175"/>
      <c r="C499" s="175"/>
      <c r="D499" s="220"/>
      <c r="F499" s="35"/>
    </row>
    <row r="500" spans="1:7" ht="13.2" customHeight="1">
      <c r="A500" s="175"/>
      <c r="B500" s="468" t="s">
        <v>307</v>
      </c>
      <c r="C500" s="175"/>
      <c r="D500" s="1268" t="s">
        <v>1258</v>
      </c>
      <c r="E500" s="1268"/>
      <c r="F500" s="1268"/>
    </row>
    <row r="501" spans="1:7">
      <c r="A501" s="175"/>
      <c r="B501" s="175"/>
      <c r="C501" s="175"/>
      <c r="D501" s="1268"/>
      <c r="E501" s="1268"/>
      <c r="F501" s="1268"/>
    </row>
    <row r="502" spans="1:7">
      <c r="A502" s="175"/>
      <c r="B502" s="175"/>
      <c r="C502" s="175"/>
      <c r="D502" s="1268"/>
      <c r="E502" s="1268"/>
      <c r="F502" s="1268"/>
    </row>
    <row r="503" spans="1:7">
      <c r="A503" s="175"/>
      <c r="B503" s="175"/>
      <c r="C503" s="175"/>
      <c r="D503" s="1268"/>
      <c r="E503" s="1268"/>
      <c r="F503" s="1268"/>
    </row>
    <row r="504" spans="1:7">
      <c r="A504" s="175"/>
      <c r="B504" s="175"/>
      <c r="C504" s="175"/>
      <c r="D504" s="1268"/>
      <c r="E504" s="1268"/>
      <c r="F504" s="1268"/>
    </row>
    <row r="505" spans="1:7">
      <c r="A505" s="175"/>
      <c r="B505" s="175"/>
      <c r="C505" s="175"/>
      <c r="D505" s="485"/>
      <c r="E505" s="485"/>
      <c r="F505" s="485"/>
    </row>
    <row r="506" spans="1:7" ht="14.4" customHeight="1">
      <c r="A506" s="176"/>
      <c r="B506" s="468" t="s">
        <v>307</v>
      </c>
      <c r="D506" s="1301" t="s">
        <v>1116</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c r="A510" s="1286" t="s">
        <v>1079</v>
      </c>
      <c r="B510" s="1286"/>
      <c r="C510" s="1286"/>
      <c r="D510" s="1286"/>
      <c r="E510" s="1286"/>
      <c r="F510" s="1286"/>
      <c r="G510" s="1286"/>
    </row>
    <row r="511" spans="1:7">
      <c r="A511" s="35"/>
      <c r="B511" s="35"/>
      <c r="C511" s="179"/>
      <c r="F511" s="57"/>
    </row>
    <row r="512" spans="1:7">
      <c r="B512" s="1283" t="s">
        <v>447</v>
      </c>
      <c r="C512" s="1283"/>
      <c r="D512" s="1283"/>
      <c r="E512" s="1283"/>
      <c r="F512" s="1283"/>
    </row>
    <row r="513" spans="1:7">
      <c r="A513" s="35"/>
      <c r="B513" s="35"/>
      <c r="C513" s="179"/>
      <c r="D513" s="35"/>
      <c r="F513" s="35"/>
    </row>
    <row r="514" spans="1:7">
      <c r="A514" s="1287" t="s">
        <v>1080</v>
      </c>
      <c r="B514" s="1287"/>
      <c r="C514" s="1287"/>
      <c r="D514" s="1287"/>
      <c r="E514" s="1287"/>
      <c r="F514" s="1287"/>
      <c r="G514" s="1287"/>
    </row>
    <row r="515" spans="1:7">
      <c r="A515" s="35"/>
      <c r="B515" s="35"/>
      <c r="C515" s="179"/>
      <c r="D515" s="35"/>
      <c r="F515" s="35"/>
    </row>
    <row r="516" spans="1:7">
      <c r="C516" s="179"/>
      <c r="D516" s="1284" t="s">
        <v>690</v>
      </c>
      <c r="E516" s="1284"/>
      <c r="F516" s="1284"/>
    </row>
    <row r="517" spans="1:7">
      <c r="C517" s="179"/>
      <c r="D517" s="1285" t="s">
        <v>1137</v>
      </c>
      <c r="E517" s="1285"/>
      <c r="F517" s="1285"/>
    </row>
    <row r="518" spans="1:7">
      <c r="C518" s="179"/>
      <c r="D518" s="118"/>
      <c r="E518" s="118"/>
      <c r="F518" s="118"/>
    </row>
    <row r="519" spans="1:7" ht="13.2" customHeight="1">
      <c r="A519" s="176"/>
      <c r="B519" s="468" t="s">
        <v>307</v>
      </c>
      <c r="C519" s="179"/>
      <c r="D519" s="1285" t="s">
        <v>895</v>
      </c>
      <c r="E519" s="1285"/>
      <c r="F519" s="1285"/>
      <c r="G519"/>
    </row>
    <row r="520" spans="1:7" ht="13.2" customHeight="1">
      <c r="A520" s="179"/>
      <c r="B520" s="179"/>
      <c r="C520" s="179"/>
      <c r="D520" s="118"/>
      <c r="E520"/>
      <c r="F520"/>
      <c r="G520"/>
    </row>
    <row r="521" spans="1:7" ht="14.4">
      <c r="A521" s="176"/>
      <c r="B521" s="468" t="s">
        <v>307</v>
      </c>
      <c r="C521" s="179"/>
      <c r="D521" s="1265" t="s">
        <v>1138</v>
      </c>
      <c r="E521" s="1265"/>
      <c r="F521" s="1265"/>
      <c r="G521"/>
    </row>
    <row r="522" spans="1:7">
      <c r="A522" s="179"/>
      <c r="B522" s="179"/>
      <c r="C522" s="179"/>
      <c r="D522" s="1265"/>
      <c r="E522" s="1265"/>
      <c r="F522" s="1265"/>
      <c r="G522"/>
    </row>
    <row r="523" spans="1:7">
      <c r="A523" s="179"/>
      <c r="B523" s="179"/>
      <c r="C523" s="179"/>
      <c r="D523" s="35"/>
      <c r="E523" s="35"/>
      <c r="F523" s="35"/>
      <c r="G523"/>
    </row>
    <row r="524" spans="1:7" ht="14.4">
      <c r="A524" s="176"/>
      <c r="B524" s="468" t="s">
        <v>307</v>
      </c>
      <c r="C524" s="179"/>
      <c r="D524" s="1265" t="s">
        <v>1139</v>
      </c>
      <c r="E524" s="1265"/>
      <c r="F524" s="1265"/>
      <c r="G524"/>
    </row>
    <row r="525" spans="1:7">
      <c r="A525" s="179"/>
      <c r="B525" s="179"/>
      <c r="C525" s="179"/>
      <c r="D525" s="1265"/>
      <c r="E525" s="1265"/>
      <c r="F525" s="1265"/>
      <c r="G525"/>
    </row>
    <row r="526" spans="1:7">
      <c r="A526" s="179"/>
      <c r="B526" s="179"/>
      <c r="C526" s="179"/>
      <c r="D526" s="35"/>
      <c r="E526" s="35"/>
      <c r="F526" s="35"/>
      <c r="G526"/>
    </row>
    <row r="527" spans="1:7" ht="14.4">
      <c r="A527" s="176"/>
      <c r="B527" s="468" t="s">
        <v>307</v>
      </c>
      <c r="C527" s="179"/>
      <c r="D527" s="1265" t="s">
        <v>1140</v>
      </c>
      <c r="E527" s="1265"/>
      <c r="F527" s="1265"/>
      <c r="G527"/>
    </row>
    <row r="528" spans="1:7">
      <c r="A528" s="179"/>
      <c r="B528" s="179"/>
      <c r="C528" s="179"/>
      <c r="D528" s="1265"/>
      <c r="E528" s="1265"/>
      <c r="F528" s="1265"/>
      <c r="G528"/>
    </row>
    <row r="529" spans="1:7">
      <c r="A529" s="179"/>
      <c r="B529" s="179"/>
      <c r="C529" s="179"/>
      <c r="D529" s="35"/>
      <c r="E529" s="35"/>
      <c r="F529" s="35"/>
      <c r="G529"/>
    </row>
    <row r="530" spans="1:7" ht="14.4">
      <c r="A530" s="176"/>
      <c r="B530" s="468" t="s">
        <v>307</v>
      </c>
      <c r="C530" s="179"/>
      <c r="D530" s="1265" t="s">
        <v>1141</v>
      </c>
      <c r="E530" s="1265"/>
      <c r="F530" s="1265"/>
      <c r="G530"/>
    </row>
    <row r="531" spans="1:7">
      <c r="A531" s="179"/>
      <c r="B531" s="179"/>
      <c r="C531" s="179"/>
      <c r="D531" s="1265"/>
      <c r="E531" s="1265"/>
      <c r="F531" s="1265"/>
      <c r="G531"/>
    </row>
    <row r="532" spans="1:7">
      <c r="A532" s="179"/>
      <c r="B532" s="179"/>
      <c r="C532" s="179"/>
      <c r="D532" s="1265"/>
      <c r="E532" s="1265"/>
      <c r="F532" s="1265"/>
      <c r="G532"/>
    </row>
    <row r="533" spans="1:7">
      <c r="A533" s="179"/>
      <c r="B533" s="179"/>
      <c r="C533" s="179"/>
      <c r="D533" s="35"/>
      <c r="E533" s="35"/>
      <c r="F533" s="35"/>
    </row>
    <row r="534" spans="1:7" ht="14.4">
      <c r="A534" s="176"/>
      <c r="B534" s="468" t="s">
        <v>307</v>
      </c>
      <c r="C534" s="179"/>
      <c r="D534" s="1265" t="s">
        <v>1259</v>
      </c>
      <c r="E534" s="1265"/>
      <c r="F534" s="1265"/>
    </row>
    <row r="535" spans="1:7">
      <c r="A535" s="179"/>
      <c r="B535" s="179"/>
      <c r="C535" s="179"/>
      <c r="D535" s="1265"/>
      <c r="E535" s="1265"/>
      <c r="F535" s="1265"/>
    </row>
    <row r="536" spans="1:7">
      <c r="A536" s="179"/>
      <c r="B536" s="179"/>
      <c r="C536" s="179"/>
      <c r="D536" s="35"/>
      <c r="E536" s="35"/>
      <c r="F536" s="35"/>
    </row>
    <row r="537" spans="1:7" ht="14.4">
      <c r="A537" s="176"/>
      <c r="B537" s="468" t="s">
        <v>307</v>
      </c>
      <c r="C537" s="179"/>
      <c r="D537" s="1265" t="s">
        <v>1142</v>
      </c>
      <c r="E537" s="1265"/>
      <c r="F537" s="1265"/>
    </row>
    <row r="538" spans="1:7">
      <c r="A538" s="179"/>
      <c r="B538" s="179"/>
      <c r="C538" s="179"/>
      <c r="D538" s="1265"/>
      <c r="E538" s="1265"/>
      <c r="F538" s="1265"/>
    </row>
    <row r="539" spans="1:7">
      <c r="A539" s="179"/>
      <c r="B539" s="179"/>
      <c r="C539" s="179"/>
      <c r="D539" s="35"/>
      <c r="E539" s="35"/>
      <c r="F539" s="35"/>
    </row>
    <row r="540" spans="1:7" ht="14.4">
      <c r="A540" s="176"/>
      <c r="B540" s="468" t="s">
        <v>307</v>
      </c>
      <c r="C540" s="179"/>
      <c r="D540" s="1265" t="s">
        <v>1143</v>
      </c>
      <c r="E540" s="1265"/>
      <c r="F540" s="1265"/>
    </row>
    <row r="541" spans="1:7">
      <c r="A541" s="179"/>
      <c r="B541" s="179"/>
      <c r="C541" s="179"/>
      <c r="D541" s="1265"/>
      <c r="E541" s="1265"/>
      <c r="F541" s="1265"/>
    </row>
    <row r="542" spans="1:7">
      <c r="A542" s="179"/>
      <c r="B542" s="179"/>
      <c r="C542" s="179"/>
      <c r="D542" s="35"/>
      <c r="E542" s="35"/>
      <c r="F542" s="35"/>
    </row>
    <row r="543" spans="1:7" ht="14.4">
      <c r="A543" s="176"/>
      <c r="B543" s="468" t="s">
        <v>307</v>
      </c>
      <c r="C543" s="179"/>
      <c r="D543" s="1285" t="s">
        <v>1144</v>
      </c>
      <c r="E543" s="1285"/>
      <c r="F543" s="1285"/>
    </row>
    <row r="544" spans="1:7">
      <c r="A544" s="13"/>
      <c r="B544" s="13"/>
      <c r="C544" s="179"/>
      <c r="D544" s="1285" t="s">
        <v>828</v>
      </c>
      <c r="E544" s="1285"/>
      <c r="F544" s="1285"/>
    </row>
    <row r="545" spans="1:7">
      <c r="A545" s="13"/>
      <c r="B545" s="13"/>
      <c r="C545" s="179"/>
      <c r="D545" s="3"/>
      <c r="E545" s="1290" t="s">
        <v>1145</v>
      </c>
      <c r="F545" s="1290"/>
    </row>
    <row r="546" spans="1:7" ht="14.4">
      <c r="A546" s="176"/>
      <c r="B546" s="176"/>
      <c r="C546" s="179"/>
      <c r="E546" s="35"/>
      <c r="F546" s="35"/>
    </row>
    <row r="547" spans="1:7" ht="14.4">
      <c r="A547" s="176"/>
      <c r="B547" s="468" t="s">
        <v>307</v>
      </c>
      <c r="C547" s="179"/>
      <c r="D547" s="1285" t="s">
        <v>1146</v>
      </c>
      <c r="E547" s="1285"/>
      <c r="F547" s="1285"/>
    </row>
    <row r="548" spans="1:7">
      <c r="C548" s="179"/>
      <c r="D548" s="1265" t="s">
        <v>1147</v>
      </c>
      <c r="E548" s="1265"/>
      <c r="F548" s="1265"/>
    </row>
    <row r="549" spans="1:7">
      <c r="A549" s="179"/>
      <c r="B549" s="179"/>
      <c r="C549" s="179"/>
      <c r="D549" s="1265"/>
      <c r="E549" s="1265"/>
      <c r="F549" s="1265"/>
    </row>
    <row r="550" spans="1:7">
      <c r="A550" s="179"/>
      <c r="B550" s="179"/>
      <c r="C550" s="179"/>
      <c r="D550" s="1265"/>
      <c r="E550" s="1265"/>
      <c r="F550" s="1265"/>
    </row>
    <row r="551" spans="1:7">
      <c r="A551" s="179"/>
      <c r="B551" s="179"/>
      <c r="C551" s="179"/>
      <c r="D551" s="35"/>
      <c r="E551" s="35"/>
      <c r="F551" s="35"/>
    </row>
    <row r="552" spans="1:7" ht="14.4">
      <c r="A552" s="176"/>
      <c r="B552" s="468" t="s">
        <v>307</v>
      </c>
      <c r="C552" s="179"/>
      <c r="D552" s="1265" t="s">
        <v>1148</v>
      </c>
      <c r="E552" s="1265"/>
      <c r="F552" s="1265"/>
    </row>
    <row r="553" spans="1:7" ht="14.4">
      <c r="A553" s="176"/>
      <c r="B553" s="176"/>
      <c r="C553" s="179"/>
      <c r="D553" s="1265"/>
      <c r="E553" s="1265"/>
      <c r="F553" s="1265"/>
    </row>
    <row r="554" spans="1:7" ht="14.4">
      <c r="A554" s="176"/>
      <c r="B554" s="176"/>
      <c r="C554" s="179"/>
      <c r="D554" s="1265"/>
      <c r="E554" s="1265"/>
      <c r="F554" s="1265"/>
    </row>
    <row r="555" spans="1:7" ht="14.4">
      <c r="A555" s="176"/>
      <c r="B555" s="176"/>
      <c r="C555" s="179"/>
      <c r="D555" s="1265"/>
      <c r="E555" s="1265"/>
      <c r="F555" s="1265"/>
    </row>
    <row r="556" spans="1:7" ht="14.4">
      <c r="A556" s="176"/>
      <c r="B556" s="176"/>
      <c r="C556" s="179"/>
      <c r="D556" s="35"/>
      <c r="E556" s="35"/>
      <c r="F556" s="35"/>
    </row>
    <row r="557" spans="1:7">
      <c r="A557" s="1286" t="s">
        <v>1081</v>
      </c>
      <c r="B557" s="1286"/>
      <c r="C557" s="1286"/>
      <c r="D557" s="1286"/>
      <c r="E557" s="1286"/>
      <c r="F557" s="1286"/>
      <c r="G557" s="1286"/>
    </row>
    <row r="558" spans="1:7">
      <c r="A558" s="179"/>
      <c r="B558" s="179"/>
      <c r="C558" s="179"/>
      <c r="E558" s="35"/>
      <c r="F558" s="35"/>
    </row>
    <row r="559" spans="1:7" ht="12.75" customHeight="1">
      <c r="C559" s="172"/>
      <c r="D559" s="1297" t="s">
        <v>210</v>
      </c>
      <c r="E559" s="1297"/>
      <c r="F559" s="1297"/>
    </row>
    <row r="560" spans="1:7">
      <c r="A560" s="175"/>
      <c r="B560" s="175"/>
      <c r="C560" s="175"/>
      <c r="D560" s="1302" t="s">
        <v>1097</v>
      </c>
      <c r="E560" s="1302"/>
      <c r="F560" s="1302"/>
    </row>
    <row r="561" spans="1:6">
      <c r="A561"/>
      <c r="B561"/>
      <c r="C561" s="175"/>
      <c r="D561" s="255"/>
    </row>
    <row r="562" spans="1:6">
      <c r="A562" s="175"/>
      <c r="B562" s="468" t="s">
        <v>307</v>
      </c>
      <c r="D562" s="1302" t="s">
        <v>901</v>
      </c>
      <c r="E562" s="1302"/>
      <c r="F562" s="1302"/>
    </row>
    <row r="563" spans="1:6">
      <c r="A563" s="13"/>
      <c r="B563" s="13"/>
      <c r="D563" s="218"/>
    </row>
    <row r="564" spans="1:6">
      <c r="A564" s="13"/>
      <c r="B564" s="468" t="s">
        <v>307</v>
      </c>
      <c r="D564" s="1302" t="s">
        <v>1098</v>
      </c>
      <c r="E564" s="1302"/>
      <c r="F564" s="1302"/>
    </row>
    <row r="565" spans="1:6">
      <c r="A565" s="13"/>
      <c r="B565" s="13"/>
      <c r="D565" s="1302"/>
      <c r="E565" s="1302"/>
      <c r="F565" s="1302"/>
    </row>
    <row r="566" spans="1:6">
      <c r="A566" s="13"/>
      <c r="B566" s="13"/>
      <c r="D566" s="1302"/>
      <c r="E566" s="1302"/>
      <c r="F566" s="1302"/>
    </row>
    <row r="567" spans="1:6">
      <c r="A567" s="13"/>
      <c r="B567" s="13"/>
      <c r="D567" s="255"/>
    </row>
    <row r="568" spans="1:6">
      <c r="A568" s="13"/>
      <c r="B568" s="468" t="s">
        <v>307</v>
      </c>
      <c r="D568" s="1302" t="s">
        <v>1099</v>
      </c>
      <c r="E568" s="1302"/>
      <c r="F568" s="1302"/>
    </row>
    <row r="569" spans="1:6">
      <c r="A569" s="13"/>
      <c r="B569" s="13"/>
      <c r="D569" s="1302"/>
      <c r="E569" s="1302"/>
      <c r="F569" s="1302"/>
    </row>
    <row r="570" spans="1:6">
      <c r="A570" s="13"/>
      <c r="B570" s="13"/>
      <c r="D570" s="1302"/>
      <c r="E570" s="1302"/>
      <c r="F570" s="1302"/>
    </row>
    <row r="571" spans="1:6">
      <c r="A571" s="13"/>
      <c r="B571" s="13"/>
      <c r="D571" s="1302"/>
      <c r="E571" s="1302"/>
      <c r="F571" s="1302"/>
    </row>
    <row r="572" spans="1:6">
      <c r="A572" s="13"/>
      <c r="B572" s="13"/>
      <c r="D572" s="473"/>
      <c r="E572" s="473"/>
      <c r="F572" s="473"/>
    </row>
    <row r="573" spans="1:6">
      <c r="A573" s="13"/>
      <c r="B573" s="468" t="s">
        <v>307</v>
      </c>
      <c r="D573" s="1302" t="s">
        <v>1100</v>
      </c>
      <c r="E573" s="1302"/>
      <c r="F573" s="1302"/>
    </row>
    <row r="574" spans="1:6">
      <c r="A574" s="13"/>
      <c r="B574" s="13"/>
      <c r="D574" s="1302"/>
      <c r="E574" s="1302"/>
      <c r="F574" s="1302"/>
    </row>
    <row r="575" spans="1:6">
      <c r="A575" s="13"/>
      <c r="B575" s="13"/>
      <c r="D575" s="255"/>
    </row>
    <row r="576" spans="1:6">
      <c r="A576" s="13"/>
      <c r="B576" s="468" t="s">
        <v>307</v>
      </c>
      <c r="D576" s="1302" t="s">
        <v>1101</v>
      </c>
      <c r="E576" s="1302"/>
      <c r="F576" s="1302"/>
    </row>
    <row r="577" spans="1:7">
      <c r="A577" s="13"/>
      <c r="B577" s="13"/>
      <c r="D577" s="1302"/>
      <c r="E577" s="1302"/>
      <c r="F577" s="1302"/>
    </row>
    <row r="578" spans="1:7">
      <c r="A578" s="13"/>
      <c r="B578" s="13"/>
      <c r="D578" s="255"/>
    </row>
    <row r="579" spans="1:7" ht="14.4">
      <c r="A579" s="176"/>
      <c r="B579" s="468" t="s">
        <v>307</v>
      </c>
      <c r="D579" s="1302" t="s">
        <v>896</v>
      </c>
      <c r="E579" s="1302"/>
      <c r="F579" s="1302"/>
    </row>
    <row r="580" spans="1:7" ht="14.4">
      <c r="A580" s="176"/>
      <c r="B580" s="176"/>
      <c r="D580" s="255"/>
    </row>
    <row r="581" spans="1:7" ht="14.4">
      <c r="A581" s="176"/>
      <c r="B581" s="468" t="s">
        <v>307</v>
      </c>
      <c r="D581" s="1302" t="s">
        <v>1102</v>
      </c>
      <c r="E581" s="1302"/>
      <c r="F581" s="1302"/>
    </row>
    <row r="582" spans="1:7" ht="14.4">
      <c r="A582" s="176"/>
      <c r="B582" s="176"/>
      <c r="D582" s="1302"/>
      <c r="E582" s="1302"/>
      <c r="F582" s="1302"/>
    </row>
    <row r="583" spans="1:7">
      <c r="D583" s="1302"/>
      <c r="E583" s="1302"/>
      <c r="F583" s="1302"/>
    </row>
    <row r="584" spans="1:7">
      <c r="D584" s="1302"/>
      <c r="E584" s="1302"/>
      <c r="F584" s="1302"/>
    </row>
    <row r="585" spans="1:7">
      <c r="D585" s="1302"/>
      <c r="E585" s="1302"/>
      <c r="F585" s="1302"/>
    </row>
    <row r="586" spans="1:7">
      <c r="D586" s="1302"/>
      <c r="E586" s="1302"/>
      <c r="F586" s="1302"/>
    </row>
    <row r="587" spans="1:7"/>
    <row r="588" spans="1:7">
      <c r="A588" s="1286" t="s">
        <v>1082</v>
      </c>
      <c r="B588" s="1286"/>
      <c r="C588" s="1286"/>
      <c r="D588" s="1286"/>
      <c r="E588" s="1286"/>
      <c r="F588" s="1286"/>
      <c r="G588" s="1286"/>
    </row>
    <row r="589" spans="1:7"/>
    <row r="590" spans="1:7">
      <c r="D590" s="1278" t="s">
        <v>1182</v>
      </c>
      <c r="E590" s="1278"/>
      <c r="F590" s="1278"/>
    </row>
    <row r="591" spans="1:7">
      <c r="D591" s="1279" t="s">
        <v>1183</v>
      </c>
      <c r="E591" s="1279"/>
      <c r="F591" s="1279"/>
    </row>
    <row r="592" spans="1:7">
      <c r="D592" s="478"/>
      <c r="E592" s="433"/>
      <c r="F592" s="433"/>
    </row>
    <row r="593" spans="1:7" ht="14.4">
      <c r="A593" s="176"/>
      <c r="B593" s="468" t="s">
        <v>307</v>
      </c>
      <c r="D593" s="1280" t="s">
        <v>1184</v>
      </c>
      <c r="E593" s="1280"/>
      <c r="F593" s="1280"/>
    </row>
    <row r="594" spans="1:7">
      <c r="D594" s="1280"/>
      <c r="E594" s="1280"/>
      <c r="F594" s="1280"/>
    </row>
    <row r="595" spans="1:7">
      <c r="D595" s="1280"/>
      <c r="E595" s="1280"/>
      <c r="F595" s="1280"/>
    </row>
    <row r="596" spans="1:7"/>
    <row r="597" spans="1:7">
      <c r="A597" s="1286" t="s">
        <v>1083</v>
      </c>
      <c r="B597" s="1286"/>
      <c r="C597" s="1286"/>
      <c r="D597" s="1286"/>
      <c r="E597" s="1286"/>
      <c r="F597" s="1286"/>
      <c r="G597" s="1286"/>
    </row>
    <row r="598" spans="1:7">
      <c r="A598" s="35"/>
      <c r="B598" s="35"/>
    </row>
    <row r="599" spans="1:7">
      <c r="A599" s="172"/>
      <c r="B599" s="172"/>
      <c r="C599" s="172"/>
      <c r="D599" s="1281" t="s">
        <v>1185</v>
      </c>
      <c r="E599" s="1281"/>
      <c r="F599" s="1281"/>
    </row>
    <row r="600" spans="1:7">
      <c r="A600" s="172"/>
      <c r="B600" s="172"/>
      <c r="C600" s="172"/>
      <c r="D600" s="1281"/>
      <c r="E600" s="1281"/>
      <c r="F600" s="1281"/>
    </row>
    <row r="601" spans="1:7">
      <c r="C601" s="175"/>
      <c r="D601" s="1279" t="s">
        <v>1186</v>
      </c>
      <c r="E601" s="1279"/>
      <c r="F601" s="1279"/>
    </row>
    <row r="602" spans="1:7">
      <c r="C602" s="175"/>
      <c r="D602" s="478"/>
      <c r="E602" s="478"/>
      <c r="F602" s="478"/>
    </row>
    <row r="603" spans="1:7">
      <c r="A603" s="13"/>
      <c r="B603" s="468" t="s">
        <v>307</v>
      </c>
      <c r="D603" s="1279" t="s">
        <v>432</v>
      </c>
      <c r="E603" s="1279"/>
      <c r="F603" s="1279"/>
    </row>
    <row r="604" spans="1:7">
      <c r="C604" s="180"/>
      <c r="E604"/>
    </row>
    <row r="605" spans="1:7">
      <c r="A605" s="13"/>
      <c r="B605" s="468" t="s">
        <v>307</v>
      </c>
      <c r="D605" s="1282" t="s">
        <v>1187</v>
      </c>
      <c r="E605" s="1282"/>
      <c r="F605" s="1282"/>
    </row>
    <row r="606" spans="1:7">
      <c r="D606" s="1282"/>
      <c r="E606" s="1282"/>
      <c r="F606" s="1282"/>
    </row>
    <row r="607" spans="1:7">
      <c r="D607"/>
    </row>
    <row r="608" spans="1:7">
      <c r="B608" s="468" t="s">
        <v>307</v>
      </c>
      <c r="D608" s="1282" t="s">
        <v>1188</v>
      </c>
      <c r="E608" s="1282"/>
      <c r="F608" s="1282"/>
    </row>
    <row r="609" spans="1:7">
      <c r="C609" s="180"/>
      <c r="D609" s="1282"/>
      <c r="E609" s="1282"/>
      <c r="F609" s="1282"/>
    </row>
    <row r="610" spans="1:7">
      <c r="C610" s="180"/>
    </row>
    <row r="611" spans="1:7">
      <c r="B611" s="468" t="s">
        <v>307</v>
      </c>
      <c r="C611" s="180"/>
      <c r="D611" s="1282" t="s">
        <v>1189</v>
      </c>
      <c r="E611" s="1282"/>
      <c r="F611" s="1282"/>
    </row>
    <row r="612" spans="1:7">
      <c r="C612" s="180"/>
      <c r="D612" s="1282"/>
      <c r="E612" s="1282"/>
      <c r="F612" s="1282"/>
    </row>
    <row r="613" spans="1:7">
      <c r="C613" s="180"/>
    </row>
    <row r="614" spans="1:7">
      <c r="A614" s="1286" t="s">
        <v>1084</v>
      </c>
      <c r="B614" s="1286"/>
      <c r="C614" s="1286"/>
      <c r="D614" s="1286"/>
      <c r="E614" s="1286"/>
      <c r="F614" s="1286"/>
      <c r="G614" s="1286"/>
    </row>
    <row r="615" spans="1:7">
      <c r="A615" s="172"/>
      <c r="B615" s="172"/>
      <c r="C615" s="172"/>
    </row>
    <row r="616" spans="1:7">
      <c r="C616" s="13"/>
      <c r="D616" s="1278" t="s">
        <v>1190</v>
      </c>
      <c r="E616" s="1278"/>
      <c r="F616" s="1278"/>
    </row>
    <row r="617" spans="1:7">
      <c r="A617" s="13"/>
      <c r="B617" s="13"/>
      <c r="D617" s="2"/>
    </row>
    <row r="618" spans="1:7" ht="14.4">
      <c r="A618" s="176"/>
      <c r="B618" s="468" t="s">
        <v>307</v>
      </c>
      <c r="D618" s="1280" t="s">
        <v>1191</v>
      </c>
      <c r="E618" s="1280"/>
      <c r="F618" s="1280"/>
    </row>
    <row r="619" spans="1:7">
      <c r="D619" s="1280"/>
      <c r="E619" s="1280"/>
      <c r="F619" s="1280"/>
    </row>
    <row r="620" spans="1:7">
      <c r="D620" s="1280"/>
      <c r="E620" s="1280"/>
      <c r="F620" s="1280"/>
    </row>
    <row r="621" spans="1:7">
      <c r="D621" s="1280"/>
      <c r="E621" s="1280"/>
      <c r="F621" s="1280"/>
    </row>
    <row r="622" spans="1:7">
      <c r="D622" s="1280"/>
      <c r="E622" s="1280"/>
      <c r="F622" s="1280"/>
    </row>
    <row r="623" spans="1:7">
      <c r="D623" s="1280"/>
      <c r="E623" s="1280"/>
      <c r="F623" s="1280"/>
    </row>
    <row r="624" spans="1:7">
      <c r="D624" s="479"/>
      <c r="E624" s="479"/>
      <c r="F624" s="479"/>
    </row>
    <row r="625" spans="1:7" ht="14.4">
      <c r="A625" s="176"/>
      <c r="B625" s="468" t="s">
        <v>307</v>
      </c>
      <c r="D625" s="1280" t="s">
        <v>1192</v>
      </c>
      <c r="E625" s="1280"/>
      <c r="F625" s="1280"/>
    </row>
    <row r="626" spans="1:7">
      <c r="A626" s="179"/>
      <c r="B626" s="179"/>
      <c r="C626" s="179"/>
      <c r="D626" s="1280"/>
      <c r="E626" s="1280"/>
      <c r="F626" s="1280"/>
    </row>
    <row r="627" spans="1:7">
      <c r="A627" s="179"/>
      <c r="B627" s="179"/>
      <c r="C627" s="179"/>
      <c r="D627" s="35"/>
      <c r="E627" s="35"/>
      <c r="F627" s="35"/>
    </row>
    <row r="628" spans="1:7" ht="14.4">
      <c r="A628" s="176"/>
      <c r="B628" s="468" t="s">
        <v>307</v>
      </c>
      <c r="C628" s="179"/>
      <c r="D628" s="1280" t="s">
        <v>1193</v>
      </c>
      <c r="E628" s="1280"/>
      <c r="F628" s="1280"/>
    </row>
    <row r="629" spans="1:7" ht="14.4">
      <c r="A629" s="176"/>
      <c r="B629" s="176"/>
      <c r="C629" s="179"/>
      <c r="D629" s="1280"/>
      <c r="E629" s="1280"/>
      <c r="F629" s="1280"/>
    </row>
    <row r="630" spans="1:7" ht="14.4">
      <c r="A630" s="176"/>
      <c r="B630" s="176"/>
      <c r="C630" s="179"/>
      <c r="D630" s="1280"/>
      <c r="E630" s="1280"/>
      <c r="F630" s="1280"/>
    </row>
    <row r="631" spans="1:7">
      <c r="A631" s="179"/>
      <c r="B631" s="179"/>
      <c r="C631" s="179"/>
      <c r="D631" s="1280"/>
      <c r="E631" s="1280"/>
      <c r="F631" s="1280"/>
    </row>
    <row r="632" spans="1:7">
      <c r="A632" s="179"/>
      <c r="B632" s="179"/>
      <c r="C632" s="179"/>
      <c r="D632" s="479"/>
      <c r="E632" s="479"/>
      <c r="F632" s="479"/>
    </row>
    <row r="633" spans="1:7">
      <c r="A633" s="179"/>
      <c r="B633" s="468" t="s">
        <v>307</v>
      </c>
      <c r="C633" s="179"/>
      <c r="D633" s="1309" t="s">
        <v>1194</v>
      </c>
      <c r="E633" s="1309"/>
      <c r="F633" s="1309"/>
    </row>
    <row r="634" spans="1:7">
      <c r="A634" s="179"/>
      <c r="B634" s="179"/>
      <c r="C634" s="179"/>
      <c r="D634" s="480"/>
      <c r="E634" s="480"/>
      <c r="F634" s="480"/>
    </row>
    <row r="635" spans="1:7">
      <c r="A635" s="1286" t="s">
        <v>1085</v>
      </c>
      <c r="B635" s="1286"/>
      <c r="C635" s="1286"/>
      <c r="D635" s="1286"/>
      <c r="E635" s="1286"/>
      <c r="F635" s="1286"/>
      <c r="G635" s="1286"/>
    </row>
    <row r="636" spans="1:7">
      <c r="A636" s="35"/>
      <c r="B636" s="35"/>
      <c r="C636" s="179"/>
      <c r="D636" s="35"/>
      <c r="E636" s="35"/>
      <c r="F636" s="35"/>
    </row>
    <row r="637" spans="1:7">
      <c r="C637" s="172"/>
      <c r="D637" s="1284" t="s">
        <v>1244</v>
      </c>
      <c r="E637" s="1284"/>
      <c r="F637" s="1284"/>
    </row>
    <row r="638" spans="1:7">
      <c r="A638" s="175"/>
      <c r="B638" s="175"/>
      <c r="C638" s="175"/>
      <c r="D638" s="1285" t="s">
        <v>1245</v>
      </c>
      <c r="E638" s="1285"/>
      <c r="F638" s="1285"/>
    </row>
    <row r="639" spans="1:7">
      <c r="A639" s="175"/>
      <c r="B639" s="175"/>
      <c r="C639" s="175"/>
      <c r="D639" s="118"/>
      <c r="E639" s="118"/>
      <c r="F639" s="118"/>
    </row>
    <row r="640" spans="1:7" ht="14.4" customHeight="1">
      <c r="A640" s="176"/>
      <c r="B640" s="468" t="s">
        <v>307</v>
      </c>
      <c r="C640" s="179"/>
      <c r="D640" s="1265" t="s">
        <v>1246</v>
      </c>
      <c r="E640" s="1265"/>
      <c r="F640" s="1265"/>
    </row>
    <row r="641" spans="1:11" ht="14.4">
      <c r="A641" s="176"/>
      <c r="B641" s="176"/>
      <c r="C641" s="179"/>
      <c r="D641" s="1265"/>
      <c r="E641" s="1265"/>
      <c r="F641" s="1265"/>
    </row>
    <row r="642" spans="1:11" ht="14.4">
      <c r="A642" s="176"/>
      <c r="B642" s="176"/>
      <c r="C642" s="179"/>
      <c r="D642" s="1265"/>
      <c r="E642" s="1265"/>
      <c r="F642" s="1265"/>
    </row>
    <row r="643" spans="1:11" ht="14.4">
      <c r="A643" s="176"/>
      <c r="B643" s="176"/>
      <c r="C643" s="179"/>
      <c r="D643" s="1265"/>
      <c r="E643" s="1265"/>
      <c r="F643" s="1265"/>
    </row>
    <row r="644" spans="1:11" ht="14.4">
      <c r="A644" s="176"/>
      <c r="B644" s="176"/>
      <c r="C644" s="179"/>
      <c r="D644" s="1265"/>
      <c r="E644" s="1265"/>
      <c r="F644" s="1265"/>
    </row>
    <row r="645" spans="1:11" ht="14.4">
      <c r="A645" s="176"/>
      <c r="B645" s="176"/>
      <c r="C645" s="179"/>
      <c r="D645" s="474"/>
      <c r="E645" s="474"/>
      <c r="F645" s="474"/>
    </row>
    <row r="646" spans="1:11" ht="14.4">
      <c r="A646" s="176"/>
      <c r="B646" s="468" t="s">
        <v>307</v>
      </c>
      <c r="C646" s="179"/>
      <c r="D646" s="1299" t="s">
        <v>1096</v>
      </c>
      <c r="E646" s="1299"/>
      <c r="F646" s="1299"/>
    </row>
    <row r="647" spans="1:11" ht="14.4">
      <c r="A647" s="176"/>
      <c r="B647" s="176"/>
      <c r="C647" s="179"/>
      <c r="D647" s="1298" t="s">
        <v>1247</v>
      </c>
      <c r="E647" s="1298"/>
      <c r="F647" s="1298"/>
    </row>
    <row r="648" spans="1:11" ht="14.4">
      <c r="A648" s="176"/>
      <c r="B648" s="176"/>
      <c r="C648" s="179"/>
      <c r="D648" s="1298"/>
      <c r="E648" s="1298"/>
      <c r="F648" s="1298"/>
    </row>
    <row r="649" spans="1:11" ht="14.4">
      <c r="A649" s="176"/>
      <c r="B649" s="176"/>
      <c r="C649" s="179"/>
      <c r="D649" s="1298"/>
      <c r="E649" s="1298"/>
      <c r="F649" s="1298"/>
    </row>
    <row r="650" spans="1:11" ht="14.4">
      <c r="A650" s="176"/>
      <c r="B650" s="176"/>
      <c r="C650" s="179"/>
      <c r="D650" s="1298"/>
      <c r="E650" s="1298"/>
      <c r="F650" s="1298"/>
    </row>
    <row r="651" spans="1:11" ht="14.4">
      <c r="A651" s="176"/>
      <c r="B651" s="176"/>
      <c r="C651" s="179"/>
      <c r="D651" s="1298"/>
      <c r="E651" s="1298"/>
      <c r="F651" s="1298"/>
    </row>
    <row r="652" spans="1:11" ht="14.4">
      <c r="A652" s="176"/>
      <c r="B652" s="176"/>
      <c r="C652" s="179"/>
      <c r="D652" s="1300" t="s">
        <v>1248</v>
      </c>
      <c r="E652" s="1300"/>
      <c r="F652" s="1300"/>
    </row>
    <row r="653" spans="1:11">
      <c r="A653" s="179"/>
      <c r="B653" s="179"/>
      <c r="C653" s="179"/>
      <c r="D653" s="35"/>
      <c r="E653" s="35"/>
      <c r="F653" s="35"/>
    </row>
    <row r="654" spans="1:11">
      <c r="A654" s="1286" t="s">
        <v>1086</v>
      </c>
      <c r="B654" s="1286"/>
      <c r="C654" s="1286"/>
      <c r="D654" s="1286"/>
      <c r="E654" s="1286"/>
      <c r="F654" s="1286"/>
      <c r="G654" s="1286"/>
      <c r="H654" s="181"/>
      <c r="I654" s="181"/>
      <c r="J654" s="181"/>
      <c r="K654" s="181"/>
    </row>
    <row r="655" spans="1:11">
      <c r="A655" s="482"/>
      <c r="B655" s="482"/>
      <c r="C655" s="482"/>
      <c r="D655" s="482"/>
      <c r="E655" s="482"/>
      <c r="F655" s="482"/>
      <c r="G655" s="482"/>
      <c r="H655" s="181"/>
      <c r="I655" s="181"/>
      <c r="J655" s="181"/>
      <c r="K655" s="181"/>
    </row>
    <row r="656" spans="1:11">
      <c r="C656" s="172"/>
      <c r="D656" s="1284" t="s">
        <v>99</v>
      </c>
      <c r="E656" s="1284"/>
      <c r="F656" s="1284"/>
      <c r="H656" s="181"/>
      <c r="I656" s="181"/>
      <c r="J656" s="181"/>
      <c r="K656" s="181"/>
    </row>
    <row r="657" spans="1:11">
      <c r="A657" s="172"/>
      <c r="B657" s="172"/>
      <c r="C657" s="172"/>
      <c r="D657" s="1284" t="s">
        <v>123</v>
      </c>
      <c r="E657" s="1284"/>
      <c r="F657" s="1284"/>
      <c r="H657" s="181"/>
      <c r="I657" s="181"/>
      <c r="J657" s="181"/>
      <c r="K657" s="181"/>
    </row>
    <row r="658" spans="1:11">
      <c r="A658" s="175"/>
      <c r="B658" s="175"/>
      <c r="C658" s="175"/>
      <c r="D658" s="1285" t="s">
        <v>1122</v>
      </c>
      <c r="E658" s="1285"/>
      <c r="F658" s="1285"/>
      <c r="H658" s="181"/>
      <c r="I658" s="181"/>
      <c r="J658" s="181"/>
      <c r="K658" s="181"/>
    </row>
    <row r="659" spans="1:11">
      <c r="A659" s="175"/>
      <c r="B659" s="175"/>
      <c r="C659" s="175"/>
      <c r="H659" s="181"/>
      <c r="I659" s="181"/>
      <c r="J659" s="181"/>
      <c r="K659" s="181"/>
    </row>
    <row r="660" spans="1:11" ht="14.4">
      <c r="A660" s="176"/>
      <c r="B660" s="468" t="s">
        <v>307</v>
      </c>
      <c r="C660" s="175"/>
      <c r="D660" s="1285" t="s">
        <v>897</v>
      </c>
      <c r="E660" s="1285"/>
      <c r="F660" s="1285"/>
      <c r="H660" s="181"/>
      <c r="I660" s="181"/>
      <c r="J660" s="181"/>
      <c r="K660" s="181"/>
    </row>
    <row r="661" spans="1:11">
      <c r="A661" s="175"/>
      <c r="B661" s="175"/>
      <c r="C661" s="175"/>
      <c r="D661" s="1285" t="s">
        <v>907</v>
      </c>
      <c r="E661" s="1285"/>
      <c r="F661" s="1285"/>
      <c r="H661" s="181"/>
      <c r="I661" s="181"/>
      <c r="J661" s="181"/>
      <c r="K661" s="181"/>
    </row>
    <row r="662" spans="1:11">
      <c r="A662" s="175"/>
      <c r="B662" s="175"/>
      <c r="C662" s="175"/>
      <c r="D662" s="3"/>
      <c r="E662" s="1269" t="s">
        <v>1123</v>
      </c>
      <c r="F662" s="1269"/>
      <c r="H662" s="181"/>
      <c r="I662" s="181"/>
      <c r="J662" s="181"/>
      <c r="K662" s="181"/>
    </row>
    <row r="663" spans="1:11">
      <c r="A663" s="175"/>
      <c r="B663" s="175"/>
      <c r="C663" s="175"/>
      <c r="D663" s="3"/>
      <c r="E663" s="1269"/>
      <c r="F663" s="1269"/>
      <c r="H663" s="181"/>
      <c r="I663" s="181"/>
      <c r="J663" s="181"/>
      <c r="K663" s="181"/>
    </row>
    <row r="664" spans="1:11">
      <c r="A664" s="175"/>
      <c r="B664" s="175"/>
      <c r="C664" s="175"/>
      <c r="D664" s="182"/>
      <c r="E664" s="35"/>
      <c r="H664" s="181"/>
      <c r="I664" s="181"/>
      <c r="J664" s="181"/>
      <c r="K664" s="181"/>
    </row>
    <row r="665" spans="1:11" ht="14.4">
      <c r="A665" s="176"/>
      <c r="B665" s="468" t="s">
        <v>307</v>
      </c>
      <c r="C665" s="175"/>
      <c r="D665" s="1265" t="s">
        <v>1124</v>
      </c>
      <c r="E665" s="1265"/>
      <c r="F665" s="1265"/>
      <c r="H665" s="181"/>
      <c r="I665" s="181"/>
      <c r="J665" s="181"/>
      <c r="K665" s="181"/>
    </row>
    <row r="666" spans="1:11">
      <c r="A666" s="13"/>
      <c r="B666" s="13"/>
      <c r="C666" s="175"/>
      <c r="D666" s="1265"/>
      <c r="E666" s="1265"/>
      <c r="F666" s="1265"/>
      <c r="H666" s="181"/>
      <c r="I666" s="181"/>
      <c r="J666" s="181"/>
      <c r="K666" s="181"/>
    </row>
    <row r="667" spans="1:11">
      <c r="A667" s="175"/>
      <c r="B667" s="175"/>
      <c r="C667" s="175"/>
      <c r="D667" s="1265"/>
      <c r="E667" s="1265"/>
      <c r="F667" s="1265"/>
      <c r="H667" s="181"/>
      <c r="I667" s="181"/>
      <c r="J667" s="181"/>
      <c r="K667" s="181"/>
    </row>
    <row r="668" spans="1:11">
      <c r="A668" s="175"/>
      <c r="B668" s="175"/>
      <c r="C668" s="175"/>
      <c r="H668" s="181"/>
      <c r="I668" s="181"/>
      <c r="J668" s="181"/>
      <c r="K668" s="181"/>
    </row>
    <row r="669" spans="1:11" ht="14.4">
      <c r="A669" s="176"/>
      <c r="B669" s="468" t="s">
        <v>307</v>
      </c>
      <c r="C669" s="175"/>
      <c r="D669" s="1285" t="s">
        <v>935</v>
      </c>
      <c r="E669" s="1285"/>
      <c r="F669" s="1285"/>
      <c r="H669" s="181"/>
      <c r="I669" s="181"/>
      <c r="J669" s="181"/>
      <c r="K669" s="181"/>
    </row>
    <row r="670" spans="1:11" ht="14.4">
      <c r="A670" s="176"/>
      <c r="B670" s="176"/>
      <c r="C670" s="175"/>
      <c r="D670" s="1285" t="s">
        <v>907</v>
      </c>
      <c r="E670" s="1285"/>
      <c r="F670" s="1285"/>
      <c r="H670" s="181"/>
      <c r="I670" s="181"/>
      <c r="J670" s="181"/>
      <c r="K670" s="181"/>
    </row>
    <row r="671" spans="1:11">
      <c r="A671" s="175"/>
      <c r="B671" s="175"/>
      <c r="C671" s="175"/>
      <c r="D671" s="3"/>
      <c r="E671" s="1290" t="s">
        <v>1125</v>
      </c>
      <c r="F671" s="1290"/>
      <c r="H671" s="181"/>
      <c r="I671" s="181"/>
      <c r="J671" s="181"/>
      <c r="K671" s="181"/>
    </row>
    <row r="672" spans="1:11">
      <c r="A672" s="175"/>
      <c r="B672" s="175"/>
      <c r="C672" s="175"/>
      <c r="D672" s="2"/>
      <c r="H672" s="181"/>
      <c r="I672" s="181"/>
      <c r="J672" s="181"/>
      <c r="K672" s="181"/>
    </row>
    <row r="673" spans="1:11" ht="14.4">
      <c r="A673" s="176"/>
      <c r="B673" s="468" t="s">
        <v>307</v>
      </c>
      <c r="C673" s="175"/>
      <c r="D673" s="1265" t="s">
        <v>1135</v>
      </c>
      <c r="E673" s="1265"/>
      <c r="F673" s="1265"/>
      <c r="H673" s="181"/>
      <c r="I673" s="181"/>
      <c r="J673" s="181"/>
      <c r="K673" s="181"/>
    </row>
    <row r="674" spans="1:11">
      <c r="A674" s="175"/>
      <c r="B674" s="175"/>
      <c r="C674" s="175"/>
      <c r="D674" s="1265"/>
      <c r="E674" s="1265"/>
      <c r="F674" s="1265"/>
      <c r="H674" s="181"/>
      <c r="I674" s="181"/>
      <c r="J674" s="181"/>
      <c r="K674" s="181"/>
    </row>
    <row r="675" spans="1:11">
      <c r="A675" s="175"/>
      <c r="B675" s="175"/>
      <c r="C675" s="175"/>
      <c r="D675" s="1265"/>
      <c r="E675" s="1265"/>
      <c r="F675" s="1265"/>
      <c r="H675" s="181"/>
      <c r="I675" s="181"/>
      <c r="J675" s="181"/>
      <c r="K675" s="181"/>
    </row>
    <row r="676" spans="1:11">
      <c r="A676" s="175"/>
      <c r="B676" s="175"/>
      <c r="C676" s="175"/>
      <c r="D676" s="1265"/>
      <c r="E676" s="1265"/>
      <c r="F676" s="1265"/>
      <c r="H676" s="181"/>
      <c r="I676" s="181"/>
      <c r="J676" s="181"/>
      <c r="K676" s="181"/>
    </row>
    <row r="677" spans="1:11">
      <c r="A677" s="175"/>
      <c r="B677" s="175"/>
      <c r="C677" s="175"/>
      <c r="D677" s="1265"/>
      <c r="E677" s="1265"/>
      <c r="F677" s="1265"/>
      <c r="H677" s="181"/>
      <c r="I677" s="181"/>
      <c r="J677" s="181"/>
      <c r="K677" s="181"/>
    </row>
    <row r="678" spans="1:11">
      <c r="A678" s="175"/>
      <c r="B678" s="175"/>
      <c r="C678" s="175"/>
      <c r="D678" s="1265"/>
      <c r="E678" s="1265"/>
      <c r="F678" s="1265"/>
      <c r="H678" s="181"/>
      <c r="I678" s="181"/>
      <c r="J678" s="181"/>
      <c r="K678" s="181"/>
    </row>
    <row r="679" spans="1:11">
      <c r="A679" s="175"/>
      <c r="B679" s="175"/>
      <c r="C679" s="175"/>
      <c r="D679" s="474"/>
      <c r="E679" s="474"/>
      <c r="F679" s="474"/>
      <c r="H679" s="181"/>
      <c r="I679" s="181"/>
      <c r="J679" s="181"/>
      <c r="K679" s="181"/>
    </row>
    <row r="680" spans="1:11" ht="14.4">
      <c r="A680" s="176"/>
      <c r="B680" s="468" t="s">
        <v>307</v>
      </c>
      <c r="C680" s="175"/>
      <c r="D680" s="1265" t="s">
        <v>1126</v>
      </c>
      <c r="E680" s="1265"/>
      <c r="F680" s="1265"/>
      <c r="H680" s="181"/>
      <c r="I680" s="181"/>
      <c r="J680" s="181"/>
      <c r="K680" s="181"/>
    </row>
    <row r="681" spans="1:11">
      <c r="A681" s="175"/>
      <c r="B681" s="175"/>
      <c r="C681" s="175"/>
      <c r="D681" s="1265"/>
      <c r="E681" s="1265"/>
      <c r="F681" s="1265"/>
      <c r="H681" s="181"/>
      <c r="I681" s="181"/>
      <c r="J681" s="181"/>
      <c r="K681" s="181"/>
    </row>
    <row r="682" spans="1:11">
      <c r="A682" s="175"/>
      <c r="B682" s="175"/>
      <c r="C682" s="175"/>
      <c r="D682" s="1265"/>
      <c r="E682" s="1265"/>
      <c r="F682" s="1265"/>
      <c r="H682" s="181"/>
      <c r="I682" s="181"/>
      <c r="J682" s="181"/>
      <c r="K682" s="181"/>
    </row>
    <row r="683" spans="1:11" ht="15" customHeight="1">
      <c r="A683" s="175"/>
      <c r="B683" s="175"/>
      <c r="C683" s="175"/>
      <c r="D683" s="1265"/>
      <c r="E683" s="1265"/>
      <c r="F683" s="1265"/>
      <c r="H683" s="181"/>
      <c r="I683" s="181"/>
      <c r="J683" s="181"/>
      <c r="K683" s="181"/>
    </row>
    <row r="684" spans="1:11" ht="15" customHeight="1">
      <c r="A684" s="175"/>
      <c r="B684" s="175"/>
      <c r="C684" s="175"/>
      <c r="D684" s="1265"/>
      <c r="E684" s="1265"/>
      <c r="F684" s="1265"/>
      <c r="H684" s="181"/>
      <c r="I684" s="181"/>
      <c r="J684" s="181"/>
      <c r="K684" s="181"/>
    </row>
    <row r="685" spans="1:11">
      <c r="A685" s="175"/>
      <c r="B685" s="175"/>
      <c r="C685" s="175"/>
      <c r="D685" s="1265"/>
      <c r="E685" s="1265"/>
      <c r="F685" s="1265"/>
      <c r="H685" s="181"/>
      <c r="I685" s="181"/>
      <c r="J685" s="181"/>
      <c r="K685" s="181"/>
    </row>
    <row r="686" spans="1:11">
      <c r="A686" s="175"/>
      <c r="B686" s="175"/>
      <c r="C686" s="175"/>
      <c r="D686" s="1265"/>
      <c r="E686" s="1265"/>
      <c r="F686" s="1265"/>
      <c r="H686" s="181"/>
      <c r="I686" s="181"/>
      <c r="J686" s="181"/>
      <c r="K686" s="181"/>
    </row>
    <row r="687" spans="1:11">
      <c r="A687" s="175"/>
      <c r="B687" s="175"/>
      <c r="C687" s="175"/>
      <c r="D687" s="1265"/>
      <c r="E687" s="1265"/>
      <c r="F687" s="1265"/>
      <c r="H687" s="181"/>
      <c r="I687" s="181"/>
      <c r="J687" s="181"/>
      <c r="K687" s="181"/>
    </row>
    <row r="688" spans="1:11" ht="15" customHeight="1">
      <c r="A688" s="175"/>
      <c r="B688" s="175"/>
      <c r="C688" s="175"/>
      <c r="D688" s="1265"/>
      <c r="E688" s="1265"/>
      <c r="F688" s="1265"/>
      <c r="H688" s="181"/>
      <c r="I688" s="181"/>
      <c r="J688" s="181"/>
      <c r="K688" s="181"/>
    </row>
    <row r="689" spans="1:11">
      <c r="A689" s="175"/>
      <c r="B689" s="175"/>
      <c r="C689" s="175"/>
      <c r="D689" s="1265"/>
      <c r="E689" s="1265"/>
      <c r="F689" s="1265"/>
      <c r="H689" s="181"/>
      <c r="I689" s="181"/>
      <c r="J689" s="181"/>
      <c r="K689" s="181"/>
    </row>
    <row r="690" spans="1:11">
      <c r="A690" s="175"/>
      <c r="B690" s="175"/>
      <c r="C690" s="175"/>
      <c r="D690" s="1265"/>
      <c r="E690" s="1265"/>
      <c r="F690" s="1265"/>
      <c r="H690" s="181"/>
      <c r="I690" s="181"/>
      <c r="J690" s="181"/>
      <c r="K690" s="181"/>
    </row>
    <row r="691" spans="1:11">
      <c r="A691" s="175"/>
      <c r="B691" s="175"/>
      <c r="C691" s="175"/>
      <c r="D691" s="1265"/>
      <c r="E691" s="1265"/>
      <c r="F691" s="1265"/>
      <c r="H691" s="181"/>
      <c r="I691" s="181"/>
      <c r="J691" s="181"/>
      <c r="K691" s="181"/>
    </row>
    <row r="692" spans="1:11">
      <c r="A692" s="175"/>
      <c r="B692" s="175"/>
      <c r="C692" s="175"/>
      <c r="D692" s="474"/>
      <c r="E692" s="474"/>
      <c r="F692" s="474"/>
      <c r="H692" s="181"/>
      <c r="I692" s="181"/>
      <c r="J692" s="181"/>
      <c r="K692" s="181"/>
    </row>
    <row r="693" spans="1:11" ht="14.4">
      <c r="A693" s="176"/>
      <c r="B693" s="468" t="s">
        <v>307</v>
      </c>
      <c r="C693" s="175"/>
      <c r="D693" s="1265" t="s">
        <v>1136</v>
      </c>
      <c r="E693" s="1265"/>
      <c r="F693" s="1265"/>
      <c r="H693" s="181"/>
      <c r="I693" s="181"/>
      <c r="J693" s="181"/>
      <c r="K693" s="181"/>
    </row>
    <row r="694" spans="1:11">
      <c r="A694" s="175"/>
      <c r="B694" s="175"/>
      <c r="C694" s="175"/>
      <c r="D694" s="1265"/>
      <c r="E694" s="1265"/>
      <c r="F694" s="1265"/>
      <c r="H694" s="181"/>
      <c r="I694" s="181"/>
      <c r="J694" s="181"/>
      <c r="K694" s="181"/>
    </row>
    <row r="695" spans="1:11">
      <c r="A695" s="175"/>
      <c r="B695" s="175"/>
      <c r="C695" s="175"/>
      <c r="D695" s="1265"/>
      <c r="E695" s="1265"/>
      <c r="F695" s="1265"/>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5" t="s">
        <v>1133</v>
      </c>
      <c r="E697" s="1265"/>
      <c r="F697" s="1265"/>
      <c r="H697" s="181"/>
      <c r="I697" s="181"/>
      <c r="J697" s="181"/>
      <c r="K697" s="181"/>
    </row>
    <row r="698" spans="1:11">
      <c r="A698" s="175"/>
      <c r="B698" s="175"/>
      <c r="C698" s="175"/>
      <c r="D698" s="1265"/>
      <c r="E698" s="1265"/>
      <c r="F698" s="1265"/>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5" t="s">
        <v>1134</v>
      </c>
      <c r="E700" s="1265"/>
      <c r="F700" s="1265"/>
      <c r="H700" s="181"/>
      <c r="I700" s="181"/>
      <c r="J700" s="181"/>
      <c r="K700" s="181"/>
    </row>
    <row r="701" spans="1:11">
      <c r="A701" s="175"/>
      <c r="B701" s="175"/>
      <c r="C701" s="175"/>
      <c r="D701" s="1265"/>
      <c r="E701" s="1265"/>
      <c r="F701" s="1265"/>
      <c r="H701" s="181"/>
      <c r="I701" s="181"/>
      <c r="J701" s="181"/>
      <c r="K701" s="181"/>
    </row>
    <row r="702" spans="1:11">
      <c r="A702" s="175"/>
      <c r="B702" s="175"/>
      <c r="C702" s="175"/>
      <c r="D702" s="1265"/>
      <c r="E702" s="1265"/>
      <c r="F702" s="1265"/>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5" t="s">
        <v>1127</v>
      </c>
      <c r="E704" s="1265"/>
      <c r="F704" s="1265"/>
      <c r="H704" s="181"/>
      <c r="I704" s="181"/>
      <c r="J704" s="181"/>
      <c r="K704" s="181"/>
    </row>
    <row r="705" spans="1:11">
      <c r="A705" s="175"/>
      <c r="B705" s="175"/>
      <c r="C705" s="175"/>
      <c r="D705" s="1265"/>
      <c r="E705" s="1265"/>
      <c r="F705" s="1265"/>
      <c r="H705" s="181"/>
      <c r="I705" s="181"/>
      <c r="J705" s="181"/>
      <c r="K705" s="181"/>
    </row>
    <row r="706" spans="1:11">
      <c r="A706" s="175"/>
      <c r="B706" s="175"/>
      <c r="C706" s="175"/>
      <c r="D706" s="1265"/>
      <c r="E706" s="1265"/>
      <c r="F706" s="1265"/>
      <c r="H706" s="181"/>
      <c r="I706" s="181"/>
      <c r="J706" s="181"/>
      <c r="K706" s="181"/>
    </row>
    <row r="707" spans="1:11">
      <c r="A707" s="175"/>
      <c r="B707" s="175"/>
      <c r="C707" s="175"/>
      <c r="H707" s="181"/>
      <c r="I707" s="181"/>
      <c r="J707" s="181"/>
      <c r="K707" s="181"/>
    </row>
    <row r="708" spans="1:11">
      <c r="A708" s="175"/>
      <c r="B708" s="468" t="s">
        <v>307</v>
      </c>
      <c r="C708" s="175"/>
      <c r="D708" s="1265" t="s">
        <v>1128</v>
      </c>
      <c r="E708" s="1265"/>
      <c r="F708" s="1265"/>
      <c r="H708" s="181"/>
      <c r="I708" s="181"/>
      <c r="J708" s="181"/>
      <c r="K708" s="181"/>
    </row>
    <row r="709" spans="1:11">
      <c r="A709" s="175"/>
      <c r="B709" s="175"/>
      <c r="C709" s="175"/>
      <c r="D709" s="1265"/>
      <c r="E709" s="1265"/>
      <c r="F709" s="1265"/>
      <c r="H709" s="181"/>
      <c r="I709" s="181"/>
      <c r="J709" s="181"/>
      <c r="K709" s="181"/>
    </row>
    <row r="710" spans="1:11">
      <c r="A710" s="175"/>
      <c r="B710" s="175"/>
      <c r="C710" s="175"/>
      <c r="D710" s="1265"/>
      <c r="E710" s="1265"/>
      <c r="F710" s="1265"/>
      <c r="H710" s="181"/>
      <c r="I710" s="181"/>
      <c r="J710" s="181"/>
      <c r="K710" s="181"/>
    </row>
    <row r="711" spans="1:11">
      <c r="A711" s="175"/>
      <c r="B711" s="175"/>
      <c r="C711" s="175"/>
      <c r="D711"/>
      <c r="H711" s="181"/>
      <c r="I711" s="181"/>
      <c r="J711" s="181"/>
      <c r="K711" s="181"/>
    </row>
    <row r="712" spans="1:11" ht="14.4">
      <c r="A712" s="176"/>
      <c r="B712" s="468" t="s">
        <v>307</v>
      </c>
      <c r="C712" s="175"/>
      <c r="D712" s="1265" t="s">
        <v>1129</v>
      </c>
      <c r="E712" s="1265"/>
      <c r="F712" s="1265"/>
      <c r="H712" s="181"/>
      <c r="I712" s="181"/>
      <c r="J712" s="181"/>
      <c r="K712" s="181"/>
    </row>
    <row r="713" spans="1:11">
      <c r="A713" s="175"/>
      <c r="B713" s="175"/>
      <c r="C713" s="175"/>
      <c r="D713" s="1265"/>
      <c r="E713" s="1265"/>
      <c r="F713" s="1265"/>
      <c r="H713" s="181"/>
      <c r="I713" s="181"/>
      <c r="J713" s="181"/>
      <c r="K713" s="181"/>
    </row>
    <row r="714" spans="1:11">
      <c r="A714" s="175"/>
      <c r="B714" s="175"/>
      <c r="C714" s="175"/>
      <c r="D714" s="1265"/>
      <c r="E714" s="1265"/>
      <c r="F714" s="1265"/>
      <c r="H714" s="181"/>
      <c r="I714" s="181"/>
      <c r="J714" s="181"/>
      <c r="K714" s="181"/>
    </row>
    <row r="715" spans="1:11">
      <c r="A715" s="175"/>
      <c r="B715" s="175"/>
      <c r="C715" s="175"/>
      <c r="D715" s="1265"/>
      <c r="E715" s="1265"/>
      <c r="F715" s="1265"/>
      <c r="H715" s="181"/>
      <c r="I715" s="181"/>
      <c r="J715" s="181"/>
      <c r="K715" s="181"/>
    </row>
    <row r="716" spans="1:11">
      <c r="A716" s="175"/>
      <c r="B716" s="175"/>
      <c r="C716" s="175"/>
      <c r="D716" s="178"/>
      <c r="H716" s="181"/>
      <c r="I716" s="181"/>
      <c r="J716" s="181"/>
      <c r="K716" s="181"/>
    </row>
    <row r="717" spans="1:11" ht="14.4">
      <c r="A717" s="176"/>
      <c r="B717" s="468" t="s">
        <v>307</v>
      </c>
      <c r="C717" s="175"/>
      <c r="D717" s="1265" t="s">
        <v>1262</v>
      </c>
      <c r="E717" s="1265"/>
      <c r="F717" s="1265"/>
      <c r="H717" s="181"/>
      <c r="I717" s="181"/>
      <c r="J717" s="181"/>
      <c r="K717" s="181"/>
    </row>
    <row r="718" spans="1:11">
      <c r="A718" s="175"/>
      <c r="B718" s="175"/>
      <c r="C718" s="175"/>
      <c r="D718" s="1265"/>
      <c r="E718" s="1265"/>
      <c r="F718" s="1265"/>
      <c r="H718" s="181"/>
      <c r="I718" s="181"/>
      <c r="J718" s="181"/>
      <c r="K718" s="181"/>
    </row>
    <row r="719" spans="1:11">
      <c r="A719" s="175"/>
      <c r="B719" s="175"/>
      <c r="C719" s="175"/>
      <c r="D719" s="1265"/>
      <c r="E719" s="1265"/>
      <c r="F719" s="1265"/>
      <c r="H719" s="181"/>
      <c r="I719" s="181"/>
      <c r="J719" s="181"/>
      <c r="K719" s="181"/>
    </row>
    <row r="720" spans="1:11">
      <c r="A720" s="175"/>
      <c r="B720" s="175"/>
      <c r="C720" s="175"/>
      <c r="D720" s="1265"/>
      <c r="E720" s="1265"/>
      <c r="F720" s="1265"/>
      <c r="H720" s="181"/>
      <c r="I720" s="181"/>
      <c r="J720" s="181"/>
      <c r="K720" s="181"/>
    </row>
    <row r="721" spans="1:11">
      <c r="A721" s="175"/>
      <c r="B721" s="175"/>
      <c r="C721" s="175"/>
      <c r="D721" s="1265"/>
      <c r="E721" s="1265"/>
      <c r="F721" s="1265"/>
      <c r="H721" s="181"/>
      <c r="I721" s="181"/>
      <c r="J721" s="181"/>
      <c r="K721" s="181"/>
    </row>
    <row r="722" spans="1:11">
      <c r="A722" s="175"/>
      <c r="B722" s="175"/>
      <c r="C722" s="175"/>
      <c r="D722" s="1265"/>
      <c r="E722" s="1265"/>
      <c r="F722" s="1265"/>
      <c r="H722" s="181"/>
      <c r="I722" s="181"/>
      <c r="J722" s="181"/>
      <c r="K722" s="181"/>
    </row>
    <row r="723" spans="1:11">
      <c r="A723" s="175"/>
      <c r="B723" s="175"/>
      <c r="C723" s="175"/>
      <c r="D723" s="1265"/>
      <c r="E723" s="1265"/>
      <c r="F723" s="1265"/>
      <c r="H723" s="181"/>
      <c r="I723" s="181"/>
      <c r="J723" s="181"/>
      <c r="K723" s="181"/>
    </row>
    <row r="724" spans="1:11">
      <c r="A724" s="175"/>
      <c r="B724" s="175"/>
      <c r="C724" s="175"/>
      <c r="D724" s="1292" t="s">
        <v>1130</v>
      </c>
      <c r="E724" s="1292"/>
      <c r="F724" s="1292"/>
      <c r="H724" s="181"/>
      <c r="I724" s="181"/>
      <c r="J724" s="181"/>
      <c r="K724" s="181"/>
    </row>
    <row r="725" spans="1:11">
      <c r="A725" s="175"/>
      <c r="B725" s="175"/>
      <c r="C725" s="175"/>
      <c r="D725" s="369"/>
      <c r="H725" s="181"/>
      <c r="I725" s="181"/>
      <c r="J725" s="181"/>
      <c r="K725" s="181"/>
    </row>
    <row r="726" spans="1:11">
      <c r="A726" s="1287" t="s">
        <v>1087</v>
      </c>
      <c r="B726" s="1287"/>
      <c r="C726" s="1287"/>
      <c r="D726" s="1287"/>
      <c r="E726" s="1287"/>
      <c r="F726" s="1287"/>
      <c r="G726" s="1287"/>
      <c r="H726" s="181"/>
      <c r="I726" s="181"/>
      <c r="J726" s="181"/>
      <c r="K726" s="181"/>
    </row>
    <row r="727" spans="1:11">
      <c r="A727" s="175"/>
      <c r="B727" s="175"/>
      <c r="C727" s="175"/>
      <c r="D727" s="178"/>
      <c r="G727" s="183"/>
      <c r="H727" s="181"/>
      <c r="I727" s="181"/>
      <c r="J727" s="181"/>
      <c r="K727" s="181"/>
    </row>
    <row r="728" spans="1:11" ht="13.2" customHeight="1">
      <c r="C728" s="175"/>
      <c r="D728" s="1297" t="s">
        <v>1103</v>
      </c>
      <c r="E728" s="1297"/>
      <c r="F728" s="1297"/>
      <c r="G728" s="183"/>
      <c r="H728" s="181"/>
      <c r="I728" s="181"/>
      <c r="J728" s="181"/>
      <c r="K728" s="181"/>
    </row>
    <row r="729" spans="1:11">
      <c r="A729" s="175"/>
      <c r="B729" s="175"/>
      <c r="C729" s="175"/>
      <c r="D729" s="1289" t="s">
        <v>1104</v>
      </c>
      <c r="E729" s="1289"/>
      <c r="F729" s="1289"/>
      <c r="G729" s="183"/>
      <c r="H729" s="181"/>
      <c r="I729" s="181"/>
      <c r="J729" s="181"/>
      <c r="K729" s="181"/>
    </row>
    <row r="730" spans="1:11">
      <c r="A730" s="175"/>
      <c r="B730" s="175"/>
      <c r="C730" s="175"/>
      <c r="G730" s="183"/>
      <c r="H730" s="181"/>
      <c r="I730" s="181"/>
      <c r="J730" s="181"/>
      <c r="K730" s="181"/>
    </row>
    <row r="731" spans="1:11" ht="14.4">
      <c r="A731" s="176"/>
      <c r="B731" s="468" t="s">
        <v>307</v>
      </c>
      <c r="D731" s="1265" t="s">
        <v>1105</v>
      </c>
      <c r="E731" s="1265"/>
      <c r="F731" s="1265"/>
      <c r="G731" s="183"/>
      <c r="H731" s="181"/>
      <c r="I731" s="181"/>
      <c r="J731" s="181"/>
      <c r="K731" s="181"/>
    </row>
    <row r="732" spans="1:11" ht="10.5" customHeight="1">
      <c r="D732" s="1265"/>
      <c r="E732" s="1265"/>
      <c r="F732" s="1265"/>
      <c r="G732" s="183"/>
      <c r="H732" s="181"/>
      <c r="I732" s="181"/>
      <c r="J732" s="181"/>
      <c r="K732" s="181"/>
    </row>
    <row r="733" spans="1:11">
      <c r="D733" s="1265"/>
      <c r="E733" s="1265"/>
      <c r="F733" s="1265"/>
      <c r="G733" s="183"/>
      <c r="H733" s="181"/>
      <c r="I733" s="181"/>
      <c r="J733" s="181"/>
      <c r="K733" s="181"/>
    </row>
    <row r="734" spans="1:11">
      <c r="D734" s="1265"/>
      <c r="E734" s="1265"/>
      <c r="F734" s="1265"/>
      <c r="G734" s="183"/>
      <c r="H734" s="181"/>
      <c r="I734" s="181"/>
      <c r="J734" s="181"/>
      <c r="K734" s="181"/>
    </row>
    <row r="735" spans="1:11">
      <c r="D735" s="1265"/>
      <c r="E735" s="1265"/>
      <c r="F735" s="1265"/>
      <c r="G735" s="183"/>
      <c r="H735" s="181"/>
      <c r="I735" s="181"/>
      <c r="J735" s="181"/>
      <c r="K735" s="181"/>
    </row>
    <row r="736" spans="1:11" ht="15.6" customHeight="1">
      <c r="D736" s="1265"/>
      <c r="E736" s="1265"/>
      <c r="F736" s="1265"/>
      <c r="G736" s="183"/>
      <c r="H736" s="181"/>
      <c r="I736" s="181"/>
      <c r="J736" s="181"/>
      <c r="K736" s="181"/>
    </row>
    <row r="737" spans="1:11">
      <c r="D737" s="255"/>
      <c r="E737" s="35"/>
      <c r="F737" s="35"/>
      <c r="G737" s="183"/>
      <c r="H737" s="181"/>
      <c r="I737" s="181"/>
      <c r="J737" s="181"/>
      <c r="K737" s="181"/>
    </row>
    <row r="738" spans="1:11" s="274" customFormat="1" ht="14.4">
      <c r="A738" s="272"/>
      <c r="B738" s="468" t="s">
        <v>307</v>
      </c>
      <c r="C738" s="273"/>
      <c r="D738" s="1265" t="s">
        <v>1106</v>
      </c>
      <c r="E738" s="1265"/>
      <c r="F738" s="1265"/>
      <c r="G738" s="210"/>
    </row>
    <row r="739" spans="1:11" s="274" customFormat="1">
      <c r="A739" s="273"/>
      <c r="B739" s="273"/>
      <c r="C739" s="273"/>
      <c r="D739" s="1265"/>
      <c r="E739" s="1265"/>
      <c r="F739" s="1265"/>
      <c r="G739" s="210"/>
    </row>
    <row r="740" spans="1:11" s="274" customFormat="1">
      <c r="A740" s="273"/>
      <c r="B740" s="273"/>
      <c r="C740" s="273"/>
      <c r="D740" s="1265"/>
      <c r="E740" s="1265"/>
      <c r="F740" s="1265"/>
      <c r="G740" s="210"/>
    </row>
    <row r="741" spans="1:11" s="274" customFormat="1">
      <c r="A741" s="273"/>
      <c r="B741" s="273"/>
      <c r="C741" s="273"/>
      <c r="D741" s="1265"/>
      <c r="E741" s="1265"/>
      <c r="F741" s="1265"/>
      <c r="G741" s="210"/>
    </row>
    <row r="742" spans="1:11" s="274" customFormat="1">
      <c r="A742" s="273"/>
      <c r="B742" s="273"/>
      <c r="C742" s="273"/>
      <c r="D742" s="255"/>
      <c r="E742" s="210"/>
      <c r="F742" s="210"/>
      <c r="G742" s="210"/>
    </row>
    <row r="743" spans="1:11" s="274" customFormat="1" ht="14.4">
      <c r="A743" s="176"/>
      <c r="B743" s="468" t="s">
        <v>307</v>
      </c>
      <c r="C743" s="273"/>
      <c r="D743" s="1298" t="s">
        <v>1107</v>
      </c>
      <c r="E743" s="1298"/>
      <c r="F743" s="1298"/>
      <c r="G743" s="210"/>
    </row>
    <row r="744" spans="1:11" s="274" customFormat="1">
      <c r="A744" s="273"/>
      <c r="B744" s="273"/>
      <c r="C744" s="273"/>
      <c r="D744" s="1298"/>
      <c r="E744" s="1298"/>
      <c r="F744" s="1298"/>
      <c r="G744" s="210"/>
    </row>
    <row r="745" spans="1:11" s="274" customFormat="1">
      <c r="A745" s="273"/>
      <c r="B745" s="273"/>
      <c r="C745" s="273"/>
      <c r="D745" s="1298"/>
      <c r="E745" s="1298"/>
      <c r="F745" s="1298"/>
      <c r="G745" s="210"/>
    </row>
    <row r="746" spans="1:11">
      <c r="D746" s="255"/>
      <c r="E746" s="35"/>
      <c r="F746" s="35"/>
      <c r="G746" s="183"/>
      <c r="H746" s="181"/>
      <c r="I746" s="181"/>
      <c r="J746" s="181"/>
      <c r="K746" s="181"/>
    </row>
    <row r="747" spans="1:11" ht="14.4">
      <c r="A747" s="176"/>
      <c r="B747" s="468" t="s">
        <v>307</v>
      </c>
      <c r="D747" s="1265" t="s">
        <v>1108</v>
      </c>
      <c r="E747" s="1265"/>
      <c r="F747" s="1265"/>
      <c r="G747" s="183"/>
      <c r="H747" s="181"/>
      <c r="I747" s="181"/>
      <c r="J747" s="181"/>
      <c r="K747" s="181"/>
    </row>
    <row r="748" spans="1:11">
      <c r="D748" s="1265"/>
      <c r="E748" s="1265"/>
      <c r="F748" s="1265"/>
      <c r="G748" s="183"/>
      <c r="H748" s="181"/>
      <c r="I748" s="181"/>
      <c r="J748" s="181"/>
      <c r="K748" s="181"/>
    </row>
    <row r="749" spans="1:11">
      <c r="D749" s="474"/>
      <c r="E749" s="474"/>
      <c r="F749" s="474"/>
      <c r="G749" s="183"/>
      <c r="H749" s="181"/>
      <c r="I749" s="181"/>
      <c r="J749" s="181"/>
      <c r="K749" s="181"/>
    </row>
    <row r="750" spans="1:11">
      <c r="B750" s="468" t="s">
        <v>307</v>
      </c>
      <c r="D750" s="1265" t="s">
        <v>1109</v>
      </c>
      <c r="E750" s="1265"/>
      <c r="F750" s="1265"/>
      <c r="G750" s="183"/>
      <c r="H750" s="181"/>
      <c r="I750" s="181"/>
      <c r="J750" s="181"/>
      <c r="K750" s="181"/>
    </row>
    <row r="751" spans="1:11">
      <c r="D751" s="1265"/>
      <c r="E751" s="1265"/>
      <c r="F751" s="1265"/>
      <c r="G751" s="183"/>
      <c r="H751" s="181"/>
      <c r="I751" s="181"/>
      <c r="J751" s="181"/>
      <c r="K751" s="181"/>
    </row>
    <row r="752" spans="1:11">
      <c r="D752" s="1265"/>
      <c r="E752" s="1265"/>
      <c r="F752" s="1265"/>
      <c r="G752" s="183"/>
      <c r="H752" s="181"/>
      <c r="I752" s="181"/>
      <c r="J752" s="181"/>
      <c r="K752" s="181"/>
    </row>
    <row r="753" spans="1:11">
      <c r="D753" s="474"/>
      <c r="E753" s="474"/>
      <c r="F753" s="474"/>
      <c r="G753" s="183"/>
      <c r="H753" s="181"/>
      <c r="I753" s="181"/>
      <c r="J753" s="181"/>
      <c r="K753" s="181"/>
    </row>
    <row r="754" spans="1:11">
      <c r="A754" s="1286" t="s">
        <v>1110</v>
      </c>
      <c r="B754" s="1286"/>
      <c r="C754" s="1286"/>
      <c r="D754" s="1286"/>
      <c r="E754" s="1286"/>
      <c r="F754" s="1286"/>
      <c r="G754" s="1286"/>
    </row>
    <row r="755" spans="1:11">
      <c r="A755" s="175"/>
      <c r="B755" s="175"/>
      <c r="C755" s="175"/>
      <c r="D755" s="184"/>
      <c r="F755" s="35"/>
      <c r="G755" s="183"/>
    </row>
    <row r="756" spans="1:11">
      <c r="D756" s="1294" t="s">
        <v>1094</v>
      </c>
      <c r="E756" s="1294"/>
      <c r="F756" s="1294"/>
      <c r="G756" s="183"/>
    </row>
    <row r="757" spans="1:11">
      <c r="A757" s="345"/>
      <c r="B757" s="345"/>
      <c r="C757" s="345"/>
      <c r="D757" s="1295" t="s">
        <v>1111</v>
      </c>
      <c r="E757" s="1295"/>
      <c r="F757" s="1295"/>
      <c r="G757" s="183"/>
    </row>
    <row r="758" spans="1:11">
      <c r="D758" s="433"/>
      <c r="E758" s="433"/>
      <c r="F758" s="433"/>
      <c r="G758" s="183"/>
    </row>
    <row r="759" spans="1:11" ht="14.4">
      <c r="A759" s="176"/>
      <c r="B759" s="468" t="s">
        <v>307</v>
      </c>
      <c r="D759" s="1295" t="s">
        <v>1004</v>
      </c>
      <c r="E759" s="1295"/>
      <c r="F759" s="1295"/>
      <c r="G759" s="183"/>
    </row>
    <row r="760" spans="1:11">
      <c r="D760" s="433"/>
      <c r="E760" s="1296" t="s">
        <v>1095</v>
      </c>
      <c r="F760" s="1296"/>
      <c r="G760" s="183"/>
    </row>
    <row r="761" spans="1:11">
      <c r="A761" s="172"/>
      <c r="B761" s="172"/>
      <c r="C761" s="172"/>
      <c r="D761" s="35"/>
      <c r="G761" s="183"/>
    </row>
    <row r="762" spans="1:11">
      <c r="A762" s="1293" t="s">
        <v>448</v>
      </c>
      <c r="B762" s="1293"/>
      <c r="C762" s="1293"/>
      <c r="D762" s="1293"/>
      <c r="E762" s="1293"/>
      <c r="F762" s="1293"/>
      <c r="G762" s="1293"/>
    </row>
    <row r="763" spans="1:11">
      <c r="A763" s="172"/>
      <c r="B763" s="172"/>
      <c r="C763" s="179"/>
      <c r="D763" s="183"/>
      <c r="E763" s="183"/>
      <c r="F763" s="183"/>
      <c r="G763" s="183"/>
    </row>
    <row r="764" spans="1:11">
      <c r="A764" s="35"/>
      <c r="B764" s="1289" t="s">
        <v>1003</v>
      </c>
      <c r="C764" s="1289"/>
      <c r="D764" s="1289"/>
      <c r="E764" s="1289"/>
      <c r="F764" s="1289"/>
      <c r="G764" s="183"/>
    </row>
    <row r="765" spans="1:11">
      <c r="A765" s="13"/>
      <c r="B765" s="13"/>
      <c r="G765" s="183"/>
    </row>
    <row r="766" spans="1:11">
      <c r="A766" s="1293" t="s">
        <v>449</v>
      </c>
      <c r="B766" s="1293"/>
      <c r="C766" s="1293"/>
      <c r="D766" s="1293"/>
      <c r="E766" s="1293"/>
      <c r="F766" s="1293"/>
      <c r="G766" s="1293"/>
    </row>
    <row r="767" spans="1:11">
      <c r="A767" s="172"/>
      <c r="B767" s="172"/>
      <c r="C767" s="172"/>
      <c r="D767" s="178"/>
      <c r="G767" s="183"/>
    </row>
    <row r="768" spans="1:11">
      <c r="A768" s="35"/>
      <c r="B768" s="1285" t="s">
        <v>447</v>
      </c>
      <c r="C768" s="1285"/>
      <c r="D768" s="1285"/>
      <c r="E768" s="1285"/>
      <c r="F768" s="1285"/>
      <c r="G768" s="183"/>
    </row>
    <row r="769" spans="1:7" ht="14.4">
      <c r="A769" s="176"/>
      <c r="B769" s="176"/>
      <c r="D769" s="35"/>
      <c r="E769" s="35"/>
      <c r="F769" s="183"/>
      <c r="G769" s="183"/>
    </row>
    <row r="770" spans="1:7">
      <c r="A770" s="1293" t="s">
        <v>450</v>
      </c>
      <c r="B770" s="1293"/>
      <c r="C770" s="1293"/>
      <c r="D770" s="1293"/>
      <c r="E770" s="1293"/>
      <c r="F770" s="1293"/>
      <c r="G770" s="1293"/>
    </row>
    <row r="771" spans="1:7">
      <c r="C771" s="175"/>
      <c r="D771" s="173"/>
      <c r="E771" s="35"/>
      <c r="F771" s="183"/>
      <c r="G771" s="183"/>
    </row>
    <row r="772" spans="1:7">
      <c r="A772" s="35"/>
      <c r="B772" s="1285" t="s">
        <v>447</v>
      </c>
      <c r="C772" s="1285"/>
      <c r="D772" s="1285"/>
      <c r="E772" s="1285"/>
      <c r="F772" s="1285"/>
      <c r="G772" s="183"/>
    </row>
    <row r="773" spans="1:7">
      <c r="A773" s="35"/>
      <c r="B773" s="35"/>
      <c r="C773" s="179"/>
      <c r="D773" s="183"/>
      <c r="E773" s="183"/>
      <c r="F773" s="183"/>
      <c r="G773" s="183"/>
    </row>
    <row r="774" spans="1:7">
      <c r="A774" s="1293" t="s">
        <v>451</v>
      </c>
      <c r="B774" s="1293"/>
      <c r="C774" s="1293"/>
      <c r="D774" s="1293"/>
      <c r="E774" s="1293"/>
      <c r="F774" s="1293"/>
      <c r="G774" s="1293"/>
    </row>
    <row r="775" spans="1:7">
      <c r="A775" s="35"/>
      <c r="B775" s="35"/>
    </row>
    <row r="776" spans="1:7">
      <c r="A776" s="35"/>
      <c r="B776" s="1285" t="s">
        <v>447</v>
      </c>
      <c r="C776" s="1285"/>
      <c r="D776" s="1285"/>
      <c r="E776" s="1285"/>
      <c r="F776" s="1285"/>
    </row>
    <row r="777" spans="1:7">
      <c r="A777" s="179"/>
      <c r="B777" s="179"/>
      <c r="C777" s="179"/>
      <c r="D777" s="174"/>
      <c r="F777" s="183"/>
    </row>
    <row r="778" spans="1:7">
      <c r="A778" s="1293" t="s">
        <v>452</v>
      </c>
      <c r="B778" s="1293"/>
      <c r="C778" s="1293"/>
      <c r="D778" s="1293"/>
      <c r="E778" s="1293"/>
      <c r="F778" s="1293"/>
      <c r="G778" s="1293"/>
    </row>
    <row r="779" spans="1:7">
      <c r="A779" s="35"/>
      <c r="B779" s="35"/>
    </row>
    <row r="780" spans="1:7">
      <c r="A780" s="35"/>
      <c r="B780" s="1285" t="s">
        <v>447</v>
      </c>
      <c r="C780" s="1285"/>
      <c r="D780" s="1285"/>
      <c r="E780" s="1285"/>
      <c r="F780" s="1285"/>
    </row>
    <row r="781" spans="1:7">
      <c r="A781" s="179"/>
      <c r="B781" s="179"/>
      <c r="C781" s="179"/>
      <c r="D781" s="174"/>
      <c r="F781" s="183"/>
    </row>
    <row r="782" spans="1:7">
      <c r="A782" s="1293" t="s">
        <v>453</v>
      </c>
      <c r="B782" s="1293"/>
      <c r="C782" s="1293"/>
      <c r="D782" s="1293"/>
      <c r="E782" s="1293"/>
      <c r="F782" s="1293"/>
      <c r="G782" s="1293"/>
    </row>
    <row r="783" spans="1:7">
      <c r="A783" s="35"/>
      <c r="B783" s="35"/>
    </row>
    <row r="784" spans="1:7">
      <c r="A784" s="35"/>
      <c r="B784" s="1285" t="s">
        <v>447</v>
      </c>
      <c r="C784" s="1285"/>
      <c r="D784" s="1285"/>
      <c r="E784" s="1285"/>
      <c r="F784" s="1285"/>
    </row>
    <row r="785" spans="1:7">
      <c r="D785" s="174"/>
    </row>
    <row r="786" spans="1:7">
      <c r="A786" s="1293" t="s">
        <v>186</v>
      </c>
      <c r="B786" s="1293"/>
      <c r="C786" s="1293"/>
      <c r="D786" s="1293"/>
      <c r="E786" s="1293"/>
      <c r="F786" s="1293"/>
      <c r="G786" s="1293"/>
    </row>
    <row r="787" spans="1:7">
      <c r="A787" s="35"/>
      <c r="B787" s="35"/>
    </row>
    <row r="788" spans="1:7">
      <c r="A788" s="35"/>
      <c r="B788" s="1285" t="s">
        <v>447</v>
      </c>
      <c r="C788" s="1285"/>
      <c r="D788" s="1285"/>
      <c r="E788" s="1285"/>
      <c r="F788" s="1285"/>
    </row>
    <row r="789" spans="1:7">
      <c r="A789" s="35"/>
      <c r="B789" s="35"/>
      <c r="D789" s="174"/>
    </row>
    <row r="790" spans="1:7">
      <c r="A790" s="1293" t="s">
        <v>884</v>
      </c>
      <c r="B790" s="1293"/>
      <c r="C790" s="1293"/>
      <c r="D790" s="1293"/>
      <c r="E790" s="1293"/>
      <c r="F790" s="1293"/>
      <c r="G790" s="1293"/>
    </row>
    <row r="791" spans="1:7">
      <c r="A791" s="35"/>
      <c r="B791" s="35"/>
    </row>
    <row r="792" spans="1:7">
      <c r="A792" s="35"/>
      <c r="B792" s="1285" t="s">
        <v>447</v>
      </c>
      <c r="C792" s="1285"/>
      <c r="D792" s="1285"/>
      <c r="E792" s="1285"/>
      <c r="F792" s="1285"/>
      <c r="G792"/>
    </row>
    <row r="793" spans="1:7">
      <c r="A793" s="172"/>
      <c r="B793" s="172"/>
      <c r="C793" s="172"/>
      <c r="E793"/>
      <c r="F793"/>
      <c r="G793"/>
    </row>
    <row r="794" spans="1:7" ht="14.4">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6640625" style="433" customWidth="1"/>
    <col min="11" max="16384" width="8.88671875" style="433" hidden="1"/>
  </cols>
  <sheetData>
    <row r="1" spans="1:10" ht="14.25" customHeight="1"/>
    <row r="2" spans="1:10" ht="15.6">
      <c r="A2" s="1318" t="s">
        <v>2058</v>
      </c>
      <c r="B2" s="1319"/>
      <c r="C2" s="1319"/>
      <c r="D2" s="1319"/>
      <c r="E2" s="1319"/>
      <c r="F2" s="1319"/>
      <c r="G2" s="1319"/>
      <c r="H2" s="1319"/>
      <c r="I2" s="1319"/>
      <c r="J2" s="1319"/>
    </row>
    <row r="3" spans="1:10" ht="15">
      <c r="A3" s="1322" t="s">
        <v>1376</v>
      </c>
      <c r="B3" s="1323"/>
      <c r="C3" s="1323"/>
      <c r="D3" s="1323"/>
      <c r="E3" s="1323"/>
      <c r="F3" s="1323"/>
      <c r="G3" s="1323"/>
      <c r="H3" s="1323"/>
      <c r="I3" s="1323"/>
      <c r="J3" s="1323"/>
    </row>
    <row r="4" spans="1:10" ht="13.2"/>
    <row r="5" spans="1:10" ht="12.75" customHeight="1">
      <c r="A5" s="1320" t="s">
        <v>2359</v>
      </c>
      <c r="B5" s="1320"/>
      <c r="C5" s="1320"/>
      <c r="D5" s="1320"/>
      <c r="E5" s="1320"/>
      <c r="F5" s="1320"/>
      <c r="G5" s="1320"/>
      <c r="H5" s="1320"/>
      <c r="I5" s="1320"/>
      <c r="J5" s="1320"/>
    </row>
    <row r="6" spans="1:10" ht="13.2">
      <c r="A6" s="1320"/>
      <c r="B6" s="1320"/>
      <c r="C6" s="1320"/>
      <c r="D6" s="1320"/>
      <c r="E6" s="1320"/>
      <c r="F6" s="1320"/>
      <c r="G6" s="1320"/>
      <c r="H6" s="1320"/>
      <c r="I6" s="1320"/>
      <c r="J6" s="1320"/>
    </row>
    <row r="7" spans="1:10" ht="30" customHeight="1">
      <c r="A7" s="1320"/>
      <c r="B7" s="1320"/>
      <c r="C7" s="1320"/>
      <c r="D7" s="1320"/>
      <c r="E7" s="1320"/>
      <c r="F7" s="1320"/>
      <c r="G7" s="1320"/>
      <c r="H7" s="1320"/>
      <c r="I7" s="1320"/>
      <c r="J7" s="1320"/>
    </row>
    <row r="8" spans="1:10" ht="13.2">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3.2"/>
    <row r="11" spans="1:10" ht="12.75" customHeight="1">
      <c r="A11" s="1324" t="s">
        <v>2063</v>
      </c>
      <c r="B11" s="1324"/>
      <c r="C11" s="1324"/>
      <c r="D11" s="1324"/>
      <c r="E11" s="1324"/>
      <c r="F11" s="1324"/>
      <c r="G11" s="1324"/>
      <c r="H11" s="1324"/>
      <c r="I11" s="1324"/>
      <c r="J11" s="1324"/>
    </row>
    <row r="12" spans="1:10" ht="13.2">
      <c r="A12" s="1324"/>
      <c r="B12" s="1324"/>
      <c r="C12" s="1324"/>
      <c r="D12" s="1324"/>
      <c r="E12" s="1324"/>
      <c r="F12" s="1324"/>
      <c r="G12" s="1324"/>
      <c r="H12" s="1324"/>
      <c r="I12" s="1324"/>
      <c r="J12" s="1324"/>
    </row>
    <row r="13" spans="1:10" ht="13.2">
      <c r="A13" s="1324"/>
      <c r="B13" s="1324"/>
      <c r="C13" s="1324"/>
      <c r="D13" s="1324"/>
      <c r="E13" s="1324"/>
      <c r="F13" s="1324"/>
      <c r="G13" s="1324"/>
      <c r="H13" s="1324"/>
      <c r="I13" s="1324"/>
      <c r="J13" s="1324"/>
    </row>
    <row r="14" spans="1:10" ht="13.2">
      <c r="A14" s="1324"/>
      <c r="B14" s="1324"/>
      <c r="C14" s="1324"/>
      <c r="D14" s="1324"/>
      <c r="E14" s="1324"/>
      <c r="F14" s="1324"/>
      <c r="G14" s="1324"/>
      <c r="H14" s="1324"/>
      <c r="I14" s="1324"/>
      <c r="J14" s="1324"/>
    </row>
    <row r="15" spans="1:10" ht="13.2">
      <c r="A15" s="1324"/>
      <c r="B15" s="1324"/>
      <c r="C15" s="1324"/>
      <c r="D15" s="1324"/>
      <c r="E15" s="1324"/>
      <c r="F15" s="1324"/>
      <c r="G15" s="1324"/>
      <c r="H15" s="1324"/>
      <c r="I15" s="1324"/>
      <c r="J15" s="1324"/>
    </row>
    <row r="16" spans="1:10" ht="13.2">
      <c r="A16" s="1324"/>
      <c r="B16" s="1324"/>
      <c r="C16" s="1324"/>
      <c r="D16" s="1324"/>
      <c r="E16" s="1324"/>
      <c r="F16" s="1324"/>
      <c r="G16" s="1324"/>
      <c r="H16" s="1324"/>
      <c r="I16" s="1324"/>
      <c r="J16" s="1324"/>
    </row>
    <row r="17" spans="1:10" ht="13.2">
      <c r="A17" s="558"/>
      <c r="B17" s="558"/>
      <c r="C17" s="558"/>
      <c r="D17" s="558"/>
      <c r="E17" s="558"/>
      <c r="F17" s="558"/>
      <c r="G17" s="558"/>
      <c r="H17" s="558"/>
      <c r="I17" s="558"/>
      <c r="J17" s="558"/>
    </row>
    <row r="18" spans="1:10" ht="13.2">
      <c r="A18" s="510" t="s">
        <v>2062</v>
      </c>
      <c r="B18" s="447"/>
      <c r="C18" s="447"/>
      <c r="D18" s="447"/>
      <c r="E18" s="447"/>
      <c r="F18" s="447"/>
      <c r="G18" s="447"/>
      <c r="H18" s="447"/>
      <c r="I18" s="447"/>
      <c r="J18" s="447"/>
    </row>
    <row r="19" spans="1:10" ht="13.2">
      <c r="A19" s="447" t="s">
        <v>250</v>
      </c>
      <c r="B19" s="447"/>
      <c r="C19" s="447"/>
      <c r="D19" s="447"/>
      <c r="E19" s="447"/>
      <c r="F19" s="447"/>
      <c r="G19" s="447"/>
      <c r="H19" s="447"/>
      <c r="I19" s="447"/>
      <c r="J19" s="447"/>
    </row>
    <row r="20" spans="1:10" ht="13.2">
      <c r="A20" s="1323" t="s">
        <v>1294</v>
      </c>
      <c r="B20" s="1323"/>
      <c r="C20" s="1323"/>
      <c r="D20" s="1323"/>
      <c r="E20" s="1323"/>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320" t="s">
        <v>1295</v>
      </c>
      <c r="B57" s="1320"/>
      <c r="C57" s="1320"/>
      <c r="D57" s="1320"/>
      <c r="E57" s="1320"/>
      <c r="F57" s="1320"/>
      <c r="G57" s="1320"/>
      <c r="H57" s="1320"/>
      <c r="I57" s="1320"/>
      <c r="J57" s="1320"/>
    </row>
    <row r="58" spans="1:10" ht="13.2">
      <c r="A58" s="1320"/>
      <c r="B58" s="1320"/>
      <c r="C58" s="1320"/>
      <c r="D58" s="1320"/>
      <c r="E58" s="1320"/>
      <c r="F58" s="1320"/>
      <c r="G58" s="1320"/>
      <c r="H58" s="1320"/>
      <c r="I58" s="1320"/>
      <c r="J58" s="1320"/>
    </row>
    <row r="59" spans="1:10" ht="13.2">
      <c r="A59" s="1320"/>
      <c r="B59" s="1320"/>
      <c r="C59" s="1320"/>
      <c r="D59" s="1320"/>
      <c r="E59" s="1320"/>
      <c r="F59" s="1320"/>
      <c r="G59" s="1320"/>
      <c r="H59" s="1320"/>
      <c r="I59" s="1320"/>
      <c r="J59" s="1320"/>
    </row>
    <row r="60" spans="1:10" ht="13.2"/>
    <row r="61" spans="1:10" ht="13.2">
      <c r="A61" s="433" t="s">
        <v>1294</v>
      </c>
    </row>
    <row r="62" spans="1:10" ht="13.2"/>
    <row r="63" spans="1:10" ht="13.2"/>
    <row r="64" spans="1:10" ht="13.2"/>
    <row r="65" spans="1:9" ht="13.2"/>
    <row r="66" spans="1:9" ht="13.2"/>
    <row r="67" spans="1:9" ht="13.2"/>
    <row r="68" spans="1:9" ht="13.2"/>
    <row r="69" spans="1:9" ht="13.2"/>
    <row r="70" spans="1:9" ht="13.2"/>
    <row r="71" spans="1:9" ht="13.2"/>
    <row r="72" spans="1:9" ht="13.2">
      <c r="A72" s="1321" t="s">
        <v>2059</v>
      </c>
      <c r="B72" s="1321"/>
      <c r="C72" s="1321"/>
      <c r="D72" s="1321"/>
      <c r="E72" s="1321"/>
      <c r="F72" s="1321"/>
      <c r="G72" s="1321"/>
      <c r="H72" s="1321"/>
      <c r="I72" s="1321"/>
    </row>
    <row r="73" spans="1:9" ht="13.2">
      <c r="A73" s="1272" t="s">
        <v>2357</v>
      </c>
      <c r="B73" s="1272"/>
      <c r="C73" s="1272"/>
      <c r="D73" s="1272"/>
      <c r="E73" s="1272"/>
    </row>
    <row r="74" spans="1:9" ht="13.2">
      <c r="A74" s="1272" t="s">
        <v>2358</v>
      </c>
      <c r="B74" s="1272"/>
      <c r="C74" s="1272"/>
      <c r="D74" s="1272"/>
      <c r="E74" s="1272"/>
    </row>
    <row r="75" spans="1:9" ht="13.2">
      <c r="A75" s="1272" t="s">
        <v>2060</v>
      </c>
      <c r="B75" s="1272"/>
      <c r="C75" s="1272"/>
      <c r="D75" s="1272"/>
      <c r="E75" s="1272"/>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7620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104" workbookViewId="0">
      <selection activeCell="D1103" sqref="D1103:F1105"/>
    </sheetView>
  </sheetViews>
  <sheetFormatPr defaultColWidth="0" defaultRowHeight="13.2" zeroHeight="1"/>
  <cols>
    <col min="1" max="1" width="3.5546875" style="514" customWidth="1"/>
    <col min="2" max="2" width="13.5546875" style="514" customWidth="1"/>
    <col min="3" max="3" width="2.5546875" style="514" customWidth="1"/>
    <col min="4" max="5" width="3.5546875" style="433" customWidth="1"/>
    <col min="6" max="6" width="65.5546875" style="433" customWidth="1"/>
    <col min="7" max="7" width="1.5546875" style="433" customWidth="1"/>
    <col min="8" max="8" width="3.5546875" style="433" customWidth="1"/>
    <col min="9" max="9" width="24.44140625" style="435" customWidth="1"/>
    <col min="10" max="10" width="8.88671875" style="433" customWidth="1"/>
    <col min="11" max="16384" width="8.88671875" style="433" hidden="1"/>
  </cols>
  <sheetData>
    <row r="1" spans="1:13"/>
    <row r="2" spans="1:13">
      <c r="A2" s="1325" t="s">
        <v>2579</v>
      </c>
      <c r="B2" s="1325"/>
      <c r="C2" s="1325"/>
      <c r="D2" s="1325"/>
      <c r="E2" s="1325"/>
      <c r="F2" s="1325"/>
      <c r="G2" s="1325"/>
      <c r="H2" s="1325"/>
      <c r="I2" s="1325"/>
    </row>
    <row r="3" spans="1:13">
      <c r="A3" s="1326" t="s">
        <v>2625</v>
      </c>
      <c r="B3" s="1326"/>
      <c r="C3" s="1326"/>
      <c r="D3" s="1326"/>
      <c r="E3" s="1326"/>
      <c r="F3" s="1326"/>
      <c r="G3" s="1326"/>
      <c r="H3" s="1326"/>
      <c r="I3" s="1326"/>
    </row>
    <row r="4" spans="1:13">
      <c r="A4" s="1326"/>
      <c r="B4" s="1326"/>
      <c r="C4" s="1323"/>
      <c r="D4" s="1323"/>
      <c r="E4" s="1323"/>
      <c r="F4" s="1323"/>
      <c r="G4" s="1323"/>
    </row>
    <row r="5" spans="1:13">
      <c r="A5" s="1326"/>
      <c r="B5" s="1326"/>
      <c r="C5" s="1323"/>
      <c r="D5" s="1323"/>
      <c r="E5" s="1323"/>
      <c r="F5" s="1323"/>
      <c r="G5" s="1323"/>
    </row>
    <row r="6" spans="1:13" ht="12.75" customHeight="1">
      <c r="A6" s="1340" t="s">
        <v>2624</v>
      </c>
      <c r="B6" s="1340"/>
      <c r="C6" s="1340"/>
      <c r="D6" s="1340"/>
      <c r="E6" s="1340"/>
      <c r="F6" s="1340"/>
      <c r="G6" s="1340"/>
      <c r="I6" s="524" t="s">
        <v>2069</v>
      </c>
    </row>
    <row r="7" spans="1:13">
      <c r="A7" s="1340"/>
      <c r="B7" s="1340"/>
      <c r="C7" s="1340"/>
      <c r="D7" s="1340"/>
      <c r="E7" s="1340"/>
      <c r="F7" s="1340"/>
      <c r="G7" s="1340"/>
      <c r="I7" s="524" t="s">
        <v>2070</v>
      </c>
    </row>
    <row r="8" spans="1:13">
      <c r="A8" s="515"/>
      <c r="B8" s="515"/>
      <c r="C8" s="516"/>
      <c r="D8" s="516"/>
      <c r="E8" s="516"/>
      <c r="F8" s="516"/>
    </row>
    <row r="9" spans="1:13">
      <c r="A9" s="1286" t="s">
        <v>1167</v>
      </c>
      <c r="B9" s="1286"/>
      <c r="C9" s="1286"/>
      <c r="D9" s="1286"/>
      <c r="E9" s="1286"/>
      <c r="F9" s="1286"/>
      <c r="G9" s="1286"/>
      <c r="H9" s="1063"/>
      <c r="I9" s="1064"/>
    </row>
    <row r="10" spans="1:13">
      <c r="A10" s="516"/>
      <c r="B10" s="516"/>
      <c r="E10" s="435"/>
    </row>
    <row r="11" spans="1:13" ht="13.65" customHeight="1">
      <c r="C11" s="516"/>
      <c r="D11" s="1339" t="s">
        <v>1166</v>
      </c>
      <c r="E11" s="1339"/>
      <c r="F11" s="1339"/>
    </row>
    <row r="12" spans="1:13">
      <c r="C12" s="516"/>
      <c r="D12" s="1339"/>
      <c r="E12" s="1339"/>
      <c r="F12" s="1339"/>
    </row>
    <row r="13" spans="1:13">
      <c r="A13" s="517"/>
      <c r="B13" s="517"/>
      <c r="C13" s="517"/>
      <c r="D13" s="1309" t="s">
        <v>1149</v>
      </c>
      <c r="E13" s="1309"/>
      <c r="F13" s="1309"/>
      <c r="M13" s="96"/>
    </row>
    <row r="14" spans="1:13">
      <c r="A14" s="517"/>
      <c r="B14" s="517"/>
      <c r="C14" s="517"/>
      <c r="D14" s="510"/>
      <c r="L14" s="336"/>
    </row>
    <row r="15" spans="1:13" ht="14.4">
      <c r="A15" s="518"/>
      <c r="B15" s="519" t="s">
        <v>2665</v>
      </c>
      <c r="C15" s="517"/>
      <c r="D15" s="1280" t="s">
        <v>2220</v>
      </c>
      <c r="E15" s="1280"/>
      <c r="F15" s="1280"/>
      <c r="I15" s="524" t="s">
        <v>2071</v>
      </c>
    </row>
    <row r="16" spans="1:13">
      <c r="A16" s="517"/>
      <c r="B16" s="517"/>
      <c r="C16" s="517"/>
      <c r="D16" s="1280"/>
      <c r="E16" s="1280"/>
      <c r="F16" s="1280"/>
      <c r="I16" s="524"/>
    </row>
    <row r="17" spans="1:9">
      <c r="A17" s="517"/>
      <c r="B17" s="517"/>
      <c r="C17" s="517"/>
      <c r="D17" s="1280"/>
      <c r="E17" s="1280"/>
      <c r="F17" s="1280"/>
      <c r="I17" s="524"/>
    </row>
    <row r="18" spans="1:9">
      <c r="A18" s="517"/>
      <c r="B18" s="517"/>
      <c r="C18" s="517"/>
      <c r="D18" s="479"/>
      <c r="E18" s="336" t="s">
        <v>2218</v>
      </c>
      <c r="F18" s="479"/>
      <c r="I18" s="524"/>
    </row>
    <row r="19" spans="1:9">
      <c r="A19" s="517"/>
      <c r="B19" s="517"/>
      <c r="C19" s="517"/>
      <c r="I19" s="524"/>
    </row>
    <row r="20" spans="1:9" ht="14.4">
      <c r="A20" s="518"/>
      <c r="B20" s="519" t="s">
        <v>2665</v>
      </c>
      <c r="D20" s="1280" t="s">
        <v>2221</v>
      </c>
      <c r="E20" s="1280"/>
      <c r="F20" s="1280"/>
      <c r="I20" s="524" t="s">
        <v>2072</v>
      </c>
    </row>
    <row r="21" spans="1:9" ht="14.4">
      <c r="A21" s="518"/>
      <c r="D21" s="1280"/>
      <c r="E21" s="1280"/>
      <c r="F21" s="1280"/>
      <c r="I21" s="524"/>
    </row>
    <row r="22" spans="1:9" ht="14.4">
      <c r="A22" s="518"/>
      <c r="D22" s="423"/>
      <c r="E22" s="96" t="s">
        <v>2217</v>
      </c>
      <c r="F22" s="423"/>
      <c r="I22" s="524"/>
    </row>
    <row r="23" spans="1:9" ht="14.4">
      <c r="A23" s="518"/>
      <c r="B23" s="518"/>
      <c r="D23" s="480"/>
      <c r="I23" s="524"/>
    </row>
    <row r="24" spans="1:9" ht="14.4">
      <c r="A24" s="518"/>
      <c r="B24" s="519" t="s">
        <v>2664</v>
      </c>
      <c r="D24" s="1280" t="s">
        <v>1152</v>
      </c>
      <c r="E24" s="1280"/>
      <c r="F24" s="1280"/>
      <c r="I24" s="524" t="s">
        <v>2072</v>
      </c>
    </row>
    <row r="25" spans="1:9" ht="14.4">
      <c r="A25" s="518"/>
      <c r="B25" s="518"/>
      <c r="D25" s="1280"/>
      <c r="E25" s="1280"/>
      <c r="F25" s="1280"/>
      <c r="I25" s="524"/>
    </row>
    <row r="26" spans="1:9">
      <c r="I26" s="524"/>
    </row>
    <row r="27" spans="1:9" ht="14.4">
      <c r="A27" s="518"/>
      <c r="B27" s="519" t="s">
        <v>2664</v>
      </c>
      <c r="D27" s="1280" t="s">
        <v>2360</v>
      </c>
      <c r="E27" s="1280"/>
      <c r="F27" s="1280"/>
      <c r="I27" s="524" t="s">
        <v>2075</v>
      </c>
    </row>
    <row r="28" spans="1:9">
      <c r="D28" s="1280"/>
      <c r="E28" s="1280"/>
      <c r="F28" s="1280"/>
      <c r="I28" s="524"/>
    </row>
    <row r="29" spans="1:9">
      <c r="D29" s="1280"/>
      <c r="E29" s="1280"/>
      <c r="F29" s="1280"/>
      <c r="I29" s="524"/>
    </row>
    <row r="30" spans="1:9">
      <c r="D30" s="1280"/>
      <c r="E30" s="1280"/>
      <c r="F30" s="1280"/>
      <c r="I30" s="524"/>
    </row>
    <row r="31" spans="1:9">
      <c r="D31" s="1280"/>
      <c r="E31" s="1280"/>
      <c r="F31" s="1280"/>
      <c r="I31" s="524"/>
    </row>
    <row r="32" spans="1:9">
      <c r="D32" s="481"/>
      <c r="I32" s="524"/>
    </row>
    <row r="33" spans="1:9">
      <c r="B33" s="519" t="s">
        <v>2665</v>
      </c>
      <c r="D33" s="1280" t="s">
        <v>2361</v>
      </c>
      <c r="E33" s="1280"/>
      <c r="F33" s="1280"/>
      <c r="I33" s="524" t="s">
        <v>2071</v>
      </c>
    </row>
    <row r="34" spans="1:9">
      <c r="D34" s="1280"/>
      <c r="E34" s="1280"/>
      <c r="F34" s="1280"/>
      <c r="I34" s="524"/>
    </row>
    <row r="35" spans="1:9" ht="14.4">
      <c r="A35" s="518"/>
      <c r="B35" s="518"/>
      <c r="D35" s="481"/>
      <c r="I35" s="524"/>
    </row>
    <row r="36" spans="1:9" ht="14.4" customHeight="1">
      <c r="A36" s="518"/>
      <c r="B36" s="519" t="s">
        <v>2665</v>
      </c>
      <c r="D36" s="1280" t="s">
        <v>1319</v>
      </c>
      <c r="E36" s="1280"/>
      <c r="F36" s="1280"/>
      <c r="I36" s="524" t="s">
        <v>2142</v>
      </c>
    </row>
    <row r="37" spans="1:9" ht="14.4">
      <c r="A37" s="518"/>
      <c r="B37" s="518"/>
      <c r="D37" s="1280"/>
      <c r="E37" s="1280"/>
      <c r="F37" s="1280"/>
      <c r="I37" s="524"/>
    </row>
    <row r="38" spans="1:9" ht="14.4">
      <c r="A38" s="518"/>
      <c r="B38" s="518"/>
      <c r="D38" s="1280"/>
      <c r="E38" s="1280"/>
      <c r="F38" s="1280"/>
      <c r="I38" s="524"/>
    </row>
    <row r="39" spans="1:9" ht="14.4">
      <c r="A39" s="518"/>
      <c r="B39" s="518"/>
      <c r="D39" s="1280"/>
      <c r="E39" s="1280"/>
      <c r="F39" s="1280"/>
      <c r="I39" s="524"/>
    </row>
    <row r="40" spans="1:9" ht="14.4">
      <c r="A40" s="518"/>
      <c r="B40" s="518"/>
      <c r="I40" s="524"/>
    </row>
    <row r="41" spans="1:9" ht="14.4">
      <c r="A41" s="518"/>
      <c r="B41" s="519" t="s">
        <v>2664</v>
      </c>
      <c r="D41" s="1280" t="s">
        <v>1156</v>
      </c>
      <c r="E41" s="1280"/>
      <c r="F41" s="1280"/>
      <c r="I41" s="524"/>
    </row>
    <row r="42" spans="1:9" ht="14.4">
      <c r="A42" s="518"/>
      <c r="B42" s="518"/>
      <c r="D42" s="1280"/>
      <c r="E42" s="1280"/>
      <c r="F42" s="1280"/>
      <c r="I42" s="524"/>
    </row>
    <row r="43" spans="1:9" ht="14.4">
      <c r="A43" s="518"/>
      <c r="B43" s="518"/>
      <c r="D43" s="1280"/>
      <c r="E43" s="1280"/>
      <c r="F43" s="1280"/>
      <c r="I43" s="524"/>
    </row>
    <row r="44" spans="1:9" ht="14.4">
      <c r="A44" s="518"/>
      <c r="B44" s="518"/>
      <c r="D44" s="1280"/>
      <c r="E44" s="1280"/>
      <c r="F44" s="1280"/>
      <c r="I44" s="524"/>
    </row>
    <row r="45" spans="1:9" ht="14.4">
      <c r="A45" s="518"/>
      <c r="B45" s="518"/>
      <c r="D45" s="1280"/>
      <c r="E45" s="1280"/>
      <c r="F45" s="1280"/>
      <c r="I45" s="524"/>
    </row>
    <row r="46" spans="1:9" ht="14.4">
      <c r="A46" s="518"/>
      <c r="B46" s="518"/>
      <c r="D46" s="479"/>
      <c r="E46" s="479"/>
      <c r="F46" s="479"/>
      <c r="I46" s="524"/>
    </row>
    <row r="47" spans="1:9" ht="14.4">
      <c r="A47" s="518"/>
      <c r="B47" s="519" t="s">
        <v>2665</v>
      </c>
      <c r="D47" s="1280" t="s">
        <v>1157</v>
      </c>
      <c r="E47" s="1280"/>
      <c r="F47" s="1280"/>
      <c r="I47" s="524" t="s">
        <v>2142</v>
      </c>
    </row>
    <row r="48" spans="1:9" ht="14.4">
      <c r="A48" s="518"/>
      <c r="B48" s="518"/>
      <c r="D48" s="1280"/>
      <c r="E48" s="1280"/>
      <c r="F48" s="1280"/>
      <c r="I48" s="524"/>
    </row>
    <row r="49" spans="1:9" ht="14.4">
      <c r="A49" s="518"/>
      <c r="B49" s="518"/>
      <c r="D49" s="1280"/>
      <c r="E49" s="1280"/>
      <c r="F49" s="1280"/>
      <c r="I49" s="524"/>
    </row>
    <row r="50" spans="1:9" ht="23.25" customHeight="1">
      <c r="A50" s="518"/>
      <c r="B50" s="518"/>
      <c r="D50" s="1280"/>
      <c r="E50" s="1280"/>
      <c r="F50" s="1280"/>
      <c r="I50" s="524"/>
    </row>
    <row r="51" spans="1:9" ht="14.4">
      <c r="A51" s="518"/>
      <c r="B51" s="518"/>
      <c r="D51" s="480"/>
      <c r="I51" s="524"/>
    </row>
    <row r="52" spans="1:9" ht="14.4" customHeight="1">
      <c r="A52" s="518"/>
      <c r="B52" s="519" t="s">
        <v>2664</v>
      </c>
      <c r="D52" s="1280" t="s">
        <v>1158</v>
      </c>
      <c r="E52" s="1280"/>
      <c r="F52" s="1280"/>
      <c r="I52" s="524" t="s">
        <v>2142</v>
      </c>
    </row>
    <row r="53" spans="1:9" ht="14.4">
      <c r="A53" s="518"/>
      <c r="B53" s="518"/>
      <c r="D53" s="1280"/>
      <c r="E53" s="1280"/>
      <c r="F53" s="1280"/>
      <c r="I53" s="524"/>
    </row>
    <row r="54" spans="1:9" ht="14.4">
      <c r="A54" s="518"/>
      <c r="B54" s="518"/>
      <c r="D54" s="1280"/>
      <c r="E54" s="1280"/>
      <c r="F54" s="1280"/>
      <c r="I54" s="524"/>
    </row>
    <row r="55" spans="1:9" ht="14.4">
      <c r="A55" s="518"/>
      <c r="B55" s="518"/>
      <c r="I55" s="524"/>
    </row>
    <row r="56" spans="1:9" ht="14.4">
      <c r="A56" s="518"/>
      <c r="B56" s="519" t="s">
        <v>2665</v>
      </c>
      <c r="D56" s="1336" t="s">
        <v>1159</v>
      </c>
      <c r="E56" s="1336"/>
      <c r="F56" s="1336"/>
      <c r="I56" s="524"/>
    </row>
    <row r="57" spans="1:9" ht="14.4">
      <c r="A57" s="518"/>
      <c r="B57" s="518"/>
      <c r="D57" s="1336"/>
      <c r="E57" s="1336"/>
      <c r="F57" s="1336"/>
      <c r="I57" s="524"/>
    </row>
    <row r="58" spans="1:9" ht="14.4">
      <c r="A58" s="518"/>
      <c r="B58" s="518"/>
      <c r="D58" s="423" t="s">
        <v>2219</v>
      </c>
      <c r="E58" s="479"/>
      <c r="F58" s="479"/>
      <c r="I58" s="524"/>
    </row>
    <row r="59" spans="1:9" ht="14.4">
      <c r="A59" s="518"/>
      <c r="B59" s="518"/>
      <c r="D59" s="479"/>
      <c r="E59" s="336" t="s">
        <v>2218</v>
      </c>
      <c r="F59" s="479"/>
      <c r="I59" s="524"/>
    </row>
    <row r="60" spans="1:9">
      <c r="D60" s="481"/>
      <c r="I60" s="524"/>
    </row>
    <row r="61" spans="1:9" ht="14.4">
      <c r="A61" s="518"/>
      <c r="B61" s="519" t="s">
        <v>2664</v>
      </c>
      <c r="D61" s="1280" t="s">
        <v>1160</v>
      </c>
      <c r="E61" s="1280"/>
      <c r="F61" s="1280"/>
      <c r="I61" s="524" t="s">
        <v>2073</v>
      </c>
    </row>
    <row r="62" spans="1:9">
      <c r="D62" s="1280"/>
      <c r="E62" s="1280"/>
      <c r="F62" s="1280"/>
      <c r="I62" s="524"/>
    </row>
    <row r="63" spans="1:9">
      <c r="D63" s="1280"/>
      <c r="E63" s="1280"/>
      <c r="F63" s="1280"/>
      <c r="I63" s="524"/>
    </row>
    <row r="64" spans="1:9">
      <c r="I64" s="524"/>
    </row>
    <row r="65" spans="1:9" ht="14.4">
      <c r="A65" s="518"/>
      <c r="B65" s="519" t="s">
        <v>2664</v>
      </c>
      <c r="D65" s="1280" t="s">
        <v>1161</v>
      </c>
      <c r="E65" s="1280"/>
      <c r="F65" s="1280"/>
      <c r="I65" s="524" t="s">
        <v>2074</v>
      </c>
    </row>
    <row r="66" spans="1:9">
      <c r="D66" s="1280"/>
      <c r="E66" s="1280"/>
      <c r="F66" s="1280"/>
      <c r="I66" s="524"/>
    </row>
    <row r="67" spans="1:9">
      <c r="I67" s="524"/>
    </row>
    <row r="68" spans="1:9" ht="14.4">
      <c r="A68" s="518"/>
      <c r="B68" s="519" t="s">
        <v>2664</v>
      </c>
      <c r="D68" s="1280" t="s">
        <v>1162</v>
      </c>
      <c r="E68" s="1280"/>
      <c r="F68" s="1280"/>
      <c r="I68" s="524"/>
    </row>
    <row r="69" spans="1:9">
      <c r="D69" s="1280"/>
      <c r="E69" s="1280"/>
      <c r="F69" s="1280"/>
      <c r="I69" s="524" t="s">
        <v>2075</v>
      </c>
    </row>
    <row r="70" spans="1:9">
      <c r="D70" s="1280"/>
      <c r="E70" s="1280"/>
      <c r="F70" s="1280"/>
      <c r="I70" s="524"/>
    </row>
    <row r="71" spans="1:9">
      <c r="I71" s="524"/>
    </row>
    <row r="72" spans="1:9" ht="14.4">
      <c r="A72" s="518"/>
      <c r="B72" s="519" t="s">
        <v>2664</v>
      </c>
      <c r="D72" s="1280" t="s">
        <v>1163</v>
      </c>
      <c r="E72" s="1280"/>
      <c r="F72" s="1280"/>
      <c r="I72" s="524" t="s">
        <v>2075</v>
      </c>
    </row>
    <row r="73" spans="1:9">
      <c r="D73" s="1280"/>
      <c r="E73" s="1280"/>
      <c r="F73" s="1280"/>
      <c r="I73" s="524"/>
    </row>
    <row r="74" spans="1:9" ht="14.4">
      <c r="A74" s="518"/>
      <c r="B74" s="518"/>
      <c r="D74" s="480"/>
      <c r="I74" s="524"/>
    </row>
    <row r="75" spans="1:9">
      <c r="A75" s="1286" t="s">
        <v>1070</v>
      </c>
      <c r="B75" s="1286"/>
      <c r="C75" s="1286"/>
      <c r="D75" s="1286"/>
      <c r="E75" s="1286"/>
      <c r="F75" s="1286"/>
      <c r="G75" s="1286"/>
      <c r="H75" s="1063"/>
      <c r="I75" s="1256"/>
    </row>
    <row r="76" spans="1:9">
      <c r="I76" s="524"/>
    </row>
    <row r="77" spans="1:9">
      <c r="C77" s="520"/>
      <c r="D77" s="1308" t="s">
        <v>1168</v>
      </c>
      <c r="E77" s="1308"/>
      <c r="F77" s="1308"/>
      <c r="I77" s="524"/>
    </row>
    <row r="78" spans="1:9">
      <c r="A78" s="480"/>
      <c r="B78" s="480"/>
      <c r="D78" s="1280" t="s">
        <v>1195</v>
      </c>
      <c r="E78" s="1280"/>
      <c r="F78" s="1280"/>
      <c r="I78" s="524"/>
    </row>
    <row r="79" spans="1:9">
      <c r="A79" s="480"/>
      <c r="B79" s="480"/>
      <c r="I79" s="524"/>
    </row>
    <row r="80" spans="1:9" ht="13.65" customHeight="1">
      <c r="A80" s="518"/>
      <c r="B80" s="519" t="s">
        <v>2665</v>
      </c>
      <c r="D80" s="1280" t="s">
        <v>1352</v>
      </c>
      <c r="E80" s="1280"/>
      <c r="F80" s="1280"/>
      <c r="I80" s="524" t="s">
        <v>2076</v>
      </c>
    </row>
    <row r="81" spans="1:9" ht="14.4">
      <c r="A81" s="518"/>
      <c r="B81" s="518"/>
      <c r="D81" s="1280"/>
      <c r="E81" s="1280"/>
      <c r="F81" s="1280"/>
      <c r="I81" s="524"/>
    </row>
    <row r="82" spans="1:9" ht="14.4">
      <c r="A82" s="518"/>
      <c r="B82" s="518"/>
      <c r="D82" s="1280"/>
      <c r="E82" s="1280"/>
      <c r="F82" s="1280"/>
      <c r="I82" s="524"/>
    </row>
    <row r="83" spans="1:9" ht="14.4">
      <c r="A83" s="518"/>
      <c r="B83" s="518"/>
      <c r="D83" s="1280"/>
      <c r="E83" s="1280"/>
      <c r="F83" s="1280"/>
      <c r="I83" s="524"/>
    </row>
    <row r="84" spans="1:9" ht="14.4">
      <c r="A84" s="518"/>
      <c r="B84" s="518"/>
      <c r="D84" s="1280"/>
      <c r="E84" s="1280"/>
      <c r="F84" s="1280"/>
      <c r="I84" s="524"/>
    </row>
    <row r="85" spans="1:9" ht="14.4">
      <c r="A85" s="518"/>
      <c r="B85" s="518"/>
      <c r="D85" s="1280"/>
      <c r="E85" s="1280"/>
      <c r="F85" s="1280"/>
      <c r="I85" s="524"/>
    </row>
    <row r="86" spans="1:9" ht="14.4">
      <c r="A86" s="518"/>
      <c r="B86" s="518"/>
      <c r="D86" s="1280"/>
      <c r="E86" s="1280"/>
      <c r="F86" s="1280"/>
      <c r="I86" s="524"/>
    </row>
    <row r="87" spans="1:9" ht="14.4">
      <c r="A87" s="518"/>
      <c r="B87" s="518"/>
      <c r="D87" s="1280"/>
      <c r="E87" s="1280"/>
      <c r="F87" s="1280"/>
      <c r="I87" s="524"/>
    </row>
    <row r="88" spans="1:9" ht="14.4">
      <c r="A88" s="518"/>
      <c r="B88" s="518"/>
      <c r="D88" s="416"/>
      <c r="E88" s="416"/>
      <c r="F88" s="416"/>
      <c r="I88" s="524"/>
    </row>
    <row r="89" spans="1:9" ht="15" customHeight="1">
      <c r="A89" s="518"/>
      <c r="B89" s="519" t="s">
        <v>2665</v>
      </c>
      <c r="D89" s="1280" t="s">
        <v>1930</v>
      </c>
      <c r="E89" s="1280"/>
      <c r="F89" s="1280"/>
      <c r="I89" s="524" t="s">
        <v>2077</v>
      </c>
    </row>
    <row r="90" spans="1:9" ht="14.4">
      <c r="A90" s="518"/>
      <c r="B90" s="518"/>
      <c r="D90" s="1280"/>
      <c r="E90" s="1280"/>
      <c r="F90" s="1280"/>
      <c r="I90" s="524"/>
    </row>
    <row r="91" spans="1:9" ht="14.4">
      <c r="A91" s="518"/>
      <c r="B91" s="518"/>
      <c r="D91" s="479"/>
      <c r="E91" s="479"/>
      <c r="F91" s="479"/>
      <c r="I91" s="524"/>
    </row>
    <row r="92" spans="1:9" ht="14.4">
      <c r="A92" s="518"/>
      <c r="B92" s="519" t="s">
        <v>2665</v>
      </c>
      <c r="D92" s="1280" t="s">
        <v>1933</v>
      </c>
      <c r="E92" s="1280"/>
      <c r="F92" s="1280"/>
      <c r="I92" s="524" t="s">
        <v>2078</v>
      </c>
    </row>
    <row r="93" spans="1:9" ht="14.4">
      <c r="A93" s="518"/>
      <c r="B93" s="518"/>
      <c r="D93" s="1280"/>
      <c r="E93" s="1280"/>
      <c r="F93" s="1280"/>
      <c r="I93" s="524"/>
    </row>
    <row r="94" spans="1:9" ht="14.4">
      <c r="A94" s="518"/>
      <c r="B94" s="518"/>
      <c r="D94" s="1280"/>
      <c r="E94" s="1280"/>
      <c r="F94" s="1280"/>
      <c r="I94" s="524"/>
    </row>
    <row r="95" spans="1:9" ht="14.4">
      <c r="A95" s="518"/>
      <c r="B95" s="518"/>
      <c r="D95" s="479"/>
      <c r="E95" s="479"/>
      <c r="F95" s="479"/>
      <c r="I95" s="524"/>
    </row>
    <row r="96" spans="1:9" ht="14.4">
      <c r="A96" s="518"/>
      <c r="B96" s="519" t="s">
        <v>2665</v>
      </c>
      <c r="D96" s="1280" t="s">
        <v>1932</v>
      </c>
      <c r="E96" s="1280"/>
      <c r="F96" s="1280"/>
      <c r="I96" s="524" t="s">
        <v>2123</v>
      </c>
    </row>
    <row r="97" spans="1:9" s="1022" customFormat="1" ht="14.4">
      <c r="A97" s="1020"/>
      <c r="B97" s="1020"/>
      <c r="C97" s="1021"/>
      <c r="D97" s="1280"/>
      <c r="E97" s="1280"/>
      <c r="F97" s="1280"/>
      <c r="I97" s="1257"/>
    </row>
    <row r="98" spans="1:9" ht="14.4">
      <c r="A98" s="518"/>
      <c r="B98" s="518"/>
      <c r="D98" s="423"/>
      <c r="E98" s="336" t="s">
        <v>2222</v>
      </c>
      <c r="F98" s="479"/>
      <c r="I98" s="524"/>
    </row>
    <row r="99" spans="1:9" ht="14.4">
      <c r="A99" s="518"/>
      <c r="B99" s="518"/>
      <c r="D99" s="416"/>
      <c r="E99" s="416"/>
      <c r="F99" s="416"/>
      <c r="I99" s="524"/>
    </row>
    <row r="100" spans="1:9" ht="14.4">
      <c r="A100" s="518"/>
      <c r="B100" s="519" t="s">
        <v>2664</v>
      </c>
      <c r="D100" s="1280" t="s">
        <v>1931</v>
      </c>
      <c r="E100" s="1280"/>
      <c r="F100" s="1280"/>
      <c r="I100" s="524" t="s">
        <v>2079</v>
      </c>
    </row>
    <row r="101" spans="1:9" ht="14.4">
      <c r="A101" s="518"/>
      <c r="B101" s="518"/>
      <c r="D101" s="1280"/>
      <c r="E101" s="1280"/>
      <c r="F101" s="1280"/>
      <c r="I101" s="524"/>
    </row>
    <row r="102" spans="1:9" ht="14.4">
      <c r="A102" s="518"/>
      <c r="B102" s="518"/>
      <c r="D102" s="479"/>
      <c r="E102" s="479"/>
      <c r="F102" s="479"/>
      <c r="I102" s="524"/>
    </row>
    <row r="103" spans="1:9" ht="14.4" customHeight="1">
      <c r="A103" s="518"/>
      <c r="B103" s="519" t="s">
        <v>2664</v>
      </c>
      <c r="D103" s="1280" t="s">
        <v>1299</v>
      </c>
      <c r="E103" s="1280"/>
      <c r="F103" s="1280"/>
      <c r="I103" s="524" t="s">
        <v>2080</v>
      </c>
    </row>
    <row r="104" spans="1:9" ht="14.4">
      <c r="A104" s="518"/>
      <c r="B104" s="518"/>
      <c r="D104" s="1280"/>
      <c r="E104" s="1280"/>
      <c r="F104" s="1280"/>
      <c r="I104" s="524"/>
    </row>
    <row r="105" spans="1:9" ht="14.4">
      <c r="A105" s="518"/>
      <c r="B105" s="518"/>
      <c r="D105" s="1280"/>
      <c r="E105" s="1280"/>
      <c r="F105" s="1280"/>
      <c r="I105" s="524"/>
    </row>
    <row r="106" spans="1:9" ht="14.4">
      <c r="A106" s="518"/>
      <c r="B106" s="518"/>
      <c r="D106" s="1280"/>
      <c r="E106" s="1280"/>
      <c r="F106" s="1280"/>
      <c r="I106" s="524"/>
    </row>
    <row r="107" spans="1:9" ht="14.4">
      <c r="A107" s="518"/>
      <c r="B107" s="518"/>
      <c r="D107" s="1280"/>
      <c r="E107" s="1280"/>
      <c r="F107" s="1280"/>
      <c r="I107" s="524"/>
    </row>
    <row r="108" spans="1:9" ht="14.4">
      <c r="A108" s="518"/>
      <c r="B108" s="518"/>
      <c r="D108" s="1280"/>
      <c r="E108" s="1280"/>
      <c r="F108" s="1280"/>
      <c r="I108" s="524"/>
    </row>
    <row r="109" spans="1:9" ht="14.4">
      <c r="A109" s="518"/>
      <c r="B109" s="518"/>
      <c r="D109" s="1280"/>
      <c r="E109" s="1280"/>
      <c r="F109" s="1280"/>
      <c r="I109" s="524"/>
    </row>
    <row r="110" spans="1:9" ht="14.4">
      <c r="A110" s="518"/>
      <c r="B110" s="518"/>
      <c r="D110" s="1280"/>
      <c r="E110" s="1280"/>
      <c r="F110" s="1280"/>
      <c r="I110" s="524"/>
    </row>
    <row r="111" spans="1:9" ht="14.4">
      <c r="A111" s="518"/>
      <c r="B111" s="518"/>
      <c r="D111" s="1280"/>
      <c r="E111" s="1280"/>
      <c r="F111" s="1280"/>
      <c r="I111" s="524"/>
    </row>
    <row r="112" spans="1:9" ht="14.4">
      <c r="A112" s="518"/>
      <c r="B112" s="518"/>
      <c r="D112" s="1280"/>
      <c r="E112" s="1280"/>
      <c r="F112" s="1280"/>
      <c r="I112" s="524"/>
    </row>
    <row r="113" spans="1:9" ht="14.4">
      <c r="A113" s="518"/>
      <c r="B113" s="518"/>
      <c r="D113" s="1280"/>
      <c r="E113" s="1280"/>
      <c r="F113" s="1280"/>
      <c r="I113" s="524"/>
    </row>
    <row r="114" spans="1:9" ht="14.4">
      <c r="A114" s="518"/>
      <c r="B114" s="518"/>
      <c r="D114" s="1280"/>
      <c r="E114" s="1280"/>
      <c r="F114" s="1280"/>
      <c r="I114" s="524"/>
    </row>
    <row r="115" spans="1:9" ht="14.4">
      <c r="A115" s="518"/>
      <c r="B115" s="518"/>
      <c r="D115" s="1280"/>
      <c r="E115" s="1280"/>
      <c r="F115" s="1280"/>
      <c r="I115" s="524"/>
    </row>
    <row r="116" spans="1:9" ht="14.4">
      <c r="A116" s="518"/>
      <c r="B116" s="518"/>
      <c r="D116" s="1280"/>
      <c r="E116" s="1280"/>
      <c r="F116" s="1280"/>
      <c r="I116" s="524"/>
    </row>
    <row r="117" spans="1:9" ht="14.4">
      <c r="A117" s="518"/>
      <c r="B117" s="518"/>
      <c r="D117" s="1280"/>
      <c r="E117" s="1280"/>
      <c r="F117" s="1280"/>
      <c r="I117" s="524"/>
    </row>
    <row r="118" spans="1:9" ht="14.4">
      <c r="A118" s="518"/>
      <c r="B118" s="518"/>
      <c r="D118" s="558"/>
      <c r="E118" s="558"/>
      <c r="F118" s="558"/>
      <c r="I118" s="524"/>
    </row>
    <row r="119" spans="1:9" ht="14.25" customHeight="1">
      <c r="A119" s="518"/>
      <c r="B119" s="519" t="s">
        <v>2664</v>
      </c>
      <c r="D119" s="1307" t="s">
        <v>1170</v>
      </c>
      <c r="E119" s="1307"/>
      <c r="F119" s="1307"/>
      <c r="I119" s="524"/>
    </row>
    <row r="120" spans="1:9" ht="14.4">
      <c r="A120" s="518"/>
      <c r="B120" s="518"/>
      <c r="D120" s="1307"/>
      <c r="E120" s="1307"/>
      <c r="F120" s="1307"/>
      <c r="I120" s="524"/>
    </row>
    <row r="121" spans="1:9" ht="14.4">
      <c r="A121" s="518"/>
      <c r="B121" s="518"/>
      <c r="D121" s="1307"/>
      <c r="E121" s="1307"/>
      <c r="F121" s="1307"/>
      <c r="I121" s="524"/>
    </row>
    <row r="122" spans="1:9" ht="14.4">
      <c r="A122" s="518"/>
      <c r="B122" s="518"/>
      <c r="D122" s="1307"/>
      <c r="E122" s="1307"/>
      <c r="F122" s="1307"/>
      <c r="I122" s="524"/>
    </row>
    <row r="123" spans="1:9" ht="14.4">
      <c r="A123" s="518"/>
      <c r="B123" s="518"/>
      <c r="D123" s="1307"/>
      <c r="E123" s="1307"/>
      <c r="F123" s="1307"/>
      <c r="I123" s="524"/>
    </row>
    <row r="124" spans="1:9" ht="14.4">
      <c r="A124" s="518"/>
      <c r="B124" s="518"/>
      <c r="D124" s="1307"/>
      <c r="E124" s="1307"/>
      <c r="F124" s="1307"/>
      <c r="I124" s="524"/>
    </row>
    <row r="125" spans="1:9" ht="14.4">
      <c r="A125" s="518"/>
      <c r="B125" s="518"/>
      <c r="D125" s="1307"/>
      <c r="E125" s="1307"/>
      <c r="F125" s="1307"/>
      <c r="I125" s="524"/>
    </row>
    <row r="126" spans="1:9" ht="14.4">
      <c r="A126" s="518"/>
      <c r="B126" s="518"/>
      <c r="D126" s="1307"/>
      <c r="E126" s="1307"/>
      <c r="F126" s="1307"/>
      <c r="I126" s="524"/>
    </row>
    <row r="127" spans="1:9">
      <c r="C127" s="433"/>
      <c r="D127" s="559"/>
      <c r="E127" s="559"/>
      <c r="F127" s="559"/>
      <c r="I127" s="524"/>
    </row>
    <row r="128" spans="1:9" ht="14.4">
      <c r="A128" s="518"/>
      <c r="B128" s="519" t="s">
        <v>2665</v>
      </c>
      <c r="C128" s="433"/>
      <c r="D128" s="1307" t="s">
        <v>2362</v>
      </c>
      <c r="E128" s="1307"/>
      <c r="F128" s="1307"/>
      <c r="I128" s="524" t="s">
        <v>2081</v>
      </c>
    </row>
    <row r="129" spans="1:9" ht="14.4">
      <c r="A129" s="518"/>
      <c r="B129" s="518"/>
      <c r="C129" s="433"/>
      <c r="D129" s="1307"/>
      <c r="E129" s="1307"/>
      <c r="F129" s="1307"/>
      <c r="I129" s="524"/>
    </row>
    <row r="130" spans="1:9">
      <c r="I130" s="524"/>
    </row>
    <row r="131" spans="1:9" ht="14.4">
      <c r="A131" s="518"/>
      <c r="B131" s="519" t="s">
        <v>2665</v>
      </c>
      <c r="D131" s="1280" t="s">
        <v>1173</v>
      </c>
      <c r="E131" s="1280"/>
      <c r="F131" s="1280"/>
      <c r="I131" s="524" t="s">
        <v>2081</v>
      </c>
    </row>
    <row r="132" spans="1:9">
      <c r="D132" s="1280"/>
      <c r="E132" s="1280"/>
      <c r="F132" s="1280"/>
      <c r="I132" s="524"/>
    </row>
    <row r="133" spans="1:9">
      <c r="D133" s="1280"/>
      <c r="E133" s="1280"/>
      <c r="F133" s="1280"/>
      <c r="I133" s="524"/>
    </row>
    <row r="134" spans="1:9">
      <c r="D134" s="1280"/>
      <c r="E134" s="1280"/>
      <c r="F134" s="1280"/>
      <c r="I134" s="524"/>
    </row>
    <row r="135" spans="1:9">
      <c r="D135" s="1280"/>
      <c r="E135" s="1280"/>
      <c r="F135" s="1280"/>
      <c r="I135" s="524"/>
    </row>
    <row r="136" spans="1:9">
      <c r="I136" s="524"/>
    </row>
    <row r="137" spans="1:9" ht="14.4">
      <c r="A137" s="518"/>
      <c r="B137" s="519" t="s">
        <v>2664</v>
      </c>
      <c r="D137" s="1280" t="s">
        <v>1174</v>
      </c>
      <c r="E137" s="1280"/>
      <c r="F137" s="1280"/>
      <c r="I137" s="524" t="s">
        <v>2082</v>
      </c>
    </row>
    <row r="138" spans="1:9" s="448" customFormat="1" ht="13.65" customHeight="1">
      <c r="A138" s="522"/>
      <c r="B138" s="522"/>
      <c r="C138" s="522"/>
      <c r="D138" s="1280"/>
      <c r="E138" s="1280"/>
      <c r="F138" s="1280"/>
      <c r="I138" s="1258"/>
    </row>
    <row r="139" spans="1:9" ht="13.65" customHeight="1">
      <c r="D139" s="1280"/>
      <c r="E139" s="1280"/>
      <c r="F139" s="1280"/>
      <c r="I139" s="524"/>
    </row>
    <row r="140" spans="1:9" ht="13.65" customHeight="1">
      <c r="D140" s="1280"/>
      <c r="E140" s="1280"/>
      <c r="F140" s="1280"/>
      <c r="I140" s="524"/>
    </row>
    <row r="141" spans="1:9" ht="13.65" customHeight="1">
      <c r="D141" s="1280"/>
      <c r="E141" s="1280"/>
      <c r="F141" s="1280"/>
      <c r="I141" s="524"/>
    </row>
    <row r="142" spans="1:9" ht="13.65" customHeight="1">
      <c r="A142" s="523"/>
      <c r="B142" s="523"/>
      <c r="D142" s="1280"/>
      <c r="E142" s="1280"/>
      <c r="F142" s="1280"/>
      <c r="I142" s="524"/>
    </row>
    <row r="143" spans="1:9" ht="13.65" customHeight="1">
      <c r="D143" s="1280"/>
      <c r="E143" s="1280"/>
      <c r="F143" s="1280"/>
      <c r="I143" s="524"/>
    </row>
    <row r="144" spans="1:9" ht="13.65" customHeight="1">
      <c r="D144" s="1280"/>
      <c r="E144" s="1280"/>
      <c r="F144" s="1280"/>
      <c r="I144" s="524"/>
    </row>
    <row r="145" spans="2:9" ht="13.65" customHeight="1">
      <c r="D145" s="1280"/>
      <c r="E145" s="1280"/>
      <c r="F145" s="1280"/>
      <c r="I145" s="524"/>
    </row>
    <row r="146" spans="2:9" ht="13.65" customHeight="1">
      <c r="D146" s="1280"/>
      <c r="E146" s="1280"/>
      <c r="F146" s="1280"/>
      <c r="I146" s="524"/>
    </row>
    <row r="147" spans="2:9" ht="13.65" customHeight="1">
      <c r="D147" s="1280"/>
      <c r="E147" s="1280"/>
      <c r="F147" s="1280"/>
      <c r="I147" s="524"/>
    </row>
    <row r="148" spans="2:9" ht="13.65" customHeight="1">
      <c r="D148" s="1280"/>
      <c r="E148" s="1280"/>
      <c r="F148" s="1280"/>
      <c r="I148" s="524"/>
    </row>
    <row r="149" spans="2:9" ht="13.65" customHeight="1">
      <c r="D149" s="1280"/>
      <c r="E149" s="1280"/>
      <c r="F149" s="1280"/>
      <c r="I149" s="524"/>
    </row>
    <row r="150" spans="2:9" ht="13.65" customHeight="1">
      <c r="D150" s="510"/>
      <c r="E150" s="480"/>
      <c r="F150" s="480"/>
      <c r="I150" s="524"/>
    </row>
    <row r="151" spans="2:9" ht="13.65" customHeight="1">
      <c r="B151" s="519" t="s">
        <v>2664</v>
      </c>
      <c r="D151" s="1280" t="s">
        <v>1282</v>
      </c>
      <c r="E151" s="1280"/>
      <c r="F151" s="1280"/>
      <c r="I151" s="524" t="s">
        <v>2083</v>
      </c>
    </row>
    <row r="152" spans="2:9" ht="13.65" customHeight="1">
      <c r="D152" s="1280"/>
      <c r="E152" s="1280"/>
      <c r="F152" s="1280"/>
      <c r="I152" s="524"/>
    </row>
    <row r="153" spans="2:9" ht="13.65" customHeight="1">
      <c r="D153" s="1280"/>
      <c r="E153" s="1280"/>
      <c r="F153" s="1280"/>
      <c r="I153" s="524"/>
    </row>
    <row r="154" spans="2:9" ht="13.65" customHeight="1">
      <c r="D154" s="1280"/>
      <c r="E154" s="1280"/>
      <c r="F154" s="1280"/>
      <c r="I154" s="524"/>
    </row>
    <row r="155" spans="2:9" ht="13.65" customHeight="1">
      <c r="D155" s="1280"/>
      <c r="E155" s="1280"/>
      <c r="F155" s="1280"/>
      <c r="I155" s="524"/>
    </row>
    <row r="156" spans="2:9" ht="13.65" customHeight="1">
      <c r="D156" s="1280"/>
      <c r="E156" s="1280"/>
      <c r="F156" s="1280"/>
      <c r="I156" s="524"/>
    </row>
    <row r="157" spans="2:9" ht="13.65" customHeight="1">
      <c r="D157" s="1280"/>
      <c r="E157" s="1280"/>
      <c r="F157" s="1280"/>
      <c r="I157" s="524"/>
    </row>
    <row r="158" spans="2:9" ht="13.65" customHeight="1">
      <c r="D158" s="1280"/>
      <c r="E158" s="1280"/>
      <c r="F158" s="1280"/>
      <c r="I158" s="524"/>
    </row>
    <row r="159" spans="2:9" ht="13.65" customHeight="1">
      <c r="D159" s="1280"/>
      <c r="E159" s="1280"/>
      <c r="F159" s="1280"/>
      <c r="I159" s="524"/>
    </row>
    <row r="160" spans="2:9" ht="13.65" customHeight="1">
      <c r="D160" s="1280"/>
      <c r="E160" s="1280"/>
      <c r="F160" s="1280"/>
      <c r="I160" s="524"/>
    </row>
    <row r="161" spans="1:9" ht="13.65" customHeight="1">
      <c r="D161" s="1280"/>
      <c r="E161" s="1280"/>
      <c r="F161" s="1280"/>
      <c r="I161" s="524"/>
    </row>
    <row r="162" spans="1:9" ht="13.65" customHeight="1">
      <c r="D162" s="1280"/>
      <c r="E162" s="1280"/>
      <c r="F162" s="1280"/>
      <c r="I162" s="524"/>
    </row>
    <row r="163" spans="1:9" ht="13.65" customHeight="1">
      <c r="D163" s="1280"/>
      <c r="E163" s="1280"/>
      <c r="F163" s="1280"/>
      <c r="I163" s="524"/>
    </row>
    <row r="164" spans="1:9" ht="13.65" customHeight="1">
      <c r="D164" s="1280"/>
      <c r="E164" s="1280"/>
      <c r="F164" s="1280"/>
      <c r="I164" s="524"/>
    </row>
    <row r="165" spans="1:9" ht="13.65" customHeight="1">
      <c r="D165" s="1280"/>
      <c r="E165" s="1280"/>
      <c r="F165" s="1280"/>
      <c r="I165" s="524"/>
    </row>
    <row r="166" spans="1:9" ht="13.65" customHeight="1">
      <c r="D166" s="1280"/>
      <c r="E166" s="1280"/>
      <c r="F166" s="1280"/>
      <c r="I166" s="524"/>
    </row>
    <row r="167" spans="1:9" ht="13.65" customHeight="1">
      <c r="D167" s="1280"/>
      <c r="E167" s="1280"/>
      <c r="F167" s="1280"/>
      <c r="I167" s="524"/>
    </row>
    <row r="168" spans="1:9" ht="13.65" customHeight="1">
      <c r="D168" s="1280"/>
      <c r="E168" s="1280"/>
      <c r="F168" s="1280"/>
      <c r="I168" s="524"/>
    </row>
    <row r="169" spans="1:9" ht="13.65" customHeight="1">
      <c r="D169" s="1338" t="s">
        <v>2386</v>
      </c>
      <c r="E169" s="1338"/>
      <c r="F169" s="1338"/>
      <c r="G169" s="541"/>
      <c r="I169" s="524"/>
    </row>
    <row r="170" spans="1:9" ht="13.65" customHeight="1">
      <c r="D170" s="1313"/>
      <c r="E170" s="1313"/>
      <c r="F170" s="1313"/>
      <c r="G170" s="1313"/>
      <c r="I170" s="524"/>
    </row>
    <row r="171" spans="1:9" ht="14.4" customHeight="1">
      <c r="A171" s="523"/>
      <c r="B171" s="519" t="s">
        <v>2665</v>
      </c>
      <c r="C171" s="510"/>
      <c r="D171" s="1268" t="s">
        <v>2574</v>
      </c>
      <c r="E171" s="1268"/>
      <c r="F171" s="1268"/>
      <c r="G171" s="510"/>
      <c r="I171" s="524" t="s">
        <v>2078</v>
      </c>
    </row>
    <row r="172" spans="1:9" ht="14.4" customHeight="1">
      <c r="A172" s="523"/>
      <c r="B172" s="523"/>
      <c r="C172" s="510"/>
      <c r="D172" s="1268"/>
      <c r="E172" s="1268"/>
      <c r="F172" s="1268"/>
      <c r="G172" s="510"/>
      <c r="I172" s="524"/>
    </row>
    <row r="173" spans="1:9" ht="14.4" customHeight="1">
      <c r="A173" s="523"/>
      <c r="B173" s="523"/>
      <c r="C173" s="510"/>
      <c r="D173" s="1268"/>
      <c r="E173" s="1268"/>
      <c r="F173" s="1268"/>
      <c r="G173" s="510"/>
      <c r="I173" s="524"/>
    </row>
    <row r="174" spans="1:9" ht="14.4" customHeight="1">
      <c r="A174" s="523"/>
      <c r="B174" s="523"/>
      <c r="C174" s="510"/>
      <c r="D174" s="1268"/>
      <c r="E174" s="1268"/>
      <c r="F174" s="1268"/>
      <c r="G174" s="510"/>
      <c r="I174" s="524"/>
    </row>
    <row r="175" spans="1:9" ht="13.65" customHeight="1">
      <c r="A175" s="523"/>
      <c r="B175" s="523"/>
      <c r="C175" s="510"/>
      <c r="D175" s="1268"/>
      <c r="E175" s="1268"/>
      <c r="F175" s="1268"/>
      <c r="G175" s="510"/>
      <c r="I175" s="524"/>
    </row>
    <row r="176" spans="1:9" ht="13.65" customHeight="1">
      <c r="A176" s="523"/>
      <c r="B176" s="523"/>
      <c r="C176" s="510"/>
      <c r="D176" s="510"/>
      <c r="E176" s="510"/>
      <c r="F176" s="510"/>
      <c r="G176" s="510"/>
      <c r="I176" s="524"/>
    </row>
    <row r="177" spans="1:9" ht="13.65" customHeight="1">
      <c r="A177" s="523"/>
      <c r="B177" s="519" t="s">
        <v>2664</v>
      </c>
      <c r="C177" s="510"/>
      <c r="D177" s="1268" t="s">
        <v>1176</v>
      </c>
      <c r="E177" s="1268"/>
      <c r="F177" s="1268"/>
      <c r="G177" s="510"/>
      <c r="I177" s="524" t="s">
        <v>2084</v>
      </c>
    </row>
    <row r="178" spans="1:9" ht="13.65" customHeight="1">
      <c r="A178" s="523"/>
      <c r="B178" s="523"/>
      <c r="C178" s="510"/>
      <c r="D178" s="1268"/>
      <c r="E178" s="1268"/>
      <c r="F178" s="1268"/>
      <c r="G178" s="510"/>
      <c r="I178" s="524"/>
    </row>
    <row r="179" spans="1:9" ht="13.65" customHeight="1">
      <c r="A179" s="523"/>
      <c r="B179" s="523"/>
      <c r="C179" s="510"/>
      <c r="D179" s="1268"/>
      <c r="E179" s="1268"/>
      <c r="F179" s="1268"/>
      <c r="G179" s="510"/>
      <c r="I179" s="524"/>
    </row>
    <row r="180" spans="1:9" ht="13.65" customHeight="1">
      <c r="A180" s="523"/>
      <c r="B180" s="523"/>
      <c r="C180" s="510"/>
      <c r="D180" s="1268"/>
      <c r="E180" s="1268"/>
      <c r="F180" s="1268"/>
      <c r="G180" s="510"/>
      <c r="I180" s="524"/>
    </row>
    <row r="181" spans="1:9" ht="13.65" customHeight="1">
      <c r="D181" s="480"/>
      <c r="E181" s="480"/>
      <c r="F181" s="480"/>
      <c r="I181" s="524"/>
    </row>
    <row r="182" spans="1:9" ht="13.65" customHeight="1">
      <c r="B182" s="519" t="s">
        <v>2664</v>
      </c>
      <c r="D182" s="1302" t="s">
        <v>2363</v>
      </c>
      <c r="E182" s="1302"/>
      <c r="F182" s="1302"/>
      <c r="I182" s="524" t="s">
        <v>2085</v>
      </c>
    </row>
    <row r="183" spans="1:9" ht="13.65" customHeight="1">
      <c r="D183" s="1302"/>
      <c r="E183" s="1302"/>
      <c r="F183" s="1302"/>
      <c r="I183" s="524"/>
    </row>
    <row r="184" spans="1:9" ht="13.65" customHeight="1">
      <c r="D184" s="1302"/>
      <c r="E184" s="1302"/>
      <c r="F184" s="1302"/>
      <c r="I184" s="524"/>
    </row>
    <row r="185" spans="1:9" ht="13.65" customHeight="1">
      <c r="A185" s="524"/>
      <c r="B185" s="524"/>
      <c r="E185" s="480"/>
      <c r="F185" s="480"/>
      <c r="I185" s="524"/>
    </row>
    <row r="186" spans="1:9">
      <c r="A186" s="1286" t="s">
        <v>2364</v>
      </c>
      <c r="B186" s="1286"/>
      <c r="C186" s="1286"/>
      <c r="D186" s="1286"/>
      <c r="E186" s="1286"/>
      <c r="F186" s="1286"/>
      <c r="G186" s="1286"/>
      <c r="H186" s="1063"/>
      <c r="I186" s="1256"/>
    </row>
    <row r="187" spans="1:9" ht="12" customHeight="1">
      <c r="D187" s="480"/>
      <c r="E187" s="480"/>
      <c r="F187" s="480"/>
      <c r="I187" s="524"/>
    </row>
    <row r="188" spans="1:9">
      <c r="B188" s="1295" t="s">
        <v>447</v>
      </c>
      <c r="C188" s="1295"/>
      <c r="D188" s="1295"/>
      <c r="E188" s="1295"/>
      <c r="F188" s="1295"/>
      <c r="I188" s="524"/>
    </row>
    <row r="189" spans="1:9">
      <c r="B189" s="423" t="s">
        <v>2064</v>
      </c>
      <c r="C189" s="423"/>
      <c r="D189" s="423"/>
      <c r="E189" s="423"/>
      <c r="F189" s="423"/>
      <c r="I189" s="524"/>
    </row>
    <row r="190" spans="1:9" ht="12" customHeight="1">
      <c r="A190" s="516"/>
      <c r="B190" s="516"/>
      <c r="C190" s="516"/>
      <c r="I190" s="524"/>
    </row>
    <row r="191" spans="1:9">
      <c r="A191" s="1286" t="s">
        <v>1072</v>
      </c>
      <c r="B191" s="1286"/>
      <c r="C191" s="1286"/>
      <c r="D191" s="1286"/>
      <c r="E191" s="1286"/>
      <c r="F191" s="1286"/>
      <c r="G191" s="1286"/>
      <c r="H191" s="1063"/>
      <c r="I191" s="1256"/>
    </row>
    <row r="192" spans="1:9" ht="12" customHeight="1">
      <c r="A192" s="435"/>
      <c r="B192" s="435"/>
      <c r="E192" s="435"/>
      <c r="I192" s="524"/>
    </row>
    <row r="193" spans="1:9" ht="13.65" customHeight="1">
      <c r="A193" s="435"/>
      <c r="B193" s="435"/>
      <c r="D193" s="1308" t="s">
        <v>1934</v>
      </c>
      <c r="E193" s="1308"/>
      <c r="F193" s="1308"/>
      <c r="I193" s="524"/>
    </row>
    <row r="194" spans="1:9">
      <c r="A194" s="435"/>
      <c r="B194" s="435"/>
      <c r="D194" s="1308"/>
      <c r="E194" s="1308"/>
      <c r="F194" s="1308"/>
      <c r="I194" s="524"/>
    </row>
    <row r="195" spans="1:9">
      <c r="A195" s="435"/>
      <c r="B195" s="435"/>
      <c r="D195" s="1295" t="s">
        <v>1300</v>
      </c>
      <c r="E195" s="1295"/>
      <c r="F195" s="1295"/>
      <c r="I195" s="524"/>
    </row>
    <row r="196" spans="1:9">
      <c r="A196" s="435"/>
      <c r="B196" s="435"/>
      <c r="D196" s="423"/>
      <c r="E196" s="423"/>
      <c r="F196" s="423"/>
      <c r="I196" s="524"/>
    </row>
    <row r="197" spans="1:9">
      <c r="A197" s="435"/>
      <c r="B197" s="519" t="s">
        <v>2664</v>
      </c>
      <c r="D197" s="1285" t="s">
        <v>1935</v>
      </c>
      <c r="E197" s="1285"/>
      <c r="F197" s="1285"/>
      <c r="I197" s="524" t="s">
        <v>2134</v>
      </c>
    </row>
    <row r="198" spans="1:9">
      <c r="A198" s="435"/>
      <c r="B198" s="435"/>
      <c r="D198" s="1289" t="s">
        <v>2200</v>
      </c>
      <c r="E198" s="1289"/>
      <c r="F198" s="1289"/>
      <c r="I198" s="524"/>
    </row>
    <row r="199" spans="1:9">
      <c r="A199" s="435"/>
      <c r="B199" s="435"/>
      <c r="D199" s="96" t="s">
        <v>1936</v>
      </c>
      <c r="E199" s="1337" t="s">
        <v>2223</v>
      </c>
      <c r="F199" s="1337"/>
      <c r="I199" s="524"/>
    </row>
    <row r="200" spans="1:9">
      <c r="A200" s="435"/>
      <c r="B200" s="435"/>
      <c r="D200" s="3"/>
      <c r="E200" s="3"/>
      <c r="F200" s="3"/>
      <c r="I200" s="524"/>
    </row>
    <row r="201" spans="1:9">
      <c r="A201" s="435"/>
      <c r="B201" s="519" t="s">
        <v>2664</v>
      </c>
      <c r="D201" s="1289" t="s">
        <v>1937</v>
      </c>
      <c r="E201" s="1289"/>
      <c r="F201" s="1289"/>
      <c r="I201" s="524" t="s">
        <v>2135</v>
      </c>
    </row>
    <row r="202" spans="1:9">
      <c r="A202" s="435"/>
      <c r="B202" s="435"/>
      <c r="D202" s="1285" t="s">
        <v>2200</v>
      </c>
      <c r="E202" s="1285"/>
      <c r="F202" s="1285"/>
      <c r="I202" s="524"/>
    </row>
    <row r="203" spans="1:9">
      <c r="A203" s="435"/>
      <c r="B203" s="435"/>
      <c r="D203" s="57" t="s">
        <v>1938</v>
      </c>
      <c r="E203" s="1337" t="s">
        <v>2224</v>
      </c>
      <c r="F203" s="1337"/>
      <c r="I203" s="524"/>
    </row>
    <row r="204" spans="1:9">
      <c r="A204" s="435"/>
      <c r="B204" s="435"/>
      <c r="D204" s="3"/>
      <c r="E204" s="3"/>
      <c r="F204" s="3"/>
      <c r="I204" s="524"/>
    </row>
    <row r="205" spans="1:9">
      <c r="A205" s="435"/>
      <c r="B205" s="519" t="s">
        <v>2664</v>
      </c>
      <c r="D205" s="1289" t="s">
        <v>1939</v>
      </c>
      <c r="E205" s="1289"/>
      <c r="F205" s="1289"/>
      <c r="I205" s="524" t="s">
        <v>2136</v>
      </c>
    </row>
    <row r="206" spans="1:9">
      <c r="A206" s="435"/>
      <c r="B206" s="435"/>
      <c r="D206" s="1285" t="s">
        <v>2200</v>
      </c>
      <c r="E206" s="1285"/>
      <c r="F206" s="1285"/>
      <c r="I206" s="524"/>
    </row>
    <row r="207" spans="1:9">
      <c r="A207" s="435"/>
      <c r="B207" s="435"/>
      <c r="D207" s="57" t="s">
        <v>1936</v>
      </c>
      <c r="E207" s="1337" t="s">
        <v>2225</v>
      </c>
      <c r="F207" s="1337"/>
      <c r="I207" s="524"/>
    </row>
    <row r="208" spans="1:9">
      <c r="A208" s="435"/>
      <c r="B208" s="435"/>
      <c r="D208" s="423"/>
      <c r="E208" s="423"/>
      <c r="F208" s="423"/>
      <c r="I208" s="524"/>
    </row>
    <row r="209" spans="1:9" ht="14.25" customHeight="1">
      <c r="A209" s="518"/>
      <c r="B209" s="519" t="s">
        <v>2664</v>
      </c>
      <c r="D209" s="417" t="s">
        <v>2193</v>
      </c>
      <c r="E209" s="416"/>
      <c r="F209" s="416"/>
      <c r="I209" s="524" t="s">
        <v>2137</v>
      </c>
    </row>
    <row r="210" spans="1:9" ht="14.4">
      <c r="A210" s="518"/>
      <c r="B210" s="518"/>
      <c r="D210" s="1285" t="s">
        <v>2200</v>
      </c>
      <c r="E210" s="1285"/>
      <c r="F210" s="1285"/>
      <c r="I210" s="524"/>
    </row>
    <row r="211" spans="1:9">
      <c r="D211" s="416"/>
      <c r="E211" s="1337" t="s">
        <v>2226</v>
      </c>
      <c r="F211" s="1337"/>
      <c r="I211" s="524"/>
    </row>
    <row r="212" spans="1:9">
      <c r="D212" s="481"/>
      <c r="I212" s="524"/>
    </row>
    <row r="213" spans="1:9">
      <c r="B213" s="519" t="s">
        <v>2664</v>
      </c>
      <c r="D213" s="1289" t="s">
        <v>1940</v>
      </c>
      <c r="E213" s="1289"/>
      <c r="F213" s="1289"/>
      <c r="I213" s="524" t="s">
        <v>2138</v>
      </c>
    </row>
    <row r="214" spans="1:9">
      <c r="D214" s="1285" t="s">
        <v>2200</v>
      </c>
      <c r="E214" s="1285"/>
      <c r="F214" s="1285"/>
      <c r="I214" s="524"/>
    </row>
    <row r="215" spans="1:9">
      <c r="D215" s="57" t="s">
        <v>1936</v>
      </c>
      <c r="E215" s="1337" t="s">
        <v>2227</v>
      </c>
      <c r="F215" s="1337"/>
      <c r="I215" s="524"/>
    </row>
    <row r="216" spans="1:9">
      <c r="D216" s="485"/>
      <c r="E216" s="485"/>
      <c r="F216" s="485"/>
      <c r="I216" s="524"/>
    </row>
    <row r="217" spans="1:9" ht="14.4">
      <c r="A217" s="518"/>
      <c r="B217" s="519" t="s">
        <v>2664</v>
      </c>
      <c r="D217" s="1280" t="s">
        <v>1321</v>
      </c>
      <c r="E217" s="1280"/>
      <c r="F217" s="1280"/>
      <c r="I217" s="524"/>
    </row>
    <row r="218" spans="1:9" ht="14.4" customHeight="1">
      <c r="A218" s="518"/>
      <c r="B218" s="433"/>
      <c r="D218" s="1280"/>
      <c r="E218" s="1280"/>
      <c r="F218" s="1280"/>
      <c r="I218" s="524"/>
    </row>
    <row r="219" spans="1:9" ht="14.4">
      <c r="A219" s="518"/>
      <c r="D219" s="1280"/>
      <c r="E219" s="1280"/>
      <c r="F219" s="1280"/>
      <c r="I219" s="524"/>
    </row>
    <row r="220" spans="1:9" ht="14.4">
      <c r="A220" s="518"/>
      <c r="D220" s="1280"/>
      <c r="E220" s="1280"/>
      <c r="F220" s="1280"/>
      <c r="I220" s="524"/>
    </row>
    <row r="221" spans="1:9">
      <c r="D221" s="485"/>
      <c r="E221" s="485"/>
      <c r="F221" s="485"/>
      <c r="I221" s="524"/>
    </row>
    <row r="222" spans="1:9">
      <c r="A222" s="1286" t="s">
        <v>1073</v>
      </c>
      <c r="B222" s="1286"/>
      <c r="C222" s="1286"/>
      <c r="D222" s="1286"/>
      <c r="E222" s="1286"/>
      <c r="F222" s="1286"/>
      <c r="G222" s="1286"/>
      <c r="H222" s="1063"/>
      <c r="I222" s="1256"/>
    </row>
    <row r="223" spans="1:9" ht="12" customHeight="1">
      <c r="D223" s="480"/>
      <c r="E223" s="480"/>
      <c r="F223" s="480"/>
      <c r="I223" s="524"/>
    </row>
    <row r="224" spans="1:9">
      <c r="C224" s="520"/>
      <c r="D224" s="1278" t="s">
        <v>208</v>
      </c>
      <c r="E224" s="1278"/>
      <c r="F224" s="1278"/>
      <c r="I224" s="524"/>
    </row>
    <row r="225" spans="1:9">
      <c r="A225" s="516"/>
      <c r="B225" s="516"/>
      <c r="C225" s="516"/>
      <c r="D225" s="1309" t="s">
        <v>1202</v>
      </c>
      <c r="E225" s="1309"/>
      <c r="F225" s="1309"/>
      <c r="I225" s="524"/>
    </row>
    <row r="226" spans="1:9" ht="12" customHeight="1">
      <c r="A226" s="524"/>
      <c r="B226" s="524"/>
      <c r="C226" s="524"/>
      <c r="I226" s="524"/>
    </row>
    <row r="227" spans="1:9" ht="13.65" customHeight="1">
      <c r="A227" s="524"/>
      <c r="C227" s="524"/>
      <c r="D227" s="1278" t="s">
        <v>553</v>
      </c>
      <c r="E227" s="1278"/>
      <c r="F227" s="1278"/>
      <c r="I227" s="524" t="s">
        <v>2086</v>
      </c>
    </row>
    <row r="228" spans="1:9" ht="14.4">
      <c r="A228" s="518"/>
      <c r="B228" s="519" t="s">
        <v>2665</v>
      </c>
      <c r="D228" s="1280" t="s">
        <v>1941</v>
      </c>
      <c r="E228" s="1280"/>
      <c r="F228" s="1280"/>
      <c r="I228" s="524"/>
    </row>
    <row r="229" spans="1:9" ht="14.25" customHeight="1">
      <c r="A229" s="518"/>
      <c r="B229" s="518"/>
      <c r="D229" s="1280"/>
      <c r="E229" s="1280"/>
      <c r="F229" s="1280"/>
      <c r="I229" s="524"/>
    </row>
    <row r="230" spans="1:9" ht="14.25" customHeight="1">
      <c r="A230" s="518"/>
      <c r="B230" s="518"/>
      <c r="D230" s="1280"/>
      <c r="E230" s="1280"/>
      <c r="F230" s="1280"/>
      <c r="I230" s="524"/>
    </row>
    <row r="231" spans="1:9" ht="14.4">
      <c r="A231" s="518"/>
      <c r="B231" s="518"/>
      <c r="D231" s="1280"/>
      <c r="E231" s="1280"/>
      <c r="F231" s="1280"/>
      <c r="I231" s="524"/>
    </row>
    <row r="232" spans="1:9" ht="14.4">
      <c r="A232" s="518"/>
      <c r="B232" s="518"/>
      <c r="D232" s="479"/>
      <c r="E232" s="479"/>
      <c r="F232" s="479"/>
      <c r="I232" s="524"/>
    </row>
    <row r="233" spans="1:9" ht="14.4">
      <c r="A233" s="518"/>
      <c r="B233" s="519" t="s">
        <v>2665</v>
      </c>
      <c r="D233" s="1280" t="s">
        <v>1942</v>
      </c>
      <c r="E233" s="1280"/>
      <c r="F233" s="1280"/>
      <c r="I233" s="524" t="s">
        <v>2087</v>
      </c>
    </row>
    <row r="234" spans="1:9" ht="14.4">
      <c r="A234" s="518"/>
      <c r="B234" s="518"/>
      <c r="D234" s="1280"/>
      <c r="E234" s="1280"/>
      <c r="F234" s="1280"/>
      <c r="I234" s="524"/>
    </row>
    <row r="235" spans="1:9" ht="14.4">
      <c r="A235" s="518"/>
      <c r="B235" s="518"/>
      <c r="D235" s="1280"/>
      <c r="E235" s="1280"/>
      <c r="F235" s="1280"/>
      <c r="I235" s="524"/>
    </row>
    <row r="236" spans="1:9" ht="14.4">
      <c r="A236" s="518"/>
      <c r="B236" s="518"/>
      <c r="D236" s="1280"/>
      <c r="E236" s="1280"/>
      <c r="F236" s="1280"/>
      <c r="I236" s="524"/>
    </row>
    <row r="237" spans="1:9" ht="14.25" customHeight="1">
      <c r="A237" s="518"/>
      <c r="B237" s="518"/>
      <c r="D237" s="1280"/>
      <c r="E237" s="1280"/>
      <c r="F237" s="1280"/>
      <c r="I237" s="524"/>
    </row>
    <row r="238" spans="1:9" ht="14.25" customHeight="1">
      <c r="A238" s="518"/>
      <c r="B238" s="518"/>
      <c r="D238" s="479"/>
      <c r="E238" s="479"/>
      <c r="F238" s="479"/>
      <c r="I238" s="524"/>
    </row>
    <row r="239" spans="1:9" ht="14.4">
      <c r="A239" s="518"/>
      <c r="B239" s="518"/>
      <c r="D239" s="1280" t="s">
        <v>1198</v>
      </c>
      <c r="E239" s="1280"/>
      <c r="F239" s="1280"/>
      <c r="I239" s="524" t="s">
        <v>2086</v>
      </c>
    </row>
    <row r="240" spans="1:9" ht="14.4">
      <c r="A240" s="518"/>
      <c r="B240" s="518"/>
      <c r="D240" s="1280"/>
      <c r="E240" s="1280"/>
      <c r="F240" s="1280"/>
      <c r="I240" s="524"/>
    </row>
    <row r="241" spans="1:9" ht="14.4">
      <c r="A241" s="518"/>
      <c r="B241" s="518"/>
      <c r="D241" s="1280"/>
      <c r="E241" s="1280"/>
      <c r="F241" s="1280"/>
      <c r="I241" s="524"/>
    </row>
    <row r="242" spans="1:9" ht="14.4">
      <c r="A242" s="518"/>
      <c r="B242" s="518"/>
      <c r="D242" s="1280"/>
      <c r="E242" s="1280"/>
      <c r="F242" s="1280"/>
      <c r="I242" s="524"/>
    </row>
    <row r="243" spans="1:9" ht="14.4">
      <c r="A243" s="518"/>
      <c r="B243" s="518"/>
      <c r="D243" s="1280"/>
      <c r="E243" s="1280"/>
      <c r="F243" s="1280"/>
      <c r="I243" s="524"/>
    </row>
    <row r="244" spans="1:9" ht="14.4">
      <c r="A244" s="518"/>
      <c r="B244" s="518"/>
      <c r="D244" s="480"/>
      <c r="E244" s="480"/>
      <c r="F244" s="480"/>
      <c r="I244" s="524"/>
    </row>
    <row r="245" spans="1:9" ht="14.4">
      <c r="A245" s="518"/>
      <c r="B245" s="519" t="s">
        <v>2664</v>
      </c>
      <c r="D245" s="1280" t="s">
        <v>2365</v>
      </c>
      <c r="E245" s="1280"/>
      <c r="F245" s="1280"/>
      <c r="I245" s="524" t="s">
        <v>2125</v>
      </c>
    </row>
    <row r="246" spans="1:9" ht="14.4">
      <c r="A246" s="518"/>
      <c r="B246" s="518"/>
      <c r="D246" s="1280"/>
      <c r="E246" s="1280"/>
      <c r="F246" s="1280"/>
      <c r="I246" s="524"/>
    </row>
    <row r="247" spans="1:9" ht="14.4">
      <c r="A247" s="518"/>
      <c r="B247" s="518"/>
      <c r="D247" s="1280"/>
      <c r="E247" s="1280"/>
      <c r="F247" s="1280"/>
      <c r="I247" s="524"/>
    </row>
    <row r="248" spans="1:9" ht="14.4">
      <c r="A248" s="518"/>
      <c r="B248" s="518"/>
      <c r="E248" s="1071" t="s">
        <v>2194</v>
      </c>
      <c r="I248" s="524"/>
    </row>
    <row r="249" spans="1:9" ht="14.4">
      <c r="A249" s="518"/>
      <c r="B249" s="518"/>
      <c r="D249" s="480"/>
      <c r="E249" s="480"/>
      <c r="F249" s="480"/>
      <c r="I249" s="524"/>
    </row>
    <row r="250" spans="1:9" ht="14.4" customHeight="1">
      <c r="A250" s="518"/>
      <c r="B250" s="519" t="s">
        <v>2664</v>
      </c>
      <c r="D250" s="1280" t="s">
        <v>2366</v>
      </c>
      <c r="E250" s="1280"/>
      <c r="F250" s="1280"/>
      <c r="I250" s="524" t="s">
        <v>2143</v>
      </c>
    </row>
    <row r="251" spans="1:9" ht="14.4">
      <c r="A251" s="518"/>
      <c r="B251" s="518"/>
      <c r="D251" s="1280"/>
      <c r="E251" s="1280"/>
      <c r="F251" s="1280"/>
      <c r="I251" s="524"/>
    </row>
    <row r="252" spans="1:9" ht="14.4">
      <c r="A252" s="518"/>
      <c r="B252" s="518"/>
      <c r="D252" s="1280"/>
      <c r="E252" s="1280"/>
      <c r="F252" s="1280"/>
      <c r="I252" s="524"/>
    </row>
    <row r="253" spans="1:9" ht="14.4">
      <c r="A253" s="518"/>
      <c r="B253" s="518"/>
      <c r="D253" s="1280"/>
      <c r="E253" s="1280"/>
      <c r="F253" s="1280"/>
      <c r="I253" s="524"/>
    </row>
    <row r="254" spans="1:9" ht="14.4">
      <c r="A254" s="518"/>
      <c r="B254" s="518"/>
      <c r="D254" s="1280"/>
      <c r="E254" s="1280"/>
      <c r="F254" s="1280"/>
      <c r="I254" s="524"/>
    </row>
    <row r="255" spans="1:9" ht="14.4">
      <c r="A255" s="518"/>
      <c r="B255" s="518"/>
      <c r="D255" s="479"/>
      <c r="E255" s="479"/>
      <c r="F255" s="479"/>
      <c r="I255" s="524"/>
    </row>
    <row r="256" spans="1:9" ht="14.4">
      <c r="A256" s="518"/>
      <c r="B256" s="519" t="s">
        <v>2665</v>
      </c>
      <c r="D256" s="423" t="s">
        <v>2367</v>
      </c>
      <c r="E256" s="479"/>
      <c r="F256" s="479"/>
      <c r="I256" s="524" t="s">
        <v>2124</v>
      </c>
    </row>
    <row r="257" spans="1:9" ht="14.4">
      <c r="A257" s="518"/>
      <c r="B257" s="518"/>
      <c r="E257" s="1071" t="s">
        <v>2195</v>
      </c>
      <c r="I257" s="524"/>
    </row>
    <row r="258" spans="1:9">
      <c r="D258" s="480"/>
      <c r="E258" s="480"/>
      <c r="F258" s="480"/>
      <c r="I258" s="524"/>
    </row>
    <row r="259" spans="1:9" ht="14.4">
      <c r="A259" s="518"/>
      <c r="B259" s="519" t="s">
        <v>2665</v>
      </c>
      <c r="D259" s="1280" t="s">
        <v>1200</v>
      </c>
      <c r="E259" s="1280"/>
      <c r="F259" s="1280"/>
      <c r="I259" s="524"/>
    </row>
    <row r="260" spans="1:9" ht="14.4">
      <c r="A260" s="518"/>
      <c r="B260" s="518"/>
      <c r="D260" s="1280"/>
      <c r="E260" s="1280"/>
      <c r="F260" s="1280"/>
      <c r="I260" s="524"/>
    </row>
    <row r="261" spans="1:9">
      <c r="D261" s="525"/>
      <c r="I261" s="524"/>
    </row>
    <row r="262" spans="1:9">
      <c r="A262" s="1286" t="s">
        <v>1074</v>
      </c>
      <c r="B262" s="1286"/>
      <c r="C262" s="1286"/>
      <c r="D262" s="1286"/>
      <c r="E262" s="1286"/>
      <c r="F262" s="1286"/>
      <c r="G262" s="1286"/>
      <c r="H262" s="1063"/>
      <c r="I262" s="1256"/>
    </row>
    <row r="263" spans="1:9">
      <c r="D263" s="525"/>
      <c r="I263" s="524"/>
    </row>
    <row r="264" spans="1:9">
      <c r="C264" s="520"/>
      <c r="D264" s="1278" t="s">
        <v>1203</v>
      </c>
      <c r="E264" s="1278"/>
      <c r="F264" s="1278"/>
      <c r="I264" s="524"/>
    </row>
    <row r="265" spans="1:9">
      <c r="A265" s="516"/>
      <c r="B265" s="516"/>
      <c r="C265" s="516"/>
      <c r="D265" s="480"/>
      <c r="E265" s="480"/>
      <c r="F265" s="480"/>
      <c r="I265" s="524"/>
    </row>
    <row r="266" spans="1:9">
      <c r="A266" s="517"/>
      <c r="B266" s="517"/>
      <c r="C266" s="517"/>
      <c r="D266" s="1278" t="s">
        <v>269</v>
      </c>
      <c r="E266" s="1278"/>
      <c r="F266" s="1278"/>
      <c r="I266" s="524" t="s">
        <v>2126</v>
      </c>
    </row>
    <row r="267" spans="1:9" ht="14.4" customHeight="1">
      <c r="A267" s="518"/>
      <c r="B267" s="519" t="s">
        <v>2665</v>
      </c>
      <c r="D267" s="1280" t="s">
        <v>1301</v>
      </c>
      <c r="E267" s="1280"/>
      <c r="F267" s="1280"/>
      <c r="I267" s="524"/>
    </row>
    <row r="268" spans="1:9">
      <c r="D268" s="1280"/>
      <c r="E268" s="1280"/>
      <c r="F268" s="1280"/>
      <c r="I268" s="524"/>
    </row>
    <row r="269" spans="1:9">
      <c r="E269" s="1071" t="s">
        <v>2196</v>
      </c>
      <c r="I269" s="524"/>
    </row>
    <row r="270" spans="1:9">
      <c r="D270" s="480"/>
      <c r="E270" s="480"/>
      <c r="F270" s="480"/>
      <c r="I270" s="524"/>
    </row>
    <row r="271" spans="1:9" ht="14.4" customHeight="1">
      <c r="A271" s="518"/>
      <c r="B271" s="519" t="s">
        <v>2664</v>
      </c>
      <c r="D271" s="1280" t="s">
        <v>2368</v>
      </c>
      <c r="E271" s="1280"/>
      <c r="F271" s="1280"/>
      <c r="I271" s="524" t="s">
        <v>2144</v>
      </c>
    </row>
    <row r="272" spans="1:9">
      <c r="D272" s="1280"/>
      <c r="E272" s="1280"/>
      <c r="F272" s="1280"/>
      <c r="I272" s="524"/>
    </row>
    <row r="273" spans="1:9">
      <c r="D273" s="1280"/>
      <c r="E273" s="1280"/>
      <c r="F273" s="1280"/>
      <c r="I273" s="524"/>
    </row>
    <row r="274" spans="1:9">
      <c r="D274" s="1280"/>
      <c r="E274" s="1280"/>
      <c r="F274" s="1280"/>
      <c r="I274" s="524"/>
    </row>
    <row r="275" spans="1:9">
      <c r="D275" s="1280"/>
      <c r="E275" s="1280"/>
      <c r="F275" s="1280"/>
      <c r="I275" s="524"/>
    </row>
    <row r="276" spans="1:9">
      <c r="D276" s="1280"/>
      <c r="E276" s="1280"/>
      <c r="F276" s="1280"/>
      <c r="I276" s="524"/>
    </row>
    <row r="277" spans="1:9">
      <c r="D277" s="480"/>
      <c r="E277" s="480"/>
      <c r="F277" s="480"/>
      <c r="I277" s="524"/>
    </row>
    <row r="278" spans="1:9" ht="14.4">
      <c r="A278" s="518"/>
      <c r="B278" s="519" t="s">
        <v>2664</v>
      </c>
      <c r="D278" s="1280" t="s">
        <v>1206</v>
      </c>
      <c r="E278" s="1280"/>
      <c r="F278" s="1280"/>
      <c r="I278" s="524"/>
    </row>
    <row r="279" spans="1:9">
      <c r="D279" s="1280"/>
      <c r="E279" s="1280"/>
      <c r="F279" s="1280"/>
      <c r="I279" s="524"/>
    </row>
    <row r="280" spans="1:9">
      <c r="D280" s="1280"/>
      <c r="E280" s="1280"/>
      <c r="F280" s="1280"/>
      <c r="I280" s="524"/>
    </row>
    <row r="281" spans="1:9">
      <c r="D281" s="526"/>
      <c r="E281" s="480"/>
      <c r="F281" s="480"/>
      <c r="I281" s="524"/>
    </row>
    <row r="282" spans="1:9">
      <c r="A282" s="1286" t="s">
        <v>1075</v>
      </c>
      <c r="B282" s="1286"/>
      <c r="C282" s="1286"/>
      <c r="D282" s="1286"/>
      <c r="E282" s="1286"/>
      <c r="F282" s="1286"/>
      <c r="G282" s="1286"/>
      <c r="H282" s="1063"/>
      <c r="I282" s="1256"/>
    </row>
    <row r="283" spans="1:9">
      <c r="D283" s="526"/>
      <c r="E283" s="480"/>
      <c r="F283" s="480"/>
      <c r="I283" s="524"/>
    </row>
    <row r="284" spans="1:9">
      <c r="C284" s="516"/>
      <c r="D284" s="1308" t="s">
        <v>1208</v>
      </c>
      <c r="E284" s="1308"/>
      <c r="F284" s="1308"/>
      <c r="I284" s="524"/>
    </row>
    <row r="285" spans="1:9">
      <c r="C285" s="516"/>
      <c r="D285" s="1308"/>
      <c r="E285" s="1308"/>
      <c r="F285" s="1308"/>
      <c r="I285" s="524"/>
    </row>
    <row r="286" spans="1:9">
      <c r="A286" s="517"/>
      <c r="B286" s="517"/>
      <c r="C286" s="517"/>
      <c r="D286" s="435"/>
      <c r="I286" s="524"/>
    </row>
    <row r="287" spans="1:9">
      <c r="C287" s="517"/>
      <c r="D287" s="1278" t="s">
        <v>209</v>
      </c>
      <c r="E287" s="1278"/>
      <c r="F287" s="1278"/>
      <c r="I287" s="524"/>
    </row>
    <row r="288" spans="1:9" ht="15.75" customHeight="1">
      <c r="A288" s="518"/>
      <c r="B288" s="518"/>
      <c r="D288" s="1333" t="s">
        <v>1209</v>
      </c>
      <c r="E288" s="1333"/>
      <c r="F288" s="1333"/>
      <c r="I288" s="524"/>
    </row>
    <row r="289" spans="1:9">
      <c r="E289" s="480"/>
      <c r="F289" s="480"/>
      <c r="I289" s="524"/>
    </row>
    <row r="290" spans="1:9" ht="14.4">
      <c r="A290" s="518"/>
      <c r="B290" s="519" t="s">
        <v>2664</v>
      </c>
      <c r="D290" s="1280" t="s">
        <v>1210</v>
      </c>
      <c r="E290" s="1280"/>
      <c r="F290" s="1280"/>
      <c r="I290" s="524" t="s">
        <v>2088</v>
      </c>
    </row>
    <row r="291" spans="1:9" ht="14.4">
      <c r="A291" s="518"/>
      <c r="B291" s="518"/>
      <c r="D291" s="1280"/>
      <c r="E291" s="1280"/>
      <c r="F291" s="1280"/>
      <c r="I291" s="524"/>
    </row>
    <row r="292" spans="1:9">
      <c r="D292" s="480"/>
      <c r="E292" s="480"/>
      <c r="F292" s="480"/>
      <c r="I292" s="524"/>
    </row>
    <row r="293" spans="1:9" ht="14.4">
      <c r="A293" s="518"/>
      <c r="B293" s="519" t="s">
        <v>2664</v>
      </c>
      <c r="D293" s="1280" t="s">
        <v>1211</v>
      </c>
      <c r="E293" s="1280"/>
      <c r="F293" s="1280"/>
      <c r="I293" s="524" t="s">
        <v>2088</v>
      </c>
    </row>
    <row r="294" spans="1:9" ht="14.4">
      <c r="A294" s="518"/>
      <c r="B294" s="518"/>
      <c r="D294" s="1280"/>
      <c r="E294" s="1280"/>
      <c r="F294" s="1280"/>
      <c r="I294" s="524"/>
    </row>
    <row r="295" spans="1:9" ht="14.4">
      <c r="A295" s="518"/>
      <c r="B295" s="518"/>
      <c r="D295" s="1280"/>
      <c r="E295" s="1280"/>
      <c r="F295" s="1280"/>
      <c r="I295" s="524"/>
    </row>
    <row r="296" spans="1:9">
      <c r="D296" s="480"/>
      <c r="E296" s="480"/>
      <c r="F296" s="480"/>
      <c r="I296" s="524"/>
    </row>
    <row r="297" spans="1:9" ht="14.4">
      <c r="A297" s="518"/>
      <c r="B297" s="519" t="s">
        <v>2664</v>
      </c>
      <c r="D297" s="1280" t="s">
        <v>1212</v>
      </c>
      <c r="E297" s="1280"/>
      <c r="F297" s="1280"/>
      <c r="I297" s="524" t="s">
        <v>2088</v>
      </c>
    </row>
    <row r="298" spans="1:9" ht="14.4">
      <c r="A298" s="518"/>
      <c r="B298" s="518"/>
      <c r="D298" s="1280"/>
      <c r="E298" s="1280"/>
      <c r="F298" s="1280"/>
      <c r="I298" s="524"/>
    </row>
    <row r="299" spans="1:9">
      <c r="A299" s="524"/>
      <c r="B299" s="524"/>
      <c r="E299" s="480"/>
      <c r="F299" s="480"/>
      <c r="I299" s="524"/>
    </row>
    <row r="300" spans="1:9">
      <c r="A300" s="1286" t="s">
        <v>1076</v>
      </c>
      <c r="B300" s="1286"/>
      <c r="C300" s="1286"/>
      <c r="D300" s="1286"/>
      <c r="E300" s="1286"/>
      <c r="F300" s="1286"/>
      <c r="G300" s="1286"/>
      <c r="H300" s="1063"/>
      <c r="I300" s="1256"/>
    </row>
    <row r="301" spans="1:9">
      <c r="A301" s="524"/>
      <c r="B301" s="524"/>
      <c r="D301" s="480"/>
      <c r="E301" s="480"/>
      <c r="F301" s="480"/>
      <c r="I301" s="524"/>
    </row>
    <row r="302" spans="1:9">
      <c r="C302" s="524"/>
      <c r="D302" s="1278" t="s">
        <v>689</v>
      </c>
      <c r="E302" s="1278"/>
      <c r="F302" s="1278"/>
      <c r="I302" s="524"/>
    </row>
    <row r="303" spans="1:9">
      <c r="C303" s="524"/>
      <c r="D303" s="1309" t="s">
        <v>1213</v>
      </c>
      <c r="E303" s="1309"/>
      <c r="F303" s="1309"/>
      <c r="I303" s="524"/>
    </row>
    <row r="304" spans="1:9">
      <c r="C304" s="524"/>
      <c r="D304" s="527"/>
      <c r="I304" s="524"/>
    </row>
    <row r="305" spans="1:9">
      <c r="B305" s="519" t="s">
        <v>2664</v>
      </c>
      <c r="D305" s="1309" t="s">
        <v>1214</v>
      </c>
      <c r="E305" s="1309"/>
      <c r="F305" s="1309"/>
      <c r="I305" s="524" t="s">
        <v>2089</v>
      </c>
    </row>
    <row r="306" spans="1:9" ht="14.4">
      <c r="A306" s="518"/>
      <c r="B306" s="518"/>
      <c r="D306" s="528"/>
      <c r="E306" s="529"/>
      <c r="F306" s="529"/>
      <c r="I306" s="524"/>
    </row>
    <row r="307" spans="1:9" ht="13.65" customHeight="1">
      <c r="B307" s="519" t="s">
        <v>2664</v>
      </c>
      <c r="D307" s="1330" t="s">
        <v>1324</v>
      </c>
      <c r="E307" s="1330"/>
      <c r="F307" s="1330"/>
      <c r="I307" s="524" t="s">
        <v>2089</v>
      </c>
    </row>
    <row r="308" spans="1:9" ht="14.4">
      <c r="A308" s="518"/>
      <c r="B308" s="518"/>
      <c r="D308" s="1330"/>
      <c r="E308" s="1330"/>
      <c r="F308" s="1330"/>
      <c r="I308" s="524"/>
    </row>
    <row r="309" spans="1:9" ht="14.4">
      <c r="A309" s="518"/>
      <c r="B309" s="518"/>
      <c r="D309" s="1330"/>
      <c r="E309" s="1330"/>
      <c r="F309" s="1330"/>
      <c r="I309" s="524"/>
    </row>
    <row r="310" spans="1:9" ht="14.4">
      <c r="A310" s="518"/>
      <c r="B310" s="518"/>
      <c r="D310" s="1330"/>
      <c r="E310" s="1330"/>
      <c r="F310" s="1330"/>
      <c r="I310" s="524"/>
    </row>
    <row r="311" spans="1:9" ht="14.4">
      <c r="A311" s="518"/>
      <c r="B311" s="518"/>
      <c r="D311" s="1330"/>
      <c r="E311" s="1330"/>
      <c r="F311" s="1330"/>
      <c r="I311" s="524"/>
    </row>
    <row r="312" spans="1:9" ht="14.4">
      <c r="A312" s="518"/>
      <c r="B312" s="518"/>
      <c r="D312" s="528"/>
      <c r="E312" s="529"/>
      <c r="F312" s="529"/>
      <c r="I312" s="524"/>
    </row>
    <row r="313" spans="1:9" ht="13.65" customHeight="1">
      <c r="B313" s="519" t="s">
        <v>2664</v>
      </c>
      <c r="D313" s="1330" t="s">
        <v>1216</v>
      </c>
      <c r="E313" s="1330"/>
      <c r="F313" s="1330"/>
      <c r="I313" s="524" t="s">
        <v>2089</v>
      </c>
    </row>
    <row r="314" spans="1:9">
      <c r="D314" s="1330"/>
      <c r="E314" s="1330"/>
      <c r="F314" s="1330"/>
      <c r="I314" s="524"/>
    </row>
    <row r="315" spans="1:9" ht="14.4">
      <c r="A315" s="518"/>
      <c r="B315" s="518"/>
      <c r="D315" s="528"/>
      <c r="E315" s="529"/>
      <c r="F315" s="529"/>
      <c r="I315" s="524"/>
    </row>
    <row r="316" spans="1:9">
      <c r="B316" s="519" t="s">
        <v>2664</v>
      </c>
      <c r="D316" s="1309" t="s">
        <v>1217</v>
      </c>
      <c r="E316" s="1309"/>
      <c r="F316" s="1309"/>
      <c r="I316" s="524" t="s">
        <v>2075</v>
      </c>
    </row>
    <row r="317" spans="1:9">
      <c r="E317" s="480"/>
      <c r="F317" s="480"/>
      <c r="I317" s="524"/>
    </row>
    <row r="318" spans="1:9" ht="14.4">
      <c r="A318" s="518"/>
      <c r="B318" s="519" t="s">
        <v>2664</v>
      </c>
      <c r="D318" s="1280" t="s">
        <v>2387</v>
      </c>
      <c r="E318" s="1280"/>
      <c r="F318" s="1280"/>
      <c r="I318" s="524" t="s">
        <v>2090</v>
      </c>
    </row>
    <row r="319" spans="1:9" ht="14.4">
      <c r="A319" s="518"/>
      <c r="B319" s="518"/>
      <c r="D319" s="1280"/>
      <c r="E319" s="1280"/>
      <c r="F319" s="1280"/>
      <c r="I319" s="524"/>
    </row>
    <row r="320" spans="1:9" ht="14.4">
      <c r="A320" s="518"/>
      <c r="B320" s="518"/>
      <c r="D320" s="1280"/>
      <c r="E320" s="1280"/>
      <c r="F320" s="1280"/>
      <c r="I320" s="524"/>
    </row>
    <row r="321" spans="1:9" ht="14.4">
      <c r="A321" s="518"/>
      <c r="B321" s="518"/>
      <c r="D321" s="1280"/>
      <c r="E321" s="1280"/>
      <c r="F321" s="1280"/>
      <c r="I321" s="524"/>
    </row>
    <row r="322" spans="1:9" ht="14.4">
      <c r="A322" s="518"/>
      <c r="B322" s="518"/>
      <c r="D322" s="1280"/>
      <c r="E322" s="1280"/>
      <c r="F322" s="1280"/>
      <c r="I322" s="524"/>
    </row>
    <row r="323" spans="1:9" ht="14.4">
      <c r="A323" s="518"/>
      <c r="B323" s="518"/>
      <c r="D323" s="1280"/>
      <c r="E323" s="1280"/>
      <c r="F323" s="1280"/>
      <c r="I323" s="524"/>
    </row>
    <row r="324" spans="1:9" ht="14.4">
      <c r="A324" s="518"/>
      <c r="B324" s="518"/>
      <c r="D324" s="1280"/>
      <c r="E324" s="1280"/>
      <c r="F324" s="1280"/>
      <c r="I324" s="524"/>
    </row>
    <row r="325" spans="1:9" ht="14.4">
      <c r="A325" s="518"/>
      <c r="B325" s="518"/>
      <c r="D325" s="1280"/>
      <c r="E325" s="1280"/>
      <c r="F325" s="1280"/>
      <c r="I325" s="524"/>
    </row>
    <row r="326" spans="1:9" ht="14.4">
      <c r="A326" s="518"/>
      <c r="B326" s="518"/>
      <c r="D326" s="1280"/>
      <c r="E326" s="1280"/>
      <c r="F326" s="1280"/>
      <c r="I326" s="524"/>
    </row>
    <row r="327" spans="1:9" ht="14.4">
      <c r="A327" s="518"/>
      <c r="B327" s="518"/>
      <c r="D327" s="1280"/>
      <c r="E327" s="1280"/>
      <c r="F327" s="1280"/>
      <c r="I327" s="524"/>
    </row>
    <row r="328" spans="1:9" ht="14.4">
      <c r="A328" s="518"/>
      <c r="B328" s="518"/>
      <c r="D328" s="1280"/>
      <c r="E328" s="1280"/>
      <c r="F328" s="1280"/>
      <c r="I328" s="524"/>
    </row>
    <row r="329" spans="1:9" ht="14.4">
      <c r="A329" s="518"/>
      <c r="B329" s="518"/>
      <c r="D329" s="1280"/>
      <c r="E329" s="1280"/>
      <c r="F329" s="1280"/>
      <c r="I329" s="524"/>
    </row>
    <row r="330" spans="1:9" ht="14.4">
      <c r="A330" s="518"/>
      <c r="B330" s="518"/>
      <c r="D330" s="1280"/>
      <c r="E330" s="1280"/>
      <c r="F330" s="1280"/>
      <c r="I330" s="524"/>
    </row>
    <row r="331" spans="1:9" ht="14.4">
      <c r="A331" s="518"/>
      <c r="B331" s="518"/>
      <c r="D331" s="1280"/>
      <c r="E331" s="1280"/>
      <c r="F331" s="1280"/>
      <c r="I331" s="524"/>
    </row>
    <row r="332" spans="1:9" ht="14.4">
      <c r="A332" s="518"/>
      <c r="B332" s="518"/>
      <c r="D332" s="1280"/>
      <c r="E332" s="1280"/>
      <c r="F332" s="1280"/>
      <c r="I332" s="524"/>
    </row>
    <row r="333" spans="1:9">
      <c r="D333" s="480"/>
      <c r="E333" s="480"/>
      <c r="F333" s="480"/>
      <c r="I333" s="524"/>
    </row>
    <row r="334" spans="1:9" ht="14.4">
      <c r="A334" s="518"/>
      <c r="B334" s="519" t="s">
        <v>2664</v>
      </c>
      <c r="D334" s="1280" t="s">
        <v>1219</v>
      </c>
      <c r="E334" s="1280"/>
      <c r="F334" s="1280"/>
      <c r="I334" s="524" t="s">
        <v>2090</v>
      </c>
    </row>
    <row r="335" spans="1:9">
      <c r="D335" s="1280"/>
      <c r="E335" s="1280"/>
      <c r="F335" s="1280"/>
      <c r="I335" s="524"/>
    </row>
    <row r="336" spans="1:9">
      <c r="D336" s="1280"/>
      <c r="E336" s="1280"/>
      <c r="F336" s="1280"/>
      <c r="I336" s="524"/>
    </row>
    <row r="337" spans="1:9">
      <c r="D337" s="1280"/>
      <c r="E337" s="1280"/>
      <c r="F337" s="1280"/>
      <c r="I337" s="524"/>
    </row>
    <row r="338" spans="1:9">
      <c r="D338" s="1280"/>
      <c r="E338" s="1280"/>
      <c r="F338" s="1280"/>
      <c r="I338" s="524"/>
    </row>
    <row r="339" spans="1:9">
      <c r="D339" s="1280"/>
      <c r="E339" s="1280"/>
      <c r="F339" s="1280"/>
      <c r="I339" s="524"/>
    </row>
    <row r="340" spans="1:9">
      <c r="D340" s="1280"/>
      <c r="E340" s="1280"/>
      <c r="F340" s="1280"/>
      <c r="I340" s="524"/>
    </row>
    <row r="341" spans="1:9">
      <c r="D341" s="1280"/>
      <c r="E341" s="1280"/>
      <c r="F341" s="1280"/>
      <c r="I341" s="524"/>
    </row>
    <row r="342" spans="1:9">
      <c r="D342" s="1280"/>
      <c r="E342" s="1280"/>
      <c r="F342" s="1280"/>
      <c r="I342" s="524"/>
    </row>
    <row r="343" spans="1:9">
      <c r="D343" s="480"/>
      <c r="E343" s="480"/>
      <c r="F343" s="480"/>
      <c r="I343" s="524"/>
    </row>
    <row r="344" spans="1:9" ht="14.25" customHeight="1">
      <c r="A344" s="518"/>
      <c r="B344" s="519" t="s">
        <v>2664</v>
      </c>
      <c r="D344" s="1280" t="s">
        <v>2201</v>
      </c>
      <c r="E344" s="1280"/>
      <c r="F344" s="1280"/>
      <c r="I344" s="524" t="s">
        <v>2127</v>
      </c>
    </row>
    <row r="345" spans="1:9">
      <c r="D345" s="1280"/>
      <c r="E345" s="1280"/>
      <c r="F345" s="1280"/>
      <c r="I345" s="524"/>
    </row>
    <row r="346" spans="1:9">
      <c r="D346" s="1280"/>
      <c r="E346" s="1280"/>
      <c r="F346" s="1280"/>
      <c r="I346" s="524"/>
    </row>
    <row r="347" spans="1:9">
      <c r="D347" s="1280"/>
      <c r="E347" s="1280"/>
      <c r="F347" s="1280"/>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8" thickBot="1">
      <c r="A351" s="1057"/>
      <c r="B351" s="1057"/>
      <c r="C351" s="1057"/>
      <c r="D351" s="1335" t="s">
        <v>997</v>
      </c>
      <c r="E351" s="1335"/>
      <c r="F351" s="1335"/>
      <c r="G351" s="1062"/>
      <c r="H351" s="1062"/>
      <c r="I351" s="1259"/>
    </row>
    <row r="352" spans="1:9" ht="13.8" thickTop="1">
      <c r="D352" s="1331" t="s">
        <v>1221</v>
      </c>
      <c r="E352" s="1331"/>
      <c r="F352" s="1331"/>
      <c r="I352" s="524"/>
    </row>
    <row r="353" spans="1:9">
      <c r="D353" s="480"/>
      <c r="E353" s="480"/>
      <c r="F353" s="480"/>
      <c r="I353" s="524"/>
    </row>
    <row r="354" spans="1:9">
      <c r="A354" s="510"/>
      <c r="B354" s="510"/>
      <c r="C354" s="510"/>
      <c r="D354" s="481"/>
      <c r="E354" s="481"/>
      <c r="F354" s="480"/>
      <c r="I354" s="524" t="s">
        <v>2091</v>
      </c>
    </row>
    <row r="355" spans="1:9" ht="14.4">
      <c r="A355" s="518"/>
      <c r="B355" s="519" t="s">
        <v>2664</v>
      </c>
      <c r="C355" s="521"/>
      <c r="D355" s="1309" t="s">
        <v>2199</v>
      </c>
      <c r="E355" s="1309"/>
      <c r="F355" s="1309"/>
      <c r="I355" s="1327" t="s">
        <v>2141</v>
      </c>
    </row>
    <row r="356" spans="1:9" ht="12.75" customHeight="1">
      <c r="D356" s="1072"/>
      <c r="E356" s="96" t="s">
        <v>2198</v>
      </c>
      <c r="F356" s="1072"/>
      <c r="I356" s="1328"/>
    </row>
    <row r="357" spans="1:9">
      <c r="D357" s="1280" t="s">
        <v>1345</v>
      </c>
      <c r="E357" s="1280"/>
      <c r="F357" s="1280"/>
      <c r="I357" s="1328"/>
    </row>
    <row r="358" spans="1:9">
      <c r="D358" s="1280"/>
      <c r="E358" s="1280"/>
      <c r="F358" s="1280"/>
      <c r="I358" s="1328"/>
    </row>
    <row r="359" spans="1:9">
      <c r="D359" s="1280"/>
      <c r="E359" s="1280"/>
      <c r="F359" s="1280"/>
      <c r="I359" s="1329"/>
    </row>
    <row r="360" spans="1:9" ht="14.4">
      <c r="A360" s="518"/>
      <c r="B360" s="519" t="s">
        <v>2664</v>
      </c>
      <c r="C360" s="510"/>
      <c r="D360" s="1313" t="s">
        <v>2369</v>
      </c>
      <c r="E360" s="1313"/>
      <c r="F360" s="1313"/>
      <c r="I360" s="514"/>
    </row>
    <row r="361" spans="1:9">
      <c r="A361" s="510"/>
      <c r="B361" s="510"/>
      <c r="C361" s="510"/>
      <c r="D361" s="481"/>
      <c r="E361" s="481"/>
      <c r="F361" s="480"/>
      <c r="I361" s="524"/>
    </row>
    <row r="362" spans="1:9">
      <c r="A362" s="510"/>
      <c r="B362" s="519" t="s">
        <v>2664</v>
      </c>
      <c r="C362" s="510"/>
      <c r="D362" s="1268" t="s">
        <v>2370</v>
      </c>
      <c r="E362" s="1268"/>
      <c r="F362" s="1268"/>
      <c r="I362" s="524"/>
    </row>
    <row r="363" spans="1:9">
      <c r="A363" s="510"/>
      <c r="B363" s="510"/>
      <c r="C363" s="510"/>
      <c r="D363" s="1268"/>
      <c r="E363" s="1268"/>
      <c r="F363" s="1268"/>
      <c r="I363" s="524"/>
    </row>
    <row r="364" spans="1:9">
      <c r="A364" s="510"/>
      <c r="B364" s="510"/>
      <c r="C364" s="510"/>
      <c r="D364" s="1268"/>
      <c r="E364" s="1268"/>
      <c r="F364" s="1268"/>
      <c r="I364" s="524"/>
    </row>
    <row r="365" spans="1:9">
      <c r="A365" s="510"/>
      <c r="B365" s="510"/>
      <c r="C365" s="510"/>
      <c r="D365" s="1268"/>
      <c r="E365" s="1268"/>
      <c r="F365" s="1268"/>
      <c r="I365" s="524"/>
    </row>
    <row r="366" spans="1:9">
      <c r="A366" s="510"/>
      <c r="B366" s="510"/>
      <c r="C366" s="510"/>
      <c r="D366" s="1268"/>
      <c r="E366" s="1268"/>
      <c r="F366" s="1268"/>
      <c r="I366" s="524"/>
    </row>
    <row r="367" spans="1:9">
      <c r="A367" s="510"/>
      <c r="B367" s="510"/>
      <c r="C367" s="510"/>
      <c r="D367" s="1268"/>
      <c r="E367" s="1268"/>
      <c r="F367" s="1268"/>
      <c r="I367" s="524"/>
    </row>
    <row r="368" spans="1:9">
      <c r="A368" s="510"/>
      <c r="B368" s="510"/>
      <c r="C368" s="510"/>
      <c r="D368" s="1268"/>
      <c r="E368" s="1268"/>
      <c r="F368" s="1268"/>
      <c r="I368" s="524"/>
    </row>
    <row r="369" spans="1:9">
      <c r="A369" s="510"/>
      <c r="B369" s="510"/>
      <c r="C369" s="510"/>
      <c r="D369" s="1268"/>
      <c r="E369" s="1268"/>
      <c r="F369" s="1268"/>
      <c r="I369" s="524"/>
    </row>
    <row r="370" spans="1:9">
      <c r="A370" s="510"/>
      <c r="B370" s="510"/>
      <c r="C370" s="510"/>
      <c r="D370" s="1268"/>
      <c r="E370" s="1268"/>
      <c r="F370" s="1268"/>
      <c r="I370" s="524"/>
    </row>
    <row r="371" spans="1:9">
      <c r="A371" s="510"/>
      <c r="B371" s="510"/>
      <c r="C371" s="510"/>
      <c r="D371" s="1268"/>
      <c r="E371" s="1268"/>
      <c r="F371" s="1268"/>
      <c r="I371" s="524"/>
    </row>
    <row r="372" spans="1:9">
      <c r="A372" s="510"/>
      <c r="B372" s="510"/>
      <c r="C372" s="510"/>
      <c r="D372" s="1268"/>
      <c r="E372" s="1268"/>
      <c r="F372" s="1268"/>
      <c r="I372" s="524"/>
    </row>
    <row r="373" spans="1:9">
      <c r="A373" s="510"/>
      <c r="B373" s="510"/>
      <c r="C373" s="510"/>
      <c r="D373" s="1268"/>
      <c r="E373" s="1268"/>
      <c r="F373" s="1268"/>
      <c r="I373" s="524"/>
    </row>
    <row r="374" spans="1:9">
      <c r="A374" s="510"/>
      <c r="B374" s="510"/>
      <c r="C374" s="510"/>
      <c r="D374" s="485"/>
      <c r="E374" s="485"/>
      <c r="F374" s="485"/>
      <c r="I374" s="524"/>
    </row>
    <row r="375" spans="1:9" ht="12.45" customHeight="1">
      <c r="A375" s="510"/>
      <c r="B375" s="519" t="s">
        <v>2664</v>
      </c>
      <c r="C375" s="510"/>
      <c r="D375" s="1324" t="s">
        <v>1326</v>
      </c>
      <c r="E375" s="1324"/>
      <c r="F375" s="1324"/>
      <c r="I375" s="524"/>
    </row>
    <row r="376" spans="1:9">
      <c r="A376" s="510"/>
      <c r="B376" s="510"/>
      <c r="C376" s="510"/>
      <c r="D376" s="1324"/>
      <c r="E376" s="1324"/>
      <c r="F376" s="1324"/>
      <c r="I376" s="524"/>
    </row>
    <row r="377" spans="1:9">
      <c r="A377" s="510"/>
      <c r="B377" s="510"/>
      <c r="C377" s="510"/>
      <c r="D377" s="1324"/>
      <c r="E377" s="1324"/>
      <c r="F377" s="1324"/>
      <c r="I377" s="524"/>
    </row>
    <row r="378" spans="1:9">
      <c r="A378" s="510"/>
      <c r="B378" s="510"/>
      <c r="C378" s="510"/>
      <c r="D378" s="1324"/>
      <c r="E378" s="1324"/>
      <c r="F378" s="1324"/>
      <c r="I378" s="524"/>
    </row>
    <row r="379" spans="1:9">
      <c r="A379" s="510"/>
      <c r="B379" s="510"/>
      <c r="C379" s="510"/>
      <c r="D379" s="558"/>
      <c r="E379" s="558"/>
      <c r="F379" s="558"/>
      <c r="I379" s="524"/>
    </row>
    <row r="380" spans="1:9">
      <c r="A380" s="510"/>
      <c r="B380" s="519" t="s">
        <v>2664</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4">
      <c r="A387" s="518"/>
      <c r="B387" s="519" t="s">
        <v>2664</v>
      </c>
      <c r="C387" s="510"/>
      <c r="D387" s="1268" t="s">
        <v>1224</v>
      </c>
      <c r="E387" s="1268"/>
      <c r="F387" s="1268"/>
      <c r="I387" s="524"/>
    </row>
    <row r="388" spans="1:9">
      <c r="A388" s="510"/>
      <c r="B388" s="510"/>
      <c r="C388" s="510"/>
      <c r="D388" s="1268"/>
      <c r="E388" s="1268"/>
      <c r="F388" s="1268"/>
      <c r="I388" s="524"/>
    </row>
    <row r="389" spans="1:9">
      <c r="A389" s="510"/>
      <c r="B389" s="510"/>
      <c r="C389" s="510"/>
      <c r="D389" s="1268"/>
      <c r="E389" s="1268"/>
      <c r="F389" s="1268"/>
      <c r="I389" s="524"/>
    </row>
    <row r="390" spans="1:9">
      <c r="A390" s="510"/>
      <c r="B390" s="510"/>
      <c r="C390" s="510"/>
      <c r="D390" s="1268"/>
      <c r="E390" s="1268"/>
      <c r="F390" s="1268"/>
      <c r="I390" s="524"/>
    </row>
    <row r="391" spans="1:9">
      <c r="A391" s="510"/>
      <c r="B391" s="510"/>
      <c r="C391" s="510"/>
      <c r="D391" s="481"/>
      <c r="E391" s="481"/>
      <c r="F391" s="480"/>
      <c r="I391" s="524"/>
    </row>
    <row r="392" spans="1:9">
      <c r="A392" s="510"/>
      <c r="B392" s="510"/>
      <c r="C392" s="510"/>
      <c r="D392" s="1268" t="s">
        <v>1225</v>
      </c>
      <c r="E392" s="1268"/>
      <c r="F392" s="1268"/>
      <c r="I392" s="524"/>
    </row>
    <row r="393" spans="1:9">
      <c r="A393" s="510"/>
      <c r="B393" s="510"/>
      <c r="C393" s="510"/>
      <c r="D393" s="1268"/>
      <c r="E393" s="1268"/>
      <c r="F393" s="1268"/>
      <c r="I393" s="524"/>
    </row>
    <row r="394" spans="1:9">
      <c r="A394" s="510"/>
      <c r="B394" s="510"/>
      <c r="C394" s="510"/>
      <c r="D394" s="1268"/>
      <c r="E394" s="1268"/>
      <c r="F394" s="1268"/>
      <c r="I394" s="524"/>
    </row>
    <row r="395" spans="1:9">
      <c r="A395" s="510"/>
      <c r="B395" s="510"/>
      <c r="C395" s="510"/>
      <c r="D395" s="1268"/>
      <c r="E395" s="1268"/>
      <c r="F395" s="1268"/>
      <c r="I395" s="524"/>
    </row>
    <row r="396" spans="1:9" ht="18" customHeight="1">
      <c r="A396" s="510"/>
      <c r="B396" s="510"/>
      <c r="C396" s="510"/>
      <c r="D396" s="1268"/>
      <c r="E396" s="1268"/>
      <c r="F396" s="1268"/>
      <c r="I396" s="524"/>
    </row>
    <row r="397" spans="1:9">
      <c r="A397" s="510"/>
      <c r="B397" s="510"/>
      <c r="C397" s="510"/>
      <c r="D397" s="1268"/>
      <c r="E397" s="1268"/>
      <c r="F397" s="1268"/>
      <c r="I397" s="524"/>
    </row>
    <row r="398" spans="1:9">
      <c r="A398" s="510"/>
      <c r="B398" s="510"/>
      <c r="C398" s="510"/>
      <c r="D398" s="1268"/>
      <c r="E398" s="1268"/>
      <c r="F398" s="1268"/>
      <c r="I398" s="524"/>
    </row>
    <row r="399" spans="1:9">
      <c r="A399" s="510"/>
      <c r="B399" s="510"/>
      <c r="C399" s="510"/>
      <c r="D399" s="1268"/>
      <c r="E399" s="1268"/>
      <c r="F399" s="1268"/>
      <c r="I399" s="524"/>
    </row>
    <row r="400" spans="1:9" ht="8.25" customHeight="1">
      <c r="A400" s="510"/>
      <c r="B400" s="510"/>
      <c r="C400" s="510"/>
      <c r="D400" s="1268"/>
      <c r="E400" s="1268"/>
      <c r="F400" s="1268"/>
      <c r="I400" s="524"/>
    </row>
    <row r="401" spans="1:9" ht="13.65" customHeight="1">
      <c r="A401" s="510"/>
      <c r="B401" s="510"/>
      <c r="C401" s="510"/>
      <c r="D401" s="1268" t="s">
        <v>1226</v>
      </c>
      <c r="E401" s="1268"/>
      <c r="F401" s="1268"/>
      <c r="I401" s="524"/>
    </row>
    <row r="402" spans="1:9">
      <c r="A402" s="510"/>
      <c r="B402" s="510"/>
      <c r="C402" s="510"/>
      <c r="D402" s="1268"/>
      <c r="E402" s="1268"/>
      <c r="F402" s="1268"/>
      <c r="I402" s="524"/>
    </row>
    <row r="403" spans="1:9">
      <c r="A403" s="510"/>
      <c r="B403" s="510"/>
      <c r="C403" s="510"/>
      <c r="D403" s="1268"/>
      <c r="E403" s="1268"/>
      <c r="F403" s="1268"/>
      <c r="I403" s="524"/>
    </row>
    <row r="404" spans="1:9">
      <c r="A404" s="510"/>
      <c r="B404" s="510"/>
      <c r="C404" s="510"/>
      <c r="D404" s="1268"/>
      <c r="E404" s="1268"/>
      <c r="F404" s="1268"/>
      <c r="I404" s="524"/>
    </row>
    <row r="405" spans="1:9">
      <c r="A405" s="510"/>
      <c r="B405" s="510"/>
      <c r="C405" s="510"/>
      <c r="D405" s="1268"/>
      <c r="E405" s="1268"/>
      <c r="F405" s="1268"/>
      <c r="I405" s="524"/>
    </row>
    <row r="406" spans="1:9">
      <c r="A406" s="510"/>
      <c r="B406" s="510"/>
      <c r="C406" s="510"/>
      <c r="D406" s="1268"/>
      <c r="E406" s="1268"/>
      <c r="F406" s="1268"/>
      <c r="I406" s="524"/>
    </row>
    <row r="407" spans="1:9">
      <c r="A407" s="510"/>
      <c r="B407" s="510"/>
      <c r="C407" s="510"/>
      <c r="D407" s="1268"/>
      <c r="E407" s="1268"/>
      <c r="F407" s="1268"/>
      <c r="I407" s="524"/>
    </row>
    <row r="408" spans="1:9">
      <c r="A408" s="510"/>
      <c r="B408" s="510"/>
      <c r="C408" s="510"/>
      <c r="D408" s="1268"/>
      <c r="E408" s="1268"/>
      <c r="F408" s="1268"/>
      <c r="I408" s="524"/>
    </row>
    <row r="409" spans="1:9">
      <c r="A409" s="510"/>
      <c r="B409" s="510"/>
      <c r="C409" s="510"/>
      <c r="D409" s="1268"/>
      <c r="E409" s="1268"/>
      <c r="F409" s="1268"/>
      <c r="I409" s="524"/>
    </row>
    <row r="410" spans="1:9">
      <c r="A410" s="510"/>
      <c r="B410" s="510"/>
      <c r="C410" s="510"/>
      <c r="D410" s="1268"/>
      <c r="E410" s="1268"/>
      <c r="F410" s="1268"/>
      <c r="I410" s="524"/>
    </row>
    <row r="411" spans="1:9">
      <c r="A411" s="510"/>
      <c r="B411" s="510"/>
      <c r="C411" s="510"/>
      <c r="D411" s="1268"/>
      <c r="E411" s="1268"/>
      <c r="F411" s="1268"/>
      <c r="I411" s="524"/>
    </row>
    <row r="412" spans="1:9">
      <c r="A412" s="510"/>
      <c r="B412" s="510"/>
      <c r="C412" s="510"/>
      <c r="D412" s="1268"/>
      <c r="E412" s="1268"/>
      <c r="F412" s="1268"/>
      <c r="I412" s="524"/>
    </row>
    <row r="413" spans="1:9">
      <c r="A413" s="510"/>
      <c r="B413" s="510"/>
      <c r="C413" s="530"/>
      <c r="D413" s="1268"/>
      <c r="E413" s="1268"/>
      <c r="F413" s="1268"/>
      <c r="I413" s="524"/>
    </row>
    <row r="414" spans="1:9">
      <c r="A414" s="510"/>
      <c r="B414" s="510"/>
      <c r="C414" s="530"/>
      <c r="D414" s="1268"/>
      <c r="E414" s="1268"/>
      <c r="F414" s="1268"/>
      <c r="I414" s="524"/>
    </row>
    <row r="415" spans="1:9">
      <c r="A415" s="510"/>
      <c r="B415" s="510"/>
      <c r="C415" s="510"/>
      <c r="D415" s="1268"/>
      <c r="E415" s="1268"/>
      <c r="F415" s="1268"/>
      <c r="I415" s="524"/>
    </row>
    <row r="416" spans="1:9">
      <c r="A416" s="510"/>
      <c r="B416" s="510"/>
      <c r="C416" s="530"/>
      <c r="D416" s="1268"/>
      <c r="E416" s="1268"/>
      <c r="F416" s="1268"/>
      <c r="I416" s="524"/>
    </row>
    <row r="417" spans="1:9">
      <c r="A417" s="510"/>
      <c r="B417" s="510"/>
      <c r="C417" s="530"/>
      <c r="D417" s="1268"/>
      <c r="E417" s="1268"/>
      <c r="F417" s="1268"/>
      <c r="I417" s="524"/>
    </row>
    <row r="418" spans="1:9">
      <c r="A418" s="510"/>
      <c r="B418" s="510"/>
      <c r="C418" s="530"/>
      <c r="D418" s="1268"/>
      <c r="E418" s="1268"/>
      <c r="F418" s="1268"/>
      <c r="I418" s="524"/>
    </row>
    <row r="419" spans="1:9">
      <c r="A419" s="510"/>
      <c r="B419" s="510"/>
      <c r="C419" s="510"/>
      <c r="D419" s="481"/>
      <c r="E419" s="481"/>
      <c r="F419" s="480"/>
      <c r="I419" s="524"/>
    </row>
    <row r="420" spans="1:9">
      <c r="A420" s="510"/>
      <c r="B420" s="519" t="s">
        <v>2664</v>
      </c>
      <c r="C420" s="510"/>
      <c r="D420" s="1268" t="s">
        <v>1227</v>
      </c>
      <c r="E420" s="1268"/>
      <c r="F420" s="1268"/>
      <c r="I420" s="524"/>
    </row>
    <row r="421" spans="1:9">
      <c r="A421" s="510"/>
      <c r="B421" s="510"/>
      <c r="C421" s="510"/>
      <c r="D421" s="1268"/>
      <c r="E421" s="1268"/>
      <c r="F421" s="1268"/>
      <c r="I421" s="524"/>
    </row>
    <row r="422" spans="1:9">
      <c r="A422" s="510"/>
      <c r="B422" s="510"/>
      <c r="C422" s="510"/>
      <c r="D422" s="485"/>
      <c r="E422" s="485"/>
      <c r="F422" s="485"/>
      <c r="I422" s="524"/>
    </row>
    <row r="423" spans="1:9" ht="14.4" customHeight="1">
      <c r="A423" s="518"/>
      <c r="B423" s="519" t="s">
        <v>2664</v>
      </c>
      <c r="D423" s="1268" t="s">
        <v>2128</v>
      </c>
      <c r="E423" s="1268"/>
      <c r="F423" s="1268"/>
      <c r="I423" s="524"/>
    </row>
    <row r="424" spans="1:9" ht="14.4" customHeight="1">
      <c r="A424" s="518"/>
      <c r="D424" s="1268"/>
      <c r="E424" s="1268"/>
      <c r="F424" s="1268"/>
      <c r="I424" s="524"/>
    </row>
    <row r="425" spans="1:9" ht="14.4" customHeight="1">
      <c r="A425" s="518"/>
      <c r="D425" s="1268"/>
      <c r="E425" s="1268"/>
      <c r="F425" s="1268"/>
      <c r="I425" s="524"/>
    </row>
    <row r="426" spans="1:9" ht="14.4" customHeight="1">
      <c r="A426" s="518"/>
      <c r="D426" s="1268"/>
      <c r="E426" s="1268"/>
      <c r="F426" s="1268"/>
      <c r="I426" s="524"/>
    </row>
    <row r="427" spans="1:9" ht="14.4" customHeight="1">
      <c r="A427" s="518"/>
      <c r="D427" s="1268"/>
      <c r="E427" s="1268"/>
      <c r="F427" s="1268"/>
      <c r="I427" s="524"/>
    </row>
    <row r="428" spans="1:9" ht="14.4" customHeight="1">
      <c r="A428" s="518"/>
      <c r="D428" s="416"/>
      <c r="E428" s="416"/>
      <c r="F428" s="416"/>
      <c r="I428" s="524"/>
    </row>
    <row r="429" spans="1:9" ht="13.65" customHeight="1">
      <c r="A429" s="518"/>
      <c r="B429" s="519" t="s">
        <v>2664</v>
      </c>
      <c r="C429" s="510"/>
      <c r="D429" s="1268" t="s">
        <v>1346</v>
      </c>
      <c r="E429" s="1268"/>
      <c r="F429" s="1268"/>
      <c r="I429" s="524"/>
    </row>
    <row r="430" spans="1:9" ht="14.4">
      <c r="A430" s="531"/>
      <c r="B430" s="531"/>
      <c r="C430" s="510"/>
      <c r="D430" s="1268"/>
      <c r="E430" s="1268"/>
      <c r="F430" s="1268"/>
      <c r="I430" s="524"/>
    </row>
    <row r="431" spans="1:9" ht="14.4">
      <c r="A431" s="531"/>
      <c r="B431" s="531"/>
      <c r="C431" s="510"/>
      <c r="D431" s="1268"/>
      <c r="E431" s="1268"/>
      <c r="F431" s="1268"/>
      <c r="I431" s="524"/>
    </row>
    <row r="432" spans="1:9" ht="14.4">
      <c r="A432" s="531"/>
      <c r="B432" s="531"/>
      <c r="C432" s="510"/>
      <c r="D432" s="1268"/>
      <c r="E432" s="1268"/>
      <c r="F432" s="1268"/>
      <c r="I432" s="524"/>
    </row>
    <row r="433" spans="1:9" ht="15.75" customHeight="1">
      <c r="A433" s="531"/>
      <c r="B433" s="531"/>
      <c r="C433" s="510"/>
      <c r="D433" s="1332" t="s">
        <v>2388</v>
      </c>
      <c r="E433" s="1268"/>
      <c r="F433" s="1268"/>
      <c r="I433" s="524"/>
    </row>
    <row r="434" spans="1:9">
      <c r="D434" s="480"/>
      <c r="E434" s="480"/>
      <c r="F434" s="480"/>
      <c r="I434" s="524"/>
    </row>
    <row r="435" spans="1:9" ht="14.4">
      <c r="A435" s="518"/>
      <c r="B435" s="519" t="s">
        <v>2664</v>
      </c>
      <c r="C435" s="521"/>
      <c r="D435" s="1280" t="s">
        <v>2371</v>
      </c>
      <c r="E435" s="1280"/>
      <c r="F435" s="1280"/>
      <c r="I435" s="524"/>
    </row>
    <row r="436" spans="1:9" ht="14.4">
      <c r="A436" s="518"/>
      <c r="B436" s="518"/>
      <c r="D436" s="1280"/>
      <c r="E436" s="1280"/>
      <c r="F436" s="1280"/>
      <c r="I436" s="524"/>
    </row>
    <row r="437" spans="1:9">
      <c r="D437" s="1280"/>
      <c r="E437" s="1280"/>
      <c r="F437" s="1280"/>
      <c r="I437" s="524"/>
    </row>
    <row r="438" spans="1:9">
      <c r="D438" s="1280"/>
      <c r="E438" s="1280"/>
      <c r="F438" s="1280"/>
      <c r="I438" s="524"/>
    </row>
    <row r="439" spans="1:9">
      <c r="D439" s="1280"/>
      <c r="E439" s="1280"/>
      <c r="F439" s="1280"/>
      <c r="I439" s="524"/>
    </row>
    <row r="440" spans="1:9">
      <c r="D440" s="1280"/>
      <c r="E440" s="1280"/>
      <c r="F440" s="1280"/>
      <c r="I440" s="524"/>
    </row>
    <row r="441" spans="1:9">
      <c r="D441" s="1280"/>
      <c r="E441" s="1280"/>
      <c r="F441" s="1280"/>
      <c r="I441" s="524"/>
    </row>
    <row r="442" spans="1:9">
      <c r="D442" s="1280"/>
      <c r="E442" s="1280"/>
      <c r="F442" s="1280"/>
      <c r="I442" s="524"/>
    </row>
    <row r="443" spans="1:9">
      <c r="D443" s="1280"/>
      <c r="E443" s="1280"/>
      <c r="F443" s="1280"/>
      <c r="I443" s="524"/>
    </row>
    <row r="444" spans="1:9">
      <c r="D444" s="1280"/>
      <c r="E444" s="1280"/>
      <c r="F444" s="1280"/>
      <c r="I444" s="524"/>
    </row>
    <row r="445" spans="1:9">
      <c r="D445" s="1280"/>
      <c r="E445" s="1280"/>
      <c r="F445" s="1280"/>
      <c r="I445" s="524"/>
    </row>
    <row r="446" spans="1:9">
      <c r="D446" s="1280"/>
      <c r="E446" s="1280"/>
      <c r="F446" s="1280"/>
      <c r="I446" s="524"/>
    </row>
    <row r="447" spans="1:9">
      <c r="D447" s="1280"/>
      <c r="E447" s="1280"/>
      <c r="F447" s="1280"/>
      <c r="I447" s="524"/>
    </row>
    <row r="448" spans="1:9">
      <c r="A448" s="433"/>
      <c r="B448" s="433"/>
      <c r="C448" s="433"/>
      <c r="D448" s="1280"/>
      <c r="E448" s="1280"/>
      <c r="F448" s="1280"/>
      <c r="I448" s="524"/>
    </row>
    <row r="449" spans="1:9">
      <c r="A449" s="433"/>
      <c r="B449" s="433"/>
      <c r="C449" s="433"/>
      <c r="D449" s="1280"/>
      <c r="E449" s="1280"/>
      <c r="F449" s="1280"/>
      <c r="I449" s="524"/>
    </row>
    <row r="450" spans="1:9">
      <c r="A450" s="433"/>
      <c r="B450" s="433"/>
      <c r="C450" s="433"/>
      <c r="D450" s="1280"/>
      <c r="E450" s="1280"/>
      <c r="F450" s="1280"/>
      <c r="I450" s="524"/>
    </row>
    <row r="451" spans="1:9">
      <c r="A451" s="433"/>
      <c r="B451" s="433"/>
      <c r="C451" s="433"/>
      <c r="D451" s="1280"/>
      <c r="E451" s="1280"/>
      <c r="F451" s="1280"/>
      <c r="I451" s="524"/>
    </row>
    <row r="452" spans="1:9">
      <c r="A452" s="433"/>
      <c r="B452" s="433"/>
      <c r="C452" s="433"/>
      <c r="D452" s="1280"/>
      <c r="E452" s="1280"/>
      <c r="F452" s="1280"/>
      <c r="I452" s="524"/>
    </row>
    <row r="453" spans="1:9">
      <c r="A453" s="433"/>
      <c r="B453" s="433"/>
      <c r="C453" s="433"/>
      <c r="D453" s="1280"/>
      <c r="E453" s="1280"/>
      <c r="F453" s="1280"/>
      <c r="I453" s="524"/>
    </row>
    <row r="454" spans="1:9">
      <c r="A454" s="433"/>
      <c r="B454" s="433"/>
      <c r="C454" s="433"/>
      <c r="D454" s="1280"/>
      <c r="E454" s="1280"/>
      <c r="F454" s="1280"/>
      <c r="I454" s="524"/>
    </row>
    <row r="455" spans="1:9">
      <c r="A455" s="433"/>
      <c r="B455" s="433"/>
      <c r="C455" s="433"/>
      <c r="D455" s="1280"/>
      <c r="E455" s="1280"/>
      <c r="F455" s="1280"/>
      <c r="I455" s="524"/>
    </row>
    <row r="456" spans="1:9">
      <c r="A456" s="433"/>
      <c r="B456" s="433"/>
      <c r="C456" s="433"/>
      <c r="D456" s="1280"/>
      <c r="E456" s="1280"/>
      <c r="F456" s="1280"/>
      <c r="I456" s="524"/>
    </row>
    <row r="457" spans="1:9">
      <c r="A457" s="433"/>
      <c r="B457" s="433"/>
      <c r="C457" s="433"/>
      <c r="D457" s="1280"/>
      <c r="E457" s="1280"/>
      <c r="F457" s="1280"/>
      <c r="I457" s="524"/>
    </row>
    <row r="458" spans="1:9">
      <c r="A458" s="433"/>
      <c r="B458" s="433"/>
      <c r="C458" s="433"/>
      <c r="D458" s="1280"/>
      <c r="E458" s="1280"/>
      <c r="F458" s="1280"/>
      <c r="I458" s="524"/>
    </row>
    <row r="459" spans="1:9">
      <c r="A459" s="433"/>
      <c r="B459" s="433"/>
      <c r="C459" s="433"/>
      <c r="D459" s="1280"/>
      <c r="E459" s="1280"/>
      <c r="F459" s="1280"/>
      <c r="I459" s="524"/>
    </row>
    <row r="460" spans="1:9">
      <c r="A460" s="433"/>
      <c r="B460" s="433"/>
      <c r="C460" s="433"/>
      <c r="D460" s="1280"/>
      <c r="E460" s="1280"/>
      <c r="F460" s="1280"/>
      <c r="I460" s="524"/>
    </row>
    <row r="461" spans="1:9">
      <c r="A461" s="433"/>
      <c r="B461" s="433"/>
      <c r="C461" s="433"/>
      <c r="D461" s="1280"/>
      <c r="E461" s="1280"/>
      <c r="F461" s="1280"/>
      <c r="I461" s="524"/>
    </row>
    <row r="462" spans="1:9">
      <c r="A462" s="433"/>
      <c r="B462" s="433"/>
      <c r="C462" s="433"/>
      <c r="D462" s="1280"/>
      <c r="E462" s="1280"/>
      <c r="F462" s="1280"/>
      <c r="I462" s="524"/>
    </row>
    <row r="463" spans="1:9">
      <c r="A463" s="433"/>
      <c r="B463" s="433"/>
      <c r="C463" s="433"/>
      <c r="D463" s="1280"/>
      <c r="E463" s="1280"/>
      <c r="F463" s="1280"/>
      <c r="I463" s="524"/>
    </row>
    <row r="464" spans="1:9">
      <c r="D464" s="1280"/>
      <c r="E464" s="1280"/>
      <c r="F464" s="1280"/>
      <c r="I464" s="524"/>
    </row>
    <row r="465" spans="1:9" ht="40.65" customHeight="1">
      <c r="D465" s="1280"/>
      <c r="E465" s="1280"/>
      <c r="F465" s="1280"/>
      <c r="I465" s="524"/>
    </row>
    <row r="466" spans="1:9">
      <c r="D466" s="480"/>
      <c r="E466" s="480"/>
      <c r="F466" s="480"/>
      <c r="I466" s="524"/>
    </row>
    <row r="467" spans="1:9" ht="14.4">
      <c r="A467" s="518"/>
      <c r="B467" s="519" t="s">
        <v>2664</v>
      </c>
      <c r="C467" s="521"/>
      <c r="D467" s="1280" t="s">
        <v>1232</v>
      </c>
      <c r="E467" s="1280"/>
      <c r="F467" s="1280"/>
      <c r="I467" s="524"/>
    </row>
    <row r="468" spans="1:9">
      <c r="D468" s="1280"/>
      <c r="E468" s="1280"/>
      <c r="F468" s="1280"/>
      <c r="I468" s="524"/>
    </row>
    <row r="469" spans="1:9">
      <c r="D469" s="1280"/>
      <c r="E469" s="1280"/>
      <c r="F469" s="1280"/>
      <c r="I469" s="524"/>
    </row>
    <row r="470" spans="1:9">
      <c r="D470" s="479"/>
      <c r="E470" s="479"/>
      <c r="F470" s="479"/>
      <c r="I470" s="524"/>
    </row>
    <row r="471" spans="1:9" ht="14.4">
      <c r="B471" s="519" t="s">
        <v>2664</v>
      </c>
      <c r="C471" s="518"/>
      <c r="D471" s="1280" t="s">
        <v>1302</v>
      </c>
      <c r="E471" s="1280"/>
      <c r="F471" s="1280"/>
      <c r="I471" s="524"/>
    </row>
    <row r="472" spans="1:9">
      <c r="D472" s="1280"/>
      <c r="E472" s="1280"/>
      <c r="F472" s="1280"/>
      <c r="I472" s="524"/>
    </row>
    <row r="473" spans="1:9">
      <c r="D473" s="480"/>
      <c r="E473" s="480"/>
      <c r="F473" s="480"/>
      <c r="I473" s="524"/>
    </row>
    <row r="474" spans="1:9" ht="14.4">
      <c r="B474" s="519" t="s">
        <v>2664</v>
      </c>
      <c r="C474" s="518"/>
      <c r="D474" s="1280" t="s">
        <v>1234</v>
      </c>
      <c r="E474" s="1280"/>
      <c r="F474" s="1280"/>
      <c r="I474" s="524"/>
    </row>
    <row r="475" spans="1:9">
      <c r="D475" s="1280"/>
      <c r="E475" s="1280"/>
      <c r="F475" s="1280"/>
      <c r="I475" s="524"/>
    </row>
    <row r="476" spans="1:9">
      <c r="D476" s="1280"/>
      <c r="E476" s="1280"/>
      <c r="F476" s="1280"/>
      <c r="I476" s="524"/>
    </row>
    <row r="477" spans="1:9">
      <c r="D477" s="1280"/>
      <c r="E477" s="1280"/>
      <c r="F477" s="1280"/>
      <c r="I477" s="524"/>
    </row>
    <row r="478" spans="1:9">
      <c r="B478" s="519" t="s">
        <v>2664</v>
      </c>
      <c r="D478" s="1280"/>
      <c r="E478" s="1280"/>
      <c r="F478" s="1280"/>
      <c r="I478" s="524"/>
    </row>
    <row r="479" spans="1:9">
      <c r="A479" s="433"/>
      <c r="B479" s="433"/>
      <c r="C479" s="433"/>
      <c r="D479" s="1280"/>
      <c r="E479" s="1280"/>
      <c r="F479" s="1280"/>
      <c r="I479" s="524"/>
    </row>
    <row r="480" spans="1:9">
      <c r="A480" s="433"/>
      <c r="C480" s="433"/>
      <c r="D480" s="1280"/>
      <c r="E480" s="1280"/>
      <c r="F480" s="1280"/>
      <c r="I480" s="524"/>
    </row>
    <row r="481" spans="1:9">
      <c r="A481" s="433"/>
      <c r="B481" s="519" t="s">
        <v>2664</v>
      </c>
      <c r="C481" s="433"/>
      <c r="D481" s="1280"/>
      <c r="E481" s="1280"/>
      <c r="F481" s="1280"/>
      <c r="I481" s="524"/>
    </row>
    <row r="482" spans="1:9">
      <c r="A482" s="433"/>
      <c r="B482" s="433"/>
      <c r="C482" s="433"/>
      <c r="D482" s="1280"/>
      <c r="E482" s="1280"/>
      <c r="F482" s="1280"/>
      <c r="I482" s="524"/>
    </row>
    <row r="483" spans="1:9">
      <c r="A483" s="433"/>
      <c r="C483" s="433"/>
      <c r="D483" s="1280"/>
      <c r="E483" s="1280"/>
      <c r="F483" s="1280"/>
      <c r="I483" s="524"/>
    </row>
    <row r="484" spans="1:9">
      <c r="A484" s="433"/>
      <c r="C484" s="433"/>
      <c r="D484" s="1280"/>
      <c r="E484" s="1280"/>
      <c r="F484" s="1280"/>
      <c r="I484" s="524"/>
    </row>
    <row r="485" spans="1:9">
      <c r="A485" s="433"/>
      <c r="C485" s="433"/>
      <c r="D485" s="1280"/>
      <c r="E485" s="1280"/>
      <c r="F485" s="1280"/>
      <c r="I485" s="524"/>
    </row>
    <row r="486" spans="1:9">
      <c r="A486" s="433"/>
      <c r="B486" s="519" t="s">
        <v>2664</v>
      </c>
      <c r="C486" s="433"/>
      <c r="D486" s="1280"/>
      <c r="E486" s="1280"/>
      <c r="F486" s="1280"/>
      <c r="I486" s="524"/>
    </row>
    <row r="487" spans="1:9">
      <c r="A487" s="433"/>
      <c r="C487" s="433"/>
      <c r="D487" s="1280"/>
      <c r="E487" s="1280"/>
      <c r="F487" s="1280"/>
      <c r="I487" s="524"/>
    </row>
    <row r="488" spans="1:9">
      <c r="A488" s="433"/>
      <c r="B488" s="519" t="s">
        <v>2664</v>
      </c>
      <c r="C488" s="433"/>
      <c r="D488" s="1280" t="s">
        <v>1235</v>
      </c>
      <c r="E488" s="1280"/>
      <c r="F488" s="1280"/>
      <c r="I488" s="524"/>
    </row>
    <row r="489" spans="1:9">
      <c r="A489" s="433"/>
      <c r="B489" s="433"/>
      <c r="C489" s="433"/>
      <c r="D489" s="1280"/>
      <c r="E489" s="1280"/>
      <c r="F489" s="1280"/>
      <c r="I489" s="524"/>
    </row>
    <row r="490" spans="1:9">
      <c r="A490" s="433"/>
      <c r="B490" s="433"/>
      <c r="C490" s="433"/>
      <c r="D490" s="1280"/>
      <c r="E490" s="1280"/>
      <c r="F490" s="1280"/>
      <c r="I490" s="524"/>
    </row>
    <row r="491" spans="1:9">
      <c r="A491" s="433"/>
      <c r="B491" s="433"/>
      <c r="C491" s="433"/>
      <c r="D491" s="1280"/>
      <c r="E491" s="1280"/>
      <c r="F491" s="1280"/>
      <c r="I491" s="524"/>
    </row>
    <row r="492" spans="1:9">
      <c r="D492" s="1280"/>
      <c r="E492" s="1280"/>
      <c r="F492" s="1280"/>
      <c r="I492" s="524"/>
    </row>
    <row r="493" spans="1:9">
      <c r="D493" s="480"/>
      <c r="E493" s="480"/>
      <c r="F493" s="480"/>
      <c r="I493" s="524"/>
    </row>
    <row r="494" spans="1:9">
      <c r="B494" s="519" t="s">
        <v>2664</v>
      </c>
      <c r="D494" s="1309" t="s">
        <v>1236</v>
      </c>
      <c r="E494" s="1309"/>
      <c r="F494" s="1309"/>
      <c r="I494" s="524"/>
    </row>
    <row r="495" spans="1:9">
      <c r="A495" s="480"/>
      <c r="B495" s="480"/>
      <c r="I495" s="524"/>
    </row>
    <row r="496" spans="1:9">
      <c r="A496" s="1286" t="s">
        <v>1077</v>
      </c>
      <c r="B496" s="1286"/>
      <c r="C496" s="1286"/>
      <c r="D496" s="1286"/>
      <c r="E496" s="1286"/>
      <c r="F496" s="1286"/>
      <c r="G496" s="1286"/>
      <c r="H496" s="1063"/>
      <c r="I496" s="1256"/>
    </row>
    <row r="497" spans="1:9">
      <c r="A497" s="480"/>
      <c r="B497" s="480"/>
      <c r="I497" s="524"/>
    </row>
    <row r="498" spans="1:9">
      <c r="D498" s="1316" t="s">
        <v>894</v>
      </c>
      <c r="E498" s="1316"/>
      <c r="F498" s="1316"/>
      <c r="I498" s="524"/>
    </row>
    <row r="499" spans="1:9" ht="14.4">
      <c r="A499" s="518"/>
      <c r="B499" s="518"/>
      <c r="D499" s="1313" t="s">
        <v>1237</v>
      </c>
      <c r="E499" s="1313"/>
      <c r="F499" s="1313"/>
      <c r="I499" s="524"/>
    </row>
    <row r="500" spans="1:9" ht="14.4">
      <c r="A500" s="518"/>
      <c r="B500" s="518"/>
      <c r="D500" s="481"/>
      <c r="I500" s="524"/>
    </row>
    <row r="501" spans="1:9" ht="14.4">
      <c r="A501" s="518"/>
      <c r="B501" s="519" t="s">
        <v>2664</v>
      </c>
      <c r="D501" s="1268" t="s">
        <v>1238</v>
      </c>
      <c r="E501" s="1268"/>
      <c r="F501" s="1268"/>
      <c r="I501" s="524" t="s">
        <v>2092</v>
      </c>
    </row>
    <row r="502" spans="1:9" ht="14.4">
      <c r="A502" s="518"/>
      <c r="B502" s="518"/>
      <c r="D502" s="1268"/>
      <c r="E502" s="1268"/>
      <c r="F502" s="1268"/>
      <c r="I502" s="524"/>
    </row>
    <row r="503" spans="1:9" ht="14.4">
      <c r="A503" s="518"/>
      <c r="B503" s="518"/>
      <c r="D503" s="480"/>
      <c r="I503" s="524"/>
    </row>
    <row r="504" spans="1:9" ht="12.75" customHeight="1">
      <c r="B504" s="519" t="s">
        <v>2664</v>
      </c>
      <c r="D504" s="1302" t="s">
        <v>1381</v>
      </c>
      <c r="E504" s="1302"/>
      <c r="F504" s="1302"/>
      <c r="I504" s="524" t="s">
        <v>2093</v>
      </c>
    </row>
    <row r="505" spans="1:9" ht="14.4">
      <c r="A505" s="518"/>
      <c r="D505" s="1302"/>
      <c r="E505" s="1302"/>
      <c r="F505" s="1302"/>
      <c r="I505" s="524"/>
    </row>
    <row r="506" spans="1:9" ht="14.4">
      <c r="A506" s="518"/>
      <c r="B506" s="518"/>
      <c r="D506" s="1302"/>
      <c r="E506" s="1302"/>
      <c r="F506" s="1302"/>
      <c r="I506" s="524"/>
    </row>
    <row r="507" spans="1:9" ht="14.4">
      <c r="A507" s="518"/>
      <c r="B507" s="518"/>
      <c r="D507" s="1302"/>
      <c r="E507" s="1302"/>
      <c r="F507" s="1302"/>
      <c r="I507" s="524"/>
    </row>
    <row r="508" spans="1:9" ht="14.4">
      <c r="A508" s="518"/>
      <c r="D508" s="554"/>
      <c r="E508" s="554"/>
      <c r="F508" s="554"/>
      <c r="I508" s="524"/>
    </row>
    <row r="509" spans="1:9" ht="14.4">
      <c r="A509" s="518"/>
      <c r="B509" s="519" t="s">
        <v>2664</v>
      </c>
      <c r="D509" s="1309" t="s">
        <v>1241</v>
      </c>
      <c r="E509" s="1309"/>
      <c r="F509" s="1309"/>
      <c r="I509" s="524" t="s">
        <v>2094</v>
      </c>
    </row>
    <row r="510" spans="1:9" ht="14.4">
      <c r="A510" s="518"/>
      <c r="B510" s="518"/>
      <c r="D510" s="480"/>
      <c r="I510" s="524"/>
    </row>
    <row r="511" spans="1:9" ht="14.4">
      <c r="A511" s="518"/>
      <c r="B511" s="519" t="s">
        <v>2664</v>
      </c>
      <c r="D511" s="1280" t="s">
        <v>1242</v>
      </c>
      <c r="E511" s="1280"/>
      <c r="F511" s="1280"/>
      <c r="I511" s="524" t="s">
        <v>2094</v>
      </c>
    </row>
    <row r="512" spans="1:9" ht="14.4">
      <c r="A512" s="518"/>
      <c r="D512" s="1280"/>
      <c r="E512" s="1280"/>
      <c r="F512" s="1280"/>
      <c r="I512" s="524"/>
    </row>
    <row r="513" spans="1:9">
      <c r="A513" s="524"/>
      <c r="B513" s="524"/>
      <c r="D513" s="481"/>
      <c r="I513" s="524"/>
    </row>
    <row r="514" spans="1:9">
      <c r="A514" s="524"/>
      <c r="B514" s="519" t="s">
        <v>2664</v>
      </c>
      <c r="D514" s="1309" t="s">
        <v>1243</v>
      </c>
      <c r="E514" s="1309"/>
      <c r="F514" s="1309"/>
      <c r="I514" s="524" t="s">
        <v>2147</v>
      </c>
    </row>
    <row r="515" spans="1:9" ht="14.4">
      <c r="A515" s="518"/>
      <c r="B515" s="518"/>
      <c r="D515" s="480"/>
      <c r="I515" s="524"/>
    </row>
    <row r="516" spans="1:9">
      <c r="A516" s="1286" t="s">
        <v>1078</v>
      </c>
      <c r="B516" s="1286"/>
      <c r="C516" s="1286"/>
      <c r="D516" s="1286"/>
      <c r="E516" s="1286"/>
      <c r="F516" s="1286"/>
      <c r="G516" s="1286"/>
      <c r="H516" s="1063"/>
      <c r="I516" s="1256"/>
    </row>
    <row r="517" spans="1:9" ht="12" customHeight="1">
      <c r="A517" s="518"/>
      <c r="B517" s="518"/>
      <c r="D517" s="480"/>
      <c r="I517" s="524"/>
    </row>
    <row r="518" spans="1:9">
      <c r="C518" s="516"/>
      <c r="D518" s="1278" t="s">
        <v>801</v>
      </c>
      <c r="E518" s="1278"/>
      <c r="F518" s="1278"/>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65" customHeight="1">
      <c r="A522" s="517"/>
      <c r="B522" s="519" t="s">
        <v>2665</v>
      </c>
      <c r="C522" s="517"/>
      <c r="D522" s="1268" t="s">
        <v>2372</v>
      </c>
      <c r="E522" s="1268"/>
      <c r="F522" s="1268"/>
      <c r="I522" s="524" t="s">
        <v>2129</v>
      </c>
    </row>
    <row r="523" spans="1:9">
      <c r="A523" s="517"/>
      <c r="B523" s="517"/>
      <c r="C523" s="517"/>
      <c r="D523" s="1268"/>
      <c r="E523" s="1268"/>
      <c r="F523" s="1268"/>
      <c r="I523" s="524"/>
    </row>
    <row r="524" spans="1:9">
      <c r="A524" s="517"/>
      <c r="B524" s="517"/>
      <c r="C524" s="517"/>
      <c r="D524" s="485"/>
      <c r="E524" s="485"/>
      <c r="F524" s="485"/>
      <c r="I524" s="514"/>
    </row>
    <row r="525" spans="1:9" ht="12.75" customHeight="1">
      <c r="A525" s="517"/>
      <c r="B525" s="519" t="s">
        <v>2664</v>
      </c>
      <c r="D525" s="417" t="s">
        <v>2202</v>
      </c>
      <c r="E525" s="416"/>
      <c r="F525" s="416"/>
      <c r="I525" s="524" t="s">
        <v>2095</v>
      </c>
    </row>
    <row r="526" spans="1:9">
      <c r="A526" s="517"/>
      <c r="B526" s="517"/>
      <c r="C526" s="517"/>
      <c r="D526" s="416"/>
      <c r="E526" s="96" t="s">
        <v>2203</v>
      </c>
      <c r="I526" s="524"/>
    </row>
    <row r="527" spans="1:9">
      <c r="A527" s="517"/>
      <c r="B527" s="517"/>
      <c r="D527" s="1324" t="s">
        <v>2373</v>
      </c>
      <c r="E527" s="1324"/>
      <c r="F527" s="1324"/>
      <c r="I527" s="524"/>
    </row>
    <row r="528" spans="1:9">
      <c r="A528" s="517"/>
      <c r="B528" s="517"/>
      <c r="D528" s="1324"/>
      <c r="E528" s="1324"/>
      <c r="F528" s="1324"/>
      <c r="I528" s="524"/>
    </row>
    <row r="529" spans="1:9">
      <c r="A529" s="517"/>
      <c r="B529" s="517"/>
      <c r="C529" s="517"/>
      <c r="D529" s="1324"/>
      <c r="E529" s="1324"/>
      <c r="F529" s="1324"/>
      <c r="I529" s="524"/>
    </row>
    <row r="530" spans="1:9">
      <c r="A530" s="517"/>
      <c r="B530" s="517"/>
      <c r="C530" s="517"/>
      <c r="D530" s="532"/>
      <c r="F530" s="480"/>
      <c r="I530" s="524"/>
    </row>
    <row r="531" spans="1:9" ht="13.2" customHeight="1">
      <c r="A531" s="517"/>
      <c r="B531" s="519" t="s">
        <v>2664</v>
      </c>
      <c r="C531" s="517"/>
      <c r="D531" s="1280" t="s">
        <v>2374</v>
      </c>
      <c r="E531" s="1280"/>
      <c r="F531" s="1280"/>
      <c r="I531" s="524" t="s">
        <v>2095</v>
      </c>
    </row>
    <row r="532" spans="1:9">
      <c r="A532" s="517"/>
      <c r="B532" s="517"/>
      <c r="C532" s="517"/>
      <c r="D532" s="1280"/>
      <c r="E532" s="1280"/>
      <c r="F532" s="1280"/>
      <c r="I532" s="524"/>
    </row>
    <row r="533" spans="1:9" ht="12" customHeight="1">
      <c r="A533" s="480"/>
      <c r="B533" s="480"/>
      <c r="C533" s="521"/>
      <c r="D533" s="480"/>
      <c r="F533" s="482"/>
      <c r="I533" s="524"/>
    </row>
    <row r="534" spans="1:9">
      <c r="A534" s="1286" t="s">
        <v>1079</v>
      </c>
      <c r="B534" s="1286"/>
      <c r="C534" s="1286"/>
      <c r="D534" s="1286"/>
      <c r="E534" s="1286"/>
      <c r="F534" s="1286"/>
      <c r="G534" s="1286"/>
      <c r="H534" s="1063"/>
      <c r="I534" s="1256"/>
    </row>
    <row r="535" spans="1:9">
      <c r="A535" s="480"/>
      <c r="B535" s="480"/>
      <c r="C535" s="521"/>
      <c r="F535" s="482"/>
      <c r="I535" s="524"/>
    </row>
    <row r="536" spans="1:9">
      <c r="B536" s="1295" t="s">
        <v>447</v>
      </c>
      <c r="C536" s="1295"/>
      <c r="D536" s="1295"/>
      <c r="E536" s="1295"/>
      <c r="F536" s="1295"/>
      <c r="I536" s="524"/>
    </row>
    <row r="537" spans="1:9">
      <c r="A537" s="480"/>
      <c r="B537" s="480"/>
      <c r="C537" s="521"/>
      <c r="D537" s="480"/>
      <c r="F537" s="480"/>
      <c r="I537" s="524"/>
    </row>
    <row r="538" spans="1:9">
      <c r="A538" s="1287" t="s">
        <v>1080</v>
      </c>
      <c r="B538" s="1287"/>
      <c r="C538" s="1287"/>
      <c r="D538" s="1287"/>
      <c r="E538" s="1287"/>
      <c r="F538" s="1287"/>
      <c r="G538" s="1287"/>
      <c r="H538" s="1063"/>
      <c r="I538" s="1256"/>
    </row>
    <row r="539" spans="1:9">
      <c r="A539" s="480"/>
      <c r="B539" s="480"/>
      <c r="C539" s="521"/>
      <c r="D539" s="480"/>
      <c r="F539" s="480"/>
      <c r="I539" s="524"/>
    </row>
    <row r="540" spans="1:9">
      <c r="C540" s="521"/>
      <c r="D540" s="1278" t="s">
        <v>690</v>
      </c>
      <c r="E540" s="1278"/>
      <c r="F540" s="1278"/>
      <c r="I540" s="524"/>
    </row>
    <row r="541" spans="1:9">
      <c r="C541" s="521"/>
      <c r="D541" s="1309" t="s">
        <v>1137</v>
      </c>
      <c r="E541" s="1309"/>
      <c r="F541" s="1309"/>
      <c r="I541" s="524"/>
    </row>
    <row r="542" spans="1:9">
      <c r="C542" s="521"/>
      <c r="D542" s="480"/>
      <c r="E542" s="480"/>
      <c r="F542" s="480"/>
      <c r="I542" s="524"/>
    </row>
    <row r="543" spans="1:9" ht="13.65" customHeight="1">
      <c r="A543" s="518"/>
      <c r="B543" s="519" t="s">
        <v>2665</v>
      </c>
      <c r="C543" s="521"/>
      <c r="D543" s="1309" t="s">
        <v>895</v>
      </c>
      <c r="E543" s="1309"/>
      <c r="F543" s="1309"/>
      <c r="I543" s="524" t="s">
        <v>2145</v>
      </c>
    </row>
    <row r="544" spans="1:9" ht="13.65" customHeight="1">
      <c r="A544" s="521"/>
      <c r="B544" s="521"/>
      <c r="C544" s="521"/>
      <c r="D544" s="480"/>
      <c r="I544" s="524"/>
    </row>
    <row r="545" spans="1:9" ht="14.4">
      <c r="A545" s="518"/>
      <c r="B545" s="519" t="s">
        <v>2665</v>
      </c>
      <c r="C545" s="521"/>
      <c r="D545" s="1280" t="s">
        <v>1138</v>
      </c>
      <c r="E545" s="1280"/>
      <c r="F545" s="1280"/>
      <c r="I545" s="524" t="s">
        <v>2145</v>
      </c>
    </row>
    <row r="546" spans="1:9">
      <c r="A546" s="521"/>
      <c r="B546" s="521"/>
      <c r="C546" s="521"/>
      <c r="D546" s="1280"/>
      <c r="E546" s="1280"/>
      <c r="F546" s="1280"/>
      <c r="I546" s="524"/>
    </row>
    <row r="547" spans="1:9">
      <c r="A547" s="521"/>
      <c r="B547" s="521"/>
      <c r="C547" s="521"/>
      <c r="D547" s="480"/>
      <c r="E547" s="480"/>
      <c r="F547" s="480"/>
      <c r="I547" s="524"/>
    </row>
    <row r="548" spans="1:9" ht="14.4">
      <c r="A548" s="518"/>
      <c r="B548" s="519" t="s">
        <v>2665</v>
      </c>
      <c r="C548" s="521"/>
      <c r="D548" s="1280" t="s">
        <v>1139</v>
      </c>
      <c r="E548" s="1280"/>
      <c r="F548" s="1280"/>
      <c r="I548" s="524" t="s">
        <v>2096</v>
      </c>
    </row>
    <row r="549" spans="1:9">
      <c r="A549" s="521"/>
      <c r="B549" s="521"/>
      <c r="C549" s="521"/>
      <c r="D549" s="1280"/>
      <c r="E549" s="1280"/>
      <c r="F549" s="1280"/>
      <c r="I549" s="524"/>
    </row>
    <row r="550" spans="1:9">
      <c r="A550" s="521"/>
      <c r="B550" s="521"/>
      <c r="C550" s="521"/>
      <c r="D550" s="480"/>
      <c r="E550" s="480"/>
      <c r="F550" s="480"/>
      <c r="I550" s="524"/>
    </row>
    <row r="551" spans="1:9" ht="14.4">
      <c r="A551" s="518"/>
      <c r="B551" s="519" t="s">
        <v>2665</v>
      </c>
      <c r="C551" s="521"/>
      <c r="D551" s="1280" t="s">
        <v>1140</v>
      </c>
      <c r="E551" s="1280"/>
      <c r="F551" s="1280"/>
      <c r="I551" s="524" t="s">
        <v>2097</v>
      </c>
    </row>
    <row r="552" spans="1:9">
      <c r="A552" s="521"/>
      <c r="B552" s="521"/>
      <c r="C552" s="521"/>
      <c r="D552" s="1280"/>
      <c r="E552" s="1280"/>
      <c r="F552" s="1280"/>
      <c r="I552" s="524"/>
    </row>
    <row r="553" spans="1:9">
      <c r="A553" s="521"/>
      <c r="B553" s="521"/>
      <c r="C553" s="521"/>
      <c r="D553" s="480"/>
      <c r="E553" s="480"/>
      <c r="F553" s="480"/>
      <c r="I553" s="524"/>
    </row>
    <row r="554" spans="1:9" ht="14.4">
      <c r="A554" s="518"/>
      <c r="B554" s="519" t="s">
        <v>2665</v>
      </c>
      <c r="C554" s="521"/>
      <c r="D554" s="1280" t="s">
        <v>1141</v>
      </c>
      <c r="E554" s="1280"/>
      <c r="F554" s="1280"/>
      <c r="I554" s="524" t="s">
        <v>2146</v>
      </c>
    </row>
    <row r="555" spans="1:9">
      <c r="A555" s="521"/>
      <c r="B555" s="521"/>
      <c r="C555" s="521"/>
      <c r="D555" s="1280"/>
      <c r="E555" s="1280"/>
      <c r="F555" s="1280"/>
      <c r="I555" s="524"/>
    </row>
    <row r="556" spans="1:9">
      <c r="A556" s="521"/>
      <c r="B556" s="521"/>
      <c r="C556" s="521"/>
      <c r="D556" s="1280"/>
      <c r="E556" s="1280"/>
      <c r="F556" s="1280"/>
      <c r="I556" s="524"/>
    </row>
    <row r="557" spans="1:9">
      <c r="A557" s="521"/>
      <c r="B557" s="521"/>
      <c r="C557" s="521"/>
      <c r="D557" s="480"/>
      <c r="E557" s="480"/>
      <c r="F557" s="480"/>
      <c r="I557" s="524"/>
    </row>
    <row r="558" spans="1:9" ht="14.4">
      <c r="A558" s="518"/>
      <c r="B558" s="519" t="s">
        <v>2664</v>
      </c>
      <c r="C558" s="521"/>
      <c r="D558" s="1280" t="s">
        <v>1259</v>
      </c>
      <c r="E558" s="1280"/>
      <c r="F558" s="1280"/>
      <c r="I558" s="524" t="s">
        <v>2145</v>
      </c>
    </row>
    <row r="559" spans="1:9">
      <c r="A559" s="521"/>
      <c r="B559" s="521"/>
      <c r="C559" s="521"/>
      <c r="D559" s="1280"/>
      <c r="E559" s="1280"/>
      <c r="F559" s="1280"/>
      <c r="I559" s="524"/>
    </row>
    <row r="560" spans="1:9">
      <c r="A560" s="521"/>
      <c r="B560" s="521"/>
      <c r="C560" s="521"/>
      <c r="D560" s="480"/>
      <c r="E560" s="480"/>
      <c r="F560" s="480"/>
      <c r="I560" s="524"/>
    </row>
    <row r="561" spans="1:9" ht="14.4">
      <c r="A561" s="518"/>
      <c r="B561" s="519" t="s">
        <v>2665</v>
      </c>
      <c r="C561" s="521"/>
      <c r="D561" s="1280" t="s">
        <v>1143</v>
      </c>
      <c r="E561" s="1280"/>
      <c r="F561" s="1280"/>
      <c r="I561" s="524" t="s">
        <v>2145</v>
      </c>
    </row>
    <row r="562" spans="1:9">
      <c r="A562" s="521"/>
      <c r="B562" s="521"/>
      <c r="C562" s="521"/>
      <c r="D562" s="1280"/>
      <c r="E562" s="1280"/>
      <c r="F562" s="1280"/>
      <c r="I562" s="524"/>
    </row>
    <row r="563" spans="1:9">
      <c r="A563" s="521"/>
      <c r="B563" s="521"/>
      <c r="C563" s="521"/>
      <c r="D563" s="480"/>
      <c r="E563" s="480"/>
      <c r="F563" s="480"/>
      <c r="I563" s="524"/>
    </row>
    <row r="564" spans="1:9" ht="14.4">
      <c r="A564" s="518"/>
      <c r="B564" s="519" t="s">
        <v>2665</v>
      </c>
      <c r="C564" s="521"/>
      <c r="D564" s="1309" t="s">
        <v>1144</v>
      </c>
      <c r="E564" s="1309"/>
      <c r="F564" s="1309"/>
      <c r="I564" s="524" t="s">
        <v>2148</v>
      </c>
    </row>
    <row r="565" spans="1:9">
      <c r="A565" s="524"/>
      <c r="B565" s="524"/>
      <c r="C565" s="521"/>
      <c r="D565" s="1309" t="s">
        <v>2205</v>
      </c>
      <c r="E565" s="1309"/>
      <c r="F565" s="1309"/>
      <c r="I565" s="524"/>
    </row>
    <row r="566" spans="1:9">
      <c r="A566" s="524"/>
      <c r="B566" s="524"/>
      <c r="C566" s="521"/>
      <c r="E566" s="96" t="s">
        <v>2204</v>
      </c>
      <c r="F566" s="435"/>
      <c r="I566" s="524"/>
    </row>
    <row r="567" spans="1:9" ht="14.4">
      <c r="A567" s="518"/>
      <c r="B567" s="518"/>
      <c r="C567" s="521"/>
      <c r="E567" s="480"/>
      <c r="F567" s="480"/>
      <c r="I567" s="524"/>
    </row>
    <row r="568" spans="1:9" ht="14.4">
      <c r="A568" s="518"/>
      <c r="B568" s="519" t="s">
        <v>2665</v>
      </c>
      <c r="C568" s="521"/>
      <c r="D568" s="1309" t="s">
        <v>1146</v>
      </c>
      <c r="E568" s="1309"/>
      <c r="F568" s="1309"/>
      <c r="I568" s="524" t="s">
        <v>2098</v>
      </c>
    </row>
    <row r="569" spans="1:9">
      <c r="C569" s="521"/>
      <c r="D569" s="1280" t="s">
        <v>1147</v>
      </c>
      <c r="E569" s="1280"/>
      <c r="F569" s="1280"/>
      <c r="I569" s="524"/>
    </row>
    <row r="570" spans="1:9">
      <c r="A570" s="521"/>
      <c r="B570" s="521"/>
      <c r="C570" s="521"/>
      <c r="D570" s="1280"/>
      <c r="E570" s="1280"/>
      <c r="F570" s="1280"/>
      <c r="I570" s="524"/>
    </row>
    <row r="571" spans="1:9">
      <c r="A571" s="521"/>
      <c r="B571" s="521"/>
      <c r="C571" s="521"/>
      <c r="D571" s="1280"/>
      <c r="E571" s="1280"/>
      <c r="F571" s="1280"/>
      <c r="I571" s="524"/>
    </row>
    <row r="572" spans="1:9">
      <c r="A572" s="521"/>
      <c r="B572" s="521"/>
      <c r="C572" s="521"/>
      <c r="D572" s="480"/>
      <c r="E572" s="480"/>
      <c r="F572" s="480"/>
      <c r="I572" s="524"/>
    </row>
    <row r="573" spans="1:9" ht="14.4">
      <c r="A573" s="518"/>
      <c r="B573" s="519" t="s">
        <v>2665</v>
      </c>
      <c r="C573" s="521"/>
      <c r="D573" s="1280" t="s">
        <v>2375</v>
      </c>
      <c r="E573" s="1280"/>
      <c r="F573" s="1280"/>
      <c r="I573" s="524" t="s">
        <v>2099</v>
      </c>
    </row>
    <row r="574" spans="1:9" ht="14.4">
      <c r="A574" s="518"/>
      <c r="B574" s="518"/>
      <c r="C574" s="521"/>
      <c r="D574" s="1280"/>
      <c r="E574" s="1280"/>
      <c r="F574" s="1280"/>
      <c r="I574" s="524"/>
    </row>
    <row r="575" spans="1:9" ht="14.4">
      <c r="A575" s="518"/>
      <c r="B575" s="518"/>
      <c r="C575" s="521"/>
      <c r="D575" s="1280"/>
      <c r="E575" s="1280"/>
      <c r="F575" s="1280"/>
      <c r="I575" s="524"/>
    </row>
    <row r="576" spans="1:9" ht="14.4">
      <c r="A576" s="518"/>
      <c r="B576" s="518"/>
      <c r="C576" s="521"/>
      <c r="D576" s="1280"/>
      <c r="E576" s="1280"/>
      <c r="F576" s="1280"/>
      <c r="I576" s="524"/>
    </row>
    <row r="577" spans="1:9" ht="14.4">
      <c r="A577" s="518"/>
      <c r="B577" s="518"/>
      <c r="C577" s="521"/>
      <c r="D577" s="480"/>
      <c r="E577" s="480"/>
      <c r="F577" s="480"/>
      <c r="I577" s="524"/>
    </row>
    <row r="578" spans="1:9">
      <c r="A578" s="1286" t="s">
        <v>1081</v>
      </c>
      <c r="B578" s="1286"/>
      <c r="C578" s="1286"/>
      <c r="D578" s="1286"/>
      <c r="E578" s="1286"/>
      <c r="F578" s="1286"/>
      <c r="G578" s="1286"/>
      <c r="H578" s="1063"/>
      <c r="I578" s="1256"/>
    </row>
    <row r="579" spans="1:9">
      <c r="A579" s="521"/>
      <c r="B579" s="521"/>
      <c r="C579" s="521"/>
      <c r="E579" s="480"/>
      <c r="F579" s="480"/>
      <c r="I579" s="524"/>
    </row>
    <row r="580" spans="1:9" ht="12.75" customHeight="1">
      <c r="C580" s="516"/>
      <c r="D580" s="1308" t="s">
        <v>210</v>
      </c>
      <c r="E580" s="1308"/>
      <c r="F580" s="1308"/>
      <c r="I580" s="524"/>
    </row>
    <row r="581" spans="1:9">
      <c r="A581" s="517"/>
      <c r="B581" s="517"/>
      <c r="C581" s="517"/>
      <c r="D581" s="1302" t="s">
        <v>1097</v>
      </c>
      <c r="E581" s="1302"/>
      <c r="F581" s="1302"/>
      <c r="I581" s="524"/>
    </row>
    <row r="582" spans="1:9">
      <c r="A582" s="433"/>
      <c r="B582" s="433"/>
      <c r="C582" s="517"/>
      <c r="D582" s="533"/>
      <c r="I582" s="524" t="s">
        <v>2100</v>
      </c>
    </row>
    <row r="583" spans="1:9">
      <c r="A583" s="517"/>
      <c r="B583" s="519" t="s">
        <v>2665</v>
      </c>
      <c r="D583" s="1302" t="s">
        <v>901</v>
      </c>
      <c r="E583" s="1302"/>
      <c r="F583" s="1302"/>
      <c r="I583" s="524"/>
    </row>
    <row r="584" spans="1:9">
      <c r="A584" s="524"/>
      <c r="B584" s="524"/>
      <c r="D584" s="510"/>
      <c r="I584" s="524"/>
    </row>
    <row r="585" spans="1:9">
      <c r="A585" s="524"/>
      <c r="B585" s="519" t="s">
        <v>2665</v>
      </c>
      <c r="D585" s="1302" t="s">
        <v>2376</v>
      </c>
      <c r="E585" s="1302"/>
      <c r="F585" s="1302"/>
      <c r="I585" s="524" t="s">
        <v>2102</v>
      </c>
    </row>
    <row r="586" spans="1:9">
      <c r="A586" s="524"/>
      <c r="B586" s="524"/>
      <c r="D586" s="1302"/>
      <c r="E586" s="1302"/>
      <c r="F586" s="1302"/>
      <c r="I586" s="524" t="s">
        <v>2101</v>
      </c>
    </row>
    <row r="587" spans="1:9">
      <c r="A587" s="524"/>
      <c r="B587" s="524"/>
      <c r="D587" s="1302"/>
      <c r="E587" s="1302"/>
      <c r="F587" s="1302"/>
      <c r="I587" s="524"/>
    </row>
    <row r="588" spans="1:9">
      <c r="A588" s="524"/>
      <c r="B588" s="524"/>
      <c r="D588" s="1302"/>
      <c r="E588" s="1302"/>
      <c r="F588" s="1302"/>
      <c r="I588" s="524"/>
    </row>
    <row r="589" spans="1:9">
      <c r="A589" s="524"/>
      <c r="B589" s="519" t="s">
        <v>2664</v>
      </c>
      <c r="D589" s="1302" t="s">
        <v>1099</v>
      </c>
      <c r="E589" s="1302"/>
      <c r="F589" s="1302"/>
      <c r="I589" s="524"/>
    </row>
    <row r="590" spans="1:9">
      <c r="A590" s="524"/>
      <c r="B590" s="524"/>
      <c r="D590" s="1302"/>
      <c r="E590" s="1302"/>
      <c r="F590" s="1302"/>
      <c r="I590" s="524"/>
    </row>
    <row r="591" spans="1:9">
      <c r="A591" s="524"/>
      <c r="B591" s="524"/>
      <c r="D591" s="1302"/>
      <c r="E591" s="1302"/>
      <c r="F591" s="1302"/>
      <c r="I591" s="524"/>
    </row>
    <row r="592" spans="1:9">
      <c r="A592" s="524"/>
      <c r="B592" s="524"/>
      <c r="D592" s="1302"/>
      <c r="E592" s="1302"/>
      <c r="F592" s="1302"/>
      <c r="I592" s="524"/>
    </row>
    <row r="593" spans="1:9">
      <c r="A593" s="524"/>
      <c r="B593" s="524"/>
      <c r="D593" s="473"/>
      <c r="E593" s="473"/>
      <c r="F593" s="473"/>
      <c r="I593" s="524"/>
    </row>
    <row r="594" spans="1:9">
      <c r="A594" s="524"/>
      <c r="B594" s="519" t="s">
        <v>2665</v>
      </c>
      <c r="D594" s="1302" t="s">
        <v>2377</v>
      </c>
      <c r="E594" s="1302"/>
      <c r="F594" s="1302"/>
      <c r="I594" s="524"/>
    </row>
    <row r="595" spans="1:9">
      <c r="A595" s="524"/>
      <c r="B595" s="524"/>
      <c r="D595" s="1302"/>
      <c r="E595" s="1302"/>
      <c r="F595" s="1302"/>
      <c r="I595" s="524"/>
    </row>
    <row r="596" spans="1:9">
      <c r="A596" s="524"/>
      <c r="B596" s="524"/>
      <c r="D596" s="533"/>
      <c r="I596" s="524"/>
    </row>
    <row r="597" spans="1:9">
      <c r="A597" s="524"/>
      <c r="B597" s="519" t="s">
        <v>2664</v>
      </c>
      <c r="D597" s="1302" t="s">
        <v>1101</v>
      </c>
      <c r="E597" s="1302"/>
      <c r="F597" s="1302"/>
      <c r="I597" s="524" t="s">
        <v>2149</v>
      </c>
    </row>
    <row r="598" spans="1:9">
      <c r="A598" s="524"/>
      <c r="B598" s="524"/>
      <c r="D598" s="1302"/>
      <c r="E598" s="1302"/>
      <c r="F598" s="1302"/>
      <c r="I598" s="524"/>
    </row>
    <row r="599" spans="1:9" ht="14.4">
      <c r="A599" s="518"/>
      <c r="B599" s="518"/>
      <c r="D599" s="533"/>
      <c r="I599" s="524"/>
    </row>
    <row r="600" spans="1:9">
      <c r="A600" s="1286" t="s">
        <v>1082</v>
      </c>
      <c r="B600" s="1286"/>
      <c r="C600" s="1286"/>
      <c r="D600" s="1286"/>
      <c r="E600" s="1286"/>
      <c r="F600" s="1286"/>
      <c r="G600" s="1286"/>
      <c r="H600" s="1063"/>
      <c r="I600" s="1256"/>
    </row>
    <row r="601" spans="1:9">
      <c r="I601" s="524"/>
    </row>
    <row r="602" spans="1:9">
      <c r="D602" s="1278" t="s">
        <v>1182</v>
      </c>
      <c r="E602" s="1278"/>
      <c r="F602" s="1278"/>
      <c r="I602" s="524"/>
    </row>
    <row r="603" spans="1:9">
      <c r="D603" s="1279" t="s">
        <v>1183</v>
      </c>
      <c r="E603" s="1279"/>
      <c r="F603" s="1279"/>
      <c r="I603" s="524"/>
    </row>
    <row r="604" spans="1:9">
      <c r="D604" s="478"/>
      <c r="I604" s="524"/>
    </row>
    <row r="605" spans="1:9" ht="14.25" customHeight="1">
      <c r="A605" s="518"/>
      <c r="B605" s="519" t="s">
        <v>2665</v>
      </c>
      <c r="D605" s="1343" t="s">
        <v>2206</v>
      </c>
      <c r="E605" s="1343"/>
      <c r="F605" s="1343"/>
      <c r="I605" s="524" t="s">
        <v>2130</v>
      </c>
    </row>
    <row r="606" spans="1:9">
      <c r="D606" s="1343"/>
      <c r="E606" s="1343"/>
      <c r="F606" s="1343"/>
      <c r="I606" s="524"/>
    </row>
    <row r="607" spans="1:9">
      <c r="D607" s="416"/>
      <c r="E607" s="1071" t="s">
        <v>2207</v>
      </c>
      <c r="F607" s="416"/>
      <c r="I607" s="524"/>
    </row>
    <row r="608" spans="1:9">
      <c r="I608" s="524"/>
    </row>
    <row r="609" spans="1:9">
      <c r="A609" s="1286" t="s">
        <v>1083</v>
      </c>
      <c r="B609" s="1286"/>
      <c r="C609" s="1286"/>
      <c r="D609" s="1286"/>
      <c r="E609" s="1286"/>
      <c r="F609" s="1286"/>
      <c r="G609" s="1286"/>
      <c r="H609" s="1063"/>
      <c r="I609" s="1256"/>
    </row>
    <row r="610" spans="1:9">
      <c r="A610" s="480"/>
      <c r="B610" s="480"/>
      <c r="I610" s="524"/>
    </row>
    <row r="611" spans="1:9">
      <c r="A611" s="516"/>
      <c r="B611" s="516"/>
      <c r="C611" s="516"/>
      <c r="D611" s="1281" t="s">
        <v>1185</v>
      </c>
      <c r="E611" s="1281"/>
      <c r="F611" s="1281"/>
      <c r="I611" s="524"/>
    </row>
    <row r="612" spans="1:9">
      <c r="A612" s="516"/>
      <c r="B612" s="516"/>
      <c r="C612" s="516"/>
      <c r="D612" s="1281"/>
      <c r="E612" s="1281"/>
      <c r="F612" s="1281"/>
      <c r="I612" s="524"/>
    </row>
    <row r="613" spans="1:9">
      <c r="C613" s="517"/>
      <c r="D613" s="1279" t="s">
        <v>1186</v>
      </c>
      <c r="E613" s="1279"/>
      <c r="F613" s="1279"/>
      <c r="I613" s="524"/>
    </row>
    <row r="614" spans="1:9">
      <c r="C614" s="517"/>
      <c r="D614" s="478"/>
      <c r="E614" s="478"/>
      <c r="F614" s="478"/>
      <c r="I614" s="524"/>
    </row>
    <row r="615" spans="1:9" ht="12.75" customHeight="1">
      <c r="A615" s="524"/>
      <c r="B615" s="519" t="s">
        <v>2665</v>
      </c>
      <c r="D615" s="1282" t="s">
        <v>1187</v>
      </c>
      <c r="E615" s="1282"/>
      <c r="F615" s="1282"/>
      <c r="I615" s="524" t="s">
        <v>2150</v>
      </c>
    </row>
    <row r="616" spans="1:9">
      <c r="D616" s="1282"/>
      <c r="E616" s="1282"/>
      <c r="F616" s="1282"/>
      <c r="I616" s="524"/>
    </row>
    <row r="617" spans="1:9">
      <c r="I617" s="524"/>
    </row>
    <row r="618" spans="1:9">
      <c r="B618" s="519" t="s">
        <v>2665</v>
      </c>
      <c r="D618" s="1282" t="s">
        <v>1188</v>
      </c>
      <c r="E618" s="1282"/>
      <c r="F618" s="1282"/>
      <c r="I618" s="524" t="s">
        <v>2103</v>
      </c>
    </row>
    <row r="619" spans="1:9">
      <c r="C619" s="534"/>
      <c r="D619" s="1282"/>
      <c r="E619" s="1282"/>
      <c r="F619" s="1282"/>
      <c r="I619" s="524"/>
    </row>
    <row r="620" spans="1:9">
      <c r="C620" s="534"/>
      <c r="I620" s="524"/>
    </row>
    <row r="621" spans="1:9">
      <c r="B621" s="519" t="s">
        <v>2664</v>
      </c>
      <c r="C621" s="534"/>
      <c r="D621" s="1282" t="s">
        <v>1189</v>
      </c>
      <c r="E621" s="1282"/>
      <c r="F621" s="1282"/>
      <c r="I621" s="524" t="s">
        <v>2151</v>
      </c>
    </row>
    <row r="622" spans="1:9">
      <c r="C622" s="534"/>
      <c r="D622" s="1282"/>
      <c r="E622" s="1282"/>
      <c r="F622" s="1282"/>
      <c r="I622" s="534" t="s">
        <v>2152</v>
      </c>
    </row>
    <row r="623" spans="1:9">
      <c r="C623" s="534"/>
      <c r="I623" s="524"/>
    </row>
    <row r="624" spans="1:9">
      <c r="A624" s="1286" t="s">
        <v>1084</v>
      </c>
      <c r="B624" s="1286"/>
      <c r="C624" s="1286"/>
      <c r="D624" s="1286"/>
      <c r="E624" s="1286"/>
      <c r="F624" s="1286"/>
      <c r="G624" s="1286"/>
      <c r="H624" s="1063"/>
      <c r="I624" s="1256"/>
    </row>
    <row r="625" spans="1:9">
      <c r="A625" s="516"/>
      <c r="B625" s="516"/>
      <c r="C625" s="516"/>
      <c r="I625" s="524"/>
    </row>
    <row r="626" spans="1:9">
      <c r="C626" s="524"/>
      <c r="D626" s="1278" t="s">
        <v>1190</v>
      </c>
      <c r="E626" s="1278"/>
      <c r="F626" s="1278"/>
      <c r="I626" s="524"/>
    </row>
    <row r="627" spans="1:9">
      <c r="A627" s="524"/>
      <c r="B627" s="524"/>
      <c r="D627" s="435"/>
      <c r="I627" s="524"/>
    </row>
    <row r="628" spans="1:9" ht="14.25" customHeight="1">
      <c r="A628" s="518"/>
      <c r="B628" s="519" t="s">
        <v>2665</v>
      </c>
      <c r="D628" s="1343" t="s">
        <v>2378</v>
      </c>
      <c r="E628" s="1343"/>
      <c r="F628" s="1343"/>
      <c r="I628" s="524" t="s">
        <v>2131</v>
      </c>
    </row>
    <row r="629" spans="1:9">
      <c r="D629" s="1343"/>
      <c r="E629" s="1343"/>
      <c r="F629" s="1343"/>
      <c r="I629" s="524"/>
    </row>
    <row r="630" spans="1:9">
      <c r="D630" s="416"/>
      <c r="E630" s="1071" t="s">
        <v>2209</v>
      </c>
      <c r="F630" s="416"/>
      <c r="I630" s="524"/>
    </row>
    <row r="631" spans="1:9">
      <c r="D631" s="1280" t="s">
        <v>2208</v>
      </c>
      <c r="E631" s="1280"/>
      <c r="F631" s="1280"/>
      <c r="I631" s="524"/>
    </row>
    <row r="632" spans="1:9">
      <c r="D632" s="1280"/>
      <c r="E632" s="1280"/>
      <c r="F632" s="1280"/>
      <c r="I632" s="524"/>
    </row>
    <row r="633" spans="1:9">
      <c r="D633" s="1280"/>
      <c r="E633" s="1280"/>
      <c r="F633" s="1280"/>
      <c r="I633" s="524"/>
    </row>
    <row r="634" spans="1:9">
      <c r="D634" s="479"/>
      <c r="E634" s="479"/>
      <c r="F634" s="479"/>
      <c r="I634" s="524"/>
    </row>
    <row r="635" spans="1:9" ht="14.4">
      <c r="A635" s="518"/>
      <c r="B635" s="519" t="s">
        <v>2664</v>
      </c>
      <c r="D635" s="1280" t="s">
        <v>1192</v>
      </c>
      <c r="E635" s="1280"/>
      <c r="F635" s="1280"/>
      <c r="I635" s="524" t="s">
        <v>2153</v>
      </c>
    </row>
    <row r="636" spans="1:9">
      <c r="A636" s="521"/>
      <c r="B636" s="521"/>
      <c r="C636" s="521"/>
      <c r="D636" s="1280"/>
      <c r="E636" s="1280"/>
      <c r="F636" s="1280"/>
      <c r="I636" s="524"/>
    </row>
    <row r="637" spans="1:9">
      <c r="A637" s="521"/>
      <c r="B637" s="521"/>
      <c r="C637" s="521"/>
      <c r="D637" s="480"/>
      <c r="E637" s="480"/>
      <c r="F637" s="480"/>
      <c r="I637" s="524"/>
    </row>
    <row r="638" spans="1:9" ht="14.4">
      <c r="A638" s="518"/>
      <c r="B638" s="519" t="s">
        <v>2664</v>
      </c>
      <c r="C638" s="521"/>
      <c r="D638" s="1280" t="s">
        <v>1331</v>
      </c>
      <c r="E638" s="1280"/>
      <c r="F638" s="1280"/>
      <c r="I638" s="524" t="s">
        <v>2104</v>
      </c>
    </row>
    <row r="639" spans="1:9" ht="14.4">
      <c r="A639" s="518"/>
      <c r="B639" s="518"/>
      <c r="C639" s="521"/>
      <c r="D639" s="1280"/>
      <c r="E639" s="1280"/>
      <c r="F639" s="1280"/>
      <c r="I639" s="524"/>
    </row>
    <row r="640" spans="1:9" ht="14.4">
      <c r="A640" s="518"/>
      <c r="B640" s="518"/>
      <c r="C640" s="521"/>
      <c r="D640" s="1280"/>
      <c r="E640" s="1280"/>
      <c r="F640" s="1280"/>
      <c r="I640" s="524"/>
    </row>
    <row r="641" spans="1:9">
      <c r="A641" s="521"/>
      <c r="B641" s="519" t="s">
        <v>2664</v>
      </c>
      <c r="C641" s="521"/>
      <c r="D641" s="1309" t="s">
        <v>1194</v>
      </c>
      <c r="E641" s="1309"/>
      <c r="F641" s="1309"/>
      <c r="I641" s="524" t="s">
        <v>2104</v>
      </c>
    </row>
    <row r="642" spans="1:9">
      <c r="A642" s="521"/>
      <c r="B642" s="521"/>
      <c r="C642" s="521"/>
      <c r="D642" s="480"/>
      <c r="E642" s="480"/>
      <c r="F642" s="480"/>
      <c r="I642" s="524"/>
    </row>
    <row r="643" spans="1:9">
      <c r="A643" s="1286" t="s">
        <v>1085</v>
      </c>
      <c r="B643" s="1286"/>
      <c r="C643" s="1286"/>
      <c r="D643" s="1286"/>
      <c r="E643" s="1286"/>
      <c r="F643" s="1286"/>
      <c r="G643" s="1286"/>
      <c r="H643" s="1063"/>
      <c r="I643" s="1256"/>
    </row>
    <row r="644" spans="1:9">
      <c r="A644" s="480"/>
      <c r="B644" s="480"/>
      <c r="C644" s="521"/>
      <c r="D644" s="480"/>
      <c r="E644" s="480"/>
      <c r="F644" s="480"/>
      <c r="I644" s="524"/>
    </row>
    <row r="645" spans="1:9">
      <c r="C645" s="516"/>
      <c r="D645" s="1278" t="s">
        <v>1244</v>
      </c>
      <c r="E645" s="1278"/>
      <c r="F645" s="1278"/>
      <c r="I645" s="524"/>
    </row>
    <row r="646" spans="1:9">
      <c r="A646" s="517"/>
      <c r="B646" s="517"/>
      <c r="C646" s="517"/>
      <c r="D646" s="1309" t="s">
        <v>1245</v>
      </c>
      <c r="E646" s="1309"/>
      <c r="F646" s="1309"/>
      <c r="I646" s="524"/>
    </row>
    <row r="647" spans="1:9">
      <c r="A647" s="517"/>
      <c r="B647" s="517"/>
      <c r="C647" s="517"/>
      <c r="D647" s="480"/>
      <c r="E647" s="480"/>
      <c r="F647" s="480"/>
      <c r="I647" s="524"/>
    </row>
    <row r="648" spans="1:9" ht="12.75" customHeight="1">
      <c r="B648" s="519" t="s">
        <v>2664</v>
      </c>
      <c r="C648" s="521"/>
      <c r="D648" s="1280" t="s">
        <v>1389</v>
      </c>
      <c r="E648" s="1280"/>
      <c r="F648" s="1280"/>
      <c r="I648" s="524" t="s">
        <v>2156</v>
      </c>
    </row>
    <row r="649" spans="1:9">
      <c r="D649" s="1280"/>
      <c r="E649" s="1280"/>
      <c r="F649" s="1280"/>
      <c r="I649" s="524"/>
    </row>
    <row r="650" spans="1:9">
      <c r="D650" s="1280"/>
      <c r="E650" s="1280"/>
      <c r="F650" s="1280"/>
      <c r="I650" s="524"/>
    </row>
    <row r="651" spans="1:9">
      <c r="D651" s="1280"/>
      <c r="E651" s="1280"/>
      <c r="F651" s="1280"/>
      <c r="I651" s="524"/>
    </row>
    <row r="652" spans="1:9" ht="14.4" customHeight="1">
      <c r="A652" s="518"/>
      <c r="B652" s="518"/>
      <c r="C652" s="521"/>
      <c r="D652" s="416"/>
      <c r="E652" s="416"/>
      <c r="F652" s="416"/>
      <c r="I652" s="524"/>
    </row>
    <row r="653" spans="1:9" ht="12.75" customHeight="1">
      <c r="A653" s="517"/>
      <c r="B653" s="519" t="s">
        <v>2664</v>
      </c>
      <c r="C653" s="521"/>
      <c r="D653" s="1280" t="s">
        <v>1391</v>
      </c>
      <c r="E653" s="1280"/>
      <c r="F653" s="1280"/>
      <c r="I653" s="524" t="s">
        <v>2156</v>
      </c>
    </row>
    <row r="654" spans="1:9" ht="14.4">
      <c r="A654" s="517"/>
      <c r="B654" s="518"/>
      <c r="C654" s="521"/>
      <c r="D654" s="1280"/>
      <c r="E654" s="1280"/>
      <c r="F654" s="1280"/>
      <c r="I654" s="524"/>
    </row>
    <row r="655" spans="1:9" ht="14.4">
      <c r="A655" s="517"/>
      <c r="B655" s="518"/>
      <c r="C655" s="521"/>
      <c r="D655" s="1280"/>
      <c r="E655" s="1280"/>
      <c r="F655" s="1280"/>
      <c r="I655" s="524"/>
    </row>
    <row r="656" spans="1:9" ht="14.4">
      <c r="A656" s="517"/>
      <c r="B656" s="518"/>
      <c r="C656" s="521"/>
      <c r="D656" s="1280"/>
      <c r="E656" s="1280"/>
      <c r="F656" s="1280"/>
      <c r="I656" s="524"/>
    </row>
    <row r="657" spans="1:9" ht="14.4">
      <c r="A657" s="517"/>
      <c r="B657" s="518"/>
      <c r="C657" s="521"/>
      <c r="D657" s="1280"/>
      <c r="E657" s="1280"/>
      <c r="F657" s="1280"/>
      <c r="I657" s="524"/>
    </row>
    <row r="658" spans="1:9" ht="14.25" customHeight="1">
      <c r="A658" s="517"/>
      <c r="B658" s="518"/>
      <c r="C658" s="521"/>
      <c r="F658" s="417"/>
      <c r="I658" s="524"/>
    </row>
    <row r="659" spans="1:9" ht="12.75" customHeight="1">
      <c r="A659" s="517"/>
      <c r="B659" s="519" t="s">
        <v>2664</v>
      </c>
      <c r="C659" s="521"/>
      <c r="D659" s="1280" t="s">
        <v>1390</v>
      </c>
      <c r="E659" s="1280"/>
      <c r="F659" s="1280"/>
      <c r="I659" s="524" t="s">
        <v>2156</v>
      </c>
    </row>
    <row r="660" spans="1:9" ht="14.4">
      <c r="A660" s="517"/>
      <c r="B660" s="518"/>
      <c r="C660" s="521"/>
      <c r="D660" s="1280"/>
      <c r="E660" s="1280"/>
      <c r="F660" s="1280"/>
      <c r="I660" s="524"/>
    </row>
    <row r="661" spans="1:9" ht="14.4">
      <c r="A661" s="518"/>
      <c r="B661" s="518"/>
      <c r="C661" s="521"/>
      <c r="D661" s="1280"/>
      <c r="E661" s="1280"/>
      <c r="F661" s="1280"/>
      <c r="I661" s="524"/>
    </row>
    <row r="662" spans="1:9" ht="14.4">
      <c r="A662" s="518"/>
      <c r="B662" s="518"/>
      <c r="C662" s="521"/>
      <c r="D662" s="1280"/>
      <c r="E662" s="1280"/>
      <c r="F662" s="1280"/>
      <c r="I662" s="524"/>
    </row>
    <row r="663" spans="1:9" ht="14.4">
      <c r="A663" s="518"/>
      <c r="B663" s="518"/>
      <c r="C663" s="521"/>
      <c r="D663" s="479"/>
      <c r="E663" s="479"/>
      <c r="F663" s="479"/>
      <c r="I663" s="524"/>
    </row>
    <row r="664" spans="1:9" ht="12.75" customHeight="1">
      <c r="A664" s="517"/>
      <c r="B664" s="519" t="s">
        <v>2664</v>
      </c>
      <c r="C664" s="521"/>
      <c r="D664" s="1280" t="s">
        <v>2379</v>
      </c>
      <c r="E664" s="1280"/>
      <c r="F664" s="1280"/>
      <c r="I664" s="524" t="s">
        <v>2156</v>
      </c>
    </row>
    <row r="665" spans="1:9" ht="12.75" customHeight="1">
      <c r="A665" s="517"/>
      <c r="B665" s="518"/>
      <c r="C665" s="521"/>
      <c r="D665" s="1280"/>
      <c r="E665" s="1280"/>
      <c r="F665" s="1280"/>
      <c r="I665" s="524"/>
    </row>
    <row r="666" spans="1:9" ht="12.75" customHeight="1">
      <c r="A666" s="517"/>
      <c r="B666" s="518"/>
      <c r="C666" s="521"/>
      <c r="D666" s="1280"/>
      <c r="E666" s="1280"/>
      <c r="F666" s="1280"/>
      <c r="I666" s="524"/>
    </row>
    <row r="667" spans="1:9" ht="12.75" customHeight="1">
      <c r="A667" s="517"/>
      <c r="B667" s="518"/>
      <c r="C667" s="521"/>
      <c r="D667" s="1280"/>
      <c r="E667" s="1280"/>
      <c r="F667" s="1280"/>
      <c r="I667" s="524"/>
    </row>
    <row r="668" spans="1:9" ht="12.75" customHeight="1">
      <c r="A668" s="517"/>
      <c r="B668" s="518"/>
      <c r="C668" s="521"/>
      <c r="D668" s="1280"/>
      <c r="E668" s="1280"/>
      <c r="F668" s="1280"/>
      <c r="I668" s="524"/>
    </row>
    <row r="669" spans="1:9" ht="12.75" customHeight="1">
      <c r="A669" s="517"/>
      <c r="B669" s="518"/>
      <c r="C669" s="521"/>
      <c r="D669" s="1280"/>
      <c r="E669" s="1280"/>
      <c r="F669" s="1280"/>
      <c r="I669" s="524"/>
    </row>
    <row r="670" spans="1:9" ht="12.75" customHeight="1">
      <c r="A670" s="517"/>
      <c r="B670" s="518"/>
      <c r="C670" s="521"/>
      <c r="D670" s="1280"/>
      <c r="E670" s="1280"/>
      <c r="F670" s="1280"/>
      <c r="I670" s="524"/>
    </row>
    <row r="671" spans="1:9" ht="12.75" customHeight="1">
      <c r="A671" s="517"/>
      <c r="B671" s="518"/>
      <c r="C671" s="521"/>
      <c r="D671" s="1280"/>
      <c r="E671" s="1280"/>
      <c r="F671" s="1280"/>
      <c r="I671" s="524"/>
    </row>
    <row r="672" spans="1:9" ht="12.75" customHeight="1">
      <c r="A672" s="517"/>
      <c r="B672" s="518"/>
      <c r="C672" s="521"/>
      <c r="D672" s="1280"/>
      <c r="E672" s="1280"/>
      <c r="F672" s="1280"/>
      <c r="I672" s="524"/>
    </row>
    <row r="673" spans="1:11">
      <c r="A673" s="521"/>
      <c r="B673" s="521"/>
      <c r="C673" s="521"/>
      <c r="D673" s="480"/>
      <c r="E673" s="480"/>
      <c r="F673" s="480"/>
      <c r="I673" s="524"/>
    </row>
    <row r="674" spans="1:11">
      <c r="A674" s="1286" t="s">
        <v>1086</v>
      </c>
      <c r="B674" s="1286"/>
      <c r="C674" s="1286"/>
      <c r="D674" s="1286"/>
      <c r="E674" s="1286"/>
      <c r="F674" s="1286"/>
      <c r="G674" s="1286"/>
      <c r="H674" s="1065"/>
      <c r="I674" s="1260"/>
      <c r="J674" s="535"/>
      <c r="K674" s="535"/>
    </row>
    <row r="675" spans="1:11">
      <c r="A675" s="482"/>
      <c r="B675" s="482"/>
      <c r="C675" s="482"/>
      <c r="D675" s="482"/>
      <c r="E675" s="482"/>
      <c r="F675" s="482"/>
      <c r="G675" s="482"/>
      <c r="H675" s="535"/>
      <c r="I675" s="517"/>
      <c r="J675" s="535"/>
      <c r="K675" s="535"/>
    </row>
    <row r="676" spans="1:11">
      <c r="C676" s="516"/>
      <c r="D676" s="1278" t="s">
        <v>99</v>
      </c>
      <c r="E676" s="1278"/>
      <c r="F676" s="1278"/>
      <c r="H676" s="535"/>
      <c r="I676" s="517"/>
      <c r="J676" s="535"/>
      <c r="K676" s="535"/>
    </row>
    <row r="677" spans="1:11">
      <c r="A677" s="516"/>
      <c r="B677" s="516"/>
      <c r="C677" s="516"/>
      <c r="D677" s="1278" t="s">
        <v>123</v>
      </c>
      <c r="E677" s="1278"/>
      <c r="F677" s="1278"/>
      <c r="H677" s="535"/>
      <c r="I677" s="517"/>
      <c r="J677" s="535"/>
      <c r="K677" s="535"/>
    </row>
    <row r="678" spans="1:11">
      <c r="A678" s="517"/>
      <c r="B678" s="517"/>
      <c r="C678" s="517"/>
      <c r="D678" s="1309" t="s">
        <v>1122</v>
      </c>
      <c r="E678" s="1309"/>
      <c r="F678" s="1309"/>
      <c r="H678" s="535"/>
      <c r="I678" s="517"/>
      <c r="J678" s="535"/>
      <c r="K678" s="535"/>
    </row>
    <row r="679" spans="1:11">
      <c r="A679" s="517"/>
      <c r="B679" s="517"/>
      <c r="C679" s="517"/>
      <c r="H679" s="535"/>
      <c r="I679" s="517"/>
      <c r="J679" s="535"/>
      <c r="K679" s="535"/>
    </row>
    <row r="680" spans="1:11" ht="14.4">
      <c r="A680" s="518"/>
      <c r="B680" s="519" t="s">
        <v>2664</v>
      </c>
      <c r="C680" s="517"/>
      <c r="D680" s="1309" t="s">
        <v>897</v>
      </c>
      <c r="E680" s="1309"/>
      <c r="F680" s="1309"/>
      <c r="H680" s="535"/>
      <c r="I680" s="517" t="s">
        <v>2132</v>
      </c>
      <c r="J680" s="535"/>
      <c r="K680" s="535"/>
    </row>
    <row r="681" spans="1:11">
      <c r="A681" s="517"/>
      <c r="B681" s="517"/>
      <c r="C681" s="517"/>
      <c r="D681" s="1309" t="s">
        <v>907</v>
      </c>
      <c r="E681" s="1309"/>
      <c r="F681" s="1309"/>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4">
      <c r="A685" s="518"/>
      <c r="B685" s="519" t="s">
        <v>2664</v>
      </c>
      <c r="C685" s="517"/>
      <c r="D685" s="1280" t="s">
        <v>2380</v>
      </c>
      <c r="E685" s="1280"/>
      <c r="F685" s="1280"/>
      <c r="H685" s="535"/>
      <c r="I685" s="517" t="s">
        <v>2154</v>
      </c>
      <c r="J685" s="535"/>
      <c r="K685" s="535"/>
    </row>
    <row r="686" spans="1:11">
      <c r="A686" s="524"/>
      <c r="B686" s="524"/>
      <c r="C686" s="517"/>
      <c r="D686" s="1280"/>
      <c r="E686" s="1280"/>
      <c r="F686" s="1280"/>
      <c r="H686" s="535"/>
      <c r="I686" s="517"/>
      <c r="J686" s="535"/>
      <c r="K686" s="535"/>
    </row>
    <row r="687" spans="1:11">
      <c r="A687" s="517"/>
      <c r="B687" s="517"/>
      <c r="C687" s="517"/>
      <c r="D687" s="1280"/>
      <c r="E687" s="1280"/>
      <c r="F687" s="1280"/>
      <c r="H687" s="535"/>
      <c r="I687" s="517"/>
      <c r="J687" s="535"/>
      <c r="K687" s="535"/>
    </row>
    <row r="688" spans="1:11">
      <c r="A688" s="517"/>
      <c r="B688" s="517"/>
      <c r="C688" s="517"/>
      <c r="H688" s="535"/>
      <c r="I688" s="517" t="s">
        <v>2133</v>
      </c>
      <c r="J688" s="535"/>
      <c r="K688" s="535"/>
    </row>
    <row r="689" spans="1:11" ht="14.4">
      <c r="A689" s="518"/>
      <c r="B689" s="519" t="s">
        <v>2665</v>
      </c>
      <c r="C689" s="517"/>
      <c r="D689" s="1309" t="s">
        <v>935</v>
      </c>
      <c r="E689" s="1309"/>
      <c r="F689" s="1309"/>
      <c r="H689" s="535"/>
      <c r="I689" s="517"/>
      <c r="J689" s="535"/>
      <c r="K689" s="535"/>
    </row>
    <row r="690" spans="1:11" ht="14.4">
      <c r="A690" s="518"/>
      <c r="B690" s="518"/>
      <c r="C690" s="517"/>
      <c r="D690" s="1309" t="s">
        <v>907</v>
      </c>
      <c r="E690" s="1309"/>
      <c r="F690" s="1309"/>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4">
      <c r="A693" s="518"/>
      <c r="B693" s="519" t="s">
        <v>2664</v>
      </c>
      <c r="C693" s="517"/>
      <c r="D693" s="1280" t="s">
        <v>1135</v>
      </c>
      <c r="E693" s="1280"/>
      <c r="F693" s="1280"/>
      <c r="H693" s="535"/>
      <c r="I693" s="517" t="s">
        <v>2105</v>
      </c>
      <c r="J693" s="535"/>
      <c r="K693" s="535"/>
    </row>
    <row r="694" spans="1:11">
      <c r="A694" s="517"/>
      <c r="B694" s="517"/>
      <c r="C694" s="517"/>
      <c r="D694" s="1280"/>
      <c r="E694" s="1280"/>
      <c r="F694" s="1280"/>
      <c r="H694" s="535"/>
      <c r="I694" s="517"/>
      <c r="J694" s="535"/>
      <c r="K694" s="535"/>
    </row>
    <row r="695" spans="1:11">
      <c r="A695" s="517"/>
      <c r="B695" s="517"/>
      <c r="C695" s="517"/>
      <c r="D695" s="1280"/>
      <c r="E695" s="1280"/>
      <c r="F695" s="1280"/>
      <c r="H695" s="535"/>
      <c r="I695" s="517"/>
      <c r="J695" s="535"/>
      <c r="K695" s="535"/>
    </row>
    <row r="696" spans="1:11">
      <c r="A696" s="517"/>
      <c r="B696" s="517"/>
      <c r="C696" s="517"/>
      <c r="D696" s="1280"/>
      <c r="E696" s="1280"/>
      <c r="F696" s="1280"/>
      <c r="H696" s="535"/>
      <c r="I696" s="517"/>
      <c r="J696" s="535"/>
      <c r="K696" s="535"/>
    </row>
    <row r="697" spans="1:11">
      <c r="A697" s="517"/>
      <c r="B697" s="517"/>
      <c r="C697" s="517"/>
      <c r="D697" s="1280"/>
      <c r="E697" s="1280"/>
      <c r="F697" s="1280"/>
      <c r="H697" s="535"/>
      <c r="I697" s="517"/>
      <c r="J697" s="535"/>
      <c r="K697" s="535"/>
    </row>
    <row r="698" spans="1:11">
      <c r="A698" s="517"/>
      <c r="B698" s="517"/>
      <c r="C698" s="517"/>
      <c r="D698" s="1280"/>
      <c r="E698" s="1280"/>
      <c r="F698" s="1280"/>
      <c r="H698" s="535"/>
      <c r="I698" s="517"/>
      <c r="J698" s="535"/>
      <c r="K698" s="535"/>
    </row>
    <row r="699" spans="1:11">
      <c r="A699" s="517"/>
      <c r="B699" s="517"/>
      <c r="C699" s="517"/>
      <c r="D699" s="479"/>
      <c r="E699" s="479"/>
      <c r="F699" s="479"/>
      <c r="H699" s="535"/>
      <c r="I699" s="517"/>
      <c r="J699" s="535"/>
      <c r="K699" s="535"/>
    </row>
    <row r="700" spans="1:11">
      <c r="A700" s="517"/>
      <c r="B700" s="519" t="s">
        <v>2664</v>
      </c>
      <c r="C700" s="517"/>
      <c r="D700" s="1280" t="s">
        <v>1306</v>
      </c>
      <c r="E700" s="1280"/>
      <c r="F700" s="1280"/>
      <c r="H700" s="535"/>
      <c r="I700" s="517" t="s">
        <v>2105</v>
      </c>
      <c r="J700" s="535"/>
      <c r="K700" s="535"/>
    </row>
    <row r="701" spans="1:11">
      <c r="A701" s="517"/>
      <c r="B701" s="517"/>
      <c r="C701" s="517"/>
      <c r="D701" s="1280"/>
      <c r="E701" s="1280"/>
      <c r="F701" s="1280"/>
      <c r="H701" s="535"/>
      <c r="I701" s="517"/>
      <c r="J701" s="535"/>
      <c r="K701" s="535"/>
    </row>
    <row r="702" spans="1:11">
      <c r="A702" s="517"/>
      <c r="B702" s="517"/>
      <c r="C702" s="517"/>
      <c r="D702" s="479"/>
      <c r="E702" s="479"/>
      <c r="F702" s="479"/>
      <c r="H702" s="535"/>
      <c r="I702" s="517"/>
      <c r="J702" s="535"/>
      <c r="K702" s="535"/>
    </row>
    <row r="703" spans="1:11" ht="14.4">
      <c r="A703" s="518"/>
      <c r="B703" s="519" t="s">
        <v>2664</v>
      </c>
      <c r="C703" s="517"/>
      <c r="D703" s="1280" t="s">
        <v>1126</v>
      </c>
      <c r="E703" s="1280"/>
      <c r="F703" s="1280"/>
      <c r="H703" s="535"/>
      <c r="I703" s="517" t="s">
        <v>2105</v>
      </c>
      <c r="J703" s="535"/>
      <c r="K703" s="535"/>
    </row>
    <row r="704" spans="1:11">
      <c r="A704" s="517"/>
      <c r="B704" s="517"/>
      <c r="C704" s="517"/>
      <c r="D704" s="1280"/>
      <c r="E704" s="1280"/>
      <c r="F704" s="1280"/>
      <c r="H704" s="535"/>
      <c r="I704" s="517"/>
      <c r="J704" s="535"/>
      <c r="K704" s="535"/>
    </row>
    <row r="705" spans="1:11">
      <c r="A705" s="517"/>
      <c r="B705" s="517"/>
      <c r="C705" s="517"/>
      <c r="D705" s="1280"/>
      <c r="E705" s="1280"/>
      <c r="F705" s="1280"/>
      <c r="H705" s="535"/>
      <c r="I705" s="517"/>
      <c r="J705" s="535"/>
      <c r="K705" s="535"/>
    </row>
    <row r="706" spans="1:11" ht="15" customHeight="1">
      <c r="A706" s="517"/>
      <c r="B706" s="517"/>
      <c r="C706" s="517"/>
      <c r="D706" s="1280"/>
      <c r="E706" s="1280"/>
      <c r="F706" s="1280"/>
      <c r="H706" s="535"/>
      <c r="I706" s="517"/>
      <c r="J706" s="535"/>
      <c r="K706" s="535"/>
    </row>
    <row r="707" spans="1:11" ht="15" customHeight="1">
      <c r="A707" s="517"/>
      <c r="B707" s="517"/>
      <c r="C707" s="517"/>
      <c r="D707" s="1280"/>
      <c r="E707" s="1280"/>
      <c r="F707" s="1280"/>
      <c r="H707" s="535"/>
      <c r="I707" s="517"/>
      <c r="J707" s="535"/>
      <c r="K707" s="535"/>
    </row>
    <row r="708" spans="1:11">
      <c r="A708" s="517"/>
      <c r="B708" s="517"/>
      <c r="C708" s="517"/>
      <c r="D708" s="1280"/>
      <c r="E708" s="1280"/>
      <c r="F708" s="1280"/>
      <c r="H708" s="535"/>
      <c r="I708" s="517"/>
      <c r="J708" s="535"/>
      <c r="K708" s="535"/>
    </row>
    <row r="709" spans="1:11">
      <c r="A709" s="517"/>
      <c r="B709" s="517"/>
      <c r="C709" s="517"/>
      <c r="D709" s="1280"/>
      <c r="E709" s="1280"/>
      <c r="F709" s="1280"/>
      <c r="H709" s="535"/>
      <c r="I709" s="517"/>
      <c r="J709" s="535"/>
      <c r="K709" s="535"/>
    </row>
    <row r="710" spans="1:11">
      <c r="A710" s="517"/>
      <c r="B710" s="517"/>
      <c r="C710" s="517"/>
      <c r="D710" s="1280"/>
      <c r="E710" s="1280"/>
      <c r="F710" s="1280"/>
      <c r="H710" s="535"/>
      <c r="I710" s="517"/>
      <c r="J710" s="535"/>
      <c r="K710" s="535"/>
    </row>
    <row r="711" spans="1:11" ht="15" customHeight="1">
      <c r="A711" s="517"/>
      <c r="B711" s="517"/>
      <c r="C711" s="517"/>
      <c r="D711" s="1280"/>
      <c r="E711" s="1280"/>
      <c r="F711" s="1280"/>
      <c r="H711" s="535"/>
      <c r="I711" s="517"/>
      <c r="J711" s="535"/>
      <c r="K711" s="535"/>
    </row>
    <row r="712" spans="1:11">
      <c r="A712" s="517"/>
      <c r="B712" s="517"/>
      <c r="C712" s="517"/>
      <c r="D712" s="1280"/>
      <c r="E712" s="1280"/>
      <c r="F712" s="1280"/>
      <c r="H712" s="535"/>
      <c r="I712" s="517"/>
      <c r="J712" s="535"/>
      <c r="K712" s="535"/>
    </row>
    <row r="713" spans="1:11">
      <c r="A713" s="517"/>
      <c r="B713" s="517"/>
      <c r="C713" s="517"/>
      <c r="D713" s="1280"/>
      <c r="E713" s="1280"/>
      <c r="F713" s="1280"/>
      <c r="H713" s="535"/>
      <c r="I713" s="517"/>
      <c r="J713" s="535"/>
      <c r="K713" s="535"/>
    </row>
    <row r="714" spans="1:11">
      <c r="A714" s="517"/>
      <c r="B714" s="517"/>
      <c r="C714" s="517"/>
      <c r="D714" s="1280"/>
      <c r="E714" s="1280"/>
      <c r="F714" s="1280"/>
      <c r="H714" s="535"/>
      <c r="I714" s="517"/>
      <c r="J714" s="535"/>
      <c r="K714" s="535"/>
    </row>
    <row r="715" spans="1:11">
      <c r="A715" s="517"/>
      <c r="B715" s="517"/>
      <c r="C715" s="517"/>
      <c r="D715" s="1280"/>
      <c r="E715" s="1280"/>
      <c r="F715" s="1280"/>
      <c r="H715" s="535"/>
      <c r="I715" s="517"/>
      <c r="J715" s="535"/>
      <c r="K715" s="535"/>
    </row>
    <row r="716" spans="1:11">
      <c r="A716" s="517"/>
      <c r="B716" s="519" t="s">
        <v>2664</v>
      </c>
      <c r="C716" s="517"/>
      <c r="D716" s="1280" t="s">
        <v>1133</v>
      </c>
      <c r="E716" s="1280"/>
      <c r="F716" s="1280"/>
      <c r="H716" s="535"/>
      <c r="I716" s="517" t="s">
        <v>2155</v>
      </c>
      <c r="J716" s="535"/>
      <c r="K716" s="535"/>
    </row>
    <row r="717" spans="1:11">
      <c r="A717" s="517"/>
      <c r="B717" s="517"/>
      <c r="C717" s="517"/>
      <c r="D717" s="1280"/>
      <c r="E717" s="1280"/>
      <c r="F717" s="1280"/>
      <c r="H717" s="535"/>
      <c r="I717" s="517"/>
      <c r="J717" s="535"/>
      <c r="K717" s="535"/>
    </row>
    <row r="718" spans="1:11">
      <c r="A718" s="517"/>
      <c r="B718" s="517"/>
      <c r="C718" s="517"/>
      <c r="D718" s="479"/>
      <c r="E718" s="479"/>
      <c r="F718" s="479"/>
      <c r="H718" s="535"/>
      <c r="I718" s="517"/>
      <c r="J718" s="535"/>
      <c r="K718" s="535"/>
    </row>
    <row r="719" spans="1:11">
      <c r="A719" s="517"/>
      <c r="B719" s="519" t="s">
        <v>2664</v>
      </c>
      <c r="C719" s="517"/>
      <c r="D719" s="1280" t="s">
        <v>1127</v>
      </c>
      <c r="E719" s="1280"/>
      <c r="F719" s="1280"/>
      <c r="H719" s="535"/>
      <c r="I719" s="517" t="s">
        <v>2155</v>
      </c>
      <c r="J719" s="535"/>
      <c r="K719" s="535"/>
    </row>
    <row r="720" spans="1:11">
      <c r="A720" s="517"/>
      <c r="B720" s="517"/>
      <c r="C720" s="517"/>
      <c r="D720" s="1280"/>
      <c r="E720" s="1280"/>
      <c r="F720" s="1280"/>
      <c r="H720" s="535"/>
      <c r="I720" s="517"/>
      <c r="J720" s="535"/>
      <c r="K720" s="535"/>
    </row>
    <row r="721" spans="1:11">
      <c r="A721" s="517"/>
      <c r="B721" s="517"/>
      <c r="C721" s="517"/>
      <c r="D721" s="1280"/>
      <c r="E721" s="1280"/>
      <c r="F721" s="1280"/>
      <c r="H721" s="535"/>
      <c r="I721" s="517"/>
      <c r="J721" s="535"/>
      <c r="K721" s="535"/>
    </row>
    <row r="722" spans="1:11">
      <c r="A722" s="517"/>
      <c r="B722" s="517"/>
      <c r="C722" s="517"/>
      <c r="H722" s="535"/>
      <c r="I722" s="517"/>
      <c r="J722" s="535"/>
      <c r="K722" s="535"/>
    </row>
    <row r="723" spans="1:11">
      <c r="A723" s="517"/>
      <c r="B723" s="519" t="s">
        <v>2664</v>
      </c>
      <c r="C723" s="517"/>
      <c r="D723" s="1280" t="s">
        <v>1128</v>
      </c>
      <c r="E723" s="1280"/>
      <c r="F723" s="1280"/>
      <c r="H723" s="535"/>
      <c r="I723" s="517" t="s">
        <v>2155</v>
      </c>
      <c r="J723" s="535"/>
      <c r="K723" s="535"/>
    </row>
    <row r="724" spans="1:11">
      <c r="A724" s="517"/>
      <c r="B724" s="517"/>
      <c r="C724" s="517"/>
      <c r="D724" s="1280"/>
      <c r="E724" s="1280"/>
      <c r="F724" s="1280"/>
      <c r="H724" s="535"/>
      <c r="I724" s="517"/>
      <c r="J724" s="535"/>
      <c r="K724" s="535"/>
    </row>
    <row r="725" spans="1:11">
      <c r="A725" s="517"/>
      <c r="B725" s="517"/>
      <c r="C725" s="517"/>
      <c r="D725" s="1280"/>
      <c r="E725" s="1280"/>
      <c r="F725" s="1280"/>
      <c r="H725" s="535"/>
      <c r="I725" s="517"/>
      <c r="J725" s="535"/>
      <c r="K725" s="535"/>
    </row>
    <row r="726" spans="1:11">
      <c r="A726" s="517"/>
      <c r="B726" s="517"/>
      <c r="C726" s="517"/>
      <c r="H726" s="535"/>
      <c r="I726" s="517"/>
      <c r="J726" s="535"/>
      <c r="K726" s="535"/>
    </row>
    <row r="727" spans="1:11" ht="14.4">
      <c r="A727" s="518"/>
      <c r="B727" s="519" t="s">
        <v>2664</v>
      </c>
      <c r="C727" s="517"/>
      <c r="D727" s="1280" t="s">
        <v>1129</v>
      </c>
      <c r="E727" s="1280"/>
      <c r="F727" s="1280"/>
      <c r="H727" s="535"/>
      <c r="I727" s="517" t="s">
        <v>2106</v>
      </c>
      <c r="J727" s="535"/>
      <c r="K727" s="535"/>
    </row>
    <row r="728" spans="1:11">
      <c r="A728" s="517"/>
      <c r="B728" s="517"/>
      <c r="C728" s="517"/>
      <c r="D728" s="1280"/>
      <c r="E728" s="1280"/>
      <c r="F728" s="1280"/>
      <c r="H728" s="535"/>
      <c r="I728" s="517"/>
      <c r="J728" s="535"/>
      <c r="K728" s="535"/>
    </row>
    <row r="729" spans="1:11">
      <c r="A729" s="517"/>
      <c r="B729" s="517"/>
      <c r="C729" s="517"/>
      <c r="D729" s="1280"/>
      <c r="E729" s="1280"/>
      <c r="F729" s="1280"/>
      <c r="H729" s="535"/>
      <c r="I729" s="517"/>
      <c r="J729" s="535"/>
      <c r="K729" s="535"/>
    </row>
    <row r="730" spans="1:11">
      <c r="A730" s="517"/>
      <c r="B730" s="517"/>
      <c r="C730" s="517"/>
      <c r="D730" s="1280"/>
      <c r="E730" s="1280"/>
      <c r="F730" s="1280"/>
      <c r="H730" s="535"/>
      <c r="I730" s="517"/>
      <c r="J730" s="535"/>
      <c r="K730" s="535"/>
    </row>
    <row r="731" spans="1:11">
      <c r="A731" s="517"/>
      <c r="B731" s="517"/>
      <c r="C731" s="517"/>
      <c r="D731" s="526"/>
      <c r="H731" s="535"/>
      <c r="I731" s="517"/>
      <c r="J731" s="535"/>
      <c r="K731" s="535"/>
    </row>
    <row r="732" spans="1:11" ht="14.4">
      <c r="A732" s="518"/>
      <c r="B732" s="519" t="s">
        <v>2664</v>
      </c>
      <c r="C732" s="517"/>
      <c r="D732" s="1280" t="s">
        <v>2503</v>
      </c>
      <c r="E732" s="1280"/>
      <c r="F732" s="1280"/>
      <c r="H732" s="535"/>
      <c r="I732" s="517" t="s">
        <v>2122</v>
      </c>
      <c r="J732" s="535"/>
      <c r="K732" s="535"/>
    </row>
    <row r="733" spans="1:11">
      <c r="A733" s="517"/>
      <c r="B733" s="517"/>
      <c r="C733" s="517"/>
      <c r="D733" s="1280"/>
      <c r="E733" s="1280"/>
      <c r="F733" s="1280"/>
      <c r="H733" s="535"/>
      <c r="I733" s="517"/>
      <c r="J733" s="535"/>
      <c r="K733" s="535"/>
    </row>
    <row r="734" spans="1:11">
      <c r="A734" s="517"/>
      <c r="B734" s="517"/>
      <c r="C734" s="517"/>
      <c r="D734" s="1280"/>
      <c r="E734" s="1280"/>
      <c r="F734" s="1280"/>
      <c r="H734" s="535"/>
      <c r="I734" s="517"/>
      <c r="J734" s="535"/>
      <c r="K734" s="535"/>
    </row>
    <row r="735" spans="1:11">
      <c r="A735" s="517"/>
      <c r="B735" s="517"/>
      <c r="C735" s="517"/>
      <c r="D735" s="1280"/>
      <c r="E735" s="1280"/>
      <c r="F735" s="1280"/>
      <c r="H735" s="535"/>
      <c r="I735" s="517"/>
      <c r="J735" s="535"/>
      <c r="K735" s="535"/>
    </row>
    <row r="736" spans="1:11">
      <c r="A736" s="517"/>
      <c r="B736" s="517"/>
      <c r="C736" s="517"/>
      <c r="D736" s="1280"/>
      <c r="E736" s="1280"/>
      <c r="F736" s="1280"/>
      <c r="H736" s="535"/>
      <c r="I736" s="517"/>
      <c r="J736" s="535"/>
      <c r="K736" s="535"/>
    </row>
    <row r="737" spans="1:11">
      <c r="A737" s="517"/>
      <c r="B737" s="517"/>
      <c r="C737" s="517"/>
      <c r="D737" s="1280"/>
      <c r="E737" s="1280"/>
      <c r="F737" s="1280"/>
      <c r="H737" s="535"/>
      <c r="I737" s="517"/>
      <c r="J737" s="535"/>
      <c r="K737" s="535"/>
    </row>
    <row r="738" spans="1:11">
      <c r="A738" s="517"/>
      <c r="B738" s="517"/>
      <c r="C738" s="517"/>
      <c r="D738" s="1280"/>
      <c r="E738" s="1280"/>
      <c r="F738" s="1280"/>
      <c r="H738" s="535"/>
      <c r="I738" s="517"/>
      <c r="J738" s="535"/>
      <c r="K738" s="535"/>
    </row>
    <row r="739" spans="1:11">
      <c r="A739" s="517"/>
      <c r="B739" s="517"/>
      <c r="C739" s="517"/>
      <c r="D739" s="1292" t="s">
        <v>2389</v>
      </c>
      <c r="E739" s="1292"/>
      <c r="F739" s="1292"/>
      <c r="H739" s="535"/>
      <c r="I739" s="517"/>
      <c r="J739" s="535"/>
      <c r="K739" s="535"/>
    </row>
    <row r="740" spans="1:11">
      <c r="A740" s="517"/>
      <c r="B740" s="517"/>
      <c r="C740" s="517"/>
      <c r="D740" s="369"/>
      <c r="H740" s="535"/>
      <c r="I740" s="517"/>
      <c r="J740" s="535"/>
      <c r="K740" s="535"/>
    </row>
    <row r="741" spans="1:11">
      <c r="A741" s="1287" t="s">
        <v>1087</v>
      </c>
      <c r="B741" s="1287"/>
      <c r="C741" s="1287"/>
      <c r="D741" s="1287"/>
      <c r="E741" s="1287"/>
      <c r="F741" s="1287"/>
      <c r="G741" s="1287"/>
      <c r="H741" s="1065"/>
      <c r="I741" s="1260"/>
      <c r="J741" s="535"/>
      <c r="K741" s="535"/>
    </row>
    <row r="742" spans="1:11">
      <c r="A742" s="517"/>
      <c r="B742" s="517"/>
      <c r="C742" s="517"/>
      <c r="D742" s="526"/>
      <c r="G742" s="535"/>
      <c r="H742" s="535"/>
      <c r="I742" s="517"/>
      <c r="J742" s="535"/>
      <c r="K742" s="535"/>
    </row>
    <row r="743" spans="1:11" ht="13.65" customHeight="1">
      <c r="C743" s="517"/>
      <c r="D743" s="1308" t="s">
        <v>1103</v>
      </c>
      <c r="E743" s="1308"/>
      <c r="F743" s="1308"/>
      <c r="G743" s="535"/>
      <c r="H743" s="535"/>
      <c r="I743" s="517"/>
      <c r="J743" s="535"/>
      <c r="K743" s="535"/>
    </row>
    <row r="744" spans="1:11">
      <c r="A744" s="517"/>
      <c r="B744" s="517"/>
      <c r="C744" s="517"/>
      <c r="D744" s="1295" t="s">
        <v>1104</v>
      </c>
      <c r="E744" s="1295"/>
      <c r="F744" s="1295"/>
      <c r="G744" s="535"/>
      <c r="H744" s="535"/>
      <c r="I744" s="517"/>
      <c r="J744" s="535"/>
      <c r="K744" s="535"/>
    </row>
    <row r="745" spans="1:11">
      <c r="A745" s="517"/>
      <c r="B745" s="517"/>
      <c r="C745" s="517"/>
      <c r="G745" s="535"/>
      <c r="H745" s="535"/>
      <c r="I745" s="517"/>
      <c r="J745" s="535"/>
      <c r="K745" s="535"/>
    </row>
    <row r="746" spans="1:11" ht="14.4">
      <c r="A746" s="518"/>
      <c r="B746" s="519" t="s">
        <v>2665</v>
      </c>
      <c r="D746" s="1280" t="s">
        <v>1105</v>
      </c>
      <c r="E746" s="1280"/>
      <c r="F746" s="1280"/>
      <c r="G746" s="535"/>
      <c r="H746" s="535"/>
      <c r="I746" s="517" t="s">
        <v>2107</v>
      </c>
      <c r="J746" s="535"/>
      <c r="K746" s="535"/>
    </row>
    <row r="747" spans="1:11" ht="10.5" customHeight="1">
      <c r="D747" s="1280"/>
      <c r="E747" s="1280"/>
      <c r="F747" s="1280"/>
      <c r="G747" s="535"/>
      <c r="H747" s="535"/>
      <c r="I747" s="517"/>
      <c r="J747" s="535"/>
      <c r="K747" s="535"/>
    </row>
    <row r="748" spans="1:11">
      <c r="D748" s="1280"/>
      <c r="E748" s="1280"/>
      <c r="F748" s="1280"/>
      <c r="G748" s="535"/>
      <c r="H748" s="535"/>
      <c r="I748" s="517"/>
      <c r="J748" s="535"/>
      <c r="K748" s="535"/>
    </row>
    <row r="749" spans="1:11">
      <c r="D749" s="1280"/>
      <c r="E749" s="1280"/>
      <c r="F749" s="1280"/>
      <c r="G749" s="535"/>
      <c r="H749" s="535"/>
      <c r="I749" s="517"/>
      <c r="J749" s="535"/>
      <c r="K749" s="535"/>
    </row>
    <row r="750" spans="1:11">
      <c r="D750" s="1280"/>
      <c r="E750" s="1280"/>
      <c r="F750" s="1280"/>
      <c r="G750" s="535"/>
      <c r="H750" s="535"/>
      <c r="I750" s="517"/>
      <c r="J750" s="535"/>
      <c r="K750" s="535"/>
    </row>
    <row r="751" spans="1:11" ht="15.6" customHeight="1">
      <c r="D751" s="1280"/>
      <c r="E751" s="1280"/>
      <c r="F751" s="1280"/>
      <c r="G751" s="535"/>
      <c r="H751" s="535"/>
      <c r="I751" s="517"/>
      <c r="J751" s="535"/>
      <c r="K751" s="535"/>
    </row>
    <row r="752" spans="1:11">
      <c r="D752" s="533"/>
      <c r="E752" s="480"/>
      <c r="F752" s="480"/>
      <c r="G752" s="535"/>
      <c r="H752" s="535"/>
      <c r="I752" s="517"/>
      <c r="J752" s="535"/>
      <c r="K752" s="535"/>
    </row>
    <row r="753" spans="1:11" s="539" customFormat="1" ht="14.4">
      <c r="A753" s="537"/>
      <c r="B753" s="519" t="s">
        <v>2665</v>
      </c>
      <c r="C753" s="538"/>
      <c r="D753" s="1280" t="s">
        <v>1347</v>
      </c>
      <c r="E753" s="1280"/>
      <c r="F753" s="1280"/>
      <c r="I753" s="1261" t="s">
        <v>2107</v>
      </c>
    </row>
    <row r="754" spans="1:11" s="539" customFormat="1">
      <c r="A754" s="538"/>
      <c r="B754" s="538"/>
      <c r="C754" s="538"/>
      <c r="D754" s="1280"/>
      <c r="E754" s="1280"/>
      <c r="F754" s="1280"/>
      <c r="I754" s="1261"/>
    </row>
    <row r="755" spans="1:11" s="539" customFormat="1">
      <c r="A755" s="538"/>
      <c r="B755" s="538"/>
      <c r="C755" s="538"/>
      <c r="D755" s="1280"/>
      <c r="E755" s="1280"/>
      <c r="F755" s="1280"/>
      <c r="I755" s="1261"/>
    </row>
    <row r="756" spans="1:11" s="539" customFormat="1">
      <c r="A756" s="538"/>
      <c r="B756" s="538"/>
      <c r="C756" s="538"/>
      <c r="D756" s="1280"/>
      <c r="E756" s="1280"/>
      <c r="F756" s="1280"/>
      <c r="I756" s="1261"/>
    </row>
    <row r="757" spans="1:11" s="539" customFormat="1">
      <c r="A757" s="538"/>
      <c r="B757" s="538"/>
      <c r="C757" s="538"/>
      <c r="D757" s="533"/>
      <c r="I757" s="1261"/>
    </row>
    <row r="758" spans="1:11" s="539" customFormat="1" ht="14.4">
      <c r="A758" s="518"/>
      <c r="B758" s="519" t="s">
        <v>2664</v>
      </c>
      <c r="C758" s="538"/>
      <c r="D758" s="1282" t="s">
        <v>1348</v>
      </c>
      <c r="E758" s="1282"/>
      <c r="F758" s="1282"/>
      <c r="I758" s="1261" t="s">
        <v>2108</v>
      </c>
    </row>
    <row r="759" spans="1:11" s="539" customFormat="1">
      <c r="A759" s="538"/>
      <c r="B759" s="538"/>
      <c r="C759" s="538"/>
      <c r="D759" s="1282"/>
      <c r="E759" s="1282"/>
      <c r="F759" s="1282"/>
      <c r="I759" s="1261"/>
    </row>
    <row r="760" spans="1:11" s="539" customFormat="1">
      <c r="A760" s="538"/>
      <c r="B760" s="538"/>
      <c r="C760" s="538"/>
      <c r="D760" s="1282"/>
      <c r="E760" s="1282"/>
      <c r="F760" s="1282"/>
      <c r="I760" s="1261"/>
    </row>
    <row r="761" spans="1:11">
      <c r="D761" s="533"/>
      <c r="E761" s="480"/>
      <c r="F761" s="480"/>
      <c r="G761" s="535"/>
      <c r="H761" s="535"/>
      <c r="I761" s="517"/>
      <c r="J761" s="535"/>
      <c r="K761" s="535"/>
    </row>
    <row r="762" spans="1:11" ht="14.4">
      <c r="A762" s="518"/>
      <c r="B762" s="519" t="s">
        <v>2664</v>
      </c>
      <c r="D762" s="1280" t="s">
        <v>1303</v>
      </c>
      <c r="E762" s="1280"/>
      <c r="F762" s="1280"/>
      <c r="G762" s="535"/>
      <c r="H762" s="535"/>
      <c r="I762" s="517" t="s">
        <v>2107</v>
      </c>
      <c r="J762" s="535"/>
      <c r="K762" s="535"/>
    </row>
    <row r="763" spans="1:11">
      <c r="D763" s="1280"/>
      <c r="E763" s="1280"/>
      <c r="F763" s="1280"/>
      <c r="G763" s="535"/>
      <c r="H763" s="535"/>
      <c r="I763" s="517"/>
      <c r="J763" s="535"/>
      <c r="K763" s="535"/>
    </row>
    <row r="764" spans="1:11">
      <c r="D764" s="479"/>
      <c r="E764" s="479"/>
      <c r="F764" s="479"/>
      <c r="G764" s="535"/>
      <c r="H764" s="535"/>
      <c r="I764" s="517"/>
      <c r="J764" s="535"/>
      <c r="K764" s="535"/>
    </row>
    <row r="765" spans="1:11">
      <c r="B765" s="519" t="s">
        <v>2664</v>
      </c>
      <c r="D765" s="1280" t="s">
        <v>1320</v>
      </c>
      <c r="E765" s="1280"/>
      <c r="F765" s="1280"/>
      <c r="G765" s="535"/>
      <c r="H765" s="535"/>
      <c r="I765" s="517" t="s">
        <v>2107</v>
      </c>
      <c r="J765" s="535"/>
      <c r="K765" s="535"/>
    </row>
    <row r="766" spans="1:11">
      <c r="D766" s="1280"/>
      <c r="E766" s="1280"/>
      <c r="F766" s="1280"/>
      <c r="G766" s="535"/>
      <c r="H766" s="535"/>
      <c r="I766" s="517"/>
      <c r="J766" s="535"/>
      <c r="K766" s="535"/>
    </row>
    <row r="767" spans="1:11">
      <c r="D767" s="1280"/>
      <c r="E767" s="1280"/>
      <c r="F767" s="1280"/>
      <c r="G767" s="535"/>
      <c r="H767" s="535"/>
      <c r="I767" s="517"/>
      <c r="J767" s="535"/>
      <c r="K767" s="535"/>
    </row>
    <row r="768" spans="1:11">
      <c r="D768" s="479"/>
      <c r="E768" s="479"/>
      <c r="F768" s="479"/>
      <c r="G768" s="535"/>
      <c r="H768" s="535"/>
      <c r="I768" s="517"/>
      <c r="J768" s="535"/>
      <c r="K768" s="535"/>
    </row>
    <row r="769" spans="1:9">
      <c r="A769" s="1334" t="s">
        <v>1990</v>
      </c>
      <c r="B769" s="1334"/>
      <c r="C769" s="1334"/>
      <c r="D769" s="1334"/>
      <c r="E769" s="1334"/>
      <c r="F769" s="1334"/>
      <c r="G769" s="1334"/>
      <c r="H769" s="1063"/>
      <c r="I769" s="1256"/>
    </row>
    <row r="770" spans="1:9">
      <c r="A770" s="57"/>
      <c r="B770" s="57"/>
      <c r="C770" s="385"/>
      <c r="D770" s="3"/>
      <c r="E770" s="3"/>
      <c r="F770" s="3"/>
      <c r="G770" s="3"/>
      <c r="I770" s="524"/>
    </row>
    <row r="771" spans="1:9">
      <c r="A771" s="57"/>
      <c r="B771" s="57"/>
      <c r="C771" s="385"/>
      <c r="D771" s="1344" t="s">
        <v>2044</v>
      </c>
      <c r="E771" s="1344"/>
      <c r="F771" s="1344"/>
      <c r="G771" s="3"/>
      <c r="I771" s="524"/>
    </row>
    <row r="772" spans="1:9">
      <c r="A772" s="57"/>
      <c r="B772" s="57"/>
      <c r="C772" s="385"/>
      <c r="D772" s="1313" t="s">
        <v>1943</v>
      </c>
      <c r="E772" s="1313"/>
      <c r="F772" s="1313"/>
      <c r="G772" s="3"/>
      <c r="I772" s="524"/>
    </row>
    <row r="773" spans="1:9">
      <c r="A773" s="57"/>
      <c r="B773" s="57"/>
      <c r="C773" s="385"/>
      <c r="D773" s="481"/>
      <c r="E773" s="481"/>
      <c r="F773" s="481"/>
      <c r="G773" s="3"/>
      <c r="I773" s="524"/>
    </row>
    <row r="774" spans="1:9">
      <c r="A774" s="57"/>
      <c r="B774" s="519" t="s">
        <v>2665</v>
      </c>
      <c r="C774" s="385"/>
      <c r="D774" s="1298" t="s">
        <v>1944</v>
      </c>
      <c r="E774" s="1298"/>
      <c r="F774" s="1298"/>
      <c r="G774" s="3"/>
      <c r="I774" s="517" t="s">
        <v>2157</v>
      </c>
    </row>
    <row r="775" spans="1:9">
      <c r="A775" s="57"/>
      <c r="B775" s="57"/>
      <c r="C775" s="385"/>
      <c r="D775" s="1298"/>
      <c r="E775" s="1298"/>
      <c r="F775" s="1298"/>
      <c r="G775" s="3"/>
      <c r="I775" s="524"/>
    </row>
    <row r="776" spans="1:9">
      <c r="A776" s="175"/>
      <c r="B776" s="175"/>
      <c r="C776" s="175"/>
      <c r="D776" s="1298"/>
      <c r="E776" s="1298"/>
      <c r="F776" s="1298"/>
      <c r="G776" s="118"/>
      <c r="I776" s="524"/>
    </row>
    <row r="777" spans="1:9">
      <c r="A777" s="385"/>
      <c r="B777" s="385"/>
      <c r="C777" s="385"/>
      <c r="D777" s="174"/>
      <c r="E777" s="3"/>
      <c r="F777" s="3"/>
      <c r="G777" s="3"/>
      <c r="I777" s="524"/>
    </row>
    <row r="778" spans="1:9">
      <c r="A778" s="172"/>
      <c r="B778" s="519" t="s">
        <v>2664</v>
      </c>
      <c r="C778" s="172"/>
      <c r="D778" s="1298" t="s">
        <v>1945</v>
      </c>
      <c r="E778" s="1298"/>
      <c r="F778" s="1298"/>
      <c r="G778" s="3"/>
      <c r="I778" s="517" t="s">
        <v>2157</v>
      </c>
    </row>
    <row r="779" spans="1:9">
      <c r="A779" s="172"/>
      <c r="B779" s="172"/>
      <c r="C779" s="172"/>
      <c r="D779" s="1298"/>
      <c r="E779" s="1298"/>
      <c r="F779" s="1298"/>
      <c r="G779" s="3"/>
      <c r="I779" s="524"/>
    </row>
    <row r="780" spans="1:9">
      <c r="A780" s="172"/>
      <c r="B780" s="172"/>
      <c r="C780" s="172"/>
      <c r="D780" s="1298"/>
      <c r="E780" s="1298"/>
      <c r="F780" s="1298"/>
      <c r="G780" s="3"/>
      <c r="I780" s="524"/>
    </row>
    <row r="781" spans="1:9">
      <c r="A781" s="175"/>
      <c r="B781" s="175"/>
      <c r="C781" s="175"/>
      <c r="D781" s="3"/>
      <c r="E781" s="1023"/>
      <c r="F781" s="1023"/>
      <c r="G781" s="1023"/>
      <c r="I781" s="524"/>
    </row>
    <row r="782" spans="1:9" ht="14.4">
      <c r="A782" s="176"/>
      <c r="B782" s="519" t="s">
        <v>2664</v>
      </c>
      <c r="C782" s="1024"/>
      <c r="D782" s="1298" t="s">
        <v>1946</v>
      </c>
      <c r="E782" s="1298"/>
      <c r="F782" s="1298"/>
      <c r="G782" s="1023"/>
      <c r="I782" s="517" t="s">
        <v>2157</v>
      </c>
    </row>
    <row r="783" spans="1:9" ht="14.4">
      <c r="A783" s="176"/>
      <c r="B783" s="176"/>
      <c r="C783" s="1024"/>
      <c r="D783" s="1298"/>
      <c r="E783" s="1298"/>
      <c r="F783" s="1298"/>
      <c r="G783" s="1023"/>
      <c r="I783" s="524"/>
    </row>
    <row r="784" spans="1:9" ht="14.4">
      <c r="A784" s="176"/>
      <c r="B784" s="176"/>
      <c r="C784" s="1024"/>
      <c r="D784" s="1298"/>
      <c r="E784" s="1298"/>
      <c r="F784" s="1298"/>
      <c r="G784" s="1023"/>
      <c r="I784" s="524"/>
    </row>
    <row r="785" spans="1:9" ht="14.4">
      <c r="A785" s="176"/>
      <c r="B785" s="176"/>
      <c r="C785" s="1024"/>
      <c r="D785" s="118"/>
      <c r="E785" s="3"/>
      <c r="F785" s="3"/>
      <c r="G785" s="1023"/>
      <c r="I785" s="524"/>
    </row>
    <row r="786" spans="1:9" ht="14.4">
      <c r="A786" s="176"/>
      <c r="B786" s="519" t="s">
        <v>2664</v>
      </c>
      <c r="C786" s="1024"/>
      <c r="D786" s="1298" t="s">
        <v>1947</v>
      </c>
      <c r="E786" s="1298"/>
      <c r="F786" s="1298"/>
      <c r="G786" s="1023"/>
      <c r="I786" s="517" t="s">
        <v>2157</v>
      </c>
    </row>
    <row r="787" spans="1:9" ht="14.4">
      <c r="A787" s="176"/>
      <c r="B787" s="176"/>
      <c r="C787" s="1024"/>
      <c r="D787" s="1298"/>
      <c r="E787" s="1298"/>
      <c r="F787" s="1298"/>
      <c r="G787" s="1023"/>
      <c r="I787" s="524"/>
    </row>
    <row r="788" spans="1:9" ht="14.4">
      <c r="A788" s="176"/>
      <c r="B788" s="176"/>
      <c r="C788" s="1024"/>
      <c r="D788" s="1298"/>
      <c r="E788" s="1298"/>
      <c r="F788" s="1298"/>
      <c r="G788" s="1023"/>
      <c r="I788" s="524"/>
    </row>
    <row r="789" spans="1:9" ht="14.4">
      <c r="A789" s="176"/>
      <c r="B789" s="176"/>
      <c r="C789" s="1024"/>
      <c r="D789" s="1298"/>
      <c r="E789" s="1298"/>
      <c r="F789" s="1298"/>
      <c r="G789" s="1023"/>
      <c r="I789" s="524"/>
    </row>
    <row r="790" spans="1:9" ht="14.4">
      <c r="A790" s="176"/>
      <c r="B790" s="176"/>
      <c r="C790" s="1024"/>
      <c r="D790" s="1298"/>
      <c r="E790" s="1298"/>
      <c r="F790" s="1298"/>
      <c r="G790" s="1023"/>
      <c r="I790" s="524"/>
    </row>
    <row r="791" spans="1:9" ht="14.4">
      <c r="A791" s="176"/>
      <c r="B791" s="176"/>
      <c r="C791" s="1024"/>
      <c r="D791" s="1298"/>
      <c r="E791" s="1298"/>
      <c r="F791" s="1298"/>
      <c r="G791" s="1023"/>
      <c r="I791" s="524"/>
    </row>
    <row r="792" spans="1:9" ht="14.4">
      <c r="A792" s="176"/>
      <c r="B792" s="176"/>
      <c r="C792" s="1024"/>
      <c r="D792" s="1298" t="s">
        <v>1991</v>
      </c>
      <c r="E792" s="1298"/>
      <c r="F792" s="1298"/>
      <c r="G792" s="1023"/>
      <c r="I792" s="524"/>
    </row>
    <row r="793" spans="1:9" ht="14.4">
      <c r="A793" s="176"/>
      <c r="B793" s="176"/>
      <c r="C793" s="1024"/>
      <c r="D793" s="1298"/>
      <c r="E793" s="1298"/>
      <c r="F793" s="1298"/>
      <c r="G793" s="1023"/>
      <c r="I793" s="524"/>
    </row>
    <row r="794" spans="1:9" ht="14.4">
      <c r="A794" s="176"/>
      <c r="B794" s="176"/>
      <c r="C794" s="1024"/>
      <c r="D794" s="1298"/>
      <c r="E794" s="1298"/>
      <c r="F794" s="1298"/>
      <c r="G794" s="1023"/>
      <c r="I794" s="524"/>
    </row>
    <row r="795" spans="1:9" ht="14.4">
      <c r="A795" s="176"/>
      <c r="B795" s="385"/>
      <c r="C795" s="1024"/>
      <c r="D795" s="1025"/>
      <c r="E795" s="1025"/>
      <c r="F795" s="1025"/>
      <c r="G795" s="1023"/>
      <c r="I795" s="524"/>
    </row>
    <row r="796" spans="1:9" ht="14.4">
      <c r="A796" s="176"/>
      <c r="B796" s="519" t="s">
        <v>2664</v>
      </c>
      <c r="C796" s="1024"/>
      <c r="D796" s="1298" t="s">
        <v>1948</v>
      </c>
      <c r="E796" s="1298"/>
      <c r="F796" s="1298"/>
      <c r="G796" s="1023"/>
      <c r="I796" s="517" t="s">
        <v>2157</v>
      </c>
    </row>
    <row r="797" spans="1:9" ht="14.4">
      <c r="A797" s="176"/>
      <c r="B797" s="176"/>
      <c r="C797" s="1024"/>
      <c r="D797" s="1298"/>
      <c r="E797" s="1298"/>
      <c r="F797" s="1298"/>
      <c r="G797" s="1023"/>
      <c r="I797" s="524"/>
    </row>
    <row r="798" spans="1:9" ht="14.4">
      <c r="A798" s="176"/>
      <c r="B798" s="176"/>
      <c r="C798" s="1024"/>
      <c r="D798" s="1298"/>
      <c r="E798" s="1298"/>
      <c r="F798" s="1298"/>
      <c r="G798" s="1023"/>
      <c r="I798" s="524"/>
    </row>
    <row r="799" spans="1:9" ht="14.4">
      <c r="A799" s="176"/>
      <c r="B799" s="176"/>
      <c r="C799" s="1024"/>
      <c r="D799" s="1298"/>
      <c r="E799" s="1298"/>
      <c r="F799" s="1298"/>
      <c r="G799" s="1023"/>
      <c r="I799" s="524"/>
    </row>
    <row r="800" spans="1:9" ht="14.4">
      <c r="A800" s="176"/>
      <c r="B800" s="176"/>
      <c r="C800" s="1024"/>
      <c r="D800" s="1298"/>
      <c r="E800" s="1298"/>
      <c r="F800" s="1298"/>
      <c r="G800" s="1023"/>
      <c r="I800" s="524"/>
    </row>
    <row r="801" spans="1:9" ht="14.4">
      <c r="A801" s="176"/>
      <c r="B801" s="176"/>
      <c r="C801" s="1024"/>
      <c r="D801" s="1298"/>
      <c r="E801" s="1298"/>
      <c r="F801" s="1298"/>
      <c r="G801" s="1023"/>
      <c r="I801" s="524"/>
    </row>
    <row r="802" spans="1:9" ht="14.4">
      <c r="A802" s="176"/>
      <c r="B802" s="176"/>
      <c r="C802" s="1024"/>
      <c r="D802" s="1017"/>
      <c r="E802" s="1017"/>
      <c r="F802" s="1017"/>
      <c r="G802" s="1023"/>
      <c r="I802" s="524"/>
    </row>
    <row r="803" spans="1:9" ht="14.4">
      <c r="A803" s="176"/>
      <c r="B803" s="519" t="s">
        <v>2664</v>
      </c>
      <c r="C803" s="1024"/>
      <c r="D803" s="1298" t="s">
        <v>1949</v>
      </c>
      <c r="E803" s="1298"/>
      <c r="F803" s="1298"/>
      <c r="G803" s="1023"/>
      <c r="I803" s="517" t="s">
        <v>2157</v>
      </c>
    </row>
    <row r="804" spans="1:9" ht="14.4">
      <c r="A804" s="176"/>
      <c r="B804" s="176"/>
      <c r="C804" s="1024"/>
      <c r="D804" s="1298"/>
      <c r="E804" s="1298"/>
      <c r="F804" s="1298"/>
      <c r="G804" s="1023"/>
      <c r="I804" s="524"/>
    </row>
    <row r="805" spans="1:9" ht="14.4">
      <c r="A805" s="176"/>
      <c r="B805" s="176"/>
      <c r="C805" s="1024"/>
      <c r="D805" s="1298"/>
      <c r="E805" s="1298"/>
      <c r="F805" s="1298"/>
      <c r="G805" s="1023"/>
      <c r="I805" s="524"/>
    </row>
    <row r="806" spans="1:9" ht="14.4">
      <c r="A806" s="176"/>
      <c r="B806" s="176"/>
      <c r="C806" s="1024"/>
      <c r="D806" s="1298"/>
      <c r="E806" s="1298"/>
      <c r="F806" s="1298"/>
      <c r="G806" s="1023"/>
      <c r="I806" s="524"/>
    </row>
    <row r="807" spans="1:9" ht="14.4">
      <c r="A807" s="176"/>
      <c r="B807" s="176"/>
      <c r="C807" s="1024"/>
      <c r="D807" s="1298"/>
      <c r="E807" s="1298"/>
      <c r="F807" s="1298"/>
      <c r="G807" s="1023"/>
      <c r="I807" s="524"/>
    </row>
    <row r="808" spans="1:9" ht="14.4">
      <c r="A808" s="176"/>
      <c r="B808" s="176"/>
      <c r="C808" s="1024"/>
      <c r="D808" s="1298"/>
      <c r="E808" s="1298"/>
      <c r="F808" s="1298"/>
      <c r="G808" s="1023"/>
      <c r="I808" s="524"/>
    </row>
    <row r="809" spans="1:9" ht="14.4">
      <c r="A809" s="176"/>
      <c r="B809" s="176"/>
      <c r="C809" s="1024"/>
      <c r="D809" s="1017"/>
      <c r="E809" s="1017"/>
      <c r="F809" s="1017"/>
      <c r="G809" s="1023"/>
      <c r="I809" s="524"/>
    </row>
    <row r="810" spans="1:9" ht="14.4">
      <c r="A810" s="176"/>
      <c r="B810" s="519" t="s">
        <v>2664</v>
      </c>
      <c r="C810" s="1024"/>
      <c r="D810" s="1306" t="s">
        <v>1950</v>
      </c>
      <c r="E810" s="1306"/>
      <c r="F810" s="1306"/>
      <c r="G810" s="1023"/>
      <c r="I810" s="517" t="s">
        <v>2157</v>
      </c>
    </row>
    <row r="811" spans="1:9" ht="14.4">
      <c r="A811" s="176"/>
      <c r="B811" s="176"/>
      <c r="C811" s="1024"/>
      <c r="D811" s="1306"/>
      <c r="E811" s="1306"/>
      <c r="F811" s="1306"/>
      <c r="G811" s="1023"/>
      <c r="I811" s="524"/>
    </row>
    <row r="812" spans="1:9">
      <c r="A812" s="13"/>
      <c r="B812" s="13"/>
      <c r="C812" s="1024"/>
      <c r="D812" s="1306"/>
      <c r="E812" s="1306"/>
      <c r="F812" s="1306"/>
      <c r="G812" s="1023"/>
      <c r="I812" s="524"/>
    </row>
    <row r="813" spans="1:9" ht="14.4">
      <c r="A813" s="176"/>
      <c r="B813" s="13"/>
      <c r="C813" s="1024"/>
      <c r="D813" s="1306"/>
      <c r="E813" s="1306"/>
      <c r="F813" s="1306"/>
      <c r="G813" s="1023"/>
      <c r="I813" s="524"/>
    </row>
    <row r="814" spans="1:9" ht="12.75" customHeight="1">
      <c r="A814" s="176"/>
      <c r="B814" s="13"/>
      <c r="C814" s="1024"/>
      <c r="D814" s="1306"/>
      <c r="E814" s="1306"/>
      <c r="F814" s="1306"/>
      <c r="G814" s="1023"/>
      <c r="I814" s="524"/>
    </row>
    <row r="815" spans="1:9" ht="12.75" customHeight="1">
      <c r="A815" s="176"/>
      <c r="B815" s="13"/>
      <c r="C815" s="1024"/>
      <c r="D815" s="1306"/>
      <c r="E815" s="1306"/>
      <c r="F815" s="1306"/>
      <c r="G815" s="1023"/>
      <c r="I815" s="524"/>
    </row>
    <row r="816" spans="1:9" ht="12.75" customHeight="1">
      <c r="A816" s="13"/>
      <c r="B816" s="13"/>
      <c r="C816" s="1024"/>
      <c r="D816" s="1023"/>
      <c r="E816" s="3"/>
      <c r="F816" s="3"/>
      <c r="G816" s="1023"/>
      <c r="I816" s="524"/>
    </row>
    <row r="817" spans="1:9" ht="12.75" customHeight="1">
      <c r="A817" s="1293" t="s">
        <v>1951</v>
      </c>
      <c r="B817" s="1293"/>
      <c r="C817" s="1293"/>
      <c r="D817" s="1293"/>
      <c r="E817" s="1293"/>
      <c r="F817" s="1293"/>
      <c r="G817" s="1293"/>
      <c r="H817" s="1063"/>
      <c r="I817" s="1256"/>
    </row>
    <row r="818" spans="1:9" ht="12.75" customHeight="1">
      <c r="A818" s="172"/>
      <c r="B818" s="172"/>
      <c r="C818" s="1024"/>
      <c r="D818" s="1023"/>
      <c r="E818" s="1023"/>
      <c r="F818" s="1023"/>
      <c r="G818" s="1023"/>
      <c r="I818" s="524"/>
    </row>
    <row r="819" spans="1:9" ht="12.75" customHeight="1">
      <c r="A819" s="176"/>
      <c r="B819" s="176"/>
      <c r="C819" s="385"/>
      <c r="D819" s="1297" t="s">
        <v>1992</v>
      </c>
      <c r="E819" s="1297"/>
      <c r="F819" s="1297"/>
      <c r="G819" s="3"/>
      <c r="I819" s="524"/>
    </row>
    <row r="820" spans="1:9" ht="14.25" customHeight="1">
      <c r="A820" s="176"/>
      <c r="B820" s="176"/>
      <c r="C820" s="385"/>
      <c r="D820" s="1265" t="s">
        <v>1952</v>
      </c>
      <c r="E820" s="1265"/>
      <c r="F820" s="1265"/>
      <c r="G820" s="3"/>
      <c r="I820" s="524"/>
    </row>
    <row r="821" spans="1:9" ht="12.75" customHeight="1">
      <c r="A821" s="176"/>
      <c r="B821" s="176"/>
      <c r="C821" s="385"/>
      <c r="D821" s="474"/>
      <c r="E821" s="474"/>
      <c r="F821" s="474"/>
      <c r="G821" s="3"/>
      <c r="I821" s="524"/>
    </row>
    <row r="822" spans="1:9" ht="12.75" customHeight="1">
      <c r="A822" s="385"/>
      <c r="B822" s="519" t="s">
        <v>2665</v>
      </c>
      <c r="C822" s="1024"/>
      <c r="D822" s="1265" t="s">
        <v>1953</v>
      </c>
      <c r="E822" s="1265"/>
      <c r="F822" s="1265"/>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2" t="s">
        <v>2390</v>
      </c>
      <c r="E825" s="1342"/>
      <c r="F825" s="1342"/>
      <c r="G825" s="3"/>
      <c r="I825" s="524"/>
    </row>
    <row r="826" spans="1:9" ht="12.75" hidden="1" customHeight="1">
      <c r="A826" s="13"/>
      <c r="B826" s="13"/>
      <c r="C826" s="1024"/>
      <c r="D826" s="1342"/>
      <c r="E826" s="1342"/>
      <c r="F826" s="1342"/>
      <c r="G826" s="3"/>
      <c r="I826" s="524"/>
    </row>
    <row r="827" spans="1:9" ht="12.75" hidden="1" customHeight="1">
      <c r="A827" s="13"/>
      <c r="B827" s="13"/>
      <c r="C827" s="1024"/>
      <c r="D827" s="1342"/>
      <c r="E827" s="1342"/>
      <c r="F827" s="1342"/>
      <c r="G827" s="3"/>
      <c r="I827" s="524"/>
    </row>
    <row r="828" spans="1:9" ht="12.75" hidden="1" customHeight="1">
      <c r="A828" s="13"/>
      <c r="B828" s="13"/>
      <c r="C828" s="1024"/>
      <c r="D828" s="1342"/>
      <c r="E828" s="1342"/>
      <c r="F828" s="1342"/>
      <c r="G828" s="3"/>
      <c r="I828" s="524"/>
    </row>
    <row r="829" spans="1:9" ht="12.75" hidden="1" customHeight="1">
      <c r="A829" s="13"/>
      <c r="B829" s="13"/>
      <c r="C829" s="1024"/>
      <c r="D829" s="1342"/>
      <c r="E829" s="1342"/>
      <c r="F829" s="1342"/>
      <c r="G829" s="3"/>
      <c r="I829" s="524"/>
    </row>
    <row r="830" spans="1:9" ht="12.75" hidden="1" customHeight="1">
      <c r="A830" s="13"/>
      <c r="B830" s="13"/>
      <c r="C830" s="1024"/>
      <c r="D830" s="1342"/>
      <c r="E830" s="1342"/>
      <c r="F830" s="1342"/>
      <c r="G830" s="3"/>
      <c r="I830" s="524"/>
    </row>
    <row r="831" spans="1:9" ht="12.75" hidden="1" customHeight="1">
      <c r="A831" s="13"/>
      <c r="B831" s="13"/>
      <c r="C831" s="1024"/>
      <c r="D831" s="1342"/>
      <c r="E831" s="1342"/>
      <c r="F831" s="1342"/>
      <c r="G831" s="3"/>
      <c r="I831" s="524"/>
    </row>
    <row r="832" spans="1:9" ht="12.75" hidden="1" customHeight="1">
      <c r="A832" s="13"/>
      <c r="B832" s="13"/>
      <c r="C832" s="1024"/>
      <c r="D832" s="1342"/>
      <c r="E832" s="1342"/>
      <c r="F832" s="1342"/>
      <c r="G832" s="3"/>
      <c r="I832" s="524"/>
    </row>
    <row r="833" spans="1:9" ht="12.75" hidden="1" customHeight="1">
      <c r="A833" s="13"/>
      <c r="B833" s="13"/>
      <c r="C833" s="1024"/>
      <c r="D833" s="1342"/>
      <c r="E833" s="1342"/>
      <c r="F833" s="1342"/>
      <c r="G833" s="3"/>
      <c r="I833" s="524"/>
    </row>
    <row r="834" spans="1:9" ht="12.75" hidden="1" customHeight="1">
      <c r="A834" s="13"/>
      <c r="B834" s="13"/>
      <c r="C834" s="1024"/>
      <c r="D834" s="1342"/>
      <c r="E834" s="1342"/>
      <c r="F834" s="1342"/>
      <c r="G834" s="3"/>
      <c r="I834" s="524"/>
    </row>
    <row r="835" spans="1:9" ht="12.75" hidden="1" customHeight="1">
      <c r="A835" s="13"/>
      <c r="B835" s="13"/>
      <c r="C835" s="1024"/>
      <c r="D835" s="1026"/>
      <c r="E835" s="3"/>
      <c r="F835" s="3"/>
      <c r="G835" s="3"/>
      <c r="I835" s="524"/>
    </row>
    <row r="836" spans="1:9" ht="12.75" customHeight="1">
      <c r="A836" s="176"/>
      <c r="B836" s="519" t="s">
        <v>2665</v>
      </c>
      <c r="C836" s="1024"/>
      <c r="D836" s="1265" t="s">
        <v>1954</v>
      </c>
      <c r="E836" s="1265"/>
      <c r="F836" s="1265"/>
      <c r="G836" s="3"/>
      <c r="I836" s="524" t="s">
        <v>2143</v>
      </c>
    </row>
    <row r="837" spans="1:9" ht="12.75" customHeight="1">
      <c r="A837" s="176"/>
      <c r="B837" s="176"/>
      <c r="C837" s="1024"/>
      <c r="D837" s="1265"/>
      <c r="E837" s="1265"/>
      <c r="F837" s="1265"/>
      <c r="G837" s="3"/>
      <c r="I837" s="524"/>
    </row>
    <row r="838" spans="1:9" ht="12.75" customHeight="1">
      <c r="A838" s="176"/>
      <c r="B838" s="176"/>
      <c r="C838" s="1024"/>
      <c r="D838" s="1265"/>
      <c r="E838" s="1265"/>
      <c r="F838" s="1265"/>
      <c r="G838" s="3"/>
      <c r="I838" s="524"/>
    </row>
    <row r="839" spans="1:9" ht="12.75" customHeight="1">
      <c r="A839" s="176"/>
      <c r="B839" s="176"/>
      <c r="C839" s="1024"/>
      <c r="D839" s="118"/>
      <c r="E839" s="3"/>
      <c r="F839" s="3"/>
      <c r="G839" s="3"/>
      <c r="I839" s="524"/>
    </row>
    <row r="840" spans="1:9" ht="12.75" customHeight="1">
      <c r="A840" s="1027"/>
      <c r="B840" s="519" t="s">
        <v>2664</v>
      </c>
      <c r="C840" s="1024"/>
      <c r="D840" s="1297" t="s">
        <v>1955</v>
      </c>
      <c r="E840" s="1297"/>
      <c r="F840" s="1297"/>
      <c r="G840" s="3"/>
      <c r="I840" s="524"/>
    </row>
    <row r="841" spans="1:9" ht="12.75" customHeight="1">
      <c r="A841" s="385"/>
      <c r="B841" s="1027"/>
      <c r="C841" s="1024"/>
      <c r="D841" s="1297"/>
      <c r="E841" s="1297"/>
      <c r="F841" s="1297"/>
      <c r="G841" s="3"/>
      <c r="I841" s="524"/>
    </row>
    <row r="842" spans="1:9" ht="12.75" customHeight="1">
      <c r="A842" s="176"/>
      <c r="B842" s="385"/>
      <c r="C842" s="1024"/>
      <c r="D842" s="1265" t="s">
        <v>2381</v>
      </c>
      <c r="E842" s="1265"/>
      <c r="F842" s="1265"/>
      <c r="G842" s="3"/>
      <c r="I842" s="524"/>
    </row>
    <row r="843" spans="1:9" ht="12.75" customHeight="1">
      <c r="A843" s="176"/>
      <c r="B843" s="176"/>
      <c r="C843" s="1024"/>
      <c r="D843" s="1265"/>
      <c r="E843" s="1265"/>
      <c r="F843" s="1265"/>
      <c r="G843" s="3"/>
      <c r="I843" s="524"/>
    </row>
    <row r="844" spans="1:9" ht="12.75" customHeight="1">
      <c r="A844" s="176"/>
      <c r="B844" s="176"/>
      <c r="C844" s="1024"/>
      <c r="D844" s="1265"/>
      <c r="E844" s="1265"/>
      <c r="F844" s="1265"/>
      <c r="G844" s="3"/>
      <c r="I844" s="524"/>
    </row>
    <row r="845" spans="1:9" ht="12.75" customHeight="1">
      <c r="A845" s="176"/>
      <c r="B845" s="176"/>
      <c r="C845" s="1024"/>
      <c r="D845" s="1265"/>
      <c r="E845" s="1265"/>
      <c r="F845" s="1265"/>
      <c r="G845" s="3"/>
      <c r="I845" s="524"/>
    </row>
    <row r="846" spans="1:9" ht="12.75" customHeight="1">
      <c r="A846" s="176"/>
      <c r="B846" s="176"/>
      <c r="C846" s="1024"/>
      <c r="D846" s="1265"/>
      <c r="E846" s="1265"/>
      <c r="F846" s="1265"/>
      <c r="G846" s="3"/>
      <c r="I846" s="524"/>
    </row>
    <row r="847" spans="1:9" ht="12.75" customHeight="1">
      <c r="A847" s="176"/>
      <c r="B847" s="176"/>
      <c r="C847" s="1024"/>
      <c r="D847" s="1265"/>
      <c r="E847" s="1265"/>
      <c r="F847" s="1265"/>
      <c r="G847" s="3"/>
      <c r="I847" s="524"/>
    </row>
    <row r="848" spans="1:9" ht="12.75" customHeight="1">
      <c r="A848" s="176"/>
      <c r="B848" s="176"/>
      <c r="C848" s="1024"/>
      <c r="D848" s="118"/>
      <c r="E848" s="3"/>
      <c r="F848" s="3"/>
      <c r="G848" s="3"/>
      <c r="I848" s="524"/>
    </row>
    <row r="849" spans="1:9" ht="12.75" customHeight="1">
      <c r="A849" s="176"/>
      <c r="B849" s="519" t="s">
        <v>2664</v>
      </c>
      <c r="C849" s="1024"/>
      <c r="D849" s="1265" t="s">
        <v>1956</v>
      </c>
      <c r="E849" s="1265"/>
      <c r="F849" s="1265"/>
      <c r="G849" s="3"/>
      <c r="I849" s="524" t="s">
        <v>2126</v>
      </c>
    </row>
    <row r="850" spans="1:9" ht="12.75" customHeight="1">
      <c r="A850" s="176"/>
      <c r="B850" s="176"/>
      <c r="C850" s="1024"/>
      <c r="D850" s="1265" t="s">
        <v>1957</v>
      </c>
      <c r="E850" s="1265"/>
      <c r="F850" s="1265"/>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2664</v>
      </c>
      <c r="C853" s="1024"/>
      <c r="D853" s="1265" t="s">
        <v>1958</v>
      </c>
      <c r="E853" s="1265"/>
      <c r="F853" s="1265"/>
      <c r="G853" s="3"/>
      <c r="I853" s="524" t="s">
        <v>2144</v>
      </c>
    </row>
    <row r="854" spans="1:9" ht="12.75" customHeight="1">
      <c r="A854" s="176"/>
      <c r="B854" s="176"/>
      <c r="C854" s="1024"/>
      <c r="D854" s="1265"/>
      <c r="E854" s="1265"/>
      <c r="F854" s="1265"/>
      <c r="G854" s="3"/>
      <c r="I854" s="524"/>
    </row>
    <row r="855" spans="1:9" ht="12.75" customHeight="1">
      <c r="A855" s="176"/>
      <c r="B855" s="176"/>
      <c r="C855" s="1024"/>
      <c r="D855" s="1265"/>
      <c r="E855" s="1265"/>
      <c r="F855" s="1265"/>
      <c r="G855" s="3"/>
      <c r="I855" s="524"/>
    </row>
    <row r="856" spans="1:9" ht="12.75" customHeight="1">
      <c r="A856" s="176"/>
      <c r="B856" s="176"/>
      <c r="C856" s="1024"/>
      <c r="D856" s="1265"/>
      <c r="E856" s="1265"/>
      <c r="F856" s="1265"/>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4" t="s">
        <v>1993</v>
      </c>
      <c r="E860" s="1284"/>
      <c r="F860" s="1284"/>
      <c r="G860" s="1023"/>
      <c r="I860" s="524"/>
    </row>
    <row r="861" spans="1:9" ht="12.75" customHeight="1">
      <c r="A861" s="385"/>
      <c r="B861" s="385"/>
      <c r="C861" s="175"/>
      <c r="D861" s="1341" t="s">
        <v>1960</v>
      </c>
      <c r="E861" s="1341"/>
      <c r="F861" s="1341"/>
      <c r="G861" s="1023"/>
      <c r="I861" s="524"/>
    </row>
    <row r="862" spans="1:9" ht="12.75" customHeight="1">
      <c r="A862" s="385"/>
      <c r="B862" s="385"/>
      <c r="C862" s="175"/>
      <c r="D862" s="1030"/>
      <c r="E862" s="1030"/>
      <c r="F862" s="1030"/>
      <c r="G862" s="1023"/>
      <c r="I862" s="524"/>
    </row>
    <row r="863" spans="1:9" ht="12.75" customHeight="1">
      <c r="A863" s="176"/>
      <c r="B863" s="519" t="s">
        <v>2665</v>
      </c>
      <c r="C863" s="385"/>
      <c r="D863" s="1285" t="s">
        <v>1961</v>
      </c>
      <c r="E863" s="1285"/>
      <c r="F863" s="1285"/>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2665</v>
      </c>
      <c r="C866" s="385"/>
      <c r="D866" s="1265" t="s">
        <v>1962</v>
      </c>
      <c r="E866" s="1314"/>
      <c r="F866" s="1314"/>
      <c r="G866" s="3"/>
      <c r="I866" s="524" t="s">
        <v>2144</v>
      </c>
    </row>
    <row r="867" spans="1:9" ht="12.75" customHeight="1">
      <c r="A867" s="385"/>
      <c r="B867" s="385"/>
      <c r="C867" s="385"/>
      <c r="D867" s="1314"/>
      <c r="E867" s="1314"/>
      <c r="F867" s="1314"/>
      <c r="G867" s="3"/>
      <c r="I867" s="524"/>
    </row>
    <row r="868" spans="1:9" ht="12.75" customHeight="1">
      <c r="A868" s="385"/>
      <c r="B868" s="385"/>
      <c r="C868" s="385"/>
      <c r="D868" s="118"/>
      <c r="E868" s="3"/>
      <c r="F868" s="3"/>
      <c r="G868" s="3"/>
      <c r="I868" s="524"/>
    </row>
    <row r="869" spans="1:9" ht="12.75" customHeight="1">
      <c r="A869" s="385"/>
      <c r="B869" s="519" t="s">
        <v>2664</v>
      </c>
      <c r="C869" s="385"/>
      <c r="D869" s="1345" t="s">
        <v>1963</v>
      </c>
      <c r="E869" s="1345"/>
      <c r="F869" s="1345"/>
      <c r="G869" s="1023"/>
      <c r="I869" s="524"/>
    </row>
    <row r="870" spans="1:9" ht="12.75" customHeight="1">
      <c r="A870" s="385"/>
      <c r="B870" s="1031"/>
      <c r="C870" s="385"/>
      <c r="D870" s="1345"/>
      <c r="E870" s="1345"/>
      <c r="F870" s="1345"/>
      <c r="G870" s="1023"/>
      <c r="I870" s="524"/>
    </row>
    <row r="871" spans="1:9" ht="12.75" customHeight="1">
      <c r="A871" s="176"/>
      <c r="B871"/>
      <c r="C871" s="385"/>
      <c r="D871" s="1265" t="s">
        <v>2381</v>
      </c>
      <c r="E871" s="1265"/>
      <c r="F871" s="1265"/>
      <c r="G871" s="1023"/>
      <c r="I871" s="524"/>
    </row>
    <row r="872" spans="1:9" ht="12.75" customHeight="1">
      <c r="A872" s="176"/>
      <c r="B872" s="176"/>
      <c r="C872" s="385"/>
      <c r="D872" s="1265"/>
      <c r="E872" s="1265"/>
      <c r="F872" s="1265"/>
      <c r="G872" s="1023"/>
      <c r="I872" s="524"/>
    </row>
    <row r="873" spans="1:9" ht="12.75" customHeight="1">
      <c r="A873" s="176"/>
      <c r="B873" s="176"/>
      <c r="C873" s="385"/>
      <c r="D873" s="1265"/>
      <c r="E873" s="1265"/>
      <c r="F873" s="1265"/>
      <c r="G873" s="1023"/>
      <c r="I873" s="524"/>
    </row>
    <row r="874" spans="1:9" ht="12.75" customHeight="1">
      <c r="A874" s="176"/>
      <c r="B874" s="176"/>
      <c r="C874" s="385"/>
      <c r="D874" s="1265"/>
      <c r="E874" s="1265"/>
      <c r="F874" s="1265"/>
      <c r="G874" s="1023"/>
      <c r="I874" s="524"/>
    </row>
    <row r="875" spans="1:9" ht="12.75" customHeight="1">
      <c r="A875" s="176"/>
      <c r="B875" s="176"/>
      <c r="C875" s="385"/>
      <c r="D875" s="1265"/>
      <c r="E875" s="1265"/>
      <c r="F875" s="1265"/>
      <c r="G875" s="1023"/>
      <c r="I875" s="524"/>
    </row>
    <row r="876" spans="1:9" ht="12.75" customHeight="1">
      <c r="A876" s="176"/>
      <c r="B876" s="176"/>
      <c r="C876" s="385"/>
      <c r="D876" s="1265"/>
      <c r="E876" s="1265"/>
      <c r="F876" s="1265"/>
      <c r="G876" s="1023"/>
      <c r="I876" s="524"/>
    </row>
    <row r="877" spans="1:9" ht="12.75" customHeight="1">
      <c r="A877" s="176"/>
      <c r="B877" s="176"/>
      <c r="C877" s="385"/>
      <c r="D877" s="118"/>
      <c r="E877" s="1023"/>
      <c r="F877" s="1023"/>
      <c r="G877" s="1023"/>
      <c r="I877" s="524"/>
    </row>
    <row r="878" spans="1:9" ht="12.75" customHeight="1">
      <c r="A878" s="176"/>
      <c r="B878" s="519" t="s">
        <v>2664</v>
      </c>
      <c r="C878" s="385"/>
      <c r="D878" s="1289" t="s">
        <v>1956</v>
      </c>
      <c r="E878" s="1289"/>
      <c r="F878" s="1289"/>
      <c r="G878" s="1023"/>
      <c r="I878" s="524" t="s">
        <v>2126</v>
      </c>
    </row>
    <row r="879" spans="1:9" ht="12.75" customHeight="1">
      <c r="A879" s="176"/>
      <c r="B879" s="176"/>
      <c r="C879" s="385"/>
      <c r="D879" s="1289" t="s">
        <v>1957</v>
      </c>
      <c r="E879" s="1289"/>
      <c r="F879" s="1289"/>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2664</v>
      </c>
      <c r="C882" s="385"/>
      <c r="D882" s="1265" t="s">
        <v>1958</v>
      </c>
      <c r="E882" s="1265"/>
      <c r="F882" s="1265"/>
      <c r="G882" s="1023"/>
      <c r="I882" s="524" t="s">
        <v>2144</v>
      </c>
    </row>
    <row r="883" spans="1:9" ht="12.75" customHeight="1">
      <c r="A883" s="176"/>
      <c r="B883" s="176"/>
      <c r="C883" s="385"/>
      <c r="D883" s="1265"/>
      <c r="E883" s="1265"/>
      <c r="F883" s="1265"/>
      <c r="G883" s="1023"/>
      <c r="I883" s="524"/>
    </row>
    <row r="884" spans="1:9" ht="12.75" customHeight="1">
      <c r="A884" s="176"/>
      <c r="B884" s="176"/>
      <c r="C884" s="385"/>
      <c r="D884" s="1265"/>
      <c r="E884" s="1265"/>
      <c r="F884" s="1265"/>
      <c r="G884" s="1023"/>
      <c r="I884" s="524"/>
    </row>
    <row r="885" spans="1:9" ht="12.75" customHeight="1">
      <c r="A885" s="176"/>
      <c r="B885" s="176"/>
      <c r="C885" s="385"/>
      <c r="D885" s="1265"/>
      <c r="E885" s="1265"/>
      <c r="F885" s="1265"/>
      <c r="G885" s="1023"/>
      <c r="I885" s="524"/>
    </row>
    <row r="886" spans="1:9" ht="12.75" customHeight="1">
      <c r="A886" s="118"/>
      <c r="B886" s="118"/>
      <c r="C886" s="1024"/>
      <c r="D886" s="1023"/>
      <c r="E886" s="1023"/>
      <c r="F886" s="1023"/>
      <c r="G886" s="1023"/>
      <c r="I886" s="524"/>
    </row>
    <row r="887" spans="1:9" ht="12.75" customHeight="1">
      <c r="A887" s="1293" t="s">
        <v>1994</v>
      </c>
      <c r="B887" s="1293"/>
      <c r="C887" s="1293"/>
      <c r="D887" s="1293"/>
      <c r="E887" s="1293"/>
      <c r="F887" s="1293"/>
      <c r="G887" s="1293"/>
      <c r="H887" s="1063"/>
      <c r="I887" s="1256"/>
    </row>
    <row r="888" spans="1:9" ht="12.75" customHeight="1">
      <c r="A888" s="57"/>
      <c r="B888" s="57"/>
      <c r="C888" s="57"/>
      <c r="D888" s="57"/>
      <c r="E888" s="57"/>
      <c r="F888" s="57"/>
      <c r="G888" s="57"/>
      <c r="I888" s="524"/>
    </row>
    <row r="889" spans="1:9" ht="12.75" customHeight="1">
      <c r="A889" s="57"/>
      <c r="B889" s="57"/>
      <c r="C889" s="57"/>
      <c r="D889" s="1299" t="s">
        <v>2000</v>
      </c>
      <c r="E889" s="1299"/>
      <c r="F889" s="1299"/>
      <c r="G889" s="57"/>
      <c r="I889" s="524"/>
    </row>
    <row r="890" spans="1:9" ht="12.75" customHeight="1">
      <c r="A890" s="57"/>
      <c r="B890" s="57"/>
      <c r="C890" s="57"/>
      <c r="D890" s="1016"/>
      <c r="E890" s="1016"/>
      <c r="F890" s="1016"/>
      <c r="G890" s="57"/>
      <c r="I890" s="524"/>
    </row>
    <row r="891" spans="1:9" ht="12.75" customHeight="1">
      <c r="A891" s="57"/>
      <c r="B891" s="519" t="s">
        <v>2665</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299" t="s">
        <v>1995</v>
      </c>
      <c r="E893" s="1299"/>
      <c r="F893" s="1299"/>
      <c r="G893" s="1023"/>
      <c r="I893" s="524"/>
    </row>
    <row r="894" spans="1:9" ht="12.75" customHeight="1">
      <c r="A894" s="172"/>
      <c r="B894" s="172"/>
      <c r="C894" s="172"/>
      <c r="D894" s="1285" t="s">
        <v>1964</v>
      </c>
      <c r="E894" s="1285"/>
      <c r="F894" s="1285"/>
      <c r="G894" s="1023"/>
      <c r="I894" s="524"/>
    </row>
    <row r="895" spans="1:9" ht="12.75" customHeight="1">
      <c r="A895" s="1024"/>
      <c r="B895" s="1024"/>
      <c r="C895" s="1024"/>
      <c r="D895" s="2"/>
      <c r="E895" s="1023"/>
      <c r="F895" s="1023"/>
      <c r="G895" s="1023"/>
      <c r="I895" s="524"/>
    </row>
    <row r="896" spans="1:9" ht="12.75" customHeight="1">
      <c r="A896" s="176"/>
      <c r="B896" s="519" t="s">
        <v>2665</v>
      </c>
      <c r="C896" s="385"/>
      <c r="D896" s="1265" t="s">
        <v>1968</v>
      </c>
      <c r="E896" s="1265"/>
      <c r="F896" s="1265"/>
      <c r="G896" s="3"/>
      <c r="I896" s="524" t="s">
        <v>2110</v>
      </c>
    </row>
    <row r="897" spans="1:9" ht="12.75" customHeight="1">
      <c r="A897" s="385"/>
      <c r="B897" s="385"/>
      <c r="C897" s="385"/>
      <c r="D897" s="1265"/>
      <c r="E897" s="1265"/>
      <c r="F897" s="1265"/>
      <c r="G897" s="3"/>
      <c r="I897" s="524"/>
    </row>
    <row r="898" spans="1:9" ht="12.75" customHeight="1">
      <c r="A898" s="172"/>
      <c r="B898" s="172"/>
      <c r="C898" s="172"/>
      <c r="D898" s="1265" t="s">
        <v>1967</v>
      </c>
      <c r="E898" s="1265"/>
      <c r="F898" s="1265"/>
      <c r="G898" s="1023"/>
      <c r="I898" s="524"/>
    </row>
    <row r="899" spans="1:9" ht="12.75" customHeight="1">
      <c r="A899" s="172"/>
      <c r="B899" s="172"/>
      <c r="C899" s="172"/>
      <c r="D899" s="1265"/>
      <c r="E899" s="1265"/>
      <c r="F899" s="1265"/>
      <c r="G899" s="1023"/>
      <c r="I899" s="524"/>
    </row>
    <row r="900" spans="1:9" ht="12.75" customHeight="1">
      <c r="A900" s="172"/>
      <c r="B900" s="172"/>
      <c r="C900" s="172"/>
      <c r="D900" s="3"/>
      <c r="E900" s="3"/>
      <c r="F900" s="1023"/>
      <c r="G900" s="1023"/>
      <c r="I900" s="524"/>
    </row>
    <row r="901" spans="1:9" ht="12.75" customHeight="1">
      <c r="A901" s="176"/>
      <c r="B901" s="519" t="s">
        <v>2665</v>
      </c>
      <c r="C901" s="175"/>
      <c r="D901" s="1269" t="s">
        <v>1965</v>
      </c>
      <c r="E901" s="1269"/>
      <c r="F901" s="1269"/>
      <c r="G901" s="1023"/>
      <c r="I901" s="524" t="s">
        <v>2109</v>
      </c>
    </row>
    <row r="902" spans="1:9" ht="12.75" customHeight="1">
      <c r="A902" s="176"/>
      <c r="B902" s="176"/>
      <c r="C902" s="175"/>
      <c r="D902" s="1269"/>
      <c r="E902" s="1269"/>
      <c r="F902" s="1269"/>
      <c r="G902" s="1023"/>
      <c r="I902" s="524"/>
    </row>
    <row r="903" spans="1:9" ht="12.75" customHeight="1">
      <c r="A903" s="176"/>
      <c r="B903" s="176"/>
      <c r="C903" s="175"/>
      <c r="D903" s="1269"/>
      <c r="E903" s="1269"/>
      <c r="F903" s="1269"/>
      <c r="G903" s="1023"/>
      <c r="I903" s="524"/>
    </row>
    <row r="904" spans="1:9" ht="12.75" customHeight="1">
      <c r="A904" s="176"/>
      <c r="B904" s="176"/>
      <c r="C904" s="175"/>
      <c r="D904" s="1269"/>
      <c r="E904" s="1269"/>
      <c r="F904" s="1269"/>
      <c r="G904" s="1023"/>
      <c r="I904" s="524"/>
    </row>
    <row r="905" spans="1:9" ht="12.75" customHeight="1">
      <c r="A905" s="176"/>
      <c r="B905" s="176"/>
      <c r="C905" s="175"/>
      <c r="D905" s="1269"/>
      <c r="E905" s="1269"/>
      <c r="F905" s="1269"/>
      <c r="G905" s="1023"/>
      <c r="I905" s="524"/>
    </row>
    <row r="906" spans="1:9" ht="12.75" customHeight="1">
      <c r="A906" s="175"/>
      <c r="B906" s="175"/>
      <c r="C906" s="175"/>
      <c r="D906" s="1269"/>
      <c r="E906" s="1269"/>
      <c r="F906" s="1269"/>
      <c r="G906" s="1023"/>
      <c r="I906" s="524"/>
    </row>
    <row r="907" spans="1:9" ht="12.75" customHeight="1">
      <c r="A907" s="175"/>
      <c r="B907" s="175"/>
      <c r="C907" s="175"/>
      <c r="D907" s="1269"/>
      <c r="E907" s="1269"/>
      <c r="F907" s="1269"/>
      <c r="G907" s="1023"/>
      <c r="I907" s="524"/>
    </row>
    <row r="908" spans="1:9" ht="12.75" customHeight="1">
      <c r="A908" s="175"/>
      <c r="B908" s="175"/>
      <c r="C908" s="175"/>
      <c r="D908" s="1269"/>
      <c r="E908" s="1269"/>
      <c r="F908" s="1269"/>
      <c r="G908" s="1023"/>
      <c r="I908" s="524"/>
    </row>
    <row r="909" spans="1:9" ht="12.75" customHeight="1">
      <c r="A909" s="175"/>
      <c r="B909" s="175"/>
      <c r="C909" s="175"/>
      <c r="D909" s="363"/>
      <c r="E909" s="363"/>
      <c r="F909" s="363"/>
      <c r="G909" s="1023"/>
      <c r="I909" s="524"/>
    </row>
    <row r="910" spans="1:9" ht="12.75" customHeight="1">
      <c r="A910" s="1024"/>
      <c r="B910" s="519" t="s">
        <v>2664</v>
      </c>
      <c r="C910" s="1024"/>
      <c r="D910" s="1265" t="s">
        <v>1969</v>
      </c>
      <c r="E910" s="1265"/>
      <c r="F910" s="1265"/>
      <c r="G910" s="1023"/>
      <c r="I910" s="524"/>
    </row>
    <row r="911" spans="1:9" ht="12.75" customHeight="1">
      <c r="A911" s="1024"/>
      <c r="B911" s="1024"/>
      <c r="C911" s="1024"/>
      <c r="D911" s="1265"/>
      <c r="E911" s="1265"/>
      <c r="F911" s="1265"/>
      <c r="G911" s="1023"/>
      <c r="I911" s="524"/>
    </row>
    <row r="912" spans="1:9" ht="12.75" customHeight="1">
      <c r="A912" s="1024"/>
      <c r="B912" s="1024"/>
      <c r="C912" s="1024"/>
      <c r="D912" s="1023"/>
      <c r="E912" s="1023"/>
      <c r="F912" s="1023"/>
      <c r="G912" s="1023"/>
      <c r="I912" s="524"/>
    </row>
    <row r="913" spans="1:9" ht="12.75" customHeight="1">
      <c r="A913" s="1024"/>
      <c r="B913" s="519" t="s">
        <v>2664</v>
      </c>
      <c r="C913" s="1024"/>
      <c r="D913" s="1306" t="s">
        <v>1970</v>
      </c>
      <c r="E913" s="1306"/>
      <c r="F913" s="1306"/>
      <c r="G913" s="1023"/>
      <c r="I913" s="524"/>
    </row>
    <row r="914" spans="1:9" ht="12.75" customHeight="1">
      <c r="A914" s="1024"/>
      <c r="B914" s="1024"/>
      <c r="C914" s="1024"/>
      <c r="D914" s="1306"/>
      <c r="E914" s="1306"/>
      <c r="F914" s="1306"/>
      <c r="G914" s="1023"/>
      <c r="I914" s="524"/>
    </row>
    <row r="915" spans="1:9" ht="12.75" customHeight="1">
      <c r="A915" s="1024"/>
      <c r="B915" s="1024"/>
      <c r="C915" s="1024"/>
      <c r="D915" s="1306"/>
      <c r="E915" s="1306"/>
      <c r="F915" s="1306"/>
      <c r="G915" s="1023"/>
      <c r="I915" s="524"/>
    </row>
    <row r="916" spans="1:9" ht="12.75" customHeight="1">
      <c r="A916" s="1024"/>
      <c r="B916" s="1024"/>
      <c r="C916" s="1024"/>
      <c r="D916" s="1306"/>
      <c r="E916" s="1306"/>
      <c r="F916" s="1306"/>
      <c r="G916" s="1023"/>
      <c r="I916" s="524"/>
    </row>
    <row r="917" spans="1:9" ht="12.75" customHeight="1">
      <c r="A917" s="1024"/>
      <c r="B917" s="1024"/>
      <c r="C917" s="1024"/>
      <c r="D917" s="118"/>
      <c r="E917" s="1023"/>
      <c r="F917" s="1023"/>
      <c r="G917" s="1023"/>
      <c r="I917" s="524"/>
    </row>
    <row r="918" spans="1:9" ht="12.75" customHeight="1">
      <c r="A918" s="1024"/>
      <c r="B918" s="519" t="s">
        <v>2664</v>
      </c>
      <c r="C918" s="1024"/>
      <c r="D918" s="1285" t="s">
        <v>2382</v>
      </c>
      <c r="E918" s="1285"/>
      <c r="F918" s="1285"/>
      <c r="G918" s="1023"/>
      <c r="I918" s="524"/>
    </row>
    <row r="919" spans="1:9" ht="12.75" customHeight="1">
      <c r="A919" s="1024"/>
      <c r="B919" s="1024"/>
      <c r="C919" s="1024"/>
      <c r="D919" s="118"/>
      <c r="E919" s="1023"/>
      <c r="F919" s="1023"/>
      <c r="G919" s="1023"/>
      <c r="I919" s="524"/>
    </row>
    <row r="920" spans="1:9" ht="12.75" customHeight="1">
      <c r="A920" s="1024"/>
      <c r="B920" s="519" t="s">
        <v>2664</v>
      </c>
      <c r="C920" s="1024"/>
      <c r="D920" s="1285" t="s">
        <v>2383</v>
      </c>
      <c r="E920" s="1285"/>
      <c r="F920" s="1285"/>
      <c r="G920" s="1023"/>
      <c r="I920" s="524"/>
    </row>
    <row r="921" spans="1:9" ht="12.75" customHeight="1">
      <c r="A921" s="175"/>
      <c r="B921" s="175"/>
      <c r="C921" s="175"/>
      <c r="D921" s="2"/>
      <c r="E921" s="3"/>
      <c r="F921" s="1023"/>
      <c r="G921" s="1023"/>
      <c r="I921" s="524"/>
    </row>
    <row r="922" spans="1:9" ht="12.75" customHeight="1">
      <c r="A922" s="1032"/>
      <c r="B922" s="519" t="s">
        <v>2664</v>
      </c>
      <c r="C922" s="1033"/>
      <c r="D922" s="1269" t="s">
        <v>1966</v>
      </c>
      <c r="E922" s="1269"/>
      <c r="F922" s="1269"/>
      <c r="G922" s="1034"/>
      <c r="I922" s="524" t="s">
        <v>2159</v>
      </c>
    </row>
    <row r="923" spans="1:9" ht="12.75" customHeight="1">
      <c r="A923" s="1032"/>
      <c r="B923" s="1032"/>
      <c r="C923" s="1033"/>
      <c r="D923" s="1269"/>
      <c r="E923" s="1269"/>
      <c r="F923" s="1269"/>
      <c r="G923" s="1034"/>
      <c r="I923" s="524"/>
    </row>
    <row r="924" spans="1:9" ht="12.75" customHeight="1">
      <c r="A924" s="1032"/>
      <c r="B924" s="1032"/>
      <c r="C924" s="1033"/>
      <c r="D924" s="1269"/>
      <c r="E924" s="1269"/>
      <c r="F924" s="1269"/>
      <c r="G924" s="1034"/>
      <c r="I924" s="524"/>
    </row>
    <row r="925" spans="1:9" ht="12.75" customHeight="1">
      <c r="A925" s="1032"/>
      <c r="B925" s="1032"/>
      <c r="C925" s="1033"/>
      <c r="D925" s="1269"/>
      <c r="E925" s="1269"/>
      <c r="F925" s="1269"/>
      <c r="G925" s="1034"/>
      <c r="I925" s="524"/>
    </row>
    <row r="926" spans="1:9" ht="12.75" customHeight="1">
      <c r="A926" s="1032"/>
      <c r="B926" s="1032"/>
      <c r="C926" s="1033"/>
      <c r="D926" s="1269"/>
      <c r="E926" s="1269"/>
      <c r="F926" s="1269"/>
      <c r="G926" s="1034"/>
      <c r="I926" s="524"/>
    </row>
    <row r="927" spans="1:9" ht="12.75" customHeight="1">
      <c r="A927" s="1032"/>
      <c r="B927" s="1032"/>
      <c r="C927" s="1033"/>
      <c r="D927" s="1269"/>
      <c r="E927" s="1269"/>
      <c r="F927" s="1269"/>
      <c r="G927" s="1034"/>
      <c r="I927" s="524"/>
    </row>
    <row r="928" spans="1:9" ht="12.75" customHeight="1">
      <c r="A928" s="1032"/>
      <c r="B928" s="1032"/>
      <c r="C928" s="1033"/>
      <c r="D928" s="1269"/>
      <c r="E928" s="1269"/>
      <c r="F928" s="1269"/>
      <c r="G928" s="1034"/>
      <c r="I928" s="524"/>
    </row>
    <row r="929" spans="1:9" ht="12.75" customHeight="1">
      <c r="A929" s="1032"/>
      <c r="B929" s="1032"/>
      <c r="C929" s="1033"/>
      <c r="D929" s="1269"/>
      <c r="E929" s="1269"/>
      <c r="F929" s="1269"/>
      <c r="G929" s="1034"/>
      <c r="I929" s="524"/>
    </row>
    <row r="930" spans="1:9" ht="12.75" customHeight="1">
      <c r="A930" s="1032"/>
      <c r="B930" s="1032"/>
      <c r="C930" s="1033"/>
      <c r="D930" s="1269"/>
      <c r="E930" s="1269"/>
      <c r="F930" s="1269"/>
      <c r="G930" s="1034"/>
      <c r="I930" s="524"/>
    </row>
    <row r="931" spans="1:9" ht="12.75" customHeight="1">
      <c r="A931" s="175"/>
      <c r="B931" s="175"/>
      <c r="C931" s="175"/>
      <c r="D931" s="2"/>
      <c r="E931" s="3"/>
      <c r="F931" s="1023"/>
      <c r="G931" s="1023"/>
      <c r="I931" s="524"/>
    </row>
    <row r="932" spans="1:9" ht="12.75" customHeight="1">
      <c r="A932" s="176"/>
      <c r="B932" s="519" t="s">
        <v>2665</v>
      </c>
      <c r="C932" s="175"/>
      <c r="D932" s="1346" t="s">
        <v>2161</v>
      </c>
      <c r="E932" s="1346"/>
      <c r="F932" s="1346"/>
      <c r="G932" s="1023"/>
      <c r="I932" s="524" t="s">
        <v>2159</v>
      </c>
    </row>
    <row r="933" spans="1:9" ht="12.75" customHeight="1">
      <c r="A933" s="176"/>
      <c r="B933" s="176"/>
      <c r="C933" s="175"/>
      <c r="D933" s="1346"/>
      <c r="E933" s="1346"/>
      <c r="F933" s="1346"/>
      <c r="G933" s="1023"/>
      <c r="I933" s="524"/>
    </row>
    <row r="934" spans="1:9" ht="12.75" customHeight="1">
      <c r="A934" s="176"/>
      <c r="B934" s="176"/>
      <c r="C934" s="175"/>
      <c r="D934" s="1346"/>
      <c r="E934" s="1346"/>
      <c r="F934" s="1346"/>
      <c r="G934" s="1023"/>
      <c r="I934" s="524"/>
    </row>
    <row r="935" spans="1:9" ht="12.75" customHeight="1">
      <c r="A935" s="176"/>
      <c r="B935" s="176"/>
      <c r="C935" s="175"/>
      <c r="D935" s="1346"/>
      <c r="E935" s="1346"/>
      <c r="F935" s="1346"/>
      <c r="G935" s="1023"/>
      <c r="I935" s="524"/>
    </row>
    <row r="936" spans="1:9" ht="12.75" customHeight="1">
      <c r="A936" s="176"/>
      <c r="B936" s="176"/>
      <c r="C936" s="175"/>
      <c r="D936" s="1346"/>
      <c r="E936" s="1346"/>
      <c r="F936" s="1346"/>
      <c r="G936" s="1023"/>
      <c r="I936" s="524"/>
    </row>
    <row r="937" spans="1:9" ht="12.75" customHeight="1">
      <c r="A937" s="176"/>
      <c r="B937" s="176"/>
      <c r="C937" s="175"/>
      <c r="D937" s="1346"/>
      <c r="E937" s="1346"/>
      <c r="F937" s="1346"/>
      <c r="G937" s="1023"/>
      <c r="I937" s="524"/>
    </row>
    <row r="938" spans="1:9" ht="12.75" customHeight="1">
      <c r="A938" s="176"/>
      <c r="B938" s="176"/>
      <c r="C938" s="175"/>
      <c r="D938" s="1346"/>
      <c r="E938" s="1346"/>
      <c r="F938" s="1346"/>
      <c r="G938" s="1023"/>
      <c r="I938" s="524"/>
    </row>
    <row r="939" spans="1:9" ht="12.75" customHeight="1">
      <c r="A939" s="176"/>
      <c r="B939" s="176"/>
      <c r="C939" s="175"/>
      <c r="D939" s="1061"/>
      <c r="E939" s="1061"/>
      <c r="F939" s="1061"/>
      <c r="G939" s="1023"/>
      <c r="I939" s="524"/>
    </row>
    <row r="940" spans="1:9" ht="12.75" customHeight="1">
      <c r="A940" s="176"/>
      <c r="B940" s="519" t="s">
        <v>2665</v>
      </c>
      <c r="C940" s="175"/>
      <c r="D940" s="1268" t="s">
        <v>2455</v>
      </c>
      <c r="E940" s="1268"/>
      <c r="F940" s="1268"/>
      <c r="G940" s="1023"/>
      <c r="I940" s="524"/>
    </row>
    <row r="941" spans="1:9" ht="12.75" customHeight="1">
      <c r="A941" s="176"/>
      <c r="B941" s="176"/>
      <c r="C941" s="175"/>
      <c r="D941" s="1268"/>
      <c r="E941" s="1268"/>
      <c r="F941" s="1268"/>
      <c r="G941" s="1023"/>
      <c r="I941" s="524"/>
    </row>
    <row r="942" spans="1:9" ht="12.75" customHeight="1">
      <c r="A942" s="176"/>
      <c r="B942" s="176"/>
      <c r="C942" s="175"/>
      <c r="D942" s="1268"/>
      <c r="E942" s="1268"/>
      <c r="F942" s="1268"/>
      <c r="G942" s="1023"/>
      <c r="I942" s="524"/>
    </row>
    <row r="943" spans="1:9" ht="12.75" customHeight="1">
      <c r="A943" s="176"/>
      <c r="B943" s="176"/>
      <c r="C943" s="175"/>
      <c r="D943" s="1268"/>
      <c r="E943" s="1268"/>
      <c r="F943" s="1268"/>
      <c r="G943" s="1023"/>
      <c r="I943" s="524"/>
    </row>
    <row r="944" spans="1:9" ht="12.75" customHeight="1">
      <c r="A944" s="176"/>
      <c r="B944" s="176"/>
      <c r="C944" s="175"/>
      <c r="D944" s="1268"/>
      <c r="E944" s="1268"/>
      <c r="F944" s="1268"/>
      <c r="G944" s="1023"/>
      <c r="I944" s="524"/>
    </row>
    <row r="945" spans="1:9" ht="12.75" customHeight="1">
      <c r="A945" s="176"/>
      <c r="B945" s="176"/>
      <c r="C945" s="175"/>
      <c r="D945" s="1268"/>
      <c r="E945" s="1268"/>
      <c r="F945" s="1268"/>
      <c r="G945" s="1023"/>
      <c r="I945" s="524"/>
    </row>
    <row r="946" spans="1:9" ht="12.75" customHeight="1">
      <c r="A946" s="176"/>
      <c r="B946" s="176"/>
      <c r="C946" s="175"/>
      <c r="D946" s="1061"/>
      <c r="E946" s="1061"/>
      <c r="F946" s="1061"/>
      <c r="G946" s="1023"/>
      <c r="I946" s="524"/>
    </row>
    <row r="947" spans="1:9" ht="12.75" customHeight="1">
      <c r="A947" s="1024"/>
      <c r="B947" s="519" t="s">
        <v>2664</v>
      </c>
      <c r="C947" s="1024"/>
      <c r="D947" s="1306" t="s">
        <v>1971</v>
      </c>
      <c r="E947" s="1306"/>
      <c r="F947" s="1306"/>
      <c r="G947" s="1023"/>
      <c r="I947" s="524"/>
    </row>
    <row r="948" spans="1:9" ht="12.75" customHeight="1">
      <c r="A948" s="1024"/>
      <c r="B948" s="1024"/>
      <c r="C948" s="1024"/>
      <c r="D948" s="1306"/>
      <c r="E948" s="1306"/>
      <c r="F948" s="1306"/>
      <c r="G948" s="1023"/>
      <c r="I948" s="524"/>
    </row>
    <row r="949" spans="1:9" ht="12.75" customHeight="1">
      <c r="A949" s="1024"/>
      <c r="B949" s="1024"/>
      <c r="C949" s="1024"/>
      <c r="D949" s="1306"/>
      <c r="E949" s="1306"/>
      <c r="F949" s="1306"/>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2664</v>
      </c>
      <c r="C952" s="175"/>
      <c r="D952" s="1269" t="s">
        <v>2160</v>
      </c>
      <c r="E952" s="1269"/>
      <c r="F952" s="1269"/>
      <c r="G952" s="1023"/>
      <c r="I952" s="524" t="s">
        <v>2159</v>
      </c>
    </row>
    <row r="953" spans="1:9" ht="12.75" customHeight="1">
      <c r="A953" s="176"/>
      <c r="B953" s="176"/>
      <c r="C953" s="175"/>
      <c r="D953" s="1269"/>
      <c r="E953" s="1269"/>
      <c r="F953" s="1269"/>
      <c r="G953" s="1023"/>
      <c r="I953" s="524"/>
    </row>
    <row r="954" spans="1:9" ht="12.75" customHeight="1">
      <c r="A954" s="176"/>
      <c r="B954" s="176"/>
      <c r="C954" s="175"/>
      <c r="D954" s="1269"/>
      <c r="E954" s="1269"/>
      <c r="F954" s="1269"/>
      <c r="G954" s="1023"/>
      <c r="I954" s="524"/>
    </row>
    <row r="955" spans="1:9" ht="12.75" customHeight="1">
      <c r="A955" s="176"/>
      <c r="B955" s="176"/>
      <c r="C955" s="175"/>
      <c r="D955" s="1269"/>
      <c r="E955" s="1269"/>
      <c r="F955" s="1269"/>
      <c r="G955" s="1023"/>
      <c r="I955" s="524"/>
    </row>
    <row r="956" spans="1:9" ht="12.75" customHeight="1">
      <c r="A956" s="1024"/>
      <c r="B956" s="1024"/>
      <c r="C956" s="1024"/>
      <c r="D956" s="1015"/>
      <c r="E956" s="1015"/>
      <c r="F956" s="1015"/>
      <c r="G956" s="1015"/>
      <c r="I956" s="524"/>
    </row>
    <row r="957" spans="1:9" ht="12.75" customHeight="1">
      <c r="A957" s="385"/>
      <c r="B957" s="385"/>
      <c r="C957" s="385"/>
      <c r="D957" s="1284" t="s">
        <v>1972</v>
      </c>
      <c r="E957" s="1284"/>
      <c r="F957" s="1284"/>
      <c r="G957" s="3"/>
      <c r="I957" s="524"/>
    </row>
    <row r="958" spans="1:9" ht="12.75" customHeight="1">
      <c r="A958" s="176"/>
      <c r="B958" s="519" t="s">
        <v>2664</v>
      </c>
      <c r="C958" s="385"/>
      <c r="D958" s="1285" t="s">
        <v>1996</v>
      </c>
      <c r="E958" s="1285"/>
      <c r="F958" s="1285"/>
      <c r="G958" s="3"/>
      <c r="I958" s="524" t="s">
        <v>2159</v>
      </c>
    </row>
    <row r="959" spans="1:9" ht="12.75" customHeight="1">
      <c r="A959" s="385"/>
      <c r="B959" s="385"/>
      <c r="C959" s="385"/>
      <c r="D959" s="3"/>
      <c r="E959" s="3"/>
      <c r="F959" s="3"/>
      <c r="G959" s="3"/>
      <c r="I959" s="524"/>
    </row>
    <row r="960" spans="1:9" ht="12.75" customHeight="1">
      <c r="A960" s="385"/>
      <c r="B960" s="385"/>
      <c r="C960" s="385"/>
      <c r="D960" s="1284" t="s">
        <v>1973</v>
      </c>
      <c r="E960" s="1284"/>
      <c r="F960" s="1284"/>
      <c r="G960"/>
      <c r="I960" s="524"/>
    </row>
    <row r="961" spans="1:9" ht="12.75" customHeight="1">
      <c r="A961" s="176"/>
      <c r="B961" s="519" t="s">
        <v>2664</v>
      </c>
      <c r="C961" s="385"/>
      <c r="D961" s="1265" t="s">
        <v>2384</v>
      </c>
      <c r="E961" s="1265"/>
      <c r="F961" s="1265"/>
      <c r="G961"/>
      <c r="I961" s="524" t="s">
        <v>2159</v>
      </c>
    </row>
    <row r="962" spans="1:9" ht="12.75" customHeight="1">
      <c r="A962" s="176"/>
      <c r="B962" s="176"/>
      <c r="C962" s="385"/>
      <c r="D962" s="1265"/>
      <c r="E962" s="1265"/>
      <c r="F962" s="1265"/>
      <c r="G962"/>
      <c r="I962" s="524"/>
    </row>
    <row r="963" spans="1:9" ht="12.75" customHeight="1">
      <c r="A963" s="176"/>
      <c r="B963" s="176"/>
      <c r="C963" s="385"/>
      <c r="D963" s="1265"/>
      <c r="E963" s="1265"/>
      <c r="F963" s="1265"/>
      <c r="G963"/>
      <c r="I963" s="524"/>
    </row>
    <row r="964" spans="1:9" ht="12.75" customHeight="1">
      <c r="A964" s="176"/>
      <c r="B964" s="176"/>
      <c r="C964" s="385"/>
      <c r="D964" s="1265"/>
      <c r="E964" s="1265"/>
      <c r="F964" s="1265"/>
      <c r="G964"/>
      <c r="I964" s="524"/>
    </row>
    <row r="965" spans="1:9" ht="12.75" customHeight="1">
      <c r="A965" s="176"/>
      <c r="B965" s="176"/>
      <c r="C965" s="385"/>
      <c r="D965" s="1265"/>
      <c r="E965" s="1265"/>
      <c r="F965" s="1265"/>
      <c r="G965"/>
      <c r="I965" s="524"/>
    </row>
    <row r="966" spans="1:9" ht="12.75" customHeight="1">
      <c r="A966" s="176"/>
      <c r="B966" s="176"/>
      <c r="C966" s="385"/>
      <c r="D966" s="1265"/>
      <c r="E966" s="1265"/>
      <c r="F966" s="1265"/>
      <c r="G966"/>
      <c r="I966" s="524"/>
    </row>
    <row r="967" spans="1:9" ht="12.75" customHeight="1">
      <c r="A967" s="176"/>
      <c r="B967" s="176"/>
      <c r="C967" s="385"/>
      <c r="D967" s="1265"/>
      <c r="E967" s="1265"/>
      <c r="F967" s="1265"/>
      <c r="G967"/>
      <c r="I967" s="524"/>
    </row>
    <row r="968" spans="1:9" ht="12.75" customHeight="1">
      <c r="A968" s="176"/>
      <c r="B968" s="176"/>
      <c r="C968" s="385"/>
      <c r="D968" s="1265"/>
      <c r="E968" s="1265"/>
      <c r="F968" s="1265"/>
      <c r="G968"/>
      <c r="I968" s="524"/>
    </row>
    <row r="969" spans="1:9" ht="12.75" customHeight="1">
      <c r="A969" s="176"/>
      <c r="B969" s="176"/>
      <c r="C969" s="385"/>
      <c r="D969" s="1265"/>
      <c r="E969" s="1265"/>
      <c r="F969" s="1265"/>
      <c r="G969"/>
      <c r="I969" s="524"/>
    </row>
    <row r="970" spans="1:9" ht="12.75" customHeight="1">
      <c r="A970" s="176"/>
      <c r="B970" s="176"/>
      <c r="C970" s="385"/>
      <c r="D970" s="1265"/>
      <c r="E970" s="1265"/>
      <c r="F970" s="1265"/>
      <c r="G970"/>
      <c r="I970" s="524"/>
    </row>
    <row r="971" spans="1:9" ht="12.75" customHeight="1">
      <c r="A971" s="176"/>
      <c r="B971" s="176"/>
      <c r="C971" s="385"/>
      <c r="D971" s="1265"/>
      <c r="E971" s="1265"/>
      <c r="F971" s="1265"/>
      <c r="G971"/>
      <c r="I971" s="524"/>
    </row>
    <row r="972" spans="1:9" ht="12.75" customHeight="1">
      <c r="A972" s="176"/>
      <c r="B972" s="176"/>
      <c r="C972" s="385"/>
      <c r="D972" s="1265"/>
      <c r="E972" s="1265"/>
      <c r="F972" s="1265"/>
      <c r="G972"/>
      <c r="I972" s="524"/>
    </row>
    <row r="973" spans="1:9" ht="12.75" customHeight="1">
      <c r="A973" s="176"/>
      <c r="B973" s="176"/>
      <c r="C973" s="385"/>
      <c r="D973" s="1265"/>
      <c r="E973" s="1265"/>
      <c r="F973" s="1265"/>
      <c r="G973"/>
      <c r="I973" s="524"/>
    </row>
    <row r="974" spans="1:9" ht="12.75" customHeight="1">
      <c r="A974" s="176"/>
      <c r="B974" s="176"/>
      <c r="C974" s="385"/>
      <c r="D974" s="1265"/>
      <c r="E974" s="1265"/>
      <c r="F974" s="1265"/>
      <c r="G974"/>
      <c r="I974" s="524"/>
    </row>
    <row r="975" spans="1:9" ht="12.75" customHeight="1">
      <c r="A975" s="176"/>
      <c r="B975" s="176"/>
      <c r="C975" s="385"/>
      <c r="D975" s="1265"/>
      <c r="E975" s="1265"/>
      <c r="F975" s="1265"/>
      <c r="G975" s="3"/>
      <c r="I975" s="524"/>
    </row>
    <row r="976" spans="1:9" ht="12.75" customHeight="1">
      <c r="A976" s="385"/>
      <c r="B976" s="385"/>
      <c r="C976" s="385"/>
      <c r="D976" s="3"/>
      <c r="E976" s="3"/>
      <c r="F976" s="3"/>
      <c r="G976" s="3"/>
      <c r="I976" s="524"/>
    </row>
    <row r="977" spans="1:9" ht="12.75" customHeight="1">
      <c r="A977" s="1293" t="s">
        <v>1974</v>
      </c>
      <c r="B977" s="1293"/>
      <c r="C977" s="1293"/>
      <c r="D977" s="1293"/>
      <c r="E977" s="1293"/>
      <c r="F977" s="1293"/>
      <c r="G977" s="1293"/>
      <c r="H977" s="1063"/>
      <c r="I977" s="1256"/>
    </row>
    <row r="978" spans="1:9" ht="12.75" customHeight="1">
      <c r="A978" s="118"/>
      <c r="B978" s="118"/>
      <c r="C978" s="385"/>
      <c r="D978" s="3"/>
      <c r="E978" s="3"/>
      <c r="F978" s="3"/>
      <c r="G978" s="3"/>
      <c r="I978" s="524"/>
    </row>
    <row r="979" spans="1:9" ht="12.75" customHeight="1">
      <c r="A979" s="385"/>
      <c r="B979" s="385"/>
      <c r="C979" s="1024"/>
      <c r="D979" s="1284" t="s">
        <v>1997</v>
      </c>
      <c r="E979" s="1284"/>
      <c r="F979" s="1284"/>
      <c r="G979" s="3"/>
      <c r="I979" s="524"/>
    </row>
    <row r="980" spans="1:9" ht="12.75" customHeight="1">
      <c r="A980" s="172"/>
      <c r="B980" s="172"/>
      <c r="C980" s="172"/>
      <c r="D980" s="1285" t="s">
        <v>1975</v>
      </c>
      <c r="E980" s="1285"/>
      <c r="F980" s="1285"/>
      <c r="G980" s="3"/>
      <c r="I980" s="524"/>
    </row>
    <row r="981" spans="1:9" ht="12.75" customHeight="1">
      <c r="A981" s="172"/>
      <c r="B981" s="172"/>
      <c r="C981" s="172"/>
      <c r="D981" s="3"/>
      <c r="E981" s="3"/>
      <c r="F981" s="1023"/>
      <c r="G981"/>
      <c r="I981" s="524"/>
    </row>
    <row r="982" spans="1:9" ht="12.75" customHeight="1">
      <c r="A982" s="385"/>
      <c r="B982" s="519" t="s">
        <v>2665</v>
      </c>
      <c r="C982" s="385"/>
      <c r="D982" s="1348" t="s">
        <v>2214</v>
      </c>
      <c r="E982" s="1348"/>
      <c r="F982" s="1348"/>
      <c r="G982"/>
      <c r="I982" s="524" t="s">
        <v>2139</v>
      </c>
    </row>
    <row r="983" spans="1:9" ht="12.75" customHeight="1">
      <c r="A983" s="385"/>
      <c r="B983" s="385"/>
      <c r="C983" s="385"/>
      <c r="D983" s="1348"/>
      <c r="E983" s="1348"/>
      <c r="F983" s="1348"/>
      <c r="G983"/>
      <c r="I983" s="524"/>
    </row>
    <row r="984" spans="1:9" ht="12.75" customHeight="1">
      <c r="A984" s="385"/>
      <c r="B984" s="385"/>
      <c r="C984" s="385"/>
      <c r="D984" s="1073"/>
      <c r="E984" s="1071" t="s">
        <v>2215</v>
      </c>
      <c r="F984" s="1073"/>
      <c r="G984"/>
      <c r="I984" s="524"/>
    </row>
    <row r="985" spans="1:9" ht="12.75" customHeight="1">
      <c r="A985" s="385"/>
      <c r="B985" s="385"/>
      <c r="C985" s="385"/>
      <c r="D985" s="1271" t="s">
        <v>2213</v>
      </c>
      <c r="E985" s="1271"/>
      <c r="F985" s="1271"/>
      <c r="G985"/>
      <c r="I985" s="524"/>
    </row>
    <row r="986" spans="1:9" ht="12.75" customHeight="1">
      <c r="A986" s="385"/>
      <c r="B986" s="385"/>
      <c r="C986" s="385"/>
      <c r="D986" s="1271"/>
      <c r="E986" s="1271"/>
      <c r="F986" s="1271"/>
      <c r="G986"/>
      <c r="I986" s="524"/>
    </row>
    <row r="987" spans="1:9" ht="12.75" customHeight="1">
      <c r="A987" s="175"/>
      <c r="B987" s="175"/>
      <c r="C987" s="175"/>
      <c r="D987" s="1271"/>
      <c r="E987" s="1271"/>
      <c r="F987" s="1271"/>
      <c r="G987"/>
      <c r="I987" s="524"/>
    </row>
    <row r="988" spans="1:9" ht="12.75" customHeight="1">
      <c r="A988" s="175"/>
      <c r="B988" s="175"/>
      <c r="C988" s="175"/>
      <c r="D988" s="1271"/>
      <c r="E988" s="1271"/>
      <c r="F988" s="1271"/>
      <c r="G988"/>
      <c r="I988" s="524"/>
    </row>
    <row r="989" spans="1:9" ht="12.75" customHeight="1">
      <c r="A989" s="175"/>
      <c r="B989" s="175"/>
      <c r="C989" s="175"/>
      <c r="D989" s="363"/>
      <c r="E989" s="363"/>
      <c r="F989" s="363"/>
      <c r="G989"/>
      <c r="I989" s="524"/>
    </row>
    <row r="990" spans="1:9" ht="12.75" customHeight="1">
      <c r="A990" s="175"/>
      <c r="B990" s="519" t="s">
        <v>2664</v>
      </c>
      <c r="C990" s="175"/>
      <c r="D990" s="1265" t="s">
        <v>1976</v>
      </c>
      <c r="E990" s="1265"/>
      <c r="F990" s="1265"/>
      <c r="G990"/>
      <c r="I990" s="524"/>
    </row>
    <row r="991" spans="1:9" ht="12.75" customHeight="1">
      <c r="A991" s="175"/>
      <c r="B991" s="175"/>
      <c r="C991" s="175"/>
      <c r="D991" s="1265"/>
      <c r="E991" s="1265"/>
      <c r="F991" s="1265"/>
      <c r="G991"/>
      <c r="I991" s="524"/>
    </row>
    <row r="992" spans="1:9" ht="12.75" customHeight="1">
      <c r="A992" s="175"/>
      <c r="B992" s="175"/>
      <c r="C992" s="175"/>
      <c r="D992" s="1265"/>
      <c r="E992" s="1265"/>
      <c r="F992" s="1265"/>
      <c r="G992"/>
      <c r="I992" s="524"/>
    </row>
    <row r="993" spans="1:9" ht="12.75" customHeight="1">
      <c r="A993" s="175"/>
      <c r="B993" s="175"/>
      <c r="C993" s="175"/>
      <c r="D993" s="1265"/>
      <c r="E993" s="1265"/>
      <c r="F993" s="1265"/>
      <c r="G993"/>
      <c r="I993" s="524"/>
    </row>
    <row r="994" spans="1:9" ht="12.75" customHeight="1">
      <c r="A994" s="175"/>
      <c r="B994" s="175"/>
      <c r="C994" s="175"/>
      <c r="D994" s="474"/>
      <c r="E994" s="474"/>
      <c r="F994" s="474"/>
      <c r="G994"/>
      <c r="I994" s="524"/>
    </row>
    <row r="995" spans="1:9" ht="12.75" customHeight="1">
      <c r="A995" s="175"/>
      <c r="B995" s="519" t="s">
        <v>2664</v>
      </c>
      <c r="C995" s="175"/>
      <c r="D995" s="1265" t="s">
        <v>1977</v>
      </c>
      <c r="E995" s="1265"/>
      <c r="F995" s="1265"/>
      <c r="G995"/>
      <c r="I995" s="524"/>
    </row>
    <row r="996" spans="1:9" ht="12.75" customHeight="1">
      <c r="A996" s="175"/>
      <c r="B996" s="175"/>
      <c r="C996" s="175"/>
      <c r="D996" s="1265"/>
      <c r="E996" s="1265"/>
      <c r="F996" s="1265"/>
      <c r="G996"/>
      <c r="I996" s="524"/>
    </row>
    <row r="997" spans="1:9" ht="12.75" customHeight="1">
      <c r="A997" s="175"/>
      <c r="B997" s="175"/>
      <c r="C997" s="175"/>
      <c r="D997" s="474"/>
      <c r="E997" s="474"/>
      <c r="F997" s="474"/>
      <c r="G997"/>
      <c r="I997" s="524"/>
    </row>
    <row r="998" spans="1:9" ht="12.75" customHeight="1">
      <c r="A998" s="176"/>
      <c r="B998" s="519" t="s">
        <v>2664</v>
      </c>
      <c r="C998" s="385"/>
      <c r="D998" s="1285" t="s">
        <v>1978</v>
      </c>
      <c r="E998" s="1285"/>
      <c r="F998" s="1285"/>
      <c r="G998"/>
      <c r="I998" s="524"/>
    </row>
    <row r="999" spans="1:9" ht="12.75" customHeight="1">
      <c r="A999" s="385"/>
      <c r="B999" s="385"/>
      <c r="C999" s="385"/>
      <c r="D999" s="3"/>
      <c r="E999" s="3"/>
      <c r="F999" s="3"/>
      <c r="G999"/>
      <c r="I999" s="524"/>
    </row>
    <row r="1000" spans="1:9" ht="12.75" customHeight="1">
      <c r="A1000" s="176"/>
      <c r="B1000" s="519" t="s">
        <v>2664</v>
      </c>
      <c r="C1000" s="385"/>
      <c r="D1000" s="1285" t="s">
        <v>1979</v>
      </c>
      <c r="E1000" s="1285"/>
      <c r="F1000" s="1285"/>
      <c r="G1000"/>
      <c r="I1000" s="524"/>
    </row>
    <row r="1001" spans="1:9" ht="12.75" customHeight="1">
      <c r="A1001" s="385"/>
      <c r="B1001" s="385"/>
      <c r="C1001" s="385"/>
      <c r="D1001" s="118"/>
      <c r="E1001" s="3"/>
      <c r="F1001" s="3"/>
      <c r="G1001"/>
      <c r="I1001" s="524"/>
    </row>
    <row r="1002" spans="1:9" ht="12.75" customHeight="1">
      <c r="A1002" s="176"/>
      <c r="B1002" s="519" t="s">
        <v>2665</v>
      </c>
      <c r="C1002" s="385"/>
      <c r="D1002" s="1285" t="s">
        <v>1980</v>
      </c>
      <c r="E1002" s="1285"/>
      <c r="F1002" s="1285"/>
      <c r="G1002"/>
      <c r="I1002" s="524"/>
    </row>
    <row r="1003" spans="1:9" ht="12.75" customHeight="1">
      <c r="A1003" s="385"/>
      <c r="B1003" s="385"/>
      <c r="C1003" s="385"/>
      <c r="D1003" s="118"/>
      <c r="E1003" s="3"/>
      <c r="F1003" s="3"/>
      <c r="G1003"/>
      <c r="I1003" s="524"/>
    </row>
    <row r="1004" spans="1:9" ht="12.75" customHeight="1">
      <c r="A1004" s="176"/>
      <c r="B1004" s="519" t="s">
        <v>2665</v>
      </c>
      <c r="C1004" s="385"/>
      <c r="D1004" s="1265" t="s">
        <v>1981</v>
      </c>
      <c r="E1004" s="1265"/>
      <c r="F1004" s="1265"/>
      <c r="G1004"/>
      <c r="I1004" s="524"/>
    </row>
    <row r="1005" spans="1:9" ht="12.75" customHeight="1">
      <c r="A1005" s="176"/>
      <c r="B1005" s="176"/>
      <c r="C1005" s="385"/>
      <c r="D1005" s="1265"/>
      <c r="E1005" s="1265"/>
      <c r="F1005" s="1265"/>
      <c r="G1005"/>
      <c r="I1005" s="524"/>
    </row>
    <row r="1006" spans="1:9" ht="12.75" customHeight="1">
      <c r="A1006" s="176"/>
      <c r="B1006" s="176"/>
      <c r="C1006" s="385"/>
      <c r="D1006" s="118"/>
      <c r="E1006" s="3"/>
      <c r="F1006" s="3"/>
      <c r="G1006" s="3"/>
      <c r="I1006" s="524"/>
    </row>
    <row r="1007" spans="1:9" ht="12.75" customHeight="1">
      <c r="A1007" s="272"/>
      <c r="B1007" s="519" t="s">
        <v>2664</v>
      </c>
      <c r="C1007" s="1035"/>
      <c r="D1007" s="1298" t="s">
        <v>1982</v>
      </c>
      <c r="E1007" s="1298"/>
      <c r="F1007" s="1298"/>
      <c r="G1007" s="1036"/>
      <c r="I1007" s="524"/>
    </row>
    <row r="1008" spans="1:9" ht="12.75" customHeight="1">
      <c r="A1008" s="1035"/>
      <c r="B1008" s="1035"/>
      <c r="C1008" s="1035"/>
      <c r="D1008" s="1298"/>
      <c r="E1008" s="1298"/>
      <c r="F1008" s="1298"/>
      <c r="G1008" s="1036"/>
      <c r="I1008" s="524"/>
    </row>
    <row r="1009" spans="1:9" ht="12.75" customHeight="1">
      <c r="A1009" s="1035"/>
      <c r="B1009" s="1035"/>
      <c r="C1009" s="1035"/>
      <c r="D1009" s="1019"/>
      <c r="E1009" s="1036"/>
      <c r="F1009" s="1036"/>
      <c r="G1009" s="1036"/>
      <c r="I1009" s="524"/>
    </row>
    <row r="1010" spans="1:9" ht="12.75" customHeight="1">
      <c r="A1010" s="272"/>
      <c r="B1010" s="519" t="s">
        <v>2664</v>
      </c>
      <c r="C1010" s="1035"/>
      <c r="D1010" s="1347" t="s">
        <v>1983</v>
      </c>
      <c r="E1010" s="1347"/>
      <c r="F1010" s="1347"/>
      <c r="G1010" s="1036"/>
      <c r="I1010" s="524"/>
    </row>
    <row r="1011" spans="1:9" ht="12.75" customHeight="1">
      <c r="A1011" s="1035"/>
      <c r="B1011" s="1035"/>
      <c r="C1011" s="1035"/>
      <c r="D1011" s="1019"/>
      <c r="E1011" s="1036"/>
      <c r="F1011" s="1036"/>
      <c r="G1011" s="1036"/>
      <c r="I1011" s="524"/>
    </row>
    <row r="1012" spans="1:9" ht="12.75" customHeight="1">
      <c r="A1012" s="176"/>
      <c r="B1012" s="519" t="s">
        <v>2664</v>
      </c>
      <c r="C1012" s="385"/>
      <c r="D1012" s="1285" t="s">
        <v>1984</v>
      </c>
      <c r="E1012" s="1285"/>
      <c r="F1012" s="1285"/>
      <c r="G1012" s="3"/>
      <c r="I1012" s="524"/>
    </row>
    <row r="1013" spans="1:9" ht="12.75" customHeight="1">
      <c r="A1013" s="176"/>
      <c r="B1013" s="176"/>
      <c r="C1013" s="385"/>
      <c r="D1013" s="118"/>
      <c r="E1013" s="3"/>
      <c r="F1013" s="3"/>
      <c r="G1013" s="3"/>
      <c r="I1013" s="524"/>
    </row>
    <row r="1014" spans="1:9" ht="12.75" customHeight="1">
      <c r="A1014" s="176"/>
      <c r="B1014" s="519" t="s">
        <v>2664</v>
      </c>
      <c r="C1014" s="385"/>
      <c r="D1014" s="1265" t="s">
        <v>1985</v>
      </c>
      <c r="E1014" s="1265"/>
      <c r="F1014" s="1265"/>
      <c r="G1014" s="3"/>
      <c r="I1014" s="524"/>
    </row>
    <row r="1015" spans="1:9" ht="12.75" customHeight="1">
      <c r="A1015" s="176"/>
      <c r="B1015" s="176"/>
      <c r="C1015" s="385"/>
      <c r="D1015" s="1265"/>
      <c r="E1015" s="1265"/>
      <c r="F1015" s="1265"/>
      <c r="G1015" s="3"/>
      <c r="I1015" s="524"/>
    </row>
    <row r="1016" spans="1:9" ht="12.75" customHeight="1">
      <c r="A1016" s="385"/>
      <c r="B1016" s="385"/>
      <c r="C1016" s="385"/>
      <c r="D1016" s="3"/>
      <c r="E1016" s="3"/>
      <c r="F1016" s="3"/>
      <c r="G1016" s="3"/>
      <c r="I1016" s="524"/>
    </row>
    <row r="1017" spans="1:9" ht="12.75" customHeight="1">
      <c r="A1017" s="1293" t="s">
        <v>1986</v>
      </c>
      <c r="B1017" s="1293"/>
      <c r="C1017" s="1293"/>
      <c r="D1017" s="1293"/>
      <c r="E1017" s="1293"/>
      <c r="F1017" s="1293"/>
      <c r="G1017" s="1293"/>
      <c r="H1017" s="1063"/>
      <c r="I1017" s="1256"/>
    </row>
    <row r="1018" spans="1:9" ht="12.75" customHeight="1">
      <c r="A1018" s="385"/>
      <c r="B1018" s="385"/>
      <c r="C1018" s="385"/>
      <c r="D1018" s="3"/>
      <c r="E1018" s="3"/>
      <c r="F1018" s="3"/>
      <c r="G1018" s="3"/>
      <c r="I1018" s="524"/>
    </row>
    <row r="1019" spans="1:9" ht="12.75" customHeight="1">
      <c r="A1019" s="385"/>
      <c r="B1019" s="385"/>
      <c r="C1019" s="385"/>
      <c r="D1019" s="1299" t="s">
        <v>1987</v>
      </c>
      <c r="E1019" s="1299"/>
      <c r="F1019" s="1299"/>
      <c r="G1019" s="3"/>
      <c r="I1019" s="524"/>
    </row>
    <row r="1020" spans="1:9" ht="12.75" customHeight="1">
      <c r="A1020" s="385"/>
      <c r="B1020" s="385"/>
      <c r="C1020" s="385"/>
      <c r="D1020" s="1347" t="s">
        <v>1988</v>
      </c>
      <c r="E1020" s="1347"/>
      <c r="F1020" s="1347"/>
      <c r="G1020" s="3"/>
      <c r="I1020" s="524"/>
    </row>
    <row r="1021" spans="1:9" ht="12.75" customHeight="1">
      <c r="A1021" s="172"/>
      <c r="B1021" s="172"/>
      <c r="C1021" s="172"/>
      <c r="D1021" s="3"/>
      <c r="E1021" s="3"/>
      <c r="F1021" s="3"/>
      <c r="G1021" s="3"/>
      <c r="I1021" s="524"/>
    </row>
    <row r="1022" spans="1:9" ht="12.75" customHeight="1">
      <c r="A1022" s="176"/>
      <c r="B1022" s="176"/>
      <c r="C1022" s="175"/>
      <c r="D1022" s="1299" t="s">
        <v>2002</v>
      </c>
      <c r="E1022" s="1299"/>
      <c r="F1022" s="1299"/>
      <c r="G1022" s="3"/>
      <c r="I1022" s="524" t="s">
        <v>2111</v>
      </c>
    </row>
    <row r="1023" spans="1:9" ht="12.75" customHeight="1">
      <c r="A1023" s="385"/>
      <c r="B1023" s="519" t="s">
        <v>2665</v>
      </c>
      <c r="C1023" s="385"/>
      <c r="D1023" s="1347" t="s">
        <v>1379</v>
      </c>
      <c r="E1023" s="1347"/>
      <c r="F1023" s="1347"/>
      <c r="G1023" s="3"/>
      <c r="I1023" s="524"/>
    </row>
    <row r="1024" spans="1:9" ht="12.75" customHeight="1">
      <c r="A1024" s="385"/>
      <c r="B1024" s="176"/>
      <c r="C1024" s="385"/>
      <c r="D1024" s="1347" t="s">
        <v>1989</v>
      </c>
      <c r="E1024" s="1347"/>
      <c r="F1024" s="1347"/>
      <c r="G1024" s="3"/>
      <c r="I1024" s="524"/>
    </row>
    <row r="1025" spans="1:9" ht="12.75" customHeight="1">
      <c r="A1025" s="385"/>
      <c r="B1025" s="385"/>
      <c r="C1025" s="385"/>
      <c r="D1025" s="1347"/>
      <c r="E1025" s="1347"/>
      <c r="F1025" s="1347"/>
      <c r="G1025" s="3"/>
      <c r="I1025" s="524"/>
    </row>
    <row r="1026" spans="1:9" ht="12.75" customHeight="1">
      <c r="A1026" s="1293" t="s">
        <v>1998</v>
      </c>
      <c r="B1026" s="1293"/>
      <c r="C1026" s="1293"/>
      <c r="D1026" s="1293"/>
      <c r="E1026" s="1293"/>
      <c r="F1026" s="1293"/>
      <c r="G1026" s="1293"/>
      <c r="H1026" s="1063"/>
      <c r="I1026" s="1256"/>
    </row>
    <row r="1027" spans="1:9" ht="12.75" customHeight="1">
      <c r="A1027" s="118"/>
      <c r="B1027" s="118"/>
      <c r="C1027" s="385"/>
      <c r="D1027" s="3"/>
      <c r="E1027" s="3"/>
      <c r="F1027" s="3"/>
      <c r="G1027" s="3"/>
      <c r="I1027" s="524"/>
    </row>
    <row r="1028" spans="1:9" ht="12.75" hidden="1" customHeight="1">
      <c r="A1028" s="118"/>
      <c r="B1028" s="433"/>
      <c r="D1028" s="1294" t="s">
        <v>1380</v>
      </c>
      <c r="E1028" s="1294"/>
      <c r="F1028" s="1294"/>
      <c r="G1028" s="3"/>
      <c r="I1028" s="524"/>
    </row>
    <row r="1029" spans="1:9" ht="12.75" hidden="1" customHeight="1">
      <c r="A1029" s="118"/>
      <c r="B1029" s="519" t="s">
        <v>307</v>
      </c>
      <c r="D1029" s="1279" t="s">
        <v>1379</v>
      </c>
      <c r="E1029" s="1279"/>
      <c r="F1029" s="1279"/>
      <c r="G1029" s="3"/>
      <c r="I1029" s="524"/>
    </row>
    <row r="1030" spans="1:9" ht="12.75" hidden="1" customHeight="1">
      <c r="A1030" s="118"/>
      <c r="B1030" s="433"/>
      <c r="D1030" s="1279" t="s">
        <v>1999</v>
      </c>
      <c r="E1030" s="1279"/>
      <c r="F1030" s="1279"/>
      <c r="G1030" s="3"/>
      <c r="I1030" s="524"/>
    </row>
    <row r="1031" spans="1:9" ht="12.75" hidden="1" customHeight="1">
      <c r="A1031" s="118"/>
      <c r="B1031" s="433"/>
      <c r="D1031" s="478"/>
      <c r="E1031" s="478"/>
      <c r="F1031" s="478"/>
      <c r="G1031" s="3"/>
      <c r="I1031" s="524"/>
    </row>
    <row r="1032" spans="1:9" ht="12.75" customHeight="1">
      <c r="A1032" s="118"/>
      <c r="B1032" s="118"/>
      <c r="C1032" s="385"/>
      <c r="D1032" s="1353" t="s">
        <v>1094</v>
      </c>
      <c r="E1032" s="1353"/>
      <c r="F1032" s="1353"/>
      <c r="G1032" s="3"/>
      <c r="I1032" s="524" t="s">
        <v>2140</v>
      </c>
    </row>
    <row r="1033" spans="1:9" ht="12.75" customHeight="1">
      <c r="A1033" s="345"/>
      <c r="B1033" s="345"/>
      <c r="C1033" s="345"/>
      <c r="D1033" s="1289" t="s">
        <v>1111</v>
      </c>
      <c r="E1033" s="1289"/>
      <c r="F1033" s="1289"/>
      <c r="G1033" s="98"/>
      <c r="I1033" s="524"/>
    </row>
    <row r="1034" spans="1:9" ht="12.75" customHeight="1">
      <c r="A1034" s="176"/>
      <c r="B1034" s="519" t="s">
        <v>2664</v>
      </c>
      <c r="C1034" s="385"/>
      <c r="D1034" s="1289" t="s">
        <v>1004</v>
      </c>
      <c r="E1034" s="1289"/>
      <c r="F1034" s="1289"/>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293" t="s">
        <v>2019</v>
      </c>
      <c r="B1037" s="1293"/>
      <c r="C1037" s="1293"/>
      <c r="D1037" s="1293"/>
      <c r="E1037" s="1293"/>
      <c r="F1037" s="1293"/>
      <c r="G1037" s="1293"/>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2664</v>
      </c>
      <c r="C1042" s="433"/>
      <c r="D1042" s="1350" t="s">
        <v>2003</v>
      </c>
      <c r="E1042" s="1350"/>
      <c r="F1042" s="1350"/>
      <c r="I1042" s="524" t="s">
        <v>2112</v>
      </c>
    </row>
    <row r="1043" spans="1:9">
      <c r="A1043" s="433"/>
      <c r="B1043" s="433"/>
      <c r="C1043" s="433"/>
      <c r="D1043" s="1350"/>
      <c r="E1043" s="1350"/>
      <c r="F1043" s="1350"/>
      <c r="I1043" s="524"/>
    </row>
    <row r="1044" spans="1:9">
      <c r="A1044" s="433"/>
      <c r="B1044" s="433"/>
      <c r="C1044" s="433"/>
      <c r="D1044" s="1350"/>
      <c r="E1044" s="1350"/>
      <c r="F1044" s="1350"/>
      <c r="I1044" s="524"/>
    </row>
    <row r="1045" spans="1:9">
      <c r="A1045" s="433"/>
      <c r="B1045" s="433"/>
      <c r="C1045" s="433"/>
      <c r="D1045" s="1350"/>
      <c r="E1045" s="1350"/>
      <c r="F1045" s="1350"/>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2665</v>
      </c>
      <c r="C1050" s="433"/>
      <c r="D1050" s="433" t="s">
        <v>2001</v>
      </c>
      <c r="I1050" s="524" t="s">
        <v>2113</v>
      </c>
    </row>
    <row r="1051" spans="1:9">
      <c r="A1051" s="433"/>
      <c r="B1051" s="433"/>
      <c r="C1051" s="433"/>
      <c r="I1051" s="524"/>
    </row>
    <row r="1052" spans="1:9">
      <c r="A1052" s="433"/>
      <c r="B1052" s="519" t="s">
        <v>2664</v>
      </c>
      <c r="C1052" s="433"/>
      <c r="D1052" s="1350" t="s">
        <v>2007</v>
      </c>
      <c r="E1052" s="1350"/>
      <c r="F1052" s="1350"/>
      <c r="I1052" s="524" t="s">
        <v>2114</v>
      </c>
    </row>
    <row r="1053" spans="1:9">
      <c r="A1053" s="433"/>
      <c r="B1053" s="433"/>
      <c r="C1053" s="433"/>
      <c r="D1053" s="1350"/>
      <c r="E1053" s="1350"/>
      <c r="F1053" s="1350"/>
      <c r="I1053" s="524"/>
    </row>
    <row r="1054" spans="1:9">
      <c r="A1054" s="433"/>
      <c r="B1054" s="433"/>
      <c r="C1054" s="433"/>
      <c r="D1054" s="1350"/>
      <c r="E1054" s="1350"/>
      <c r="F1054" s="1350"/>
      <c r="I1054" s="524"/>
    </row>
    <row r="1055" spans="1:9">
      <c r="A1055" s="433"/>
      <c r="B1055" s="433"/>
      <c r="C1055" s="433"/>
      <c r="D1055" s="1350"/>
      <c r="E1055" s="1350"/>
      <c r="F1055" s="1350"/>
      <c r="I1055" s="524"/>
    </row>
    <row r="1056" spans="1:9">
      <c r="A1056" s="433"/>
      <c r="B1056" s="433"/>
      <c r="C1056" s="433"/>
      <c r="D1056" s="1350"/>
      <c r="E1056" s="1350"/>
      <c r="F1056" s="1350"/>
      <c r="I1056" s="524"/>
    </row>
    <row r="1057" spans="1:9">
      <c r="A1057" s="433"/>
      <c r="B1057" s="433"/>
      <c r="C1057" s="433"/>
      <c r="I1057" s="524"/>
    </row>
    <row r="1058" spans="1:9">
      <c r="A1058" s="1293" t="s">
        <v>2008</v>
      </c>
      <c r="B1058" s="1293"/>
      <c r="C1058" s="1293"/>
      <c r="D1058" s="1293"/>
      <c r="E1058" s="1293"/>
      <c r="F1058" s="1293"/>
      <c r="G1058" s="1293"/>
      <c r="H1058" s="1063"/>
      <c r="I1058" s="1256"/>
    </row>
    <row r="1059" spans="1:9">
      <c r="A1059" s="433"/>
      <c r="B1059" s="433"/>
      <c r="C1059" s="433"/>
      <c r="I1059" s="524"/>
    </row>
    <row r="1060" spans="1:9">
      <c r="A1060" s="433"/>
      <c r="B1060" s="433"/>
      <c r="C1060" s="433"/>
      <c r="I1060" s="524"/>
    </row>
    <row r="1061" spans="1:9">
      <c r="A1061" s="433"/>
      <c r="B1061" s="519" t="s">
        <v>2665</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2664</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2665</v>
      </c>
      <c r="C1067" s="433"/>
      <c r="D1067" s="119" t="s">
        <v>2017</v>
      </c>
      <c r="I1067" s="524" t="s">
        <v>2117</v>
      </c>
    </row>
    <row r="1068" spans="1:9">
      <c r="A1068" s="433"/>
      <c r="B1068" s="433"/>
      <c r="C1068" s="433"/>
      <c r="D1068" s="1265" t="s">
        <v>2018</v>
      </c>
      <c r="E1068" s="1265"/>
      <c r="F1068" s="1265"/>
      <c r="I1068" s="524"/>
    </row>
    <row r="1069" spans="1:9">
      <c r="A1069" s="433"/>
      <c r="B1069" s="433"/>
      <c r="C1069" s="433"/>
      <c r="D1069" s="1265"/>
      <c r="E1069" s="1265"/>
      <c r="F1069" s="1265"/>
      <c r="I1069" s="524"/>
    </row>
    <row r="1070" spans="1:9">
      <c r="A1070" s="433"/>
      <c r="B1070" s="433"/>
      <c r="C1070" s="433"/>
      <c r="D1070" s="1265"/>
      <c r="E1070" s="1265"/>
      <c r="F1070" s="1265"/>
      <c r="I1070" s="524"/>
    </row>
    <row r="1071" spans="1:9">
      <c r="A1071" s="433"/>
      <c r="B1071" s="433"/>
      <c r="C1071" s="433"/>
      <c r="D1071" s="1265"/>
      <c r="E1071" s="1265"/>
      <c r="F1071" s="1265"/>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2664</v>
      </c>
      <c r="C1075" s="433"/>
      <c r="D1075" s="1349" t="s">
        <v>2010</v>
      </c>
      <c r="E1075" s="1349"/>
      <c r="F1075" s="1349"/>
      <c r="I1075" s="524"/>
    </row>
    <row r="1076" spans="1:9">
      <c r="A1076" s="433"/>
      <c r="B1076" s="433"/>
      <c r="C1076" s="433"/>
      <c r="D1076" s="1349"/>
      <c r="E1076" s="1349"/>
      <c r="F1076" s="1349"/>
      <c r="I1076" s="524"/>
    </row>
    <row r="1077" spans="1:9">
      <c r="A1077" s="433"/>
      <c r="B1077" s="433"/>
      <c r="C1077" s="433"/>
      <c r="D1077" s="1349"/>
      <c r="E1077" s="1349"/>
      <c r="F1077" s="1349"/>
      <c r="I1077" s="524"/>
    </row>
    <row r="1078" spans="1:9">
      <c r="A1078" s="433"/>
      <c r="B1078" s="433"/>
      <c r="C1078" s="433"/>
      <c r="D1078" s="1349"/>
      <c r="E1078" s="1349"/>
      <c r="F1078" s="1349"/>
      <c r="I1078" s="524"/>
    </row>
    <row r="1079" spans="1:9">
      <c r="A1079" s="433"/>
      <c r="B1079" s="433"/>
      <c r="C1079" s="433"/>
      <c r="D1079" s="1349"/>
      <c r="E1079" s="1349"/>
      <c r="F1079" s="1349"/>
      <c r="I1079" s="524"/>
    </row>
    <row r="1080" spans="1:9">
      <c r="A1080" s="433"/>
      <c r="B1080" s="433"/>
      <c r="C1080" s="433"/>
      <c r="D1080" s="561" t="s">
        <v>2015</v>
      </c>
      <c r="I1080" s="524"/>
    </row>
    <row r="1081" spans="1:9">
      <c r="A1081" s="433"/>
      <c r="B1081" s="433"/>
      <c r="C1081" s="433"/>
      <c r="I1081" s="524"/>
    </row>
    <row r="1082" spans="1:9">
      <c r="A1082" s="1293" t="s">
        <v>2020</v>
      </c>
      <c r="B1082" s="1293"/>
      <c r="C1082" s="1293"/>
      <c r="D1082" s="1293"/>
      <c r="E1082" s="1293"/>
      <c r="F1082" s="1293"/>
      <c r="G1082" s="1293"/>
      <c r="H1082" s="1063"/>
      <c r="I1082" s="1256"/>
    </row>
    <row r="1083" spans="1:9">
      <c r="A1083" s="433"/>
      <c r="B1083" s="433"/>
      <c r="C1083" s="433"/>
      <c r="I1083" s="524"/>
    </row>
    <row r="1084" spans="1:9">
      <c r="A1084" s="433"/>
      <c r="B1084" s="433"/>
      <c r="C1084" s="433"/>
      <c r="I1084" s="524"/>
    </row>
    <row r="1085" spans="1:9" ht="12.75" customHeight="1">
      <c r="A1085" s="433"/>
      <c r="B1085" s="519" t="s">
        <v>2664</v>
      </c>
      <c r="C1085" s="433"/>
      <c r="D1085" s="1351" t="s">
        <v>2228</v>
      </c>
      <c r="E1085" s="1351"/>
      <c r="F1085" s="1351"/>
      <c r="I1085" s="524" t="s">
        <v>2119</v>
      </c>
    </row>
    <row r="1086" spans="1:9">
      <c r="A1086" s="433"/>
      <c r="B1086" s="433"/>
      <c r="C1086" s="433"/>
      <c r="D1086" s="1351"/>
      <c r="E1086" s="1351"/>
      <c r="F1086" s="1351"/>
      <c r="I1086" s="524"/>
    </row>
    <row r="1087" spans="1:9">
      <c r="A1087" s="433"/>
      <c r="B1087" s="433"/>
      <c r="C1087" s="433"/>
      <c r="D1087" s="1352" t="s">
        <v>2501</v>
      </c>
      <c r="E1087" s="1265"/>
      <c r="F1087" s="1265"/>
      <c r="I1087" s="524"/>
    </row>
    <row r="1088" spans="1:9">
      <c r="A1088" s="433"/>
      <c r="B1088" s="433"/>
      <c r="C1088" s="433"/>
      <c r="D1088" s="561"/>
      <c r="I1088" s="524"/>
    </row>
    <row r="1089" spans="1:9">
      <c r="A1089" s="433"/>
      <c r="B1089" s="519" t="s">
        <v>2664</v>
      </c>
      <c r="C1089" s="433"/>
      <c r="D1089" s="1349" t="s">
        <v>2021</v>
      </c>
      <c r="E1089" s="1349"/>
      <c r="F1089" s="1349"/>
      <c r="I1089" s="524" t="s">
        <v>2120</v>
      </c>
    </row>
    <row r="1090" spans="1:9">
      <c r="A1090" s="433"/>
      <c r="B1090" s="433"/>
      <c r="C1090" s="433"/>
      <c r="D1090" s="1349"/>
      <c r="E1090" s="1349"/>
      <c r="F1090" s="1349"/>
      <c r="I1090" s="524"/>
    </row>
    <row r="1091" spans="1:9">
      <c r="A1091" s="433"/>
      <c r="B1091" s="433"/>
      <c r="C1091" s="433"/>
      <c r="D1091" s="561"/>
      <c r="I1091" s="524"/>
    </row>
    <row r="1092" spans="1:9">
      <c r="A1092" s="433"/>
      <c r="B1092" s="519" t="s">
        <v>2664</v>
      </c>
      <c r="C1092" s="433"/>
      <c r="D1092" s="1349" t="s">
        <v>2164</v>
      </c>
      <c r="E1092" s="1349"/>
      <c r="F1092" s="1349"/>
      <c r="I1092" s="524" t="s">
        <v>2162</v>
      </c>
    </row>
    <row r="1093" spans="1:9">
      <c r="A1093" s="433"/>
      <c r="B1093" s="433"/>
      <c r="C1093" s="433"/>
      <c r="D1093" s="1349"/>
      <c r="E1093" s="1349"/>
      <c r="F1093" s="1349"/>
      <c r="I1093" s="524"/>
    </row>
    <row r="1094" spans="1:9">
      <c r="A1094" s="433"/>
      <c r="B1094" s="433"/>
      <c r="C1094" s="433"/>
      <c r="D1094" s="1349"/>
      <c r="E1094" s="1349"/>
      <c r="F1094" s="1349"/>
      <c r="I1094" s="524"/>
    </row>
    <row r="1095" spans="1:9">
      <c r="A1095" s="433"/>
      <c r="B1095" s="433"/>
      <c r="C1095" s="433"/>
      <c r="D1095" s="1349"/>
      <c r="E1095" s="1349"/>
      <c r="F1095" s="1349"/>
      <c r="I1095" s="524"/>
    </row>
    <row r="1096" spans="1:9">
      <c r="A1096" s="433"/>
      <c r="B1096" s="433"/>
      <c r="C1096" s="433"/>
      <c r="D1096" s="1349"/>
      <c r="E1096" s="1349"/>
      <c r="F1096" s="1349"/>
      <c r="I1096" s="524"/>
    </row>
    <row r="1097" spans="1:9">
      <c r="A1097" s="433"/>
      <c r="B1097" s="433"/>
      <c r="C1097" s="433"/>
      <c r="D1097" s="1349"/>
      <c r="E1097" s="1349"/>
      <c r="F1097" s="1349"/>
      <c r="I1097" s="524"/>
    </row>
    <row r="1098" spans="1:9">
      <c r="A1098" s="433"/>
      <c r="B1098" s="433"/>
      <c r="C1098" s="433"/>
      <c r="D1098" s="561" t="s">
        <v>2163</v>
      </c>
      <c r="I1098" s="514"/>
    </row>
    <row r="1099" spans="1:9">
      <c r="A1099" s="433"/>
      <c r="B1099" s="519" t="s">
        <v>2664</v>
      </c>
      <c r="C1099" s="433"/>
      <c r="D1099" s="1349" t="s">
        <v>2022</v>
      </c>
      <c r="E1099" s="1349"/>
      <c r="F1099" s="1349"/>
      <c r="I1099" s="524" t="s">
        <v>2121</v>
      </c>
    </row>
    <row r="1100" spans="1:9">
      <c r="A1100" s="433"/>
      <c r="B1100" s="433"/>
      <c r="C1100" s="433"/>
      <c r="D1100" s="1349"/>
      <c r="E1100" s="1349"/>
      <c r="F1100" s="1349"/>
      <c r="I1100" s="524"/>
    </row>
    <row r="1101" spans="1:9">
      <c r="A1101" s="433"/>
      <c r="B1101" s="433"/>
      <c r="C1101" s="433"/>
      <c r="D1101" s="1349"/>
      <c r="E1101" s="1349"/>
      <c r="F1101" s="1349"/>
      <c r="I1101" s="524"/>
    </row>
    <row r="1102" spans="1:9">
      <c r="A1102" s="433"/>
      <c r="B1102" s="433"/>
      <c r="C1102" s="433"/>
      <c r="D1102" s="561"/>
      <c r="I1102" s="524"/>
    </row>
    <row r="1103" spans="1:9">
      <c r="A1103" s="433"/>
      <c r="B1103" s="519" t="s">
        <v>2665</v>
      </c>
      <c r="C1103" s="433"/>
      <c r="D1103" s="1271" t="s">
        <v>2165</v>
      </c>
      <c r="E1103" s="1271"/>
      <c r="F1103" s="1271"/>
      <c r="I1103" s="524" t="s">
        <v>2122</v>
      </c>
    </row>
    <row r="1104" spans="1:9">
      <c r="A1104" s="433"/>
      <c r="B1104" s="433"/>
      <c r="C1104" s="433"/>
      <c r="D1104" s="1271"/>
      <c r="E1104" s="1271"/>
      <c r="F1104" s="1271"/>
      <c r="I1104" s="524"/>
    </row>
    <row r="1105" spans="1:9">
      <c r="A1105" s="433"/>
      <c r="B1105" s="433"/>
      <c r="C1105" s="433"/>
      <c r="D1105" s="1271"/>
      <c r="E1105" s="1271"/>
      <c r="F1105" s="1271"/>
      <c r="I1105" s="524"/>
    </row>
    <row r="1106" spans="1:9">
      <c r="A1106" s="433"/>
      <c r="B1106" s="433"/>
      <c r="C1106" s="433"/>
      <c r="D1106" s="1015"/>
      <c r="E1106" s="1015"/>
      <c r="F1106" s="1015"/>
      <c r="I1106" s="524"/>
    </row>
    <row r="1107" spans="1:9" ht="15.75" customHeight="1">
      <c r="A1107" s="433"/>
      <c r="B1107" s="519" t="s">
        <v>2664</v>
      </c>
      <c r="C1107" s="433"/>
      <c r="D1107" s="1265" t="s">
        <v>2167</v>
      </c>
      <c r="E1107" s="1265"/>
      <c r="F1107" s="1265"/>
      <c r="I1107" s="524" t="s">
        <v>2166</v>
      </c>
    </row>
    <row r="1108" spans="1:9">
      <c r="A1108" s="433"/>
      <c r="B1108" s="433"/>
      <c r="C1108" s="433"/>
      <c r="D1108" s="1265"/>
      <c r="E1108" s="1265"/>
      <c r="F1108" s="1265"/>
      <c r="I1108" s="524"/>
    </row>
    <row r="1109" spans="1:9">
      <c r="A1109" s="433"/>
      <c r="B1109" s="433"/>
      <c r="C1109" s="433"/>
      <c r="D1109" s="1265"/>
      <c r="E1109" s="1265"/>
      <c r="F1109" s="1265"/>
      <c r="I1109" s="524"/>
    </row>
    <row r="1110" spans="1:9">
      <c r="A1110" s="433"/>
      <c r="B1110" s="433"/>
      <c r="C1110" s="433"/>
      <c r="D1110" s="1265"/>
      <c r="E1110" s="1265"/>
      <c r="F1110" s="1265"/>
      <c r="I1110" s="524"/>
    </row>
    <row r="1111" spans="1:9">
      <c r="A1111" s="433"/>
      <c r="B1111" s="433"/>
      <c r="C1111" s="433"/>
      <c r="D1111" s="1015"/>
      <c r="E1111" s="1015"/>
      <c r="F1111" s="1015"/>
      <c r="I1111" s="524"/>
    </row>
    <row r="1112" spans="1:9" ht="39.6">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8"/>
      <c r="H1525" s="1278"/>
      <c r="I1525" s="1278"/>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514" zoomScaleNormal="100" workbookViewId="0">
      <selection activeCell="D447" sqref="D447:AF447"/>
    </sheetView>
  </sheetViews>
  <sheetFormatPr defaultColWidth="0" defaultRowHeight="0" customHeight="1" zeroHeight="1"/>
  <cols>
    <col min="1" max="36" width="2.5546875" customWidth="1"/>
    <col min="37" max="37" width="2.88671875" customWidth="1"/>
    <col min="38" max="45" width="2.554687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2.9" customHeight="1">
      <c r="J1" s="100"/>
      <c r="AS1" s="1066">
        <v>4</v>
      </c>
    </row>
    <row r="2" spans="1:51" ht="12.9" customHeight="1"/>
    <row r="3" spans="1:51" ht="12.9" customHeight="1"/>
    <row r="4" spans="1:51" ht="12.9" customHeight="1"/>
    <row r="5" spans="1:51" ht="12.9" customHeight="1"/>
    <row r="6" spans="1:51" ht="12.9" customHeight="1"/>
    <row r="7" spans="1:51" ht="12.9" customHeight="1"/>
    <row r="8" spans="1:51" ht="26.25" customHeight="1">
      <c r="A8" s="1851" t="s">
        <v>100</v>
      </c>
      <c r="B8" s="1851"/>
      <c r="C8" s="1851"/>
      <c r="D8" s="1851"/>
      <c r="E8" s="1851"/>
      <c r="F8" s="1851"/>
      <c r="G8" s="1851"/>
      <c r="H8" s="1851"/>
      <c r="I8" s="1851"/>
      <c r="J8" s="1851"/>
      <c r="K8" s="1851"/>
      <c r="L8" s="1851"/>
      <c r="M8" s="1851"/>
      <c r="N8" s="1851"/>
      <c r="O8" s="1851"/>
      <c r="P8" s="1851"/>
      <c r="Q8" s="1851"/>
      <c r="R8" s="1851"/>
      <c r="S8" s="1851"/>
      <c r="T8" s="1851"/>
      <c r="U8" s="1851"/>
      <c r="V8" s="1851"/>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933"/>
      <c r="AV8" s="933"/>
      <c r="AW8" s="933"/>
      <c r="AX8" s="933"/>
      <c r="AY8" s="933"/>
    </row>
    <row r="9" spans="1:51" ht="12.9" customHeight="1">
      <c r="A9" s="1305" t="s">
        <v>2391</v>
      </c>
      <c r="B9" s="1305"/>
      <c r="C9" s="1305"/>
      <c r="D9" s="1305"/>
      <c r="E9" s="1305"/>
      <c r="F9" s="1305"/>
      <c r="G9" s="1305"/>
      <c r="H9" s="1305"/>
      <c r="I9" s="1305"/>
      <c r="J9" s="1305"/>
      <c r="K9" s="1305"/>
      <c r="L9" s="1305"/>
      <c r="M9" s="1305"/>
      <c r="N9" s="1305"/>
      <c r="O9" s="1305"/>
      <c r="P9" s="1305"/>
      <c r="Q9" s="1305"/>
      <c r="R9" s="1305"/>
      <c r="S9" s="1305"/>
      <c r="T9" s="1305"/>
      <c r="U9" s="1305"/>
      <c r="V9" s="1305"/>
      <c r="W9" s="1305"/>
      <c r="X9" s="1305"/>
      <c r="Y9" s="1305"/>
      <c r="Z9" s="1305"/>
      <c r="AA9" s="1305"/>
      <c r="AB9" s="1305"/>
      <c r="AC9" s="1305"/>
      <c r="AD9" s="1305"/>
      <c r="AE9" s="1305"/>
      <c r="AF9" s="1305"/>
      <c r="AG9" s="1305"/>
      <c r="AH9" s="1305"/>
      <c r="AI9" s="1305"/>
      <c r="AJ9" s="1305"/>
      <c r="AK9" s="1305"/>
      <c r="AL9" s="1305"/>
      <c r="AM9" s="1305"/>
      <c r="AN9" s="1305"/>
      <c r="AO9" s="1305"/>
      <c r="AP9" s="1305"/>
      <c r="AQ9" s="1305"/>
      <c r="AR9" s="1305"/>
      <c r="AS9" s="1305"/>
      <c r="AT9" s="1305"/>
      <c r="AU9" s="13"/>
      <c r="AV9" s="13"/>
      <c r="AW9" s="13"/>
      <c r="AX9" s="13"/>
      <c r="AY9" s="13"/>
    </row>
    <row r="10" spans="1:51" ht="12.9" customHeight="1">
      <c r="A10" s="1305" t="s">
        <v>2580</v>
      </c>
      <c r="B10" s="1305"/>
      <c r="C10" s="1305"/>
      <c r="D10" s="1305"/>
      <c r="E10" s="1305"/>
      <c r="F10" s="1305"/>
      <c r="G10" s="1305"/>
      <c r="H10" s="1305"/>
      <c r="I10" s="1305"/>
      <c r="J10" s="1305"/>
      <c r="K10" s="1305"/>
      <c r="L10" s="1305"/>
      <c r="M10" s="1305"/>
      <c r="N10" s="1305"/>
      <c r="O10" s="1305"/>
      <c r="P10" s="1305"/>
      <c r="Q10" s="1305"/>
      <c r="R10" s="1305"/>
      <c r="S10" s="1305"/>
      <c r="T10" s="1305"/>
      <c r="U10" s="1305"/>
      <c r="V10" s="1305"/>
      <c r="W10" s="1305"/>
      <c r="X10" s="1305"/>
      <c r="Y10" s="1305"/>
      <c r="Z10" s="1305"/>
      <c r="AA10" s="1305"/>
      <c r="AB10" s="1305"/>
      <c r="AC10" s="1305"/>
      <c r="AD10" s="1305"/>
      <c r="AE10" s="1305"/>
      <c r="AF10" s="1305"/>
      <c r="AG10" s="1305"/>
      <c r="AH10" s="1305"/>
      <c r="AI10" s="1305"/>
      <c r="AJ10" s="1305"/>
      <c r="AK10" s="1305"/>
      <c r="AL10" s="1305"/>
      <c r="AM10" s="1305"/>
      <c r="AN10" s="1305"/>
      <c r="AO10" s="1305"/>
      <c r="AP10" s="1305"/>
      <c r="AQ10" s="1305"/>
      <c r="AR10" s="1305"/>
      <c r="AS10" s="1305"/>
      <c r="AT10" s="1305"/>
      <c r="AU10" s="13"/>
      <c r="AV10" s="13"/>
      <c r="AW10" s="13"/>
      <c r="AX10" s="13"/>
      <c r="AY10" s="13"/>
    </row>
    <row r="11" spans="1:51" ht="12.9" customHeight="1">
      <c r="A11" s="1305" t="s">
        <v>1769</v>
      </c>
      <c r="B11" s="1305"/>
      <c r="C11" s="1305"/>
      <c r="D11" s="1305"/>
      <c r="E11" s="1305"/>
      <c r="F11" s="1305"/>
      <c r="G11" s="1305"/>
      <c r="H11" s="1305"/>
      <c r="I11" s="1305"/>
      <c r="J11" s="1305"/>
      <c r="K11" s="1305"/>
      <c r="L11" s="1305"/>
      <c r="M11" s="1305"/>
      <c r="N11" s="1305"/>
      <c r="O11" s="1305"/>
      <c r="P11" s="1305"/>
      <c r="Q11" s="1305"/>
      <c r="R11" s="1305"/>
      <c r="S11" s="1305"/>
      <c r="T11" s="1305"/>
      <c r="U11" s="1305"/>
      <c r="V11" s="1305"/>
      <c r="W11" s="1305"/>
      <c r="X11" s="1305"/>
      <c r="Y11" s="1305"/>
      <c r="Z11" s="1305"/>
      <c r="AA11" s="1305"/>
      <c r="AB11" s="1305"/>
      <c r="AC11" s="1305"/>
      <c r="AD11" s="1305"/>
      <c r="AE11" s="1305"/>
      <c r="AF11" s="1305"/>
      <c r="AG11" s="1305"/>
      <c r="AH11" s="1305"/>
      <c r="AI11" s="1305"/>
      <c r="AJ11" s="1305"/>
      <c r="AK11" s="1305"/>
      <c r="AL11" s="1305"/>
      <c r="AM11" s="1305"/>
      <c r="AN11" s="1305"/>
      <c r="AO11" s="1305"/>
      <c r="AP11" s="1305"/>
      <c r="AQ11" s="1305"/>
      <c r="AR11" s="1305"/>
      <c r="AS11" s="1305"/>
      <c r="AT11" s="1305"/>
      <c r="AU11" s="13"/>
      <c r="AV11" s="13"/>
      <c r="AW11" s="13"/>
      <c r="AX11" s="13"/>
      <c r="AY11" s="13"/>
    </row>
    <row r="12" spans="1:51" ht="12.9" customHeight="1">
      <c r="A12" s="1852" t="s">
        <v>2637</v>
      </c>
      <c r="B12" s="1852"/>
      <c r="C12" s="1852"/>
      <c r="D12" s="1852"/>
      <c r="E12" s="1852"/>
      <c r="F12" s="1852"/>
      <c r="G12" s="1852"/>
      <c r="H12" s="1852"/>
      <c r="I12" s="1852"/>
      <c r="J12" s="1852"/>
      <c r="K12" s="1852"/>
      <c r="L12" s="1852"/>
      <c r="M12" s="1852"/>
      <c r="N12" s="1852"/>
      <c r="O12" s="1852"/>
      <c r="P12" s="1852"/>
      <c r="Q12" s="1852"/>
      <c r="R12" s="1852"/>
      <c r="S12" s="1852"/>
      <c r="T12" s="1852"/>
      <c r="U12" s="1852"/>
      <c r="V12" s="1852"/>
      <c r="W12" s="1852"/>
      <c r="X12" s="1852"/>
      <c r="Y12" s="1852"/>
      <c r="Z12" s="1852"/>
      <c r="AA12" s="1852"/>
      <c r="AB12" s="1852"/>
      <c r="AC12" s="1852"/>
      <c r="AD12" s="1852"/>
      <c r="AE12" s="1852"/>
      <c r="AF12" s="1852"/>
      <c r="AG12" s="1852"/>
      <c r="AH12" s="1852"/>
      <c r="AI12" s="1852"/>
      <c r="AJ12" s="1852"/>
      <c r="AK12" s="1852"/>
      <c r="AL12" s="1852"/>
      <c r="AM12" s="1852"/>
      <c r="AN12" s="1852"/>
      <c r="AO12" s="1852"/>
      <c r="AP12" s="1852"/>
      <c r="AQ12" s="1852"/>
      <c r="AR12" s="1852"/>
      <c r="AS12" s="1852"/>
      <c r="AT12" s="1852"/>
      <c r="AU12" s="6"/>
      <c r="AV12" s="6"/>
      <c r="AW12" s="6"/>
      <c r="AX12" s="6"/>
      <c r="AY12" s="6"/>
    </row>
    <row r="13" spans="1:51" ht="12.9" customHeight="1">
      <c r="A13" s="1275" t="s">
        <v>2392</v>
      </c>
      <c r="B13" s="1275"/>
      <c r="C13" s="1275"/>
      <c r="D13" s="1275"/>
      <c r="E13" s="1275"/>
      <c r="F13" s="1275"/>
      <c r="G13" s="1275"/>
      <c r="H13" s="1275"/>
      <c r="I13" s="1275"/>
      <c r="J13" s="1275"/>
      <c r="K13" s="1275"/>
      <c r="L13" s="1275"/>
      <c r="M13" s="1275"/>
      <c r="N13" s="1275"/>
      <c r="O13" s="1275"/>
      <c r="P13" s="1275"/>
      <c r="Q13" s="1275"/>
      <c r="R13" s="1275"/>
      <c r="S13" s="1275"/>
      <c r="T13" s="1275"/>
      <c r="U13" s="1275"/>
      <c r="V13" s="1275"/>
      <c r="W13" s="1275"/>
      <c r="X13" s="1275"/>
      <c r="Y13" s="1275"/>
      <c r="Z13" s="1275"/>
      <c r="AA13" s="1275"/>
      <c r="AB13" s="1275"/>
      <c r="AC13" s="1275"/>
      <c r="AD13" s="1275"/>
      <c r="AE13" s="1275"/>
      <c r="AF13" s="1275"/>
      <c r="AG13" s="1275"/>
      <c r="AH13" s="1275"/>
      <c r="AI13" s="1275"/>
      <c r="AJ13" s="1275"/>
      <c r="AK13" s="1275"/>
      <c r="AL13" s="1275"/>
      <c r="AM13" s="1275"/>
      <c r="AN13" s="1275"/>
      <c r="AO13" s="1275"/>
      <c r="AP13" s="1275"/>
      <c r="AQ13" s="1275"/>
      <c r="AR13" s="1275"/>
      <c r="AS13" s="1275"/>
      <c r="AT13" s="1275"/>
      <c r="AU13" s="934"/>
      <c r="AV13" s="934"/>
      <c r="AW13" s="934"/>
      <c r="AX13" s="934"/>
      <c r="AY13" s="934"/>
    </row>
    <row r="14" spans="1:51" ht="12.9" customHeight="1">
      <c r="A14" s="1275"/>
      <c r="B14" s="1275"/>
      <c r="C14" s="1275"/>
      <c r="D14" s="1275"/>
      <c r="E14" s="1275"/>
      <c r="F14" s="1275"/>
      <c r="G14" s="1275"/>
      <c r="H14" s="1275"/>
      <c r="I14" s="1275"/>
      <c r="J14" s="1275"/>
      <c r="K14" s="1275"/>
      <c r="L14" s="1275"/>
      <c r="M14" s="1275"/>
      <c r="N14" s="1275"/>
      <c r="O14" s="1275"/>
      <c r="P14" s="1275"/>
      <c r="Q14" s="1275"/>
      <c r="R14" s="1275"/>
      <c r="S14" s="1275"/>
      <c r="T14" s="1275"/>
      <c r="U14" s="1275"/>
      <c r="V14" s="1275"/>
      <c r="W14" s="1275"/>
      <c r="X14" s="1275"/>
      <c r="Y14" s="1275"/>
      <c r="Z14" s="1275"/>
      <c r="AA14" s="1275"/>
      <c r="AB14" s="1275"/>
      <c r="AC14" s="1275"/>
      <c r="AD14" s="1275"/>
      <c r="AE14" s="1275"/>
      <c r="AF14" s="1275"/>
      <c r="AG14" s="1275"/>
      <c r="AH14" s="1275"/>
      <c r="AI14" s="1275"/>
      <c r="AJ14" s="1275"/>
      <c r="AK14" s="1275"/>
      <c r="AL14" s="1275"/>
      <c r="AM14" s="1275"/>
      <c r="AN14" s="1275"/>
      <c r="AO14" s="1275"/>
      <c r="AP14" s="1275"/>
      <c r="AQ14" s="1275"/>
      <c r="AR14" s="1275"/>
      <c r="AS14" s="1275"/>
      <c r="AT14" s="1275"/>
      <c r="AU14" s="934"/>
      <c r="AV14" s="934"/>
      <c r="AW14" s="934"/>
      <c r="AX14" s="934"/>
      <c r="AY14" s="934"/>
    </row>
    <row r="15" spans="1:51"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 customHeight="1">
      <c r="A16" s="57" t="s">
        <v>2393</v>
      </c>
      <c r="C16" s="4"/>
      <c r="D16" s="4"/>
      <c r="E16" s="4"/>
      <c r="F16" s="4"/>
      <c r="G16" s="4"/>
      <c r="H16" s="1566" t="s">
        <v>2651</v>
      </c>
      <c r="I16" s="1541"/>
      <c r="J16" s="1541"/>
      <c r="K16" s="1541"/>
      <c r="L16" s="1541"/>
      <c r="M16" s="1541"/>
      <c r="N16" s="1541"/>
      <c r="O16" s="1541"/>
      <c r="P16" s="1541"/>
      <c r="Q16" s="1541"/>
      <c r="R16" s="1541"/>
      <c r="S16" s="1541"/>
      <c r="T16" s="1541"/>
      <c r="U16" s="1541"/>
      <c r="V16" s="1541"/>
      <c r="W16" s="1541"/>
      <c r="X16" s="1541"/>
      <c r="Y16" s="1541"/>
      <c r="Z16" s="1541"/>
      <c r="AA16" s="1541"/>
      <c r="AB16" s="1541"/>
      <c r="AC16" s="1541"/>
      <c r="AD16" s="1541"/>
      <c r="AE16" s="1541"/>
      <c r="AF16" s="1541"/>
      <c r="AG16" s="1541"/>
      <c r="AH16" s="1541"/>
      <c r="AI16" s="1541"/>
      <c r="AJ16" s="1541"/>
    </row>
    <row r="17" spans="1:52" ht="12.9" customHeight="1"/>
    <row r="18" spans="1:52" ht="12.9" customHeight="1">
      <c r="A18" s="57" t="s">
        <v>101</v>
      </c>
      <c r="C18" s="4"/>
      <c r="D18" s="4"/>
      <c r="E18" s="4"/>
      <c r="F18" s="4"/>
      <c r="G18" s="4"/>
      <c r="H18" s="1474" t="s">
        <v>2640</v>
      </c>
      <c r="I18" s="1455"/>
      <c r="J18" s="1455"/>
      <c r="K18" s="1455"/>
      <c r="L18" s="1455"/>
      <c r="M18" s="1455"/>
      <c r="N18" s="1455"/>
      <c r="O18" s="1455"/>
      <c r="P18" s="1455"/>
      <c r="Q18" s="1455"/>
      <c r="R18" s="1455"/>
      <c r="S18" s="1455"/>
      <c r="T18" s="1455"/>
      <c r="U18" s="1455"/>
      <c r="V18" s="1455"/>
      <c r="W18" s="1455"/>
      <c r="X18" s="1455"/>
      <c r="Y18" s="1455"/>
      <c r="Z18" s="1455"/>
      <c r="AA18" s="1455"/>
      <c r="AB18" s="1455"/>
      <c r="AC18" s="1455"/>
      <c r="AD18" s="1455"/>
      <c r="AE18" s="1455"/>
      <c r="AF18" s="1455"/>
      <c r="AG18" s="1455"/>
      <c r="AH18" s="1455"/>
      <c r="AI18" s="1455"/>
      <c r="AJ18" s="1455"/>
    </row>
    <row r="19" spans="1:52" ht="12.9" customHeight="1"/>
    <row r="20" spans="1:52" ht="12.9" customHeight="1">
      <c r="A20" s="1853" t="s">
        <v>883</v>
      </c>
      <c r="B20" s="1853"/>
      <c r="C20" s="1853"/>
      <c r="D20" s="1853"/>
      <c r="E20" s="1853"/>
      <c r="F20" s="1853"/>
      <c r="G20" s="1853"/>
      <c r="H20" s="1853"/>
      <c r="I20" s="1853"/>
      <c r="J20" s="1853"/>
      <c r="K20" s="1853"/>
      <c r="L20" s="1853"/>
      <c r="M20" s="1853"/>
      <c r="N20" s="1853"/>
      <c r="O20" s="1853"/>
      <c r="P20" s="1853"/>
      <c r="Q20" s="1853"/>
      <c r="R20" s="1853"/>
      <c r="S20" s="1853"/>
      <c r="T20" s="1853"/>
      <c r="U20" s="1853"/>
      <c r="V20" s="1853"/>
      <c r="W20" s="1853"/>
      <c r="X20" s="1853"/>
      <c r="Y20" s="1853"/>
      <c r="Z20" s="1853"/>
      <c r="AA20" s="1853"/>
      <c r="AB20" s="1853"/>
      <c r="AC20" s="1853"/>
      <c r="AD20" s="1853"/>
      <c r="AE20" s="1853"/>
      <c r="AF20" s="1853"/>
      <c r="AG20" s="1853"/>
      <c r="AH20" s="1853"/>
      <c r="AI20" s="1853"/>
      <c r="AJ20" s="1853"/>
      <c r="AK20" s="1853"/>
      <c r="AL20" s="1853"/>
      <c r="AM20" s="1853"/>
      <c r="AN20" s="1853"/>
      <c r="AO20" s="1853"/>
      <c r="AP20" s="1853"/>
      <c r="AQ20" s="1853"/>
      <c r="AR20" s="1853"/>
      <c r="AS20" s="1853"/>
      <c r="AT20" s="1853"/>
      <c r="AU20" s="935"/>
      <c r="AV20" s="935"/>
      <c r="AW20" s="935"/>
      <c r="AX20" s="935"/>
      <c r="AY20" s="935"/>
    </row>
    <row r="21" spans="1:52" ht="12.9" customHeight="1">
      <c r="A21" s="1857" t="s">
        <v>1032</v>
      </c>
      <c r="B21" s="1857"/>
      <c r="C21" s="1857"/>
      <c r="D21" s="1857"/>
      <c r="E21" s="1857"/>
      <c r="F21" s="1857"/>
      <c r="G21" s="1857"/>
      <c r="H21" s="1857"/>
      <c r="I21" s="1857"/>
      <c r="J21" s="1857"/>
      <c r="K21" s="1857"/>
      <c r="L21" s="1857"/>
      <c r="M21" s="1857"/>
      <c r="N21" s="1857"/>
      <c r="O21" s="1857"/>
      <c r="P21" s="1857"/>
      <c r="Q21" s="1857"/>
      <c r="R21" s="1857"/>
      <c r="S21" s="1857"/>
      <c r="T21" s="1857"/>
      <c r="U21" s="1857"/>
      <c r="V21" s="1857"/>
      <c r="W21" s="1857"/>
      <c r="X21" s="1857"/>
      <c r="Y21" s="1857"/>
      <c r="Z21" s="1857"/>
      <c r="AA21" s="1857"/>
      <c r="AB21" s="1857"/>
      <c r="AC21" s="1857"/>
      <c r="AD21" s="1857"/>
      <c r="AE21" s="1857"/>
      <c r="AF21" s="1857"/>
      <c r="AG21" s="1857"/>
      <c r="AH21" s="1857"/>
      <c r="AI21" s="1857"/>
      <c r="AJ21" s="1857"/>
      <c r="AK21" s="1857"/>
      <c r="AL21" s="1857"/>
      <c r="AM21" s="936"/>
      <c r="AN21" s="936"/>
      <c r="AO21" s="936"/>
      <c r="AP21" s="936"/>
      <c r="AQ21" s="936"/>
      <c r="AR21" s="936"/>
      <c r="AS21" s="936"/>
      <c r="AT21" s="936"/>
      <c r="AU21" s="936"/>
      <c r="AV21" s="936"/>
      <c r="AW21" s="936"/>
      <c r="AX21" s="936"/>
      <c r="AY21" s="936"/>
    </row>
    <row r="22" spans="1:52"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 customHeight="1">
      <c r="A23" s="1351" t="s">
        <v>2505</v>
      </c>
      <c r="B23" s="1351"/>
      <c r="C23" s="1351"/>
      <c r="D23" s="1351"/>
      <c r="E23" s="1351"/>
      <c r="F23" s="1351"/>
      <c r="G23" s="1351"/>
      <c r="H23" s="1351"/>
      <c r="I23" s="1351"/>
      <c r="J23" s="1351"/>
      <c r="K23" s="1351"/>
      <c r="L23" s="1351"/>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1"/>
      <c r="AR23" s="1351"/>
      <c r="AS23" s="1351"/>
      <c r="AT23" s="1351"/>
      <c r="AU23" s="18"/>
      <c r="AV23" s="18"/>
      <c r="AW23" s="18"/>
      <c r="AX23" s="18"/>
      <c r="AY23" s="18"/>
      <c r="AZ23" s="18"/>
    </row>
    <row r="24" spans="1:52" ht="12.9" customHeight="1">
      <c r="A24" s="1351"/>
      <c r="B24" s="1351"/>
      <c r="C24" s="1351"/>
      <c r="D24" s="1351"/>
      <c r="E24" s="1351"/>
      <c r="F24" s="1351"/>
      <c r="G24" s="1351"/>
      <c r="H24" s="1351"/>
      <c r="I24" s="1351"/>
      <c r="J24" s="1351"/>
      <c r="K24" s="1351"/>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1"/>
      <c r="AR24" s="1351"/>
      <c r="AS24" s="1351"/>
      <c r="AT24" s="1351"/>
      <c r="AU24" s="18"/>
      <c r="AV24" s="18"/>
      <c r="AW24" s="18"/>
      <c r="AX24" s="18"/>
      <c r="AY24" s="18"/>
      <c r="AZ24" s="18"/>
    </row>
    <row r="25" spans="1:52"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 customHeight="1">
      <c r="A26" s="4"/>
      <c r="C26" s="4"/>
      <c r="D26" s="4"/>
      <c r="E26" s="4"/>
      <c r="F26" s="4"/>
      <c r="G26" s="4"/>
      <c r="H26" s="4"/>
      <c r="I26" s="4"/>
      <c r="J26" s="4"/>
      <c r="K26" s="4"/>
      <c r="L26" s="4"/>
      <c r="M26" s="1856">
        <f>'Basis &amp; Credits'!AB56</f>
        <v>6739724.5</v>
      </c>
      <c r="N26" s="1856"/>
      <c r="O26" s="1856"/>
      <c r="P26" s="1856"/>
      <c r="Q26" s="1856"/>
      <c r="R26" s="4" t="s">
        <v>767</v>
      </c>
      <c r="S26" s="4"/>
      <c r="T26" s="4"/>
      <c r="U26" s="4"/>
      <c r="V26" s="4"/>
      <c r="W26" s="4"/>
      <c r="X26" s="4"/>
      <c r="Y26" s="4"/>
      <c r="Z26" s="4"/>
      <c r="AF26" s="4"/>
      <c r="AG26" s="4"/>
      <c r="AH26" s="4"/>
      <c r="AI26" s="4"/>
      <c r="AJ26" s="4"/>
      <c r="AK26" s="4"/>
    </row>
    <row r="27" spans="1:52" ht="12.9" customHeight="1">
      <c r="A27" s="4"/>
      <c r="C27" s="4"/>
      <c r="D27" s="4"/>
      <c r="E27" s="4"/>
      <c r="F27" s="4"/>
      <c r="G27" s="4"/>
      <c r="H27" s="4"/>
      <c r="I27" s="4"/>
      <c r="J27" s="4"/>
      <c r="K27" s="4"/>
      <c r="L27" s="4"/>
      <c r="M27" s="1373">
        <f>'Basis &amp; Credits'!AB78</f>
        <v>0</v>
      </c>
      <c r="N27" s="1373"/>
      <c r="O27" s="1373"/>
      <c r="P27" s="1373"/>
      <c r="Q27" s="1373"/>
      <c r="R27" s="3" t="s">
        <v>1375</v>
      </c>
      <c r="S27" s="4"/>
      <c r="T27" s="4"/>
      <c r="U27" s="4"/>
      <c r="V27" s="4"/>
      <c r="W27" s="4"/>
      <c r="X27" s="4"/>
      <c r="Y27" s="4"/>
      <c r="Z27" s="4"/>
      <c r="AF27" s="4"/>
      <c r="AG27" s="4"/>
      <c r="AH27" s="4"/>
      <c r="AI27" s="4"/>
      <c r="AJ27" s="4"/>
      <c r="AK27" s="4"/>
    </row>
    <row r="28" spans="1:52"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 customHeight="1">
      <c r="A29" s="1854" t="s">
        <v>2506</v>
      </c>
      <c r="B29" s="1854"/>
      <c r="C29" s="1854"/>
      <c r="D29" s="1854"/>
      <c r="E29" s="1854"/>
      <c r="F29" s="1854"/>
      <c r="G29" s="1854"/>
      <c r="H29" s="1854"/>
      <c r="I29" s="1854"/>
      <c r="J29" s="1854"/>
      <c r="K29" s="1854"/>
      <c r="L29" s="1854"/>
      <c r="M29" s="1854"/>
      <c r="N29" s="1854"/>
      <c r="O29" s="1854"/>
      <c r="P29" s="1854"/>
      <c r="Q29" s="1854"/>
      <c r="R29" s="1854"/>
      <c r="S29" s="1854"/>
      <c r="T29" s="1854"/>
      <c r="U29" s="1854"/>
      <c r="V29" s="1854"/>
      <c r="W29" s="1854"/>
      <c r="X29" s="1854"/>
      <c r="Y29" s="1854"/>
      <c r="Z29" s="1854"/>
      <c r="AA29" s="1854"/>
      <c r="AB29" s="1854"/>
      <c r="AC29" s="1854"/>
      <c r="AD29" s="1854"/>
      <c r="AE29" s="1854"/>
      <c r="AF29" s="1854"/>
      <c r="AG29" s="1854"/>
      <c r="AH29" s="1854"/>
      <c r="AI29" s="1854"/>
      <c r="AJ29" s="1854"/>
      <c r="AK29" s="1854"/>
      <c r="AL29" s="1854"/>
      <c r="AM29" s="1854"/>
      <c r="AN29" s="1854"/>
      <c r="AO29" s="1854"/>
      <c r="AP29" s="1854"/>
      <c r="AQ29" s="1854"/>
      <c r="AR29" s="1854"/>
      <c r="AS29" s="1854"/>
      <c r="AT29" s="1854"/>
    </row>
    <row r="30" spans="1:52" ht="12.9" customHeight="1">
      <c r="A30" s="1854"/>
      <c r="B30" s="1854"/>
      <c r="C30" s="1854"/>
      <c r="D30" s="1854"/>
      <c r="E30" s="1854"/>
      <c r="F30" s="1854"/>
      <c r="G30" s="1854"/>
      <c r="H30" s="1854"/>
      <c r="I30" s="1854"/>
      <c r="J30" s="1854"/>
      <c r="K30" s="1854"/>
      <c r="L30" s="1854"/>
      <c r="M30" s="1854"/>
      <c r="N30" s="1854"/>
      <c r="O30" s="1854"/>
      <c r="P30" s="1854"/>
      <c r="Q30" s="1854"/>
      <c r="R30" s="1854"/>
      <c r="S30" s="1854"/>
      <c r="T30" s="1854"/>
      <c r="U30" s="1854"/>
      <c r="V30" s="1854"/>
      <c r="W30" s="1854"/>
      <c r="X30" s="1854"/>
      <c r="Y30" s="1854"/>
      <c r="Z30" s="1854"/>
      <c r="AA30" s="1854"/>
      <c r="AB30" s="1854"/>
      <c r="AC30" s="1854"/>
      <c r="AD30" s="1854"/>
      <c r="AE30" s="1854"/>
      <c r="AF30" s="1854"/>
      <c r="AG30" s="1854"/>
      <c r="AH30" s="1854"/>
      <c r="AI30" s="1854"/>
      <c r="AJ30" s="1854"/>
      <c r="AK30" s="1854"/>
      <c r="AL30" s="1854"/>
      <c r="AM30" s="1854"/>
      <c r="AN30" s="1854"/>
      <c r="AO30" s="1854"/>
      <c r="AP30" s="1854"/>
      <c r="AQ30" s="1854"/>
      <c r="AR30" s="1854"/>
      <c r="AS30" s="1854"/>
      <c r="AT30" s="1854"/>
      <c r="AZ30" s="20"/>
    </row>
    <row r="31" spans="1:52" ht="12.9" customHeight="1">
      <c r="A31" s="1854"/>
      <c r="B31" s="1854"/>
      <c r="C31" s="1854"/>
      <c r="D31" s="1854"/>
      <c r="E31" s="1854"/>
      <c r="F31" s="1854"/>
      <c r="G31" s="1854"/>
      <c r="H31" s="1854"/>
      <c r="I31" s="1854"/>
      <c r="J31" s="1854"/>
      <c r="K31" s="1854"/>
      <c r="L31" s="1854"/>
      <c r="M31" s="1854"/>
      <c r="N31" s="1854"/>
      <c r="O31" s="1854"/>
      <c r="P31" s="1854"/>
      <c r="Q31" s="1854"/>
      <c r="R31" s="1854"/>
      <c r="S31" s="1854"/>
      <c r="T31" s="1854"/>
      <c r="U31" s="1854"/>
      <c r="V31" s="1854"/>
      <c r="W31" s="1854"/>
      <c r="X31" s="1854"/>
      <c r="Y31" s="1854"/>
      <c r="Z31" s="1854"/>
      <c r="AA31" s="1854"/>
      <c r="AB31" s="1854"/>
      <c r="AC31" s="1854"/>
      <c r="AD31" s="1854"/>
      <c r="AE31" s="1854"/>
      <c r="AF31" s="1854"/>
      <c r="AG31" s="1854"/>
      <c r="AH31" s="1854"/>
      <c r="AI31" s="1854"/>
      <c r="AJ31" s="1854"/>
      <c r="AK31" s="1854"/>
      <c r="AL31" s="1854"/>
      <c r="AM31" s="1854"/>
      <c r="AN31" s="1854"/>
      <c r="AO31" s="1854"/>
      <c r="AP31" s="1854"/>
      <c r="AQ31" s="1854"/>
      <c r="AR31" s="1854"/>
      <c r="AS31" s="1854"/>
      <c r="AT31" s="1854"/>
      <c r="AU31" s="20"/>
      <c r="AV31" s="20"/>
      <c r="AW31" s="20"/>
      <c r="AX31" s="20"/>
      <c r="AY31" s="20"/>
      <c r="AZ31" s="20"/>
    </row>
    <row r="32" spans="1:52"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 customHeight="1">
      <c r="A33" s="553" t="s">
        <v>1386</v>
      </c>
      <c r="C33" s="553"/>
      <c r="D33" s="553"/>
      <c r="E33" s="553"/>
      <c r="F33" s="553"/>
      <c r="G33" s="553"/>
      <c r="H33" s="553"/>
      <c r="I33" s="553"/>
      <c r="J33" s="553"/>
      <c r="K33" s="553"/>
      <c r="L33" s="553"/>
      <c r="M33" s="553"/>
      <c r="N33" s="553"/>
      <c r="O33" s="1415" t="s">
        <v>676</v>
      </c>
      <c r="P33" s="1415"/>
      <c r="Q33" s="1855" t="s">
        <v>2507</v>
      </c>
      <c r="R33" s="1855"/>
      <c r="S33" s="1855"/>
      <c r="T33" s="1855"/>
      <c r="U33" s="1855"/>
      <c r="V33" s="1855"/>
      <c r="W33" s="1855"/>
      <c r="X33" s="1855"/>
      <c r="Y33" s="1855"/>
      <c r="Z33" s="1855"/>
      <c r="AA33" s="1855"/>
      <c r="AB33" s="1855"/>
      <c r="AC33" s="1855"/>
      <c r="AD33" s="1855"/>
      <c r="AE33" s="1855"/>
      <c r="AF33" s="1855"/>
      <c r="AG33" s="1855"/>
      <c r="AH33" s="1855"/>
      <c r="AI33" s="1855"/>
      <c r="AJ33" s="1855"/>
      <c r="AK33" s="1855"/>
      <c r="AL33" s="1855"/>
      <c r="AM33" s="1855"/>
      <c r="AN33" s="1855"/>
      <c r="AO33" s="1855"/>
      <c r="AP33" s="1855"/>
      <c r="AQ33" s="1855"/>
      <c r="AR33" s="1855"/>
      <c r="AS33" s="1855"/>
      <c r="AT33" s="1855"/>
      <c r="AU33" s="20"/>
      <c r="AV33" s="20"/>
      <c r="AW33" s="20"/>
      <c r="AX33" s="20"/>
      <c r="AY33" s="20"/>
    </row>
    <row r="34" spans="1:52" ht="12.9" customHeight="1">
      <c r="A34" s="1854" t="s">
        <v>2508</v>
      </c>
      <c r="B34" s="1854"/>
      <c r="C34" s="1854"/>
      <c r="D34" s="1854"/>
      <c r="E34" s="1854"/>
      <c r="F34" s="1854"/>
      <c r="G34" s="1854"/>
      <c r="H34" s="1854"/>
      <c r="I34" s="1854"/>
      <c r="J34" s="1854"/>
      <c r="K34" s="1854"/>
      <c r="L34" s="1854"/>
      <c r="M34" s="1854"/>
      <c r="N34" s="1854"/>
      <c r="O34" s="1854"/>
      <c r="P34" s="1854"/>
      <c r="Q34" s="1854"/>
      <c r="R34" s="1854"/>
      <c r="S34" s="1854"/>
      <c r="T34" s="1854"/>
      <c r="U34" s="1854"/>
      <c r="V34" s="1854"/>
      <c r="W34" s="1854"/>
      <c r="X34" s="1854"/>
      <c r="Y34" s="1854"/>
      <c r="Z34" s="1854"/>
      <c r="AA34" s="1854"/>
      <c r="AB34" s="1854"/>
      <c r="AC34" s="1854"/>
      <c r="AD34" s="1854"/>
      <c r="AE34" s="1854"/>
      <c r="AF34" s="1854"/>
      <c r="AG34" s="1854"/>
      <c r="AH34" s="1854"/>
      <c r="AI34" s="1854"/>
      <c r="AJ34" s="1854"/>
      <c r="AK34" s="1854"/>
      <c r="AL34" s="1854"/>
      <c r="AM34" s="1854"/>
      <c r="AN34" s="1854"/>
      <c r="AO34" s="1854"/>
      <c r="AP34" s="1854"/>
      <c r="AQ34" s="1854"/>
      <c r="AR34" s="1854"/>
      <c r="AS34" s="1854"/>
      <c r="AT34" s="1854"/>
      <c r="AU34" s="20"/>
      <c r="AV34" s="20"/>
      <c r="AW34" s="20"/>
      <c r="AX34" s="20"/>
      <c r="AY34" s="20"/>
      <c r="AZ34" s="20"/>
    </row>
    <row r="35" spans="1:52" ht="12.9" customHeight="1">
      <c r="A35" s="1854"/>
      <c r="B35" s="1854"/>
      <c r="C35" s="1854"/>
      <c r="D35" s="1854"/>
      <c r="E35" s="1854"/>
      <c r="F35" s="1854"/>
      <c r="G35" s="1854"/>
      <c r="H35" s="1854"/>
      <c r="I35" s="1854"/>
      <c r="J35" s="1854"/>
      <c r="K35" s="1854"/>
      <c r="L35" s="1854"/>
      <c r="M35" s="1854"/>
      <c r="N35" s="1854"/>
      <c r="O35" s="1854"/>
      <c r="P35" s="1854"/>
      <c r="Q35" s="1854"/>
      <c r="R35" s="1854"/>
      <c r="S35" s="1854"/>
      <c r="T35" s="1854"/>
      <c r="U35" s="1854"/>
      <c r="V35" s="1854"/>
      <c r="W35" s="1854"/>
      <c r="X35" s="1854"/>
      <c r="Y35" s="1854"/>
      <c r="Z35" s="1854"/>
      <c r="AA35" s="1854"/>
      <c r="AB35" s="1854"/>
      <c r="AC35" s="1854"/>
      <c r="AD35" s="1854"/>
      <c r="AE35" s="1854"/>
      <c r="AF35" s="1854"/>
      <c r="AG35" s="1854"/>
      <c r="AH35" s="1854"/>
      <c r="AI35" s="1854"/>
      <c r="AJ35" s="1854"/>
      <c r="AK35" s="1854"/>
      <c r="AL35" s="1854"/>
      <c r="AM35" s="1854"/>
      <c r="AN35" s="1854"/>
      <c r="AO35" s="1854"/>
      <c r="AP35" s="1854"/>
      <c r="AQ35" s="1854"/>
      <c r="AR35" s="1854"/>
      <c r="AS35" s="1854"/>
      <c r="AT35" s="1854"/>
      <c r="AU35" s="20"/>
      <c r="AV35" s="20"/>
      <c r="AW35" s="20"/>
      <c r="AX35" s="20"/>
      <c r="AY35" s="20"/>
      <c r="AZ35" s="20"/>
    </row>
    <row r="36" spans="1:52" ht="12.9" customHeight="1">
      <c r="A36" s="1854"/>
      <c r="B36" s="1854"/>
      <c r="C36" s="1854"/>
      <c r="D36" s="1854"/>
      <c r="E36" s="1854"/>
      <c r="F36" s="1854"/>
      <c r="G36" s="1854"/>
      <c r="H36" s="1854"/>
      <c r="I36" s="1854"/>
      <c r="J36" s="1854"/>
      <c r="K36" s="1854"/>
      <c r="L36" s="1854"/>
      <c r="M36" s="1854"/>
      <c r="N36" s="1854"/>
      <c r="O36" s="1854"/>
      <c r="P36" s="1854"/>
      <c r="Q36" s="1854"/>
      <c r="R36" s="1854"/>
      <c r="S36" s="1854"/>
      <c r="T36" s="1854"/>
      <c r="U36" s="1854"/>
      <c r="V36" s="1854"/>
      <c r="W36" s="1854"/>
      <c r="X36" s="1854"/>
      <c r="Y36" s="1854"/>
      <c r="Z36" s="1854"/>
      <c r="AA36" s="1854"/>
      <c r="AB36" s="1854"/>
      <c r="AC36" s="1854"/>
      <c r="AD36" s="1854"/>
      <c r="AE36" s="1854"/>
      <c r="AF36" s="1854"/>
      <c r="AG36" s="1854"/>
      <c r="AH36" s="1854"/>
      <c r="AI36" s="1854"/>
      <c r="AJ36" s="1854"/>
      <c r="AK36" s="1854"/>
      <c r="AL36" s="1854"/>
      <c r="AM36" s="1854"/>
      <c r="AN36" s="1854"/>
      <c r="AO36" s="1854"/>
      <c r="AP36" s="1854"/>
      <c r="AQ36" s="1854"/>
      <c r="AR36" s="1854"/>
      <c r="AS36" s="1854"/>
      <c r="AT36" s="1854"/>
      <c r="AU36" s="20"/>
      <c r="AV36" s="20"/>
      <c r="AW36" s="20"/>
      <c r="AX36" s="20"/>
      <c r="AY36" s="20"/>
      <c r="AZ36" s="20"/>
    </row>
    <row r="37" spans="1:52" ht="12.9" customHeight="1">
      <c r="A37" s="1854"/>
      <c r="B37" s="1854"/>
      <c r="C37" s="1854"/>
      <c r="D37" s="1854"/>
      <c r="E37" s="1854"/>
      <c r="F37" s="1854"/>
      <c r="G37" s="1854"/>
      <c r="H37" s="1854"/>
      <c r="I37" s="1854"/>
      <c r="J37" s="1854"/>
      <c r="K37" s="1854"/>
      <c r="L37" s="1854"/>
      <c r="M37" s="1854"/>
      <c r="N37" s="1854"/>
      <c r="O37" s="1854"/>
      <c r="P37" s="1854"/>
      <c r="Q37" s="1854"/>
      <c r="R37" s="1854"/>
      <c r="S37" s="1854"/>
      <c r="T37" s="1854"/>
      <c r="U37" s="1854"/>
      <c r="V37" s="1854"/>
      <c r="W37" s="1854"/>
      <c r="X37" s="1854"/>
      <c r="Y37" s="1854"/>
      <c r="Z37" s="1854"/>
      <c r="AA37" s="1854"/>
      <c r="AB37" s="1854"/>
      <c r="AC37" s="1854"/>
      <c r="AD37" s="1854"/>
      <c r="AE37" s="1854"/>
      <c r="AF37" s="1854"/>
      <c r="AG37" s="1854"/>
      <c r="AH37" s="1854"/>
      <c r="AI37" s="1854"/>
      <c r="AJ37" s="1854"/>
      <c r="AK37" s="1854"/>
      <c r="AL37" s="1854"/>
      <c r="AM37" s="1854"/>
      <c r="AN37" s="1854"/>
      <c r="AO37" s="1854"/>
      <c r="AP37" s="1854"/>
      <c r="AQ37" s="1854"/>
      <c r="AR37" s="1854"/>
      <c r="AS37" s="1854"/>
      <c r="AT37" s="1854"/>
      <c r="AZ37" s="20"/>
    </row>
    <row r="38" spans="1:52" ht="12.9" customHeight="1">
      <c r="A38" s="3"/>
      <c r="AZ38" s="20"/>
    </row>
    <row r="39" spans="1:52" ht="12.9" customHeight="1">
      <c r="A39" s="1265" t="s">
        <v>2509</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row>
    <row r="40" spans="1:52" ht="12.9"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row>
    <row r="41" spans="1:52" ht="12.9"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row>
    <row r="42" spans="1:52" ht="12.9"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row>
    <row r="43" spans="1:52" ht="12.9"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row>
    <row r="44" spans="1:52" ht="12.9"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row>
    <row r="45" spans="1:52" ht="12.9"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 customHeight="1">
      <c r="A46" s="1351" t="s">
        <v>2510</v>
      </c>
      <c r="B46" s="1351"/>
      <c r="C46" s="1351"/>
      <c r="D46" s="1351"/>
      <c r="E46" s="1351"/>
      <c r="F46" s="1351"/>
      <c r="G46" s="1351"/>
      <c r="H46" s="1351"/>
      <c r="I46" s="1351"/>
      <c r="J46" s="1351"/>
      <c r="K46" s="1351"/>
      <c r="L46" s="1351"/>
      <c r="M46" s="1351"/>
      <c r="N46" s="1351"/>
      <c r="O46" s="1351"/>
      <c r="P46" s="1351"/>
      <c r="Q46" s="1351"/>
      <c r="R46" s="1351"/>
      <c r="S46" s="1351"/>
      <c r="T46" s="1351"/>
      <c r="U46" s="1351"/>
      <c r="V46" s="1351"/>
      <c r="W46" s="1351"/>
      <c r="X46" s="1351"/>
      <c r="Y46" s="1351"/>
      <c r="Z46" s="1351"/>
      <c r="AA46" s="1351"/>
      <c r="AB46" s="1351"/>
      <c r="AC46" s="1351"/>
      <c r="AD46" s="1351"/>
      <c r="AE46" s="1351"/>
      <c r="AF46" s="1351"/>
      <c r="AG46" s="1351"/>
      <c r="AH46" s="1351"/>
      <c r="AI46" s="1351"/>
      <c r="AJ46" s="1351"/>
      <c r="AK46" s="1351"/>
      <c r="AL46" s="1351"/>
      <c r="AM46" s="1351"/>
      <c r="AN46" s="1351"/>
      <c r="AO46" s="1351"/>
      <c r="AP46" s="1351"/>
      <c r="AQ46" s="1351"/>
      <c r="AR46" s="1351"/>
      <c r="AS46" s="1351"/>
      <c r="AT46" s="1351"/>
      <c r="AU46" s="20"/>
      <c r="AV46" s="20"/>
      <c r="AW46" s="20"/>
      <c r="AX46" s="20"/>
      <c r="AY46" s="20"/>
      <c r="AZ46" s="20"/>
    </row>
    <row r="47" spans="1:52" ht="12.9" customHeight="1">
      <c r="A47" s="1351"/>
      <c r="B47" s="1351"/>
      <c r="C47" s="1351"/>
      <c r="D47" s="1351"/>
      <c r="E47" s="1351"/>
      <c r="F47" s="1351"/>
      <c r="G47" s="1351"/>
      <c r="H47" s="1351"/>
      <c r="I47" s="1351"/>
      <c r="J47" s="1351"/>
      <c r="K47" s="1351"/>
      <c r="L47" s="1351"/>
      <c r="M47" s="1351"/>
      <c r="N47" s="1351"/>
      <c r="O47" s="1351"/>
      <c r="P47" s="1351"/>
      <c r="Q47" s="1351"/>
      <c r="R47" s="1351"/>
      <c r="S47" s="1351"/>
      <c r="T47" s="1351"/>
      <c r="U47" s="1351"/>
      <c r="V47" s="1351"/>
      <c r="W47" s="1351"/>
      <c r="X47" s="1351"/>
      <c r="Y47" s="1351"/>
      <c r="Z47" s="1351"/>
      <c r="AA47" s="1351"/>
      <c r="AB47" s="1351"/>
      <c r="AC47" s="1351"/>
      <c r="AD47" s="1351"/>
      <c r="AE47" s="1351"/>
      <c r="AF47" s="1351"/>
      <c r="AG47" s="1351"/>
      <c r="AH47" s="1351"/>
      <c r="AI47" s="1351"/>
      <c r="AJ47" s="1351"/>
      <c r="AK47" s="1351"/>
      <c r="AL47" s="1351"/>
      <c r="AM47" s="1351"/>
      <c r="AN47" s="1351"/>
      <c r="AO47" s="1351"/>
      <c r="AP47" s="1351"/>
      <c r="AQ47" s="1351"/>
      <c r="AR47" s="1351"/>
      <c r="AS47" s="1351"/>
      <c r="AT47" s="1351"/>
      <c r="AU47" s="20"/>
      <c r="AV47" s="20"/>
      <c r="AW47" s="20"/>
      <c r="AX47" s="20"/>
      <c r="AY47" s="20"/>
      <c r="AZ47" s="20"/>
    </row>
    <row r="48" spans="1:52" ht="12.9" customHeight="1">
      <c r="A48" s="1351"/>
      <c r="B48" s="1351"/>
      <c r="C48" s="1351"/>
      <c r="D48" s="1351"/>
      <c r="E48" s="1351"/>
      <c r="F48" s="1351"/>
      <c r="G48" s="1351"/>
      <c r="H48" s="1351"/>
      <c r="I48" s="1351"/>
      <c r="J48" s="1351"/>
      <c r="K48" s="1351"/>
      <c r="L48" s="1351"/>
      <c r="M48" s="1351"/>
      <c r="N48" s="1351"/>
      <c r="O48" s="1351"/>
      <c r="P48" s="1351"/>
      <c r="Q48" s="1351"/>
      <c r="R48" s="1351"/>
      <c r="S48" s="1351"/>
      <c r="T48" s="1351"/>
      <c r="U48" s="1351"/>
      <c r="V48" s="1351"/>
      <c r="W48" s="1351"/>
      <c r="X48" s="1351"/>
      <c r="Y48" s="1351"/>
      <c r="Z48" s="1351"/>
      <c r="AA48" s="1351"/>
      <c r="AB48" s="1351"/>
      <c r="AC48" s="1351"/>
      <c r="AD48" s="1351"/>
      <c r="AE48" s="1351"/>
      <c r="AF48" s="1351"/>
      <c r="AG48" s="1351"/>
      <c r="AH48" s="1351"/>
      <c r="AI48" s="1351"/>
      <c r="AJ48" s="1351"/>
      <c r="AK48" s="1351"/>
      <c r="AL48" s="1351"/>
      <c r="AM48" s="1351"/>
      <c r="AN48" s="1351"/>
      <c r="AO48" s="1351"/>
      <c r="AP48" s="1351"/>
      <c r="AQ48" s="1351"/>
      <c r="AR48" s="1351"/>
      <c r="AS48" s="1351"/>
      <c r="AT48" s="1351"/>
      <c r="AU48" s="20"/>
      <c r="AV48" s="20"/>
      <c r="AW48" s="20"/>
      <c r="AX48" s="20"/>
      <c r="AY48" s="20"/>
      <c r="AZ48" s="20"/>
    </row>
    <row r="49" spans="1:52" ht="12.9" customHeight="1">
      <c r="A49" s="1351"/>
      <c r="B49" s="1351"/>
      <c r="C49" s="1351"/>
      <c r="D49" s="1351"/>
      <c r="E49" s="1351"/>
      <c r="F49" s="1351"/>
      <c r="G49" s="1351"/>
      <c r="H49" s="1351"/>
      <c r="I49" s="1351"/>
      <c r="J49" s="1351"/>
      <c r="K49" s="1351"/>
      <c r="L49" s="1351"/>
      <c r="M49" s="1351"/>
      <c r="N49" s="1351"/>
      <c r="O49" s="1351"/>
      <c r="P49" s="1351"/>
      <c r="Q49" s="1351"/>
      <c r="R49" s="1351"/>
      <c r="S49" s="1351"/>
      <c r="T49" s="1351"/>
      <c r="U49" s="1351"/>
      <c r="V49" s="1351"/>
      <c r="W49" s="1351"/>
      <c r="X49" s="1351"/>
      <c r="Y49" s="1351"/>
      <c r="Z49" s="1351"/>
      <c r="AA49" s="1351"/>
      <c r="AB49" s="1351"/>
      <c r="AC49" s="1351"/>
      <c r="AD49" s="1351"/>
      <c r="AE49" s="1351"/>
      <c r="AF49" s="1351"/>
      <c r="AG49" s="1351"/>
      <c r="AH49" s="1351"/>
      <c r="AI49" s="1351"/>
      <c r="AJ49" s="1351"/>
      <c r="AK49" s="1351"/>
      <c r="AL49" s="1351"/>
      <c r="AM49" s="1351"/>
      <c r="AN49" s="1351"/>
      <c r="AO49" s="1351"/>
      <c r="AP49" s="1351"/>
      <c r="AQ49" s="1351"/>
      <c r="AR49" s="1351"/>
      <c r="AS49" s="1351"/>
      <c r="AT49" s="1351"/>
      <c r="AU49" s="20"/>
      <c r="AV49" s="20"/>
      <c r="AW49" s="20"/>
      <c r="AX49" s="20"/>
      <c r="AY49" s="20"/>
      <c r="AZ49" s="20"/>
    </row>
    <row r="50" spans="1:52" ht="12.9"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 customHeight="1">
      <c r="A51" s="1265" t="s">
        <v>2511</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row>
    <row r="52" spans="1:52" ht="12.9"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row>
    <row r="53" spans="1:52"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 customHeight="1">
      <c r="A54" s="1265" t="s">
        <v>2512</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row>
    <row r="55" spans="1:52" ht="12.9"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row>
    <row r="56" spans="1:52" ht="12.9"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row>
    <row r="57" spans="1:52" ht="12.9"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row>
    <row r="58" spans="1:52" ht="12.9"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row>
    <row r="59" spans="1:52" ht="12.9"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 customHeight="1">
      <c r="A60" s="1265" t="s">
        <v>2513</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row>
    <row r="61" spans="1:52" ht="12.9"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row>
    <row r="62" spans="1:52" ht="12.9"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 customHeight="1">
      <c r="A65" s="1467" t="s">
        <v>2515</v>
      </c>
      <c r="B65" s="1467"/>
      <c r="C65" s="1467"/>
      <c r="D65" s="1467"/>
      <c r="E65" s="1467"/>
      <c r="F65" s="1467"/>
      <c r="G65" s="1467"/>
      <c r="H65" s="1467"/>
      <c r="I65" s="1467"/>
      <c r="J65" s="1467"/>
      <c r="K65" s="1467"/>
      <c r="L65" s="1467"/>
      <c r="M65" s="1467"/>
      <c r="N65" s="1467"/>
      <c r="O65" s="1467"/>
      <c r="P65" s="1467"/>
      <c r="Q65" s="1467"/>
      <c r="R65" s="1467"/>
      <c r="S65" s="1467"/>
      <c r="T65" s="1467"/>
      <c r="U65" s="1467"/>
      <c r="V65" s="1467"/>
      <c r="W65" s="1467"/>
      <c r="X65" s="1467"/>
      <c r="Y65" s="1467"/>
      <c r="Z65" s="1467"/>
      <c r="AA65" s="1467"/>
      <c r="AB65" s="1467"/>
      <c r="AC65" s="1467"/>
      <c r="AD65" s="1467"/>
      <c r="AE65" s="1467"/>
      <c r="AF65" s="1467"/>
      <c r="AG65" s="1467"/>
      <c r="AH65" s="1467"/>
      <c r="AI65" s="1467"/>
      <c r="AJ65" s="1467"/>
      <c r="AK65" s="1467"/>
      <c r="AL65" s="1467"/>
      <c r="AM65" s="1467"/>
      <c r="AN65" s="1467"/>
      <c r="AO65" s="1467"/>
      <c r="AP65" s="1467"/>
      <c r="AQ65" s="1467"/>
      <c r="AR65" s="1467"/>
      <c r="AS65" s="1467"/>
      <c r="AT65" s="1467"/>
      <c r="AU65" s="21"/>
      <c r="AV65" s="21"/>
      <c r="AW65" s="21"/>
      <c r="AX65" s="21"/>
      <c r="AY65" s="21"/>
      <c r="AZ65" s="20"/>
    </row>
    <row r="66" spans="1:52" ht="12.9" customHeight="1">
      <c r="A66" s="1467"/>
      <c r="B66" s="1467"/>
      <c r="C66" s="1467"/>
      <c r="D66" s="1467"/>
      <c r="E66" s="1467"/>
      <c r="F66" s="1467"/>
      <c r="G66" s="1467"/>
      <c r="H66" s="1467"/>
      <c r="I66" s="1467"/>
      <c r="J66" s="1467"/>
      <c r="K66" s="1467"/>
      <c r="L66" s="1467"/>
      <c r="M66" s="1467"/>
      <c r="N66" s="1467"/>
      <c r="O66" s="1467"/>
      <c r="P66" s="1467"/>
      <c r="Q66" s="1467"/>
      <c r="R66" s="1467"/>
      <c r="S66" s="1467"/>
      <c r="T66" s="1467"/>
      <c r="U66" s="1467"/>
      <c r="V66" s="1467"/>
      <c r="W66" s="1467"/>
      <c r="X66" s="1467"/>
      <c r="Y66" s="1467"/>
      <c r="Z66" s="1467"/>
      <c r="AA66" s="1467"/>
      <c r="AB66" s="1467"/>
      <c r="AC66" s="1467"/>
      <c r="AD66" s="1467"/>
      <c r="AE66" s="1467"/>
      <c r="AF66" s="1467"/>
      <c r="AG66" s="1467"/>
      <c r="AH66" s="1467"/>
      <c r="AI66" s="1467"/>
      <c r="AJ66" s="1467"/>
      <c r="AK66" s="1467"/>
      <c r="AL66" s="1467"/>
      <c r="AM66" s="1467"/>
      <c r="AN66" s="1467"/>
      <c r="AO66" s="1467"/>
      <c r="AP66" s="1467"/>
      <c r="AQ66" s="1467"/>
      <c r="AR66" s="1467"/>
      <c r="AS66" s="1467"/>
      <c r="AT66" s="1467"/>
      <c r="AU66" s="21"/>
      <c r="AV66" s="21"/>
      <c r="AW66" s="21"/>
      <c r="AX66" s="21"/>
      <c r="AY66" s="21"/>
      <c r="AZ66" s="20"/>
    </row>
    <row r="67" spans="1:52" ht="12.9" customHeight="1">
      <c r="A67" s="1467"/>
      <c r="B67" s="1467"/>
      <c r="C67" s="1467"/>
      <c r="D67" s="1467"/>
      <c r="E67" s="1467"/>
      <c r="F67" s="1467"/>
      <c r="G67" s="1467"/>
      <c r="H67" s="1467"/>
      <c r="I67" s="1467"/>
      <c r="J67" s="1467"/>
      <c r="K67" s="1467"/>
      <c r="L67" s="1467"/>
      <c r="M67" s="1467"/>
      <c r="N67" s="1467"/>
      <c r="O67" s="1467"/>
      <c r="P67" s="1467"/>
      <c r="Q67" s="1467"/>
      <c r="R67" s="1467"/>
      <c r="S67" s="1467"/>
      <c r="T67" s="1467"/>
      <c r="U67" s="1467"/>
      <c r="V67" s="1467"/>
      <c r="W67" s="1467"/>
      <c r="X67" s="1467"/>
      <c r="Y67" s="1467"/>
      <c r="Z67" s="1467"/>
      <c r="AA67" s="1467"/>
      <c r="AB67" s="1467"/>
      <c r="AC67" s="1467"/>
      <c r="AD67" s="1467"/>
      <c r="AE67" s="1467"/>
      <c r="AF67" s="1467"/>
      <c r="AG67" s="1467"/>
      <c r="AH67" s="1467"/>
      <c r="AI67" s="1467"/>
      <c r="AJ67" s="1467"/>
      <c r="AK67" s="1467"/>
      <c r="AL67" s="1467"/>
      <c r="AM67" s="1467"/>
      <c r="AN67" s="1467"/>
      <c r="AO67" s="1467"/>
      <c r="AP67" s="1467"/>
      <c r="AQ67" s="1467"/>
      <c r="AR67" s="1467"/>
      <c r="AS67" s="1467"/>
      <c r="AT67" s="1467"/>
      <c r="AZ67" s="20"/>
    </row>
    <row r="68" spans="1:52"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 customHeight="1">
      <c r="A69" s="1467" t="s">
        <v>2516</v>
      </c>
      <c r="B69" s="1467"/>
      <c r="C69" s="1467"/>
      <c r="D69" s="1467"/>
      <c r="E69" s="1467"/>
      <c r="F69" s="1467"/>
      <c r="G69" s="1467"/>
      <c r="H69" s="1467"/>
      <c r="I69" s="1467"/>
      <c r="J69" s="1467"/>
      <c r="K69" s="1467"/>
      <c r="L69" s="1467"/>
      <c r="M69" s="1467"/>
      <c r="N69" s="1467"/>
      <c r="O69" s="1467"/>
      <c r="P69" s="1467"/>
      <c r="Q69" s="1467"/>
      <c r="R69" s="1467"/>
      <c r="S69" s="1467"/>
      <c r="T69" s="1467"/>
      <c r="U69" s="1467"/>
      <c r="V69" s="1467"/>
      <c r="W69" s="1467"/>
      <c r="X69" s="1467"/>
      <c r="Y69" s="1467"/>
      <c r="Z69" s="1467"/>
      <c r="AA69" s="1467"/>
      <c r="AB69" s="1467"/>
      <c r="AC69" s="1467"/>
      <c r="AD69" s="1467"/>
      <c r="AE69" s="1467"/>
      <c r="AF69" s="1467"/>
      <c r="AG69" s="1467"/>
      <c r="AH69" s="1467"/>
      <c r="AI69" s="1467"/>
      <c r="AJ69" s="1467"/>
      <c r="AK69" s="1467"/>
      <c r="AL69" s="1467"/>
      <c r="AM69" s="1467"/>
      <c r="AN69" s="1467"/>
      <c r="AO69" s="1467"/>
      <c r="AP69" s="1467"/>
      <c r="AQ69" s="1467"/>
      <c r="AR69" s="1467"/>
      <c r="AS69" s="1467"/>
      <c r="AT69" s="1467"/>
      <c r="AZ69" s="20"/>
    </row>
    <row r="70" spans="1:52" ht="12.9" customHeight="1">
      <c r="A70" s="1467"/>
      <c r="B70" s="1467"/>
      <c r="C70" s="1467"/>
      <c r="D70" s="1467"/>
      <c r="E70" s="1467"/>
      <c r="F70" s="1467"/>
      <c r="G70" s="1467"/>
      <c r="H70" s="1467"/>
      <c r="I70" s="1467"/>
      <c r="J70" s="1467"/>
      <c r="K70" s="1467"/>
      <c r="L70" s="1467"/>
      <c r="M70" s="1467"/>
      <c r="N70" s="1467"/>
      <c r="O70" s="1467"/>
      <c r="P70" s="1467"/>
      <c r="Q70" s="1467"/>
      <c r="R70" s="1467"/>
      <c r="S70" s="1467"/>
      <c r="T70" s="1467"/>
      <c r="U70" s="1467"/>
      <c r="V70" s="1467"/>
      <c r="W70" s="1467"/>
      <c r="X70" s="1467"/>
      <c r="Y70" s="1467"/>
      <c r="Z70" s="1467"/>
      <c r="AA70" s="1467"/>
      <c r="AB70" s="1467"/>
      <c r="AC70" s="1467"/>
      <c r="AD70" s="1467"/>
      <c r="AE70" s="1467"/>
      <c r="AF70" s="1467"/>
      <c r="AG70" s="1467"/>
      <c r="AH70" s="1467"/>
      <c r="AI70" s="1467"/>
      <c r="AJ70" s="1467"/>
      <c r="AK70" s="1467"/>
      <c r="AL70" s="1467"/>
      <c r="AM70" s="1467"/>
      <c r="AN70" s="1467"/>
      <c r="AO70" s="1467"/>
      <c r="AP70" s="1467"/>
      <c r="AQ70" s="1467"/>
      <c r="AR70" s="1467"/>
      <c r="AS70" s="1467"/>
      <c r="AT70" s="1467"/>
      <c r="AU70" s="20"/>
      <c r="AV70" s="20"/>
      <c r="AW70" s="20"/>
      <c r="AX70" s="20"/>
      <c r="AY70" s="20"/>
      <c r="AZ70" s="20"/>
    </row>
    <row r="71" spans="1:52" ht="12.9"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 customHeight="1">
      <c r="A72" s="1854" t="s">
        <v>2517</v>
      </c>
      <c r="B72" s="1854"/>
      <c r="C72" s="1854"/>
      <c r="D72" s="1854"/>
      <c r="E72" s="1854"/>
      <c r="F72" s="1854"/>
      <c r="G72" s="1854"/>
      <c r="H72" s="1854"/>
      <c r="I72" s="1854"/>
      <c r="J72" s="1854"/>
      <c r="K72" s="1854"/>
      <c r="L72" s="1854"/>
      <c r="M72" s="1854"/>
      <c r="N72" s="1854"/>
      <c r="O72" s="1854"/>
      <c r="P72" s="1854"/>
      <c r="Q72" s="1854"/>
      <c r="R72" s="1854"/>
      <c r="S72" s="1854"/>
      <c r="T72" s="1854"/>
      <c r="U72" s="1854"/>
      <c r="V72" s="1854"/>
      <c r="W72" s="1854"/>
      <c r="X72" s="1854"/>
      <c r="Y72" s="1854"/>
      <c r="Z72" s="1854"/>
      <c r="AA72" s="1854"/>
      <c r="AB72" s="1854"/>
      <c r="AC72" s="1854"/>
      <c r="AD72" s="1854"/>
      <c r="AE72" s="1854"/>
      <c r="AF72" s="1854"/>
      <c r="AG72" s="1854"/>
      <c r="AH72" s="1854"/>
      <c r="AI72" s="1854"/>
      <c r="AJ72" s="1854"/>
      <c r="AK72" s="1854"/>
      <c r="AL72" s="1854"/>
      <c r="AM72" s="1854"/>
      <c r="AN72" s="1854"/>
      <c r="AO72" s="1854"/>
      <c r="AP72" s="1854"/>
      <c r="AQ72" s="1854"/>
      <c r="AR72" s="1854"/>
      <c r="AS72" s="1854"/>
      <c r="AT72" s="1854"/>
      <c r="AU72" s="20"/>
      <c r="AV72" s="20"/>
      <c r="AW72" s="20"/>
      <c r="AX72" s="20"/>
      <c r="AY72" s="20"/>
      <c r="AZ72" s="20"/>
    </row>
    <row r="73" spans="1:52" ht="12.9" customHeight="1">
      <c r="A73" s="1854"/>
      <c r="B73" s="1854"/>
      <c r="C73" s="1854"/>
      <c r="D73" s="1854"/>
      <c r="E73" s="1854"/>
      <c r="F73" s="1854"/>
      <c r="G73" s="1854"/>
      <c r="H73" s="1854"/>
      <c r="I73" s="1854"/>
      <c r="J73" s="1854"/>
      <c r="K73" s="1854"/>
      <c r="L73" s="1854"/>
      <c r="M73" s="1854"/>
      <c r="N73" s="1854"/>
      <c r="O73" s="1854"/>
      <c r="P73" s="1854"/>
      <c r="Q73" s="1854"/>
      <c r="R73" s="1854"/>
      <c r="S73" s="1854"/>
      <c r="T73" s="1854"/>
      <c r="U73" s="1854"/>
      <c r="V73" s="1854"/>
      <c r="W73" s="1854"/>
      <c r="X73" s="1854"/>
      <c r="Y73" s="1854"/>
      <c r="Z73" s="1854"/>
      <c r="AA73" s="1854"/>
      <c r="AB73" s="1854"/>
      <c r="AC73" s="1854"/>
      <c r="AD73" s="1854"/>
      <c r="AE73" s="1854"/>
      <c r="AF73" s="1854"/>
      <c r="AG73" s="1854"/>
      <c r="AH73" s="1854"/>
      <c r="AI73" s="1854"/>
      <c r="AJ73" s="1854"/>
      <c r="AK73" s="1854"/>
      <c r="AL73" s="1854"/>
      <c r="AM73" s="1854"/>
      <c r="AN73" s="1854"/>
      <c r="AO73" s="1854"/>
      <c r="AP73" s="1854"/>
      <c r="AQ73" s="1854"/>
      <c r="AR73" s="1854"/>
      <c r="AS73" s="1854"/>
      <c r="AT73" s="1854"/>
      <c r="AU73" s="20"/>
      <c r="AV73" s="20"/>
      <c r="AW73" s="20"/>
      <c r="AX73" s="20"/>
      <c r="AY73" s="20"/>
      <c r="AZ73" s="20"/>
    </row>
    <row r="74" spans="1:52"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 customHeight="1">
      <c r="A75" s="1548" t="s">
        <v>2518</v>
      </c>
      <c r="B75" s="1548"/>
      <c r="C75" s="1548"/>
      <c r="D75" s="1548"/>
      <c r="E75" s="1548"/>
      <c r="F75" s="1548"/>
      <c r="G75" s="1548"/>
      <c r="H75" s="1548"/>
      <c r="I75" s="1548"/>
      <c r="J75" s="1548"/>
      <c r="K75" s="1548"/>
      <c r="L75" s="1548"/>
      <c r="M75" s="1548"/>
      <c r="N75" s="1548"/>
      <c r="O75" s="1548"/>
      <c r="P75" s="1548"/>
      <c r="Q75" s="1548"/>
      <c r="R75" s="1548"/>
      <c r="S75" s="1548"/>
      <c r="T75" s="1548"/>
      <c r="U75" s="1548"/>
      <c r="V75" s="1548"/>
      <c r="W75" s="1548"/>
      <c r="X75" s="1548"/>
      <c r="Y75" s="1548"/>
      <c r="Z75" s="1548"/>
      <c r="AA75" s="1548"/>
      <c r="AB75" s="1548"/>
      <c r="AC75" s="1548"/>
      <c r="AD75" s="1548"/>
      <c r="AE75" s="1548"/>
      <c r="AF75" s="1548"/>
      <c r="AG75" s="1548"/>
      <c r="AH75" s="1548"/>
      <c r="AI75" s="1548"/>
      <c r="AJ75" s="1548"/>
      <c r="AK75" s="1548"/>
      <c r="AL75" s="1548"/>
      <c r="AM75" s="1548"/>
      <c r="AN75" s="1548"/>
      <c r="AO75" s="1548"/>
      <c r="AP75" s="1548"/>
      <c r="AQ75" s="1548"/>
      <c r="AR75" s="1548"/>
      <c r="AS75" s="1548"/>
      <c r="AT75" s="1548"/>
      <c r="AU75" s="20"/>
      <c r="AV75" s="20"/>
      <c r="AW75" s="20"/>
      <c r="AX75" s="20"/>
      <c r="AY75" s="20"/>
      <c r="AZ75" s="20"/>
    </row>
    <row r="76" spans="1:52" ht="12.9" customHeight="1">
      <c r="A76" s="1548"/>
      <c r="B76" s="1548"/>
      <c r="C76" s="1548"/>
      <c r="D76" s="1548"/>
      <c r="E76" s="1548"/>
      <c r="F76" s="1548"/>
      <c r="G76" s="1548"/>
      <c r="H76" s="1548"/>
      <c r="I76" s="1548"/>
      <c r="J76" s="1548"/>
      <c r="K76" s="1548"/>
      <c r="L76" s="1548"/>
      <c r="M76" s="1548"/>
      <c r="N76" s="1548"/>
      <c r="O76" s="1548"/>
      <c r="P76" s="1548"/>
      <c r="Q76" s="1548"/>
      <c r="R76" s="1548"/>
      <c r="S76" s="1548"/>
      <c r="T76" s="1548"/>
      <c r="U76" s="1548"/>
      <c r="V76" s="1548"/>
      <c r="W76" s="1548"/>
      <c r="X76" s="1548"/>
      <c r="Y76" s="1548"/>
      <c r="Z76" s="1548"/>
      <c r="AA76" s="1548"/>
      <c r="AB76" s="1548"/>
      <c r="AC76" s="1548"/>
      <c r="AD76" s="1548"/>
      <c r="AE76" s="1548"/>
      <c r="AF76" s="1548"/>
      <c r="AG76" s="1548"/>
      <c r="AH76" s="1548"/>
      <c r="AI76" s="1548"/>
      <c r="AJ76" s="1548"/>
      <c r="AK76" s="1548"/>
      <c r="AL76" s="1548"/>
      <c r="AM76" s="1548"/>
      <c r="AN76" s="1548"/>
      <c r="AO76" s="1548"/>
      <c r="AP76" s="1548"/>
      <c r="AQ76" s="1548"/>
      <c r="AR76" s="1548"/>
      <c r="AS76" s="1548"/>
      <c r="AT76" s="1548"/>
      <c r="AU76" s="20"/>
      <c r="AV76" s="20"/>
      <c r="AW76" s="20"/>
      <c r="AX76" s="20"/>
      <c r="AY76" s="20"/>
      <c r="AZ76" s="17"/>
    </row>
    <row r="77" spans="1:52" ht="12.9" customHeight="1">
      <c r="A77" s="1548"/>
      <c r="B77" s="1548"/>
      <c r="C77" s="1548"/>
      <c r="D77" s="1548"/>
      <c r="E77" s="1548"/>
      <c r="F77" s="1548"/>
      <c r="G77" s="1548"/>
      <c r="H77" s="1548"/>
      <c r="I77" s="1548"/>
      <c r="J77" s="1548"/>
      <c r="K77" s="1548"/>
      <c r="L77" s="1548"/>
      <c r="M77" s="1548"/>
      <c r="N77" s="1548"/>
      <c r="O77" s="1548"/>
      <c r="P77" s="1548"/>
      <c r="Q77" s="1548"/>
      <c r="R77" s="1548"/>
      <c r="S77" s="1548"/>
      <c r="T77" s="1548"/>
      <c r="U77" s="1548"/>
      <c r="V77" s="1548"/>
      <c r="W77" s="1548"/>
      <c r="X77" s="1548"/>
      <c r="Y77" s="1548"/>
      <c r="Z77" s="1548"/>
      <c r="AA77" s="1548"/>
      <c r="AB77" s="1548"/>
      <c r="AC77" s="1548"/>
      <c r="AD77" s="1548"/>
      <c r="AE77" s="1548"/>
      <c r="AF77" s="1548"/>
      <c r="AG77" s="1548"/>
      <c r="AH77" s="1548"/>
      <c r="AI77" s="1548"/>
      <c r="AJ77" s="1548"/>
      <c r="AK77" s="1548"/>
      <c r="AL77" s="1548"/>
      <c r="AM77" s="1548"/>
      <c r="AN77" s="1548"/>
      <c r="AO77" s="1548"/>
      <c r="AP77" s="1548"/>
      <c r="AQ77" s="1548"/>
      <c r="AR77" s="1548"/>
      <c r="AS77" s="1548"/>
      <c r="AT77" s="1548"/>
      <c r="AU77" s="20"/>
      <c r="AV77" s="20"/>
      <c r="AW77" s="20"/>
      <c r="AX77" s="20"/>
      <c r="AY77" s="20"/>
      <c r="AZ77" s="17"/>
    </row>
    <row r="78" spans="1:52"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 customHeight="1">
      <c r="A79" s="1467" t="s">
        <v>2519</v>
      </c>
      <c r="B79" s="1467"/>
      <c r="C79" s="1467"/>
      <c r="D79" s="1467"/>
      <c r="E79" s="1467"/>
      <c r="F79" s="1467"/>
      <c r="G79" s="1467"/>
      <c r="H79" s="1467"/>
      <c r="I79" s="1467"/>
      <c r="J79" s="1467"/>
      <c r="K79" s="1467"/>
      <c r="L79" s="1467"/>
      <c r="M79" s="1467"/>
      <c r="N79" s="1467"/>
      <c r="O79" s="1467"/>
      <c r="P79" s="1467"/>
      <c r="Q79" s="1467"/>
      <c r="R79" s="1467"/>
      <c r="S79" s="1467"/>
      <c r="T79" s="1467"/>
      <c r="U79" s="1467"/>
      <c r="V79" s="1467"/>
      <c r="W79" s="1467"/>
      <c r="X79" s="1467"/>
      <c r="Y79" s="1467"/>
      <c r="Z79" s="1467"/>
      <c r="AA79" s="1467"/>
      <c r="AB79" s="1467"/>
      <c r="AC79" s="1467"/>
      <c r="AD79" s="1467"/>
      <c r="AE79" s="1467"/>
      <c r="AF79" s="1467"/>
      <c r="AG79" s="1467"/>
      <c r="AH79" s="1467"/>
      <c r="AI79" s="1467"/>
      <c r="AJ79" s="1467"/>
      <c r="AK79" s="1467"/>
      <c r="AL79" s="1467"/>
      <c r="AM79" s="1467"/>
      <c r="AN79" s="1467"/>
      <c r="AO79" s="1467"/>
      <c r="AP79" s="1467"/>
      <c r="AQ79" s="1467"/>
      <c r="AR79" s="1467"/>
      <c r="AS79" s="1467"/>
      <c r="AT79" s="1467"/>
      <c r="AU79" s="20"/>
      <c r="AV79" s="20"/>
      <c r="AW79" s="20"/>
      <c r="AX79" s="20"/>
      <c r="AY79" s="20"/>
      <c r="AZ79" s="20"/>
    </row>
    <row r="80" spans="1:52" ht="12.9" customHeight="1">
      <c r="A80" s="1467"/>
      <c r="B80" s="1467"/>
      <c r="C80" s="1467"/>
      <c r="D80" s="1467"/>
      <c r="E80" s="1467"/>
      <c r="F80" s="1467"/>
      <c r="G80" s="1467"/>
      <c r="H80" s="1467"/>
      <c r="I80" s="1467"/>
      <c r="J80" s="1467"/>
      <c r="K80" s="1467"/>
      <c r="L80" s="1467"/>
      <c r="M80" s="1467"/>
      <c r="N80" s="1467"/>
      <c r="O80" s="1467"/>
      <c r="P80" s="1467"/>
      <c r="Q80" s="1467"/>
      <c r="R80" s="1467"/>
      <c r="S80" s="1467"/>
      <c r="T80" s="1467"/>
      <c r="U80" s="1467"/>
      <c r="V80" s="1467"/>
      <c r="W80" s="1467"/>
      <c r="X80" s="1467"/>
      <c r="Y80" s="1467"/>
      <c r="Z80" s="1467"/>
      <c r="AA80" s="1467"/>
      <c r="AB80" s="1467"/>
      <c r="AC80" s="1467"/>
      <c r="AD80" s="1467"/>
      <c r="AE80" s="1467"/>
      <c r="AF80" s="1467"/>
      <c r="AG80" s="1467"/>
      <c r="AH80" s="1467"/>
      <c r="AI80" s="1467"/>
      <c r="AJ80" s="1467"/>
      <c r="AK80" s="1467"/>
      <c r="AL80" s="1467"/>
      <c r="AM80" s="1467"/>
      <c r="AN80" s="1467"/>
      <c r="AO80" s="1467"/>
      <c r="AP80" s="1467"/>
      <c r="AQ80" s="1467"/>
      <c r="AR80" s="1467"/>
      <c r="AS80" s="1467"/>
      <c r="AT80" s="1467"/>
      <c r="AU80" s="20"/>
      <c r="AV80" s="20"/>
      <c r="AW80" s="20"/>
      <c r="AX80" s="20"/>
      <c r="AY80" s="20"/>
      <c r="AZ80" s="20"/>
    </row>
    <row r="81" spans="1:52" ht="12.9" customHeight="1">
      <c r="A81" s="1467"/>
      <c r="B81" s="1467"/>
      <c r="C81" s="1467"/>
      <c r="D81" s="1467"/>
      <c r="E81" s="1467"/>
      <c r="F81" s="1467"/>
      <c r="G81" s="1467"/>
      <c r="H81" s="1467"/>
      <c r="I81" s="1467"/>
      <c r="J81" s="1467"/>
      <c r="K81" s="1467"/>
      <c r="L81" s="1467"/>
      <c r="M81" s="1467"/>
      <c r="N81" s="1467"/>
      <c r="O81" s="1467"/>
      <c r="P81" s="1467"/>
      <c r="Q81" s="1467"/>
      <c r="R81" s="1467"/>
      <c r="S81" s="1467"/>
      <c r="T81" s="1467"/>
      <c r="U81" s="1467"/>
      <c r="V81" s="1467"/>
      <c r="W81" s="1467"/>
      <c r="X81" s="1467"/>
      <c r="Y81" s="1467"/>
      <c r="Z81" s="1467"/>
      <c r="AA81" s="1467"/>
      <c r="AB81" s="1467"/>
      <c r="AC81" s="1467"/>
      <c r="AD81" s="1467"/>
      <c r="AE81" s="1467"/>
      <c r="AF81" s="1467"/>
      <c r="AG81" s="1467"/>
      <c r="AH81" s="1467"/>
      <c r="AI81" s="1467"/>
      <c r="AJ81" s="1467"/>
      <c r="AK81" s="1467"/>
      <c r="AL81" s="1467"/>
      <c r="AM81" s="1467"/>
      <c r="AN81" s="1467"/>
      <c r="AO81" s="1467"/>
      <c r="AP81" s="1467"/>
      <c r="AQ81" s="1467"/>
      <c r="AR81" s="1467"/>
      <c r="AS81" s="1467"/>
      <c r="AT81" s="1467"/>
      <c r="AU81" s="20"/>
      <c r="AV81" s="20"/>
      <c r="AW81" s="20"/>
      <c r="AX81" s="20"/>
      <c r="AY81" s="20"/>
      <c r="AZ81" s="20"/>
    </row>
    <row r="82" spans="1:52" ht="12.9"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 customHeight="1">
      <c r="A83" s="1265" t="s">
        <v>2520</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row>
    <row r="84" spans="1:52" ht="12.9"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row>
    <row r="85" spans="1:52"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 customHeight="1">
      <c r="A86" s="1265" t="s">
        <v>2521</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row>
    <row r="87" spans="1:52" ht="12.9"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row>
    <row r="88" spans="1:52"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 customHeight="1">
      <c r="A89" s="1563" t="s">
        <v>2522</v>
      </c>
      <c r="B89" s="1563"/>
      <c r="C89" s="1563"/>
      <c r="D89" s="1563"/>
      <c r="E89" s="1563"/>
      <c r="F89" s="1563"/>
      <c r="G89" s="1563"/>
      <c r="H89" s="1563"/>
      <c r="I89" s="1563"/>
      <c r="J89" s="1563"/>
      <c r="K89" s="1563"/>
      <c r="L89" s="1563"/>
      <c r="M89" s="1563"/>
      <c r="N89" s="1563"/>
      <c r="O89" s="1563"/>
      <c r="P89" s="1563"/>
      <c r="Q89" s="1563"/>
      <c r="R89" s="1563"/>
      <c r="S89" s="1563"/>
      <c r="T89" s="1563"/>
      <c r="U89" s="1563"/>
      <c r="V89" s="1563"/>
      <c r="W89" s="1563"/>
      <c r="X89" s="1563"/>
      <c r="Y89" s="1563"/>
      <c r="Z89" s="1563"/>
      <c r="AA89" s="1563"/>
      <c r="AB89" s="1563"/>
      <c r="AC89" s="1563"/>
      <c r="AD89" s="1563"/>
      <c r="AE89" s="1563"/>
      <c r="AF89" s="1563"/>
      <c r="AG89" s="1563"/>
      <c r="AH89" s="1563"/>
      <c r="AI89" s="1563"/>
      <c r="AJ89" s="1563"/>
      <c r="AK89" s="1563"/>
      <c r="AL89" s="1563"/>
      <c r="AM89" s="1563"/>
      <c r="AN89" s="1563"/>
      <c r="AO89" s="1563"/>
      <c r="AP89" s="1563"/>
      <c r="AQ89" s="1563"/>
      <c r="AR89" s="1563"/>
      <c r="AS89" s="1563"/>
      <c r="AT89" s="1563"/>
      <c r="AU89" s="17"/>
      <c r="AV89" s="17"/>
      <c r="AW89" s="17"/>
      <c r="AX89" s="17"/>
      <c r="AY89" s="17"/>
      <c r="AZ89" s="20"/>
    </row>
    <row r="90" spans="1:52" ht="12.9" customHeight="1">
      <c r="A90" s="1563"/>
      <c r="B90" s="1563"/>
      <c r="C90" s="1563"/>
      <c r="D90" s="1563"/>
      <c r="E90" s="1563"/>
      <c r="F90" s="1563"/>
      <c r="G90" s="1563"/>
      <c r="H90" s="1563"/>
      <c r="I90" s="1563"/>
      <c r="J90" s="1563"/>
      <c r="K90" s="1563"/>
      <c r="L90" s="1563"/>
      <c r="M90" s="1563"/>
      <c r="N90" s="1563"/>
      <c r="O90" s="1563"/>
      <c r="P90" s="1563"/>
      <c r="Q90" s="1563"/>
      <c r="R90" s="1563"/>
      <c r="S90" s="1563"/>
      <c r="T90" s="1563"/>
      <c r="U90" s="1563"/>
      <c r="V90" s="1563"/>
      <c r="W90" s="1563"/>
      <c r="X90" s="1563"/>
      <c r="Y90" s="1563"/>
      <c r="Z90" s="1563"/>
      <c r="AA90" s="1563"/>
      <c r="AB90" s="1563"/>
      <c r="AC90" s="1563"/>
      <c r="AD90" s="1563"/>
      <c r="AE90" s="1563"/>
      <c r="AF90" s="1563"/>
      <c r="AG90" s="1563"/>
      <c r="AH90" s="1563"/>
      <c r="AI90" s="1563"/>
      <c r="AJ90" s="1563"/>
      <c r="AK90" s="1563"/>
      <c r="AL90" s="1563"/>
      <c r="AM90" s="1563"/>
      <c r="AN90" s="1563"/>
      <c r="AO90" s="1563"/>
      <c r="AP90" s="1563"/>
      <c r="AQ90" s="1563"/>
      <c r="AR90" s="1563"/>
      <c r="AS90" s="1563"/>
      <c r="AT90" s="1563"/>
      <c r="AU90" s="17"/>
      <c r="AV90" s="17"/>
      <c r="AW90" s="17"/>
      <c r="AX90" s="17"/>
      <c r="AY90" s="17"/>
      <c r="AZ90" s="20"/>
    </row>
    <row r="91" spans="1:52"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 customHeight="1">
      <c r="A92" s="1548" t="s">
        <v>2523</v>
      </c>
      <c r="B92" s="1548"/>
      <c r="C92" s="1548"/>
      <c r="D92" s="1548"/>
      <c r="E92" s="1548"/>
      <c r="F92" s="1548"/>
      <c r="G92" s="1548"/>
      <c r="H92" s="1548"/>
      <c r="I92" s="1548"/>
      <c r="J92" s="1548"/>
      <c r="K92" s="1548"/>
      <c r="L92" s="1548"/>
      <c r="M92" s="1548"/>
      <c r="N92" s="1548"/>
      <c r="O92" s="1548"/>
      <c r="P92" s="1548"/>
      <c r="Q92" s="1548"/>
      <c r="R92" s="1548"/>
      <c r="S92" s="1548"/>
      <c r="T92" s="1548"/>
      <c r="U92" s="1548"/>
      <c r="V92" s="1548"/>
      <c r="W92" s="1548"/>
      <c r="X92" s="1548"/>
      <c r="Y92" s="1548"/>
      <c r="Z92" s="1548"/>
      <c r="AA92" s="1548"/>
      <c r="AB92" s="1548"/>
      <c r="AC92" s="1548"/>
      <c r="AD92" s="1548"/>
      <c r="AE92" s="1548"/>
      <c r="AF92" s="1548"/>
      <c r="AG92" s="1548"/>
      <c r="AH92" s="1548"/>
      <c r="AI92" s="1548"/>
      <c r="AJ92" s="1548"/>
      <c r="AK92" s="1548"/>
      <c r="AL92" s="1548"/>
      <c r="AM92" s="1548"/>
      <c r="AN92" s="1548"/>
      <c r="AO92" s="1548"/>
      <c r="AP92" s="1548"/>
      <c r="AQ92" s="1548"/>
      <c r="AR92" s="1548"/>
      <c r="AS92" s="1548"/>
      <c r="AT92" s="1548"/>
      <c r="AU92" s="20"/>
      <c r="AV92" s="20"/>
      <c r="AW92" s="20"/>
      <c r="AX92" s="20"/>
      <c r="AY92" s="20"/>
      <c r="AZ92" s="20"/>
    </row>
    <row r="93" spans="1:52" ht="12.9" customHeight="1">
      <c r="A93" s="1548"/>
      <c r="B93" s="1548"/>
      <c r="C93" s="1548"/>
      <c r="D93" s="1548"/>
      <c r="E93" s="1548"/>
      <c r="F93" s="1548"/>
      <c r="G93" s="1548"/>
      <c r="H93" s="1548"/>
      <c r="I93" s="1548"/>
      <c r="J93" s="1548"/>
      <c r="K93" s="1548"/>
      <c r="L93" s="1548"/>
      <c r="M93" s="1548"/>
      <c r="N93" s="1548"/>
      <c r="O93" s="1548"/>
      <c r="P93" s="1548"/>
      <c r="Q93" s="1548"/>
      <c r="R93" s="1548"/>
      <c r="S93" s="1548"/>
      <c r="T93" s="1548"/>
      <c r="U93" s="1548"/>
      <c r="V93" s="1548"/>
      <c r="W93" s="1548"/>
      <c r="X93" s="1548"/>
      <c r="Y93" s="1548"/>
      <c r="Z93" s="1548"/>
      <c r="AA93" s="1548"/>
      <c r="AB93" s="1548"/>
      <c r="AC93" s="1548"/>
      <c r="AD93" s="1548"/>
      <c r="AE93" s="1548"/>
      <c r="AF93" s="1548"/>
      <c r="AG93" s="1548"/>
      <c r="AH93" s="1548"/>
      <c r="AI93" s="1548"/>
      <c r="AJ93" s="1548"/>
      <c r="AK93" s="1548"/>
      <c r="AL93" s="1548"/>
      <c r="AM93" s="1548"/>
      <c r="AN93" s="1548"/>
      <c r="AO93" s="1548"/>
      <c r="AP93" s="1548"/>
      <c r="AQ93" s="1548"/>
      <c r="AR93" s="1548"/>
      <c r="AS93" s="1548"/>
      <c r="AT93" s="1548"/>
      <c r="AU93" s="20"/>
      <c r="AV93" s="20"/>
      <c r="AW93" s="20"/>
      <c r="AX93" s="20"/>
      <c r="AY93" s="20"/>
      <c r="AZ93" s="20"/>
    </row>
    <row r="94" spans="1:52" ht="12.9" customHeight="1">
      <c r="A94" s="1548"/>
      <c r="B94" s="1548"/>
      <c r="C94" s="1548"/>
      <c r="D94" s="1548"/>
      <c r="E94" s="1548"/>
      <c r="F94" s="1548"/>
      <c r="G94" s="1548"/>
      <c r="H94" s="1548"/>
      <c r="I94" s="1548"/>
      <c r="J94" s="1548"/>
      <c r="K94" s="1548"/>
      <c r="L94" s="1548"/>
      <c r="M94" s="1548"/>
      <c r="N94" s="1548"/>
      <c r="O94" s="1548"/>
      <c r="P94" s="1548"/>
      <c r="Q94" s="1548"/>
      <c r="R94" s="1548"/>
      <c r="S94" s="1548"/>
      <c r="T94" s="1548"/>
      <c r="U94" s="1548"/>
      <c r="V94" s="1548"/>
      <c r="W94" s="1548"/>
      <c r="X94" s="1548"/>
      <c r="Y94" s="1548"/>
      <c r="Z94" s="1548"/>
      <c r="AA94" s="1548"/>
      <c r="AB94" s="1548"/>
      <c r="AC94" s="1548"/>
      <c r="AD94" s="1548"/>
      <c r="AE94" s="1548"/>
      <c r="AF94" s="1548"/>
      <c r="AG94" s="1548"/>
      <c r="AH94" s="1548"/>
      <c r="AI94" s="1548"/>
      <c r="AJ94" s="1548"/>
      <c r="AK94" s="1548"/>
      <c r="AL94" s="1548"/>
      <c r="AM94" s="1548"/>
      <c r="AN94" s="1548"/>
      <c r="AO94" s="1548"/>
      <c r="AP94" s="1548"/>
      <c r="AQ94" s="1548"/>
      <c r="AR94" s="1548"/>
      <c r="AS94" s="1548"/>
      <c r="AT94" s="1548"/>
      <c r="AU94" s="20"/>
      <c r="AV94" s="20"/>
      <c r="AW94" s="20"/>
      <c r="AX94" s="20"/>
      <c r="AY94" s="20"/>
      <c r="AZ94" s="20"/>
    </row>
    <row r="95" spans="1:52" ht="12.9" customHeight="1">
      <c r="A95" s="1548"/>
      <c r="B95" s="1548"/>
      <c r="C95" s="1548"/>
      <c r="D95" s="1548"/>
      <c r="E95" s="1548"/>
      <c r="F95" s="1548"/>
      <c r="G95" s="1548"/>
      <c r="H95" s="1548"/>
      <c r="I95" s="1548"/>
      <c r="J95" s="1548"/>
      <c r="K95" s="1548"/>
      <c r="L95" s="1548"/>
      <c r="M95" s="1548"/>
      <c r="N95" s="1548"/>
      <c r="O95" s="1548"/>
      <c r="P95" s="1548"/>
      <c r="Q95" s="1548"/>
      <c r="R95" s="1548"/>
      <c r="S95" s="1548"/>
      <c r="T95" s="1548"/>
      <c r="U95" s="1548"/>
      <c r="V95" s="1548"/>
      <c r="W95" s="1548"/>
      <c r="X95" s="1548"/>
      <c r="Y95" s="1548"/>
      <c r="Z95" s="1548"/>
      <c r="AA95" s="1548"/>
      <c r="AB95" s="1548"/>
      <c r="AC95" s="1548"/>
      <c r="AD95" s="1548"/>
      <c r="AE95" s="1548"/>
      <c r="AF95" s="1548"/>
      <c r="AG95" s="1548"/>
      <c r="AH95" s="1548"/>
      <c r="AI95" s="1548"/>
      <c r="AJ95" s="1548"/>
      <c r="AK95" s="1548"/>
      <c r="AL95" s="1548"/>
      <c r="AM95" s="1548"/>
      <c r="AN95" s="1548"/>
      <c r="AO95" s="1548"/>
      <c r="AP95" s="1548"/>
      <c r="AQ95" s="1548"/>
      <c r="AR95" s="1548"/>
      <c r="AS95" s="1548"/>
      <c r="AT95" s="1548"/>
      <c r="AU95" s="20"/>
      <c r="AV95" s="20"/>
      <c r="AW95" s="20"/>
      <c r="AX95" s="20"/>
      <c r="AY95" s="20"/>
      <c r="AZ95" s="20"/>
    </row>
    <row r="96" spans="1:52" ht="12.9" customHeight="1">
      <c r="A96" s="1548"/>
      <c r="B96" s="1548"/>
      <c r="C96" s="1548"/>
      <c r="D96" s="1548"/>
      <c r="E96" s="1548"/>
      <c r="F96" s="1548"/>
      <c r="G96" s="1548"/>
      <c r="H96" s="1548"/>
      <c r="I96" s="1548"/>
      <c r="J96" s="1548"/>
      <c r="K96" s="1548"/>
      <c r="L96" s="1548"/>
      <c r="M96" s="1548"/>
      <c r="N96" s="1548"/>
      <c r="O96" s="1548"/>
      <c r="P96" s="1548"/>
      <c r="Q96" s="1548"/>
      <c r="R96" s="1548"/>
      <c r="S96" s="1548"/>
      <c r="T96" s="1548"/>
      <c r="U96" s="1548"/>
      <c r="V96" s="1548"/>
      <c r="W96" s="1548"/>
      <c r="X96" s="1548"/>
      <c r="Y96" s="1548"/>
      <c r="Z96" s="1548"/>
      <c r="AA96" s="1548"/>
      <c r="AB96" s="1548"/>
      <c r="AC96" s="1548"/>
      <c r="AD96" s="1548"/>
      <c r="AE96" s="1548"/>
      <c r="AF96" s="1548"/>
      <c r="AG96" s="1548"/>
      <c r="AH96" s="1548"/>
      <c r="AI96" s="1548"/>
      <c r="AJ96" s="1548"/>
      <c r="AK96" s="1548"/>
      <c r="AL96" s="1548"/>
      <c r="AM96" s="1548"/>
      <c r="AN96" s="1548"/>
      <c r="AO96" s="1548"/>
      <c r="AP96" s="1548"/>
      <c r="AQ96" s="1548"/>
      <c r="AR96" s="1548"/>
      <c r="AS96" s="1548"/>
      <c r="AT96" s="1548"/>
      <c r="AU96" s="20"/>
      <c r="AV96" s="20"/>
      <c r="AW96" s="20"/>
      <c r="AX96" s="20"/>
      <c r="AY96" s="20"/>
      <c r="AZ96" s="20"/>
    </row>
    <row r="97" spans="1:52" ht="12.9" customHeight="1">
      <c r="A97" s="1548"/>
      <c r="B97" s="1548"/>
      <c r="C97" s="1548"/>
      <c r="D97" s="1548"/>
      <c r="E97" s="1548"/>
      <c r="F97" s="1548"/>
      <c r="G97" s="1548"/>
      <c r="H97" s="1548"/>
      <c r="I97" s="1548"/>
      <c r="J97" s="1548"/>
      <c r="K97" s="1548"/>
      <c r="L97" s="1548"/>
      <c r="M97" s="1548"/>
      <c r="N97" s="1548"/>
      <c r="O97" s="1548"/>
      <c r="P97" s="1548"/>
      <c r="Q97" s="1548"/>
      <c r="R97" s="1548"/>
      <c r="S97" s="1548"/>
      <c r="T97" s="1548"/>
      <c r="U97" s="1548"/>
      <c r="V97" s="1548"/>
      <c r="W97" s="1548"/>
      <c r="X97" s="1548"/>
      <c r="Y97" s="1548"/>
      <c r="Z97" s="1548"/>
      <c r="AA97" s="1548"/>
      <c r="AB97" s="1548"/>
      <c r="AC97" s="1548"/>
      <c r="AD97" s="1548"/>
      <c r="AE97" s="1548"/>
      <c r="AF97" s="1548"/>
      <c r="AG97" s="1548"/>
      <c r="AH97" s="1548"/>
      <c r="AI97" s="1548"/>
      <c r="AJ97" s="1548"/>
      <c r="AK97" s="1548"/>
      <c r="AL97" s="1548"/>
      <c r="AM97" s="1548"/>
      <c r="AN97" s="1548"/>
      <c r="AO97" s="1548"/>
      <c r="AP97" s="1548"/>
      <c r="AQ97" s="1548"/>
      <c r="AR97" s="1548"/>
      <c r="AS97" s="1548"/>
      <c r="AT97" s="1548"/>
      <c r="AU97" s="20"/>
      <c r="AV97" s="20"/>
      <c r="AW97" s="20"/>
      <c r="AX97" s="20"/>
      <c r="AY97" s="20"/>
      <c r="AZ97" s="20"/>
    </row>
    <row r="98" spans="1:52" ht="12.9" customHeight="1">
      <c r="A98" s="1548"/>
      <c r="B98" s="1548"/>
      <c r="C98" s="1548"/>
      <c r="D98" s="1548"/>
      <c r="E98" s="1548"/>
      <c r="F98" s="1548"/>
      <c r="G98" s="1548"/>
      <c r="H98" s="1548"/>
      <c r="I98" s="1548"/>
      <c r="J98" s="1548"/>
      <c r="K98" s="1548"/>
      <c r="L98" s="1548"/>
      <c r="M98" s="1548"/>
      <c r="N98" s="1548"/>
      <c r="O98" s="1548"/>
      <c r="P98" s="1548"/>
      <c r="Q98" s="1548"/>
      <c r="R98" s="1548"/>
      <c r="S98" s="1548"/>
      <c r="T98" s="1548"/>
      <c r="U98" s="1548"/>
      <c r="V98" s="1548"/>
      <c r="W98" s="1548"/>
      <c r="X98" s="1548"/>
      <c r="Y98" s="1548"/>
      <c r="Z98" s="1548"/>
      <c r="AA98" s="1548"/>
      <c r="AB98" s="1548"/>
      <c r="AC98" s="1548"/>
      <c r="AD98" s="1548"/>
      <c r="AE98" s="1548"/>
      <c r="AF98" s="1548"/>
      <c r="AG98" s="1548"/>
      <c r="AH98" s="1548"/>
      <c r="AI98" s="1548"/>
      <c r="AJ98" s="1548"/>
      <c r="AK98" s="1548"/>
      <c r="AL98" s="1548"/>
      <c r="AM98" s="1548"/>
      <c r="AN98" s="1548"/>
      <c r="AO98" s="1548"/>
      <c r="AP98" s="1548"/>
      <c r="AQ98" s="1548"/>
      <c r="AR98" s="1548"/>
      <c r="AS98" s="1548"/>
      <c r="AT98" s="1548"/>
      <c r="AU98" s="20"/>
      <c r="AV98" s="20"/>
      <c r="AW98" s="20"/>
      <c r="AX98" s="20"/>
      <c r="AY98" s="20"/>
      <c r="AZ98" s="20"/>
    </row>
    <row r="99" spans="1:52"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 customHeight="1">
      <c r="A100" s="1301" t="s">
        <v>2524</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2.9"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2.9"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2.9"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 customHeight="1">
      <c r="A105" s="1301" t="s">
        <v>2525</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2.9"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2.9"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 customHeight="1">
      <c r="A113" s="311"/>
      <c r="C113" s="3" t="s">
        <v>180</v>
      </c>
      <c r="G113" s="1551"/>
      <c r="H113" s="1551"/>
      <c r="I113" s="3" t="s">
        <v>181</v>
      </c>
      <c r="L113" s="1551"/>
      <c r="M113" s="1551"/>
      <c r="N113" s="1551"/>
      <c r="O113" s="1551"/>
      <c r="P113" s="1565" t="s">
        <v>2527</v>
      </c>
      <c r="Q113" s="1565"/>
      <c r="R113" s="1565"/>
      <c r="S113" s="156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 customHeight="1">
      <c r="A115" s="91"/>
      <c r="C115" s="1552"/>
      <c r="D115" s="1552"/>
      <c r="E115" s="1552"/>
      <c r="F115" s="1552"/>
      <c r="G115" s="1552"/>
      <c r="H115" s="1552"/>
      <c r="I115" s="1552"/>
      <c r="J115" s="1552"/>
      <c r="K115" s="1552"/>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 customHeight="1">
      <c r="A117" s="91"/>
      <c r="B117" s="22"/>
      <c r="C117" s="22"/>
      <c r="X117" s="3" t="s">
        <v>635</v>
      </c>
      <c r="Y117" s="1551"/>
      <c r="Z117" s="1551"/>
      <c r="AA117" s="1551"/>
      <c r="AB117" s="1551"/>
      <c r="AC117" s="1551"/>
      <c r="AD117" s="1551"/>
      <c r="AE117" s="1551"/>
      <c r="AF117" s="1551"/>
      <c r="AG117" s="1551"/>
      <c r="AH117" s="1551"/>
      <c r="AI117" s="1551"/>
      <c r="AJ117" s="1551"/>
      <c r="AK117" s="1551"/>
    </row>
    <row r="118" spans="1:51" ht="12.9" customHeight="1">
      <c r="X118" s="3"/>
      <c r="Y118" s="3"/>
      <c r="Z118" s="3" t="s">
        <v>636</v>
      </c>
      <c r="AA118" s="3"/>
      <c r="AB118" s="3"/>
      <c r="AC118" s="3"/>
      <c r="AD118" s="3"/>
      <c r="AE118" s="3"/>
      <c r="AF118" s="3"/>
      <c r="AG118" s="3"/>
      <c r="AH118" s="3"/>
      <c r="AI118" s="3"/>
      <c r="AJ118" s="3"/>
      <c r="AK118" s="3"/>
    </row>
    <row r="119" spans="1:51"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 customHeight="1">
      <c r="A120" s="91"/>
      <c r="B120" s="3"/>
      <c r="P120" s="3"/>
      <c r="Q120" s="3"/>
      <c r="R120" s="3"/>
      <c r="S120" s="3"/>
      <c r="T120" s="3"/>
      <c r="U120" s="3"/>
      <c r="V120" s="3"/>
      <c r="W120" s="3"/>
      <c r="X120" s="3"/>
      <c r="Y120" s="1551"/>
      <c r="Z120" s="1551"/>
      <c r="AA120" s="1551"/>
      <c r="AB120" s="1551"/>
      <c r="AC120" s="1551"/>
      <c r="AD120" s="1551"/>
      <c r="AE120" s="1551"/>
      <c r="AF120" s="1551"/>
      <c r="AG120" s="1551"/>
      <c r="AH120" s="1551"/>
      <c r="AI120" s="1551"/>
      <c r="AJ120" s="1551"/>
      <c r="AK120" s="1551"/>
      <c r="AL120" s="3"/>
      <c r="AM120" s="3"/>
      <c r="AN120" s="3"/>
      <c r="AO120" s="3"/>
      <c r="AP120" s="3"/>
      <c r="AQ120" s="3"/>
      <c r="AR120" s="3"/>
      <c r="AS120" s="3"/>
      <c r="AT120" s="3"/>
      <c r="AU120" s="3"/>
      <c r="AV120" s="3"/>
      <c r="AW120" s="3"/>
      <c r="AX120" s="3"/>
      <c r="AY120" s="3"/>
    </row>
    <row r="121" spans="1:51" ht="12.9"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 customHeight="1">
      <c r="A122" s="3"/>
      <c r="B122" s="3"/>
      <c r="T122" s="3"/>
      <c r="U122" s="3"/>
      <c r="V122" s="3"/>
      <c r="W122" s="3"/>
      <c r="AL122" s="3"/>
      <c r="AM122" s="3"/>
      <c r="AN122" s="3"/>
      <c r="AO122" s="3"/>
      <c r="AP122" s="3"/>
      <c r="AQ122" s="3"/>
      <c r="AR122" s="3"/>
      <c r="AS122" s="3"/>
      <c r="AT122" s="3"/>
      <c r="AU122" s="3"/>
      <c r="AV122" s="3"/>
      <c r="AW122" s="3"/>
      <c r="AX122" s="3"/>
      <c r="AY122" s="3"/>
    </row>
    <row r="123" spans="1:51" ht="12.9" customHeight="1">
      <c r="A123" s="3"/>
      <c r="B123" s="3"/>
      <c r="T123" s="3"/>
      <c r="U123" s="3"/>
      <c r="V123" s="3"/>
      <c r="W123" s="3"/>
      <c r="X123" s="3"/>
      <c r="Y123" s="1551"/>
      <c r="Z123" s="1551"/>
      <c r="AA123" s="1551"/>
      <c r="AB123" s="1551"/>
      <c r="AC123" s="1551"/>
      <c r="AD123" s="1551"/>
      <c r="AE123" s="1551"/>
      <c r="AF123" s="1551"/>
      <c r="AG123" s="1551"/>
      <c r="AH123" s="1551"/>
      <c r="AI123" s="1551"/>
      <c r="AJ123" s="1551"/>
      <c r="AK123" s="1551"/>
      <c r="AL123" s="3"/>
      <c r="AM123" s="3"/>
      <c r="AN123" s="3"/>
      <c r="AO123" s="3"/>
      <c r="AP123" s="3"/>
      <c r="AQ123" s="3"/>
      <c r="AR123" s="3"/>
      <c r="AS123" s="3"/>
      <c r="AT123" s="3"/>
      <c r="AU123" s="3"/>
      <c r="AV123" s="3"/>
      <c r="AW123" s="3"/>
      <c r="AX123" s="3"/>
      <c r="AY123" s="3"/>
    </row>
    <row r="124" spans="1:51" ht="12.9"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 customHeight="1"/>
    <row r="127" spans="1:51" ht="12.9"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 hidden="1" customHeight="1">
      <c r="A128" s="385"/>
      <c r="AL128" s="385"/>
      <c r="AM128" s="385"/>
      <c r="AN128" s="385"/>
      <c r="AO128" s="385"/>
      <c r="AP128" s="385"/>
      <c r="AQ128" s="385"/>
      <c r="AR128" s="385"/>
      <c r="AS128" s="385"/>
      <c r="AT128" s="385"/>
      <c r="AU128" s="385"/>
      <c r="AV128" s="385"/>
      <c r="AW128" s="385"/>
      <c r="AX128" s="385"/>
      <c r="AY128" s="385"/>
    </row>
    <row r="129" spans="1:51" ht="12.9"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hidden="1" customHeight="1">
      <c r="A131" s="3"/>
      <c r="AL131" s="3"/>
      <c r="AM131" s="3"/>
      <c r="AN131" s="3"/>
      <c r="AO131" s="3"/>
      <c r="AP131" s="3"/>
      <c r="AQ131" s="3"/>
      <c r="AR131" s="3"/>
      <c r="AS131" s="3"/>
      <c r="AT131" s="3"/>
      <c r="AU131" s="3"/>
      <c r="AV131" s="3"/>
      <c r="AW131" s="3"/>
      <c r="AX131" s="3"/>
      <c r="AY131" s="3"/>
    </row>
    <row r="132" spans="1:51" ht="12.9"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 hidden="1" customHeight="1">
      <c r="A133" s="3"/>
      <c r="W133" s="3"/>
      <c r="AL133" s="3"/>
      <c r="AM133" s="3"/>
      <c r="AN133" s="3"/>
      <c r="AO133" s="3"/>
      <c r="AP133" s="3"/>
      <c r="AQ133" s="3"/>
      <c r="AR133" s="3"/>
      <c r="AS133" s="3"/>
      <c r="AT133" s="3"/>
      <c r="AU133" s="3"/>
      <c r="AV133" s="3"/>
      <c r="AW133" s="3"/>
      <c r="AX133" s="3"/>
      <c r="AY133" s="3"/>
    </row>
    <row r="134" spans="1:51" ht="12.9"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hidden="1" customHeight="1">
      <c r="A135" s="3"/>
      <c r="M135" s="3"/>
      <c r="N135" s="3"/>
      <c r="O135" s="3"/>
      <c r="AK135" s="3"/>
      <c r="AL135" s="3"/>
      <c r="AM135" s="3"/>
      <c r="AN135" s="3"/>
      <c r="AO135" s="3"/>
      <c r="AP135" s="3"/>
      <c r="AQ135" s="3"/>
      <c r="AR135" s="3"/>
      <c r="AS135" s="3"/>
      <c r="AT135" s="3"/>
      <c r="AU135" s="3"/>
      <c r="AV135" s="3"/>
      <c r="AW135" s="3"/>
      <c r="AX135" s="3"/>
      <c r="AY135" s="3"/>
    </row>
    <row r="136" spans="1:51" ht="12.9"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 customHeight="1">
      <c r="A150" s="3"/>
      <c r="B150" s="3"/>
      <c r="D150" s="3"/>
      <c r="E150" s="3"/>
      <c r="F150" s="1304"/>
      <c r="G150" s="1304"/>
      <c r="H150" s="1304"/>
      <c r="I150" s="1304"/>
      <c r="J150" s="1304"/>
      <c r="K150" s="1304"/>
      <c r="L150" s="1304"/>
      <c r="M150" s="1304"/>
      <c r="N150" s="1304"/>
      <c r="O150" s="1304"/>
      <c r="P150" s="1304"/>
      <c r="Q150" s="1304"/>
      <c r="R150" s="1304"/>
      <c r="S150" s="1304"/>
      <c r="T150" s="130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 customHeight="1"/>
    <row r="153" spans="1:72" ht="12.9" customHeight="1">
      <c r="D153" t="s">
        <v>652</v>
      </c>
      <c r="O153" s="1474" t="s">
        <v>2643</v>
      </c>
      <c r="P153" s="1455"/>
      <c r="Q153" s="1455"/>
      <c r="R153" s="1455"/>
      <c r="S153" s="1455"/>
      <c r="T153" s="1455"/>
      <c r="U153" s="1455"/>
      <c r="V153" s="1455"/>
      <c r="W153" s="1455"/>
      <c r="X153" s="1455"/>
      <c r="Y153" s="1455"/>
      <c r="Z153" s="1455"/>
      <c r="AA153" s="1455"/>
      <c r="AB153" s="1455"/>
      <c r="AC153" s="1455"/>
      <c r="AD153" s="1455"/>
      <c r="AE153" s="1455"/>
      <c r="AF153" s="1455"/>
      <c r="AG153" s="1455"/>
      <c r="AH153" s="1455"/>
    </row>
    <row r="154" spans="1:72" ht="12.9" customHeight="1">
      <c r="D154" s="325" t="s">
        <v>441</v>
      </c>
      <c r="O154" s="1453" t="s">
        <v>2644</v>
      </c>
      <c r="P154" s="1399"/>
      <c r="Q154" s="1399"/>
      <c r="R154" s="1399"/>
      <c r="S154" s="1399"/>
      <c r="T154" s="1399"/>
      <c r="U154" s="1399"/>
      <c r="V154" s="1399"/>
      <c r="W154" s="1399"/>
      <c r="X154" s="1399"/>
      <c r="Y154" s="1399"/>
      <c r="Z154" s="1399"/>
      <c r="AA154" s="1399"/>
      <c r="AB154" s="1399"/>
      <c r="AC154" s="1399"/>
      <c r="AD154" s="1399"/>
      <c r="AE154" s="1399"/>
      <c r="AF154" s="1399"/>
      <c r="AG154" s="1399"/>
      <c r="AH154" s="1399"/>
    </row>
    <row r="155" spans="1:72" ht="12.9" customHeight="1">
      <c r="D155" s="8" t="s">
        <v>442</v>
      </c>
      <c r="F155" s="8"/>
      <c r="G155" s="8"/>
      <c r="H155" s="8"/>
      <c r="I155" s="8"/>
      <c r="J155" s="8"/>
      <c r="K155" s="8"/>
      <c r="L155" s="8"/>
      <c r="M155" s="8"/>
      <c r="N155" s="8"/>
      <c r="O155" s="1561" t="s">
        <v>2645</v>
      </c>
      <c r="P155" s="1562"/>
      <c r="Q155" s="1562"/>
      <c r="R155" s="1562"/>
      <c r="S155" s="1562"/>
      <c r="T155" s="1562"/>
      <c r="U155" s="1562"/>
      <c r="V155" s="1562"/>
      <c r="W155" s="1562"/>
      <c r="X155" s="1562"/>
      <c r="Y155" s="1562"/>
      <c r="Z155" s="1562"/>
      <c r="AA155" s="1562"/>
      <c r="AB155" s="1562"/>
      <c r="AC155" s="1562"/>
      <c r="AD155" s="1562"/>
      <c r="AE155" s="1562"/>
      <c r="AF155" s="1562"/>
      <c r="AG155" s="1562"/>
      <c r="AH155" s="1562"/>
    </row>
    <row r="156" spans="1:72" ht="12.9" customHeight="1">
      <c r="D156" t="s">
        <v>313</v>
      </c>
      <c r="O156" s="1474" t="s">
        <v>2646</v>
      </c>
      <c r="P156" s="1397"/>
      <c r="Q156" s="1397"/>
      <c r="R156" s="1397"/>
      <c r="S156" s="1397"/>
      <c r="T156" s="1397"/>
      <c r="U156" s="1397"/>
      <c r="V156" s="1397"/>
      <c r="W156" s="1397"/>
      <c r="X156" s="1397"/>
      <c r="Y156" s="1397"/>
      <c r="Z156" s="1397"/>
      <c r="AA156" s="1397"/>
      <c r="AB156" s="1397"/>
      <c r="AC156" s="1397"/>
      <c r="AD156" s="1397"/>
      <c r="AE156" s="1397"/>
      <c r="AF156" s="1397"/>
      <c r="AG156" s="1397"/>
      <c r="AH156" s="1397"/>
      <c r="BT156" t="s">
        <v>307</v>
      </c>
    </row>
    <row r="157" spans="1:72" ht="12.9" customHeight="1">
      <c r="D157" t="s">
        <v>314</v>
      </c>
      <c r="O157" s="1474" t="s">
        <v>738</v>
      </c>
      <c r="P157" s="1455"/>
      <c r="Q157" s="1455"/>
      <c r="R157" s="1455"/>
      <c r="S157" s="1455"/>
      <c r="T157" s="1455"/>
      <c r="U157" s="1455"/>
      <c r="V157" s="1455"/>
      <c r="W157" s="1455"/>
      <c r="X157" s="1455"/>
      <c r="Y157" s="8"/>
      <c r="Z157" s="8"/>
      <c r="AA157" s="8"/>
      <c r="AB157" s="8"/>
      <c r="AC157" s="8"/>
      <c r="AD157" s="8"/>
      <c r="AE157" s="8"/>
      <c r="AF157" s="8"/>
      <c r="BN157" s="23" t="s">
        <v>643</v>
      </c>
      <c r="BT157" t="s">
        <v>483</v>
      </c>
    </row>
    <row r="158" spans="1:72" ht="12.9" customHeight="1">
      <c r="D158" t="s">
        <v>315</v>
      </c>
      <c r="O158" s="1571">
        <v>94103</v>
      </c>
      <c r="P158" s="1571"/>
      <c r="Q158" s="1571"/>
      <c r="R158" s="1571"/>
      <c r="S158" s="9"/>
      <c r="T158" s="9"/>
      <c r="U158" s="9"/>
      <c r="V158" s="9"/>
      <c r="W158" s="9"/>
      <c r="X158" s="9"/>
      <c r="Y158" s="9"/>
      <c r="Z158" s="9"/>
      <c r="AA158" s="9"/>
      <c r="AB158" s="9"/>
      <c r="AC158" s="9"/>
      <c r="AD158" s="9"/>
      <c r="AE158" s="9"/>
      <c r="AF158" s="9"/>
      <c r="BN158" s="23" t="s">
        <v>644</v>
      </c>
      <c r="BT158" t="s">
        <v>484</v>
      </c>
    </row>
    <row r="159" spans="1:72" ht="12.9" customHeight="1">
      <c r="D159" t="s">
        <v>316</v>
      </c>
      <c r="O159" s="1469" t="s">
        <v>2647</v>
      </c>
      <c r="P159" s="1557"/>
      <c r="Q159" s="1557"/>
      <c r="R159" s="1557"/>
      <c r="S159" s="1557"/>
      <c r="T159" s="1557"/>
      <c r="V159" s="97" t="s">
        <v>271</v>
      </c>
      <c r="W159" s="1572"/>
      <c r="X159" s="1572"/>
      <c r="Y159" s="10"/>
      <c r="Z159" s="10"/>
      <c r="AA159" s="10"/>
      <c r="AB159" s="10"/>
      <c r="AC159" s="10"/>
      <c r="AD159" s="10"/>
      <c r="AE159" s="10"/>
      <c r="AF159" s="10"/>
      <c r="BN159" s="23" t="s">
        <v>339</v>
      </c>
      <c r="BT159" t="s">
        <v>485</v>
      </c>
    </row>
    <row r="160" spans="1:72" ht="12.9" customHeight="1">
      <c r="D160" t="s">
        <v>317</v>
      </c>
      <c r="O160" s="1469" t="s">
        <v>2648</v>
      </c>
      <c r="P160" s="1557"/>
      <c r="Q160" s="1557"/>
      <c r="R160" s="1557"/>
      <c r="S160" s="1557"/>
      <c r="T160" s="1557"/>
      <c r="U160" s="10"/>
      <c r="V160" s="10"/>
      <c r="W160" s="10"/>
      <c r="X160" s="10"/>
      <c r="Y160" s="10"/>
      <c r="Z160" s="10"/>
      <c r="AA160" s="10"/>
      <c r="AB160" s="10"/>
      <c r="AC160" s="10"/>
      <c r="AD160" s="10"/>
      <c r="AE160" s="10"/>
      <c r="AF160" s="10"/>
      <c r="BN160" s="23" t="s">
        <v>667</v>
      </c>
      <c r="BT160" t="s">
        <v>486</v>
      </c>
    </row>
    <row r="161" spans="1:72" ht="12.9" customHeight="1">
      <c r="D161" t="s">
        <v>318</v>
      </c>
      <c r="O161" s="1539" t="s">
        <v>2649</v>
      </c>
      <c r="P161" s="1539"/>
      <c r="Q161" s="1539"/>
      <c r="R161" s="1539"/>
      <c r="S161" s="1539"/>
      <c r="T161" s="1539"/>
      <c r="U161" s="1539"/>
      <c r="V161" s="1539"/>
      <c r="W161" s="1539"/>
      <c r="X161" s="1539"/>
      <c r="Y161" s="1539"/>
      <c r="Z161" s="1539"/>
      <c r="AA161" s="1539"/>
      <c r="AB161" s="1539"/>
      <c r="AC161" s="1539"/>
      <c r="AD161" s="1539"/>
      <c r="AE161" s="1539"/>
      <c r="AF161" s="1539"/>
      <c r="AG161" s="1539"/>
      <c r="AH161" s="1539"/>
      <c r="BJ161" t="s">
        <v>676</v>
      </c>
      <c r="BN161" s="23" t="s">
        <v>668</v>
      </c>
      <c r="BT161" t="s">
        <v>487</v>
      </c>
    </row>
    <row r="162" spans="1:72"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2.9"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2.9" customHeight="1">
      <c r="C164" s="27"/>
      <c r="D164" s="1553" t="s">
        <v>2622</v>
      </c>
      <c r="E164" s="1553"/>
      <c r="F164" s="1553"/>
      <c r="G164" s="1553"/>
      <c r="H164" s="1553"/>
      <c r="I164" s="1553"/>
      <c r="J164" s="1553"/>
      <c r="K164" s="1553"/>
      <c r="L164" s="1553"/>
      <c r="M164" s="1553"/>
      <c r="N164" s="1553"/>
      <c r="O164" s="1553"/>
      <c r="P164" s="1553"/>
      <c r="Q164" s="1553"/>
      <c r="R164" s="1553"/>
      <c r="S164" s="1553"/>
      <c r="T164" s="1553"/>
      <c r="U164" s="1553"/>
      <c r="V164" s="1553"/>
      <c r="W164" s="1553"/>
      <c r="X164" s="1553"/>
      <c r="Y164" s="1553"/>
      <c r="Z164" s="1553"/>
      <c r="AA164" s="1553"/>
      <c r="AB164" s="1553"/>
      <c r="AC164" s="1553"/>
      <c r="AD164" s="1553"/>
      <c r="AE164" s="1553"/>
      <c r="AF164" s="1553"/>
      <c r="AG164" s="1553"/>
      <c r="AH164" s="1553"/>
      <c r="BN164" s="23" t="s">
        <v>671</v>
      </c>
      <c r="BT164" t="s">
        <v>490</v>
      </c>
    </row>
    <row r="165" spans="1:72"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2.9" customHeight="1">
      <c r="A169" s="1547" t="s">
        <v>546</v>
      </c>
      <c r="B169" s="1547"/>
      <c r="C169" s="1547"/>
      <c r="D169" s="1547"/>
      <c r="E169" s="1547"/>
      <c r="F169" s="1547"/>
      <c r="G169" s="1547"/>
      <c r="H169" s="1547"/>
      <c r="I169" s="1547"/>
      <c r="J169" s="1547"/>
      <c r="K169" s="1547"/>
      <c r="L169" s="1547"/>
      <c r="M169" s="1547"/>
      <c r="N169" s="1547"/>
      <c r="O169" s="1547"/>
      <c r="P169" s="1547"/>
      <c r="Q169" s="1547"/>
      <c r="R169" s="1547"/>
      <c r="S169" s="1547"/>
      <c r="T169" s="1547"/>
      <c r="U169" s="1547"/>
      <c r="V169" s="1547"/>
      <c r="W169" s="1547"/>
      <c r="X169" s="1547"/>
      <c r="Y169" s="1547"/>
      <c r="Z169" s="1547"/>
      <c r="AA169" s="1547"/>
      <c r="AB169" s="1547"/>
      <c r="AC169" s="1547"/>
      <c r="AD169" s="1547"/>
      <c r="AE169" s="1547"/>
      <c r="AF169" s="1547"/>
      <c r="AG169" s="1547"/>
      <c r="AH169" s="1547"/>
      <c r="AI169" s="1547"/>
      <c r="AJ169" s="1547"/>
      <c r="AK169" s="1547"/>
      <c r="AL169" s="1547"/>
      <c r="AM169" s="1547"/>
      <c r="AN169" s="1547"/>
      <c r="AO169" s="1547"/>
      <c r="AP169" s="1547"/>
      <c r="AQ169" s="1547"/>
      <c r="AR169" s="1547"/>
      <c r="AS169" s="1547"/>
      <c r="AT169" s="1547"/>
      <c r="AU169" s="95"/>
      <c r="AV169" s="95"/>
      <c r="AW169" s="95"/>
      <c r="AX169" s="95"/>
      <c r="AY169" s="95"/>
      <c r="BN169" s="23" t="s">
        <v>680</v>
      </c>
      <c r="BT169" t="s">
        <v>495</v>
      </c>
    </row>
    <row r="170" spans="1:72" ht="12.9" customHeight="1">
      <c r="A170" s="1547"/>
      <c r="B170" s="1547"/>
      <c r="C170" s="1547"/>
      <c r="D170" s="1547"/>
      <c r="E170" s="1547"/>
      <c r="F170" s="1547"/>
      <c r="G170" s="1547"/>
      <c r="H170" s="1547"/>
      <c r="I170" s="1547"/>
      <c r="J170" s="1547"/>
      <c r="K170" s="1547"/>
      <c r="L170" s="1547"/>
      <c r="M170" s="1547"/>
      <c r="N170" s="1547"/>
      <c r="O170" s="1547"/>
      <c r="P170" s="1547"/>
      <c r="Q170" s="1547"/>
      <c r="R170" s="1547"/>
      <c r="S170" s="1547"/>
      <c r="T170" s="1547"/>
      <c r="U170" s="1547"/>
      <c r="V170" s="1547"/>
      <c r="W170" s="1547"/>
      <c r="X170" s="1547"/>
      <c r="Y170" s="1547"/>
      <c r="Z170" s="1547"/>
      <c r="AA170" s="1547"/>
      <c r="AB170" s="1547"/>
      <c r="AC170" s="1547"/>
      <c r="AD170" s="1547"/>
      <c r="AE170" s="1547"/>
      <c r="AF170" s="1547"/>
      <c r="AG170" s="1547"/>
      <c r="AH170" s="1547"/>
      <c r="AI170" s="1547"/>
      <c r="AJ170" s="1547"/>
      <c r="AK170" s="1547"/>
      <c r="AL170" s="1547"/>
      <c r="AM170" s="1547"/>
      <c r="AN170" s="1547"/>
      <c r="AO170" s="1547"/>
      <c r="AP170" s="1547"/>
      <c r="AQ170" s="1547"/>
      <c r="AR170" s="1547"/>
      <c r="AS170" s="1547"/>
      <c r="AT170" s="1547"/>
      <c r="AU170" s="95"/>
      <c r="AV170" s="95"/>
      <c r="AW170" s="95"/>
      <c r="AX170" s="95"/>
      <c r="AY170" s="95"/>
      <c r="BN170" s="23" t="s">
        <v>681</v>
      </c>
      <c r="BT170" t="s">
        <v>496</v>
      </c>
    </row>
    <row r="171" spans="1:72" ht="12.9" customHeight="1">
      <c r="BN171" s="23" t="s">
        <v>211</v>
      </c>
      <c r="BT171" t="s">
        <v>497</v>
      </c>
    </row>
    <row r="172" spans="1:72" ht="12.9" customHeight="1">
      <c r="A172" s="2" t="s">
        <v>319</v>
      </c>
      <c r="C172" s="2" t="s">
        <v>320</v>
      </c>
      <c r="BN172" s="23" t="s">
        <v>213</v>
      </c>
      <c r="BT172" t="s">
        <v>498</v>
      </c>
    </row>
    <row r="173" spans="1:72" ht="12.9" customHeight="1">
      <c r="C173" s="24"/>
      <c r="D173" t="s">
        <v>321</v>
      </c>
      <c r="J173" s="1560" t="s">
        <v>371</v>
      </c>
      <c r="K173" s="1560"/>
      <c r="L173" s="1560"/>
      <c r="M173" s="1560"/>
      <c r="N173" s="1560"/>
      <c r="O173" s="1560"/>
      <c r="P173" s="1560"/>
      <c r="Q173" s="1560"/>
      <c r="R173" s="1560"/>
      <c r="S173" s="1560"/>
      <c r="U173" s="25"/>
      <c r="X173" s="25"/>
      <c r="BB173" s="3" t="s">
        <v>307</v>
      </c>
      <c r="BN173" s="23" t="s">
        <v>214</v>
      </c>
      <c r="BT173" t="s">
        <v>499</v>
      </c>
    </row>
    <row r="174" spans="1:72" ht="12.9" customHeight="1">
      <c r="C174" s="24"/>
      <c r="D174" s="3" t="s">
        <v>1307</v>
      </c>
      <c r="J174" s="1397" t="s">
        <v>2419</v>
      </c>
      <c r="K174" s="1397"/>
      <c r="L174" s="1397"/>
      <c r="M174" s="1397"/>
      <c r="N174" s="1397"/>
      <c r="O174" s="1397"/>
      <c r="P174" s="1397"/>
      <c r="Q174" s="1397"/>
      <c r="R174" s="1397"/>
      <c r="S174" s="1397"/>
      <c r="T174" s="1397"/>
      <c r="U174" s="1397"/>
      <c r="V174" s="1397"/>
      <c r="W174" s="1397"/>
      <c r="X174" s="1397"/>
      <c r="Y174" s="1397"/>
      <c r="Z174" s="1397"/>
      <c r="AA174" s="1397"/>
      <c r="AB174" s="1397"/>
      <c r="BB174" t="s">
        <v>2272</v>
      </c>
      <c r="BN174" s="23" t="s">
        <v>216</v>
      </c>
      <c r="BT174" t="s">
        <v>500</v>
      </c>
    </row>
    <row r="175" spans="1:72" ht="12.9" customHeight="1">
      <c r="C175" s="8"/>
      <c r="D175" s="3" t="s">
        <v>322</v>
      </c>
      <c r="O175" s="27"/>
      <c r="U175" s="1415" t="s">
        <v>676</v>
      </c>
      <c r="V175" s="1415"/>
      <c r="BB175" t="s">
        <v>2236</v>
      </c>
      <c r="BN175" s="23" t="s">
        <v>217</v>
      </c>
      <c r="BT175" t="s">
        <v>501</v>
      </c>
    </row>
    <row r="176" spans="1:72" ht="12.9" customHeight="1">
      <c r="C176" s="8"/>
      <c r="D176" s="26"/>
      <c r="E176" t="s">
        <v>304</v>
      </c>
      <c r="O176" s="27"/>
      <c r="P176" t="s">
        <v>2394</v>
      </c>
      <c r="T176" s="27" t="s">
        <v>305</v>
      </c>
      <c r="U176" s="1556"/>
      <c r="V176" s="1556"/>
      <c r="W176" s="1" t="s">
        <v>306</v>
      </c>
      <c r="X176" s="1564"/>
      <c r="Y176" s="1564"/>
      <c r="BB176" t="s">
        <v>2273</v>
      </c>
      <c r="BN176" s="23" t="s">
        <v>219</v>
      </c>
      <c r="BT176" t="s">
        <v>502</v>
      </c>
    </row>
    <row r="177" spans="1:72" ht="12.9" customHeight="1">
      <c r="C177" s="24"/>
      <c r="D177" t="s">
        <v>249</v>
      </c>
      <c r="R177" s="1415" t="s">
        <v>676</v>
      </c>
      <c r="S177" s="1415"/>
      <c r="BB177" t="s">
        <v>2576</v>
      </c>
      <c r="BN177" s="23" t="s">
        <v>220</v>
      </c>
      <c r="BT177" t="s">
        <v>503</v>
      </c>
    </row>
    <row r="178" spans="1:72" ht="12.9" customHeight="1">
      <c r="C178" s="24"/>
      <c r="D178" s="3" t="s">
        <v>1308</v>
      </c>
      <c r="AA178" t="s">
        <v>2394</v>
      </c>
      <c r="AE178" s="27" t="s">
        <v>305</v>
      </c>
      <c r="AF178" s="1567"/>
      <c r="AG178" s="1567"/>
      <c r="AH178" s="1" t="s">
        <v>306</v>
      </c>
      <c r="AI178" s="1535"/>
      <c r="AJ178" s="1535"/>
      <c r="AK178" s="1535"/>
      <c r="BB178" t="s">
        <v>2577</v>
      </c>
      <c r="BN178" s="23" t="s">
        <v>221</v>
      </c>
      <c r="BT178" t="s">
        <v>53</v>
      </c>
    </row>
    <row r="179" spans="1:72" ht="12.9" customHeight="1">
      <c r="C179" s="24"/>
      <c r="BN179" s="23" t="s">
        <v>222</v>
      </c>
      <c r="BT179" t="s">
        <v>54</v>
      </c>
    </row>
    <row r="180" spans="1:72" ht="12.9" customHeight="1">
      <c r="C180" s="24"/>
      <c r="D180" t="s">
        <v>2395</v>
      </c>
      <c r="X180" s="1415" t="s">
        <v>676</v>
      </c>
      <c r="Y180" s="1415"/>
      <c r="BN180" s="23" t="s">
        <v>224</v>
      </c>
      <c r="BT180" t="s">
        <v>55</v>
      </c>
    </row>
    <row r="181" spans="1:72" ht="12.9" customHeight="1">
      <c r="C181" s="8"/>
      <c r="E181" s="4" t="s">
        <v>994</v>
      </c>
      <c r="BN181" s="23" t="s">
        <v>225</v>
      </c>
      <c r="BT181" t="s">
        <v>56</v>
      </c>
    </row>
    <row r="182" spans="1:72" ht="12.9" customHeight="1">
      <c r="C182" s="564"/>
      <c r="BN182" s="23" t="s">
        <v>226</v>
      </c>
      <c r="BT182" t="s">
        <v>60</v>
      </c>
    </row>
    <row r="183" spans="1:72" ht="12.9" customHeight="1">
      <c r="A183" s="2" t="s">
        <v>583</v>
      </c>
      <c r="C183" s="2" t="s">
        <v>584</v>
      </c>
      <c r="BN183" s="23" t="s">
        <v>228</v>
      </c>
      <c r="BT183" t="s">
        <v>61</v>
      </c>
    </row>
    <row r="184" spans="1:72" ht="12.9" customHeight="1">
      <c r="C184" s="21"/>
      <c r="D184" t="s">
        <v>585</v>
      </c>
      <c r="I184" s="1511" t="str">
        <f>H18</f>
        <v>300 De Haro</v>
      </c>
      <c r="J184" s="1511"/>
      <c r="K184" s="1511"/>
      <c r="L184" s="1511"/>
      <c r="M184" s="1511"/>
      <c r="N184" s="1511"/>
      <c r="O184" s="1511"/>
      <c r="P184" s="1511"/>
      <c r="Q184" s="1511"/>
      <c r="R184" s="1511"/>
      <c r="S184" s="1511"/>
      <c r="T184" s="1511"/>
      <c r="U184" s="1511"/>
      <c r="V184" s="1511"/>
      <c r="W184" s="1511"/>
      <c r="X184" s="1511"/>
      <c r="Y184" s="1511"/>
      <c r="Z184" s="1511"/>
      <c r="AA184" s="1511"/>
      <c r="AB184" s="1511"/>
      <c r="AC184" s="1511"/>
      <c r="AD184" s="1511"/>
      <c r="AE184" s="1511"/>
      <c r="BC184" t="s">
        <v>594</v>
      </c>
      <c r="BN184" s="23" t="s">
        <v>230</v>
      </c>
      <c r="BT184" t="s">
        <v>62</v>
      </c>
    </row>
    <row r="185" spans="1:72" ht="12.9" customHeight="1">
      <c r="C185" s="21"/>
      <c r="D185" t="s">
        <v>586</v>
      </c>
      <c r="I185" s="1453" t="s">
        <v>2650</v>
      </c>
      <c r="J185" s="1396"/>
      <c r="K185" s="1396"/>
      <c r="L185" s="1396"/>
      <c r="M185" s="1396"/>
      <c r="N185" s="1396"/>
      <c r="O185" s="1396"/>
      <c r="P185" s="1396"/>
      <c r="Q185" s="1396"/>
      <c r="R185" s="1396"/>
      <c r="S185" s="1396"/>
      <c r="T185" s="1396"/>
      <c r="U185" s="1396"/>
      <c r="V185" s="1396"/>
      <c r="W185" s="1396"/>
      <c r="X185" s="1396"/>
      <c r="Y185" s="1396"/>
      <c r="Z185" s="1396"/>
      <c r="AA185" s="1396"/>
      <c r="AB185" s="1396"/>
      <c r="AC185" s="1396"/>
      <c r="AD185" s="1396"/>
      <c r="AE185" s="1396"/>
      <c r="BC185" t="s">
        <v>595</v>
      </c>
      <c r="BN185" s="23" t="s">
        <v>231</v>
      </c>
      <c r="BT185" t="s">
        <v>63</v>
      </c>
    </row>
    <row r="186" spans="1:72" ht="12.9" customHeight="1">
      <c r="C186" s="21"/>
      <c r="E186" t="s">
        <v>167</v>
      </c>
      <c r="BN186" s="23" t="s">
        <v>232</v>
      </c>
      <c r="BT186" t="s">
        <v>64</v>
      </c>
    </row>
    <row r="187" spans="1:72" ht="12.9" customHeight="1">
      <c r="C187" s="21"/>
      <c r="E187" s="1482"/>
      <c r="F187" s="1482"/>
      <c r="G187" s="1482"/>
      <c r="H187" s="1482"/>
      <c r="I187" s="1482"/>
      <c r="J187" s="1482"/>
      <c r="K187" s="1482"/>
      <c r="L187" s="1482"/>
      <c r="M187" s="1482"/>
      <c r="N187" s="1482"/>
      <c r="O187" s="1482"/>
      <c r="P187" s="1482"/>
      <c r="Q187" s="1482"/>
      <c r="R187" s="1482"/>
      <c r="S187" s="1482"/>
      <c r="T187" s="1482"/>
      <c r="U187" s="1482"/>
      <c r="V187" s="1482"/>
      <c r="W187" s="1482"/>
      <c r="X187" s="1482"/>
      <c r="Y187" s="1482"/>
      <c r="Z187" s="1482"/>
      <c r="AA187" s="1482"/>
      <c r="AB187" s="1482"/>
      <c r="AC187" s="1482"/>
      <c r="AD187" s="1482"/>
      <c r="AE187" s="1482"/>
      <c r="BN187" s="23" t="s">
        <v>233</v>
      </c>
      <c r="BT187" t="s">
        <v>65</v>
      </c>
    </row>
    <row r="188" spans="1:72" ht="12.9" customHeight="1">
      <c r="C188" s="21"/>
      <c r="E188" s="1483"/>
      <c r="F188" s="1483"/>
      <c r="G188" s="1483"/>
      <c r="H188" s="1483"/>
      <c r="I188" s="1483"/>
      <c r="J188" s="1483"/>
      <c r="K188" s="1483"/>
      <c r="L188" s="1483"/>
      <c r="M188" s="1483"/>
      <c r="N188" s="1483"/>
      <c r="O188" s="1483"/>
      <c r="P188" s="1483"/>
      <c r="Q188" s="1483"/>
      <c r="R188" s="1483"/>
      <c r="S188" s="1483"/>
      <c r="T188" s="1483"/>
      <c r="U188" s="1483"/>
      <c r="V188" s="1483"/>
      <c r="W188" s="1483"/>
      <c r="X188" s="1483"/>
      <c r="Y188" s="1483"/>
      <c r="Z188" s="1483"/>
      <c r="AA188" s="1483"/>
      <c r="AB188" s="1483"/>
      <c r="AC188" s="1483"/>
      <c r="AD188" s="1483"/>
      <c r="AE188" s="1483"/>
      <c r="BN188" s="23" t="s">
        <v>235</v>
      </c>
      <c r="BT188" t="s">
        <v>66</v>
      </c>
    </row>
    <row r="189" spans="1:72" ht="12.9" customHeight="1">
      <c r="C189" s="21"/>
      <c r="D189" t="s">
        <v>587</v>
      </c>
      <c r="I189" s="1474" t="s">
        <v>738</v>
      </c>
      <c r="J189" s="1397"/>
      <c r="K189" s="1397"/>
      <c r="L189" s="1397"/>
      <c r="M189" s="1397"/>
      <c r="N189" s="1397"/>
      <c r="O189" s="1397"/>
      <c r="P189" s="1397"/>
      <c r="Q189" t="s">
        <v>589</v>
      </c>
      <c r="T189" s="1397" t="s">
        <v>738</v>
      </c>
      <c r="U189" s="1397"/>
      <c r="V189" s="1397"/>
      <c r="W189" s="1397"/>
      <c r="X189" s="1397"/>
      <c r="Y189" s="1397"/>
      <c r="Z189" s="1397"/>
      <c r="AA189" s="1397"/>
      <c r="AB189" s="1397"/>
      <c r="AC189" s="1397"/>
      <c r="AD189" s="1397"/>
      <c r="AE189" s="1397"/>
      <c r="BC189" t="s">
        <v>307</v>
      </c>
      <c r="BH189" s="3" t="s">
        <v>598</v>
      </c>
      <c r="BN189" s="23" t="s">
        <v>236</v>
      </c>
      <c r="BT189" t="s">
        <v>67</v>
      </c>
    </row>
    <row r="190" spans="1:72" ht="12.9" customHeight="1">
      <c r="C190" s="21"/>
      <c r="D190" t="s">
        <v>590</v>
      </c>
      <c r="I190" s="1396">
        <v>94103</v>
      </c>
      <c r="J190" s="1396"/>
      <c r="K190" s="1396"/>
      <c r="L190" s="1396"/>
      <c r="M190" s="1396"/>
      <c r="N190" s="1396"/>
      <c r="O190" t="s">
        <v>592</v>
      </c>
      <c r="T190" s="1568">
        <v>607.02</v>
      </c>
      <c r="U190" s="1568"/>
      <c r="V190" s="1568"/>
      <c r="W190" s="1568"/>
      <c r="X190" s="1568"/>
      <c r="Y190" s="1568"/>
      <c r="Z190" s="1568"/>
      <c r="AA190" s="1568"/>
      <c r="AB190" s="1568"/>
      <c r="AC190" s="1568"/>
      <c r="AD190" s="1568"/>
      <c r="AE190" s="1568"/>
      <c r="BC190" t="s">
        <v>1064</v>
      </c>
      <c r="BH190" t="s">
        <v>1064</v>
      </c>
      <c r="BN190" s="23" t="s">
        <v>642</v>
      </c>
      <c r="BT190" t="s">
        <v>68</v>
      </c>
    </row>
    <row r="191" spans="1:72" ht="12.9" customHeight="1">
      <c r="C191" s="21"/>
      <c r="D191" t="s">
        <v>469</v>
      </c>
      <c r="N191" s="1482">
        <v>3956008</v>
      </c>
      <c r="O191" s="1482"/>
      <c r="P191" s="1482"/>
      <c r="Q191" s="1482"/>
      <c r="R191" s="1482"/>
      <c r="S191" s="1482"/>
      <c r="T191" s="1482"/>
      <c r="U191" s="1482"/>
      <c r="V191" s="1482"/>
      <c r="W191" s="1482"/>
      <c r="X191" s="1482"/>
      <c r="Y191" s="1482"/>
      <c r="Z191" s="1482"/>
      <c r="AA191" s="1482"/>
      <c r="AB191" s="1482"/>
      <c r="AC191" s="1482"/>
      <c r="AD191" s="1482"/>
      <c r="AE191" s="1482"/>
      <c r="BC191" t="s">
        <v>1063</v>
      </c>
      <c r="BH191" t="s">
        <v>1063</v>
      </c>
      <c r="BN191" s="23" t="s">
        <v>696</v>
      </c>
      <c r="BT191" t="s">
        <v>735</v>
      </c>
    </row>
    <row r="192" spans="1:72" ht="12.9" customHeight="1">
      <c r="C192" s="21"/>
      <c r="M192" s="40"/>
      <c r="N192" s="1483"/>
      <c r="O192" s="1483"/>
      <c r="P192" s="1483"/>
      <c r="Q192" s="1483"/>
      <c r="R192" s="1483"/>
      <c r="S192" s="1483"/>
      <c r="T192" s="1483"/>
      <c r="U192" s="1483"/>
      <c r="V192" s="1483"/>
      <c r="W192" s="1483"/>
      <c r="X192" s="1483"/>
      <c r="Y192" s="1483"/>
      <c r="Z192" s="1483"/>
      <c r="AA192" s="1483"/>
      <c r="AB192" s="1483"/>
      <c r="AC192" s="1483"/>
      <c r="AD192" s="1483"/>
      <c r="AE192" s="1483"/>
      <c r="BC192" t="s">
        <v>1066</v>
      </c>
      <c r="BH192" s="3" t="s">
        <v>1473</v>
      </c>
      <c r="BN192" s="23" t="s">
        <v>697</v>
      </c>
      <c r="BT192" t="s">
        <v>736</v>
      </c>
    </row>
    <row r="193" spans="1:74" ht="12.9" customHeight="1">
      <c r="C193" s="21"/>
      <c r="D193" t="s">
        <v>2396</v>
      </c>
      <c r="M193" s="40"/>
      <c r="N193" s="928"/>
      <c r="O193" s="928"/>
      <c r="P193" s="928"/>
      <c r="Q193" s="928"/>
      <c r="R193" s="928"/>
      <c r="S193" s="928"/>
      <c r="T193" s="1570" t="s">
        <v>2576</v>
      </c>
      <c r="U193" s="1570"/>
      <c r="V193" s="1570"/>
      <c r="W193" s="1570"/>
      <c r="X193" s="1570"/>
      <c r="Y193" s="1570"/>
      <c r="Z193" s="1570"/>
      <c r="AA193" s="1570"/>
      <c r="AB193" s="1570"/>
      <c r="AC193" s="1570"/>
      <c r="AD193" s="1570"/>
      <c r="AE193" s="1570"/>
      <c r="AF193" s="1570"/>
      <c r="AG193" s="1570"/>
      <c r="AH193" s="1570"/>
      <c r="AI193" s="1570"/>
      <c r="BC193" t="s">
        <v>1065</v>
      </c>
      <c r="BH193" s="3" t="s">
        <v>1740</v>
      </c>
      <c r="BN193" s="23" t="s">
        <v>698</v>
      </c>
      <c r="BT193" t="s">
        <v>737</v>
      </c>
    </row>
    <row r="194" spans="1:74" ht="12.9" customHeight="1">
      <c r="C194" s="21"/>
      <c r="D194" s="3" t="s">
        <v>2578</v>
      </c>
      <c r="M194" s="40"/>
      <c r="N194" s="928"/>
      <c r="O194" s="928"/>
      <c r="P194" s="928"/>
      <c r="Q194" s="928"/>
      <c r="R194" s="928"/>
      <c r="S194" s="928"/>
      <c r="AH194" s="1415" t="s">
        <v>676</v>
      </c>
      <c r="AI194" s="1415"/>
      <c r="BC194" t="s">
        <v>1473</v>
      </c>
      <c r="BN194" s="23" t="s">
        <v>699</v>
      </c>
      <c r="BT194" t="s">
        <v>738</v>
      </c>
    </row>
    <row r="195" spans="1:74" ht="12.9" customHeight="1">
      <c r="C195" s="21"/>
      <c r="D195" t="s">
        <v>331</v>
      </c>
      <c r="T195" s="1415" t="s">
        <v>676</v>
      </c>
      <c r="U195" s="1415"/>
      <c r="W195" t="s">
        <v>692</v>
      </c>
      <c r="AH195" s="1415">
        <v>11</v>
      </c>
      <c r="AI195" s="1415"/>
      <c r="BC195" t="s">
        <v>2046</v>
      </c>
      <c r="BN195" s="23" t="s">
        <v>242</v>
      </c>
      <c r="BT195" t="s">
        <v>739</v>
      </c>
    </row>
    <row r="196" spans="1:74" ht="12.9" customHeight="1">
      <c r="C196" s="21"/>
      <c r="D196" t="s">
        <v>386</v>
      </c>
      <c r="T196" s="1416" t="s">
        <v>676</v>
      </c>
      <c r="U196" s="1416"/>
      <c r="W196" t="s">
        <v>693</v>
      </c>
      <c r="AH196" s="1415">
        <v>17</v>
      </c>
      <c r="AI196" s="1415"/>
      <c r="BN196" s="23" t="s">
        <v>243</v>
      </c>
      <c r="BT196" t="s">
        <v>69</v>
      </c>
    </row>
    <row r="197" spans="1:74" ht="12.9" customHeight="1">
      <c r="C197" s="21"/>
      <c r="D197" s="3" t="s">
        <v>168</v>
      </c>
      <c r="T197" s="1416" t="s">
        <v>676</v>
      </c>
      <c r="U197" s="1416"/>
      <c r="W197" t="s">
        <v>694</v>
      </c>
      <c r="AH197" s="1415">
        <v>11</v>
      </c>
      <c r="AI197" s="1415"/>
      <c r="BC197" t="s">
        <v>307</v>
      </c>
      <c r="BN197" s="23" t="s">
        <v>244</v>
      </c>
      <c r="BT197" t="s">
        <v>70</v>
      </c>
    </row>
    <row r="198" spans="1:74" s="14" customFormat="1" ht="12.9" customHeight="1">
      <c r="A198"/>
      <c r="B198"/>
      <c r="C198" s="21"/>
      <c r="D198" s="3" t="s">
        <v>1763</v>
      </c>
      <c r="E198"/>
      <c r="F198"/>
      <c r="G198"/>
      <c r="H198"/>
      <c r="I198"/>
      <c r="J198"/>
      <c r="K198"/>
      <c r="L198"/>
      <c r="M198"/>
      <c r="N198"/>
      <c r="O198"/>
      <c r="P198"/>
      <c r="Q198"/>
      <c r="R198"/>
      <c r="S198"/>
      <c r="T198" s="1416">
        <v>0</v>
      </c>
      <c r="U198" s="1416"/>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191</v>
      </c>
      <c r="BU198"/>
      <c r="BV198" s="31"/>
    </row>
    <row r="199" spans="1:74" s="14" customFormat="1" ht="12.9" customHeight="1">
      <c r="A199"/>
      <c r="B199"/>
      <c r="C199" s="21"/>
      <c r="D199" s="118" t="s">
        <v>2528</v>
      </c>
      <c r="E199"/>
      <c r="F199"/>
      <c r="G199"/>
      <c r="H199"/>
      <c r="I199"/>
      <c r="J199"/>
      <c r="K199"/>
      <c r="L199"/>
      <c r="M199"/>
      <c r="N199"/>
      <c r="O199"/>
      <c r="P199"/>
      <c r="Q199"/>
      <c r="R199"/>
      <c r="S199"/>
      <c r="T199"/>
      <c r="U199"/>
      <c r="V199"/>
      <c r="W199"/>
      <c r="Z199" s="1415" t="s">
        <v>676</v>
      </c>
      <c r="AA199" s="1415"/>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192</v>
      </c>
      <c r="BU199"/>
      <c r="BV199" s="31"/>
    </row>
    <row r="200" spans="1:74" s="14" customFormat="1" ht="12.9"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707</v>
      </c>
      <c r="BO200"/>
      <c r="BP200"/>
      <c r="BQ200"/>
      <c r="BR200"/>
      <c r="BS200"/>
      <c r="BT200" s="32" t="s">
        <v>193</v>
      </c>
      <c r="BU200"/>
    </row>
    <row r="201" spans="1:74" s="14" customFormat="1" ht="12.9"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194</v>
      </c>
      <c r="BU201"/>
    </row>
    <row r="202" spans="1:74" ht="12.9" customHeight="1">
      <c r="C202" s="21"/>
      <c r="D202" s="546"/>
      <c r="BC202" t="s">
        <v>1090</v>
      </c>
      <c r="BD202" s="469"/>
      <c r="BN202" s="23" t="s">
        <v>709</v>
      </c>
      <c r="BO202" s="14"/>
      <c r="BP202" s="32"/>
      <c r="BQ202" s="32"/>
      <c r="BR202" s="32"/>
      <c r="BS202" s="32"/>
      <c r="BT202" s="32" t="s">
        <v>195</v>
      </c>
    </row>
    <row r="203" spans="1:74" ht="12.9" customHeight="1">
      <c r="A203" s="2" t="s">
        <v>593</v>
      </c>
      <c r="C203" s="2" t="s">
        <v>136</v>
      </c>
      <c r="BC203" t="s">
        <v>1091</v>
      </c>
      <c r="BN203" s="23" t="s">
        <v>710</v>
      </c>
      <c r="BO203" s="14"/>
      <c r="BP203" s="32"/>
      <c r="BQ203" s="32"/>
      <c r="BR203" s="32"/>
      <c r="BS203" s="32"/>
      <c r="BT203" s="32" t="s">
        <v>196</v>
      </c>
    </row>
    <row r="204" spans="1:74" ht="12.9" customHeight="1">
      <c r="D204" s="1511" t="s">
        <v>385</v>
      </c>
      <c r="E204" s="1511"/>
      <c r="F204" s="1511"/>
      <c r="G204" s="1511"/>
      <c r="H204" s="1511"/>
      <c r="I204" s="1511"/>
      <c r="J204" s="1511"/>
      <c r="K204" s="1511"/>
      <c r="L204" s="1511"/>
      <c r="M204" s="1511"/>
      <c r="P204" s="1554">
        <f>M26</f>
        <v>6739724.5</v>
      </c>
      <c r="Q204" s="1555"/>
      <c r="R204" s="1555"/>
      <c r="S204" s="1555"/>
      <c r="T204" s="1555"/>
      <c r="U204" s="1555"/>
      <c r="Z204" s="1574" t="s">
        <v>1289</v>
      </c>
      <c r="AA204" s="1574"/>
      <c r="AB204" s="1574"/>
      <c r="AC204" s="1574"/>
      <c r="AD204" s="1574"/>
      <c r="AE204" s="1574"/>
      <c r="AF204" s="1574"/>
      <c r="BC204" t="s">
        <v>617</v>
      </c>
      <c r="BN204" s="23" t="s">
        <v>711</v>
      </c>
      <c r="BT204" s="32" t="s">
        <v>197</v>
      </c>
      <c r="BU204" s="14"/>
    </row>
    <row r="205" spans="1:74" ht="12.9" customHeight="1">
      <c r="C205" s="21"/>
      <c r="D205" s="1573" t="s">
        <v>1354</v>
      </c>
      <c r="E205" s="1511"/>
      <c r="F205" s="1511"/>
      <c r="G205" s="1511"/>
      <c r="H205" s="1511"/>
      <c r="I205" s="1511"/>
      <c r="J205" s="1511"/>
      <c r="K205" s="1511"/>
      <c r="L205" s="1511"/>
      <c r="M205" s="1511"/>
      <c r="P205" s="1555">
        <f>M27</f>
        <v>0</v>
      </c>
      <c r="Q205" s="1555"/>
      <c r="R205" s="1555"/>
      <c r="S205" s="1555"/>
      <c r="T205" s="1555"/>
      <c r="U205" s="1555"/>
      <c r="V205" s="28"/>
      <c r="W205" s="3" t="s">
        <v>1908</v>
      </c>
      <c r="Z205" s="1574"/>
      <c r="AA205" s="1574"/>
      <c r="AB205" s="1574"/>
      <c r="AC205" s="1574"/>
      <c r="AD205" s="1574"/>
      <c r="AE205" s="1574"/>
      <c r="AF205" s="1574"/>
      <c r="AG205" t="s">
        <v>1355</v>
      </c>
      <c r="AP205" s="1415" t="s">
        <v>676</v>
      </c>
      <c r="AQ205" s="1415"/>
      <c r="BC205" t="s">
        <v>1049</v>
      </c>
      <c r="BN205" s="23" t="s">
        <v>109</v>
      </c>
      <c r="BT205" s="32" t="s">
        <v>173</v>
      </c>
      <c r="BU205" s="14"/>
    </row>
    <row r="206" spans="1:74" ht="12.9" customHeight="1">
      <c r="D206" s="29"/>
      <c r="E206" s="29"/>
      <c r="F206" s="29"/>
      <c r="G206" s="29"/>
      <c r="H206" s="29"/>
      <c r="I206" s="29"/>
      <c r="J206" s="29"/>
      <c r="K206" s="29"/>
      <c r="L206" s="29"/>
      <c r="M206" s="29"/>
      <c r="N206" s="29"/>
      <c r="O206" s="29"/>
      <c r="P206" s="29"/>
      <c r="Z206" s="1575"/>
      <c r="AA206" s="1575"/>
      <c r="AB206" s="1575"/>
      <c r="AC206" s="1575"/>
      <c r="AD206" s="1575"/>
      <c r="AE206" s="1575"/>
      <c r="AF206" s="1575"/>
      <c r="BC206" s="470" t="s">
        <v>1092</v>
      </c>
      <c r="BN206" s="23" t="s">
        <v>110</v>
      </c>
      <c r="BT206" s="32" t="s">
        <v>198</v>
      </c>
      <c r="BU206" s="14"/>
    </row>
    <row r="207" spans="1:74" ht="12.9" customHeight="1">
      <c r="A207" s="2" t="s">
        <v>596</v>
      </c>
      <c r="C207" s="2" t="s">
        <v>558</v>
      </c>
      <c r="BC207" s="3" t="s">
        <v>2568</v>
      </c>
      <c r="BN207" s="23" t="s">
        <v>45</v>
      </c>
      <c r="BT207" s="32" t="s">
        <v>199</v>
      </c>
    </row>
    <row r="208" spans="1:74" ht="12.9" customHeight="1">
      <c r="C208" s="21"/>
      <c r="D208" s="1455" t="s">
        <v>2638</v>
      </c>
      <c r="E208" s="1455"/>
      <c r="F208" s="1455"/>
      <c r="G208" s="1455"/>
      <c r="H208" s="1455"/>
      <c r="I208" s="1455"/>
      <c r="J208" s="1455"/>
      <c r="K208" s="1455"/>
      <c r="L208" s="1455"/>
      <c r="M208" s="1455"/>
      <c r="BC208" t="s">
        <v>1093</v>
      </c>
      <c r="BN208" s="23" t="s">
        <v>46</v>
      </c>
      <c r="BT208" s="32" t="s">
        <v>200</v>
      </c>
    </row>
    <row r="209" spans="1:72" ht="12.9" customHeight="1">
      <c r="BC209" t="s">
        <v>666</v>
      </c>
      <c r="BN209" s="23" t="s">
        <v>47</v>
      </c>
      <c r="BT209" s="32" t="s">
        <v>201</v>
      </c>
    </row>
    <row r="210" spans="1:72" ht="12.9" customHeight="1">
      <c r="A210" s="2" t="s">
        <v>597</v>
      </c>
      <c r="C210" s="2" t="s">
        <v>388</v>
      </c>
      <c r="BN210" s="23" t="s">
        <v>48</v>
      </c>
      <c r="BT210" s="32" t="s">
        <v>202</v>
      </c>
    </row>
    <row r="211" spans="1:72" ht="12.9" customHeight="1">
      <c r="C211" s="21"/>
      <c r="D211" s="1455" t="s">
        <v>2046</v>
      </c>
      <c r="E211" s="1455"/>
      <c r="F211" s="1455"/>
      <c r="G211" s="1455"/>
      <c r="H211" s="1455"/>
      <c r="I211" s="1455"/>
      <c r="J211" s="1455"/>
      <c r="K211" s="1455"/>
      <c r="L211" s="1455"/>
      <c r="M211" s="1455"/>
      <c r="BN211" s="23" t="s">
        <v>129</v>
      </c>
      <c r="BT211" s="32" t="s">
        <v>130</v>
      </c>
    </row>
    <row r="212" spans="1:72" ht="12.9" customHeight="1">
      <c r="C212" s="21"/>
      <c r="D212" t="s">
        <v>1351</v>
      </c>
      <c r="Y212" s="1415"/>
      <c r="Z212" s="1415"/>
      <c r="AB212" s="1558">
        <f>IFERROR(Y212/AG440,"")</f>
        <v>0</v>
      </c>
      <c r="AC212" s="1559"/>
      <c r="BC212" t="s">
        <v>307</v>
      </c>
      <c r="BI212" t="s">
        <v>1289</v>
      </c>
      <c r="BN212" s="23" t="s">
        <v>49</v>
      </c>
      <c r="BT212" s="32" t="s">
        <v>203</v>
      </c>
    </row>
    <row r="213" spans="1:72" ht="12.9" customHeight="1">
      <c r="D213" s="1189" t="s">
        <v>1739</v>
      </c>
      <c r="BC213" t="s">
        <v>533</v>
      </c>
      <c r="BI213" t="s">
        <v>2626</v>
      </c>
      <c r="BN213" s="23" t="s">
        <v>50</v>
      </c>
      <c r="BT213" s="32" t="s">
        <v>204</v>
      </c>
    </row>
    <row r="214" spans="1:72" ht="12.9" customHeight="1">
      <c r="D214" s="1549" t="s">
        <v>598</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537</v>
      </c>
      <c r="BI214" t="s">
        <v>2632</v>
      </c>
      <c r="BN214" s="23" t="s">
        <v>326</v>
      </c>
      <c r="BT214" s="32" t="s">
        <v>205</v>
      </c>
    </row>
    <row r="215" spans="1:72" ht="12.9" customHeight="1">
      <c r="D215" s="3" t="s">
        <v>1764</v>
      </c>
      <c r="Z215" s="40"/>
      <c r="AB215" s="1493"/>
      <c r="AC215" s="1493"/>
      <c r="AD215" s="1493"/>
      <c r="AE215" s="1493"/>
      <c r="AF215" s="1493"/>
      <c r="AG215" s="1493"/>
      <c r="AH215" s="1493"/>
      <c r="AI215" s="1493"/>
      <c r="AJ215" s="1493"/>
      <c r="AK215" s="1493"/>
      <c r="AL215" s="1493"/>
      <c r="AM215" s="21"/>
      <c r="AN215" s="21"/>
      <c r="AO215" s="21"/>
      <c r="AP215" s="21"/>
      <c r="AQ215" s="21"/>
      <c r="AR215" s="21"/>
      <c r="AS215" s="21"/>
      <c r="AT215" s="21"/>
      <c r="AU215" s="21"/>
      <c r="AV215" s="21"/>
      <c r="AW215" s="21"/>
      <c r="AX215" s="21"/>
      <c r="AY215" s="21"/>
      <c r="BC215" t="s">
        <v>534</v>
      </c>
      <c r="BI215" t="s">
        <v>2627</v>
      </c>
    </row>
    <row r="216" spans="1:72" ht="12.9" customHeight="1">
      <c r="D216" s="3" t="s">
        <v>1762</v>
      </c>
      <c r="Z216" s="40"/>
      <c r="AB216" s="1493"/>
      <c r="AC216" s="1493"/>
      <c r="AD216" s="1493"/>
      <c r="AE216" s="1493"/>
      <c r="AF216" s="1493"/>
      <c r="AG216" s="1493"/>
      <c r="AH216" s="1493"/>
      <c r="AI216" s="1493"/>
      <c r="AJ216" s="1493"/>
      <c r="AK216" s="1493"/>
      <c r="AL216" s="1493"/>
      <c r="AM216" s="21"/>
      <c r="AN216" s="21"/>
      <c r="AO216" s="21"/>
      <c r="AP216" s="21"/>
      <c r="AQ216" s="21"/>
      <c r="AR216" s="21"/>
      <c r="AS216" s="21"/>
      <c r="AT216" s="21"/>
      <c r="AU216" s="21"/>
      <c r="AV216" s="21"/>
      <c r="AW216" s="21"/>
      <c r="AX216" s="21"/>
      <c r="AY216" s="21"/>
      <c r="BC216" t="s">
        <v>573</v>
      </c>
      <c r="BI216" t="s">
        <v>2628</v>
      </c>
    </row>
    <row r="217" spans="1:72" ht="12.9"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row>
    <row r="218" spans="1:72" ht="12.9" customHeight="1">
      <c r="A218" s="2" t="s">
        <v>599</v>
      </c>
      <c r="C218" s="2" t="s">
        <v>1327</v>
      </c>
      <c r="D218" s="28"/>
      <c r="BC218" t="s">
        <v>536</v>
      </c>
    </row>
    <row r="219" spans="1:72" ht="12.9" customHeight="1">
      <c r="A219" s="2"/>
      <c r="C219" s="2"/>
      <c r="D219" s="4" t="s">
        <v>1007</v>
      </c>
      <c r="AZ219" s="3"/>
      <c r="BA219" s="3"/>
      <c r="BC219" t="s">
        <v>377</v>
      </c>
    </row>
    <row r="220" spans="1:72" ht="12.9" customHeight="1">
      <c r="A220" s="2"/>
      <c r="C220" s="2"/>
      <c r="D220" s="1455" t="s">
        <v>666</v>
      </c>
      <c r="E220" s="1455"/>
      <c r="F220" s="1455"/>
      <c r="G220" s="1455"/>
      <c r="H220" s="1455"/>
      <c r="I220" s="1455"/>
      <c r="J220" s="1455"/>
      <c r="K220" s="1455"/>
      <c r="L220" s="1455"/>
      <c r="M220" s="1455"/>
      <c r="N220" s="1455"/>
      <c r="O220" s="1455"/>
      <c r="P220" s="1455"/>
      <c r="Q220" s="1455"/>
      <c r="R220" s="1455"/>
      <c r="S220" s="1455"/>
      <c r="T220" s="1455"/>
      <c r="U220" s="1455"/>
      <c r="V220" s="1455"/>
      <c r="W220" s="1455"/>
      <c r="X220" s="1455"/>
      <c r="Y220" s="1455"/>
      <c r="Z220" s="1455"/>
      <c r="BA220" s="3"/>
      <c r="BC220" t="s">
        <v>300</v>
      </c>
    </row>
    <row r="221" spans="1:72" ht="12.9" customHeight="1">
      <c r="A221" s="2"/>
      <c r="B221" s="14"/>
      <c r="C221" s="2"/>
      <c r="AU221" s="95"/>
      <c r="AV221" s="95"/>
      <c r="AW221" s="95"/>
      <c r="AX221" s="95"/>
      <c r="AY221" s="95"/>
      <c r="BA221" s="3"/>
    </row>
    <row r="222" spans="1:72" ht="12.9" customHeight="1">
      <c r="A222" s="1547" t="s">
        <v>547</v>
      </c>
      <c r="B222" s="1547"/>
      <c r="C222" s="1547"/>
      <c r="D222" s="1547"/>
      <c r="E222" s="1547"/>
      <c r="F222" s="1547"/>
      <c r="G222" s="1547"/>
      <c r="H222" s="1547"/>
      <c r="I222" s="1547"/>
      <c r="J222" s="1547"/>
      <c r="K222" s="1547"/>
      <c r="L222" s="1547"/>
      <c r="M222" s="1547"/>
      <c r="N222" s="1547"/>
      <c r="O222" s="1547"/>
      <c r="P222" s="1547"/>
      <c r="Q222" s="1547"/>
      <c r="R222" s="1547"/>
      <c r="S222" s="1547"/>
      <c r="T222" s="1547"/>
      <c r="U222" s="1547"/>
      <c r="V222" s="1547"/>
      <c r="W222" s="1547"/>
      <c r="X222" s="1547"/>
      <c r="Y222" s="1547"/>
      <c r="Z222" s="1547"/>
      <c r="AA222" s="1547"/>
      <c r="AB222" s="1547"/>
      <c r="AC222" s="1547"/>
      <c r="AD222" s="1547"/>
      <c r="AE222" s="1547"/>
      <c r="AF222" s="1547"/>
      <c r="AG222" s="1547"/>
      <c r="AH222" s="1547"/>
      <c r="AI222" s="1547"/>
      <c r="AJ222" s="1547"/>
      <c r="AK222" s="1547"/>
      <c r="AL222" s="1547"/>
      <c r="AM222" s="1547"/>
      <c r="AN222" s="1547"/>
      <c r="AO222" s="1547"/>
      <c r="AP222" s="1547"/>
      <c r="AQ222" s="1547"/>
      <c r="AR222" s="1547"/>
      <c r="AS222" s="1547"/>
      <c r="AT222" s="1547"/>
      <c r="AU222" s="95"/>
      <c r="AV222" s="95"/>
      <c r="AW222" s="95"/>
      <c r="AX222" s="95"/>
      <c r="AY222" s="95"/>
      <c r="AZ222" s="3"/>
      <c r="BA222" s="3"/>
      <c r="BP222" s="34"/>
    </row>
    <row r="223" spans="1:72" ht="12.9" customHeight="1">
      <c r="A223" s="1547"/>
      <c r="B223" s="1547"/>
      <c r="C223" s="1547"/>
      <c r="D223" s="1547"/>
      <c r="E223" s="1547"/>
      <c r="F223" s="1547"/>
      <c r="G223" s="1547"/>
      <c r="H223" s="1547"/>
      <c r="I223" s="1547"/>
      <c r="J223" s="1547"/>
      <c r="K223" s="1547"/>
      <c r="L223" s="1547"/>
      <c r="M223" s="1547"/>
      <c r="N223" s="1547"/>
      <c r="O223" s="1547"/>
      <c r="P223" s="1547"/>
      <c r="Q223" s="1547"/>
      <c r="R223" s="1547"/>
      <c r="S223" s="1547"/>
      <c r="T223" s="1547"/>
      <c r="U223" s="1547"/>
      <c r="V223" s="1547"/>
      <c r="W223" s="1547"/>
      <c r="X223" s="1547"/>
      <c r="Y223" s="1547"/>
      <c r="Z223" s="1547"/>
      <c r="AA223" s="1547"/>
      <c r="AB223" s="1547"/>
      <c r="AC223" s="1547"/>
      <c r="AD223" s="1547"/>
      <c r="AE223" s="1547"/>
      <c r="AF223" s="1547"/>
      <c r="AG223" s="1547"/>
      <c r="AH223" s="1547"/>
      <c r="AI223" s="1547"/>
      <c r="AJ223" s="1547"/>
      <c r="AK223" s="1547"/>
      <c r="AL223" s="1547"/>
      <c r="AM223" s="1547"/>
      <c r="AN223" s="1547"/>
      <c r="AO223" s="1547"/>
      <c r="AP223" s="1547"/>
      <c r="AQ223" s="1547"/>
      <c r="AR223" s="1547"/>
      <c r="AS223" s="1547"/>
      <c r="AT223" s="1547"/>
      <c r="BA223" s="3"/>
      <c r="BB223" s="3"/>
      <c r="BQ223" s="34"/>
    </row>
    <row r="224" spans="1:72" ht="12.9" customHeight="1">
      <c r="AZ224" s="4"/>
      <c r="BA224" s="3"/>
      <c r="BB224" s="3"/>
      <c r="BQ224" s="34"/>
    </row>
    <row r="225" spans="1:69" ht="12.9" customHeight="1">
      <c r="A225" s="2" t="s">
        <v>319</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598</v>
      </c>
      <c r="AJ226" s="1415"/>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552</v>
      </c>
      <c r="AJ227" s="1415"/>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598</v>
      </c>
      <c r="AJ228" s="1415"/>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598</v>
      </c>
      <c r="AJ229" s="1415"/>
      <c r="AL229" s="3"/>
      <c r="AM229" s="3"/>
      <c r="AN229" s="3"/>
      <c r="AO229" s="3"/>
      <c r="AP229" s="3"/>
      <c r="AQ229" s="3"/>
      <c r="AR229" s="3"/>
      <c r="AS229" s="3"/>
      <c r="AT229" s="3"/>
      <c r="AU229" s="3"/>
      <c r="AV229" s="3"/>
      <c r="AW229" s="3"/>
      <c r="AX229" s="3"/>
      <c r="AY229" s="3"/>
      <c r="BA229" s="3"/>
      <c r="BB229" s="218" t="s">
        <v>545</v>
      </c>
      <c r="BG229" s="259">
        <f>IF(AND(AND($M$249="for profit",$M$257="nonprofit",$M$265="(select one)")),2,0)</f>
        <v>2</v>
      </c>
      <c r="BO229" s="34"/>
    </row>
    <row r="230" spans="1:6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0</v>
      </c>
      <c r="BO230" s="34"/>
    </row>
    <row r="231" spans="1:69" ht="12.9" customHeight="1">
      <c r="A231" s="2" t="s">
        <v>583</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 customHeight="1">
      <c r="D232" s="4" t="s">
        <v>477</v>
      </c>
      <c r="E232" s="4"/>
      <c r="F232" s="4"/>
      <c r="G232" s="4"/>
      <c r="H232" s="4"/>
      <c r="I232" s="4"/>
      <c r="J232" s="4"/>
      <c r="K232" s="4"/>
      <c r="M232" s="1569" t="str">
        <f>H16</f>
        <v>De Haro MRK LLC</v>
      </c>
      <c r="N232" s="1569"/>
      <c r="O232" s="1569"/>
      <c r="P232" s="1569"/>
      <c r="Q232" s="1569"/>
      <c r="R232" s="1569"/>
      <c r="S232" s="1569"/>
      <c r="T232" s="1569"/>
      <c r="U232" s="1569"/>
      <c r="V232" s="1569"/>
      <c r="W232" s="1569"/>
      <c r="X232" s="1569"/>
      <c r="Y232" s="1569"/>
      <c r="Z232" s="1569"/>
      <c r="AA232" s="1569"/>
      <c r="AB232" s="1569"/>
      <c r="AC232" s="1569"/>
      <c r="AD232" s="1569"/>
      <c r="AE232" s="1569"/>
      <c r="AF232" s="1569"/>
      <c r="AG232" s="1569"/>
      <c r="AH232" s="1569"/>
      <c r="AI232" s="1569"/>
      <c r="AJ232" s="1569"/>
      <c r="AK232" s="1569"/>
      <c r="AZ232" s="4"/>
      <c r="BA232" s="3"/>
      <c r="BB232" s="219" t="s">
        <v>545</v>
      </c>
      <c r="BG232" s="259">
        <f>IF(AND(AND($M$249="nonprofit",$M$257="nonprofit",$M$265="for profit")),2,0)</f>
        <v>0</v>
      </c>
      <c r="BQ232" s="34"/>
    </row>
    <row r="233" spans="1:69" ht="12.9" customHeight="1">
      <c r="D233" s="4" t="s">
        <v>85</v>
      </c>
      <c r="E233" s="4"/>
      <c r="F233" s="4"/>
      <c r="G233" s="4"/>
      <c r="H233" s="4"/>
      <c r="I233" s="4"/>
      <c r="J233" s="4"/>
      <c r="K233" s="4"/>
      <c r="M233" s="1474" t="s">
        <v>2762</v>
      </c>
      <c r="N233" s="1455"/>
      <c r="O233" s="1455"/>
      <c r="P233" s="1455"/>
      <c r="Q233" s="1455"/>
      <c r="R233" s="1455"/>
      <c r="S233" s="1455"/>
      <c r="T233" s="1455"/>
      <c r="U233" s="1455"/>
      <c r="V233" s="1455"/>
      <c r="W233" s="1455"/>
      <c r="X233" s="1455"/>
      <c r="Y233" s="1455"/>
      <c r="Z233" s="1455"/>
      <c r="AA233" s="1455"/>
      <c r="AB233" s="1455"/>
      <c r="AC233" s="1455"/>
      <c r="AD233" s="1455"/>
      <c r="AE233" s="1455"/>
      <c r="BB233" s="219" t="s">
        <v>545</v>
      </c>
      <c r="BG233" s="259">
        <f>IF(AND(AND($M$249="nonprofit",$M$257="for profit",$M$265="nonprofit")),2,0)</f>
        <v>0</v>
      </c>
    </row>
    <row r="234" spans="1:69" ht="12.9" customHeight="1">
      <c r="D234" s="4" t="s">
        <v>587</v>
      </c>
      <c r="E234" s="4"/>
      <c r="M234" s="1474" t="s">
        <v>2763</v>
      </c>
      <c r="N234" s="1455"/>
      <c r="O234" s="1455"/>
      <c r="P234" s="1455"/>
      <c r="Q234" s="1455"/>
      <c r="R234" s="1455"/>
      <c r="S234" s="1455"/>
      <c r="T234" s="1455"/>
      <c r="V234" s="33" t="s">
        <v>86</v>
      </c>
      <c r="W234" s="1453" t="s">
        <v>2659</v>
      </c>
      <c r="X234" s="1399"/>
      <c r="Y234" s="4" t="s">
        <v>590</v>
      </c>
      <c r="AC234" s="1455">
        <v>90266</v>
      </c>
      <c r="AD234" s="1455"/>
      <c r="AE234" s="1455"/>
      <c r="AU234" s="4"/>
      <c r="AV234" s="4"/>
      <c r="AW234" s="4"/>
      <c r="AX234" s="4"/>
      <c r="AY234" s="4"/>
      <c r="AZ234" s="4"/>
      <c r="BB234" s="219" t="s">
        <v>545</v>
      </c>
      <c r="BG234" s="258">
        <f>IF(AND(AND($M$249="for profit",$M$257="nonprofit",$M$265="nonprofit")),2,0)</f>
        <v>0</v>
      </c>
      <c r="BO234" s="34"/>
    </row>
    <row r="235" spans="1:69" ht="12.9" customHeight="1">
      <c r="D235" s="4" t="s">
        <v>87</v>
      </c>
      <c r="E235" s="4"/>
      <c r="F235" s="4"/>
      <c r="G235" s="4"/>
      <c r="H235" s="4"/>
      <c r="I235" s="4"/>
      <c r="J235" s="4"/>
      <c r="K235" s="19"/>
      <c r="M235" s="1474" t="s">
        <v>2652</v>
      </c>
      <c r="N235" s="1455"/>
      <c r="O235" s="1455"/>
      <c r="P235" s="1455"/>
      <c r="Q235" s="1455"/>
      <c r="R235" s="1455"/>
      <c r="S235" s="1455"/>
      <c r="T235" s="1455"/>
      <c r="U235" s="1455"/>
      <c r="V235" s="1455"/>
      <c r="W235" s="1455"/>
      <c r="X235" s="1455"/>
      <c r="Y235" s="1455"/>
      <c r="Z235" s="1455"/>
      <c r="AA235" s="1455"/>
      <c r="AB235" s="1455"/>
      <c r="AC235" s="1455"/>
      <c r="AD235" s="1455"/>
      <c r="AE235" s="1455"/>
      <c r="AI235" s="4"/>
      <c r="AJ235" s="4"/>
      <c r="AK235" s="4"/>
      <c r="AL235" s="4"/>
      <c r="AM235" s="4"/>
      <c r="AN235" s="4"/>
      <c r="AO235" s="4"/>
      <c r="AP235" s="4"/>
      <c r="AQ235" s="4"/>
      <c r="AR235" s="4"/>
      <c r="AS235" s="4"/>
      <c r="AT235" s="4"/>
      <c r="BB235" s="219"/>
      <c r="BG235" s="218"/>
    </row>
    <row r="236" spans="1:69" ht="12.9" customHeight="1">
      <c r="D236" s="4" t="s">
        <v>88</v>
      </c>
      <c r="E236" s="4"/>
      <c r="F236" s="4"/>
      <c r="M236" s="1550" t="s">
        <v>2653</v>
      </c>
      <c r="N236" s="1400"/>
      <c r="O236" s="1400"/>
      <c r="P236" s="1400"/>
      <c r="Q236" s="1400"/>
      <c r="R236" s="1400"/>
      <c r="S236" s="4" t="s">
        <v>206</v>
      </c>
      <c r="T236" s="4"/>
      <c r="U236" s="1399"/>
      <c r="V236" s="1399"/>
      <c r="W236" s="1399"/>
      <c r="X236" s="4" t="s">
        <v>89</v>
      </c>
      <c r="Z236" s="1400"/>
      <c r="AA236" s="1400"/>
      <c r="AB236" s="1400"/>
      <c r="AC236" s="1400"/>
      <c r="AD236" s="1400"/>
      <c r="AE236" s="1400"/>
      <c r="AU236" s="4"/>
      <c r="AV236" s="4"/>
      <c r="AW236" s="4"/>
      <c r="AX236" s="4"/>
      <c r="AY236" s="4"/>
      <c r="AZ236" s="4"/>
      <c r="BB236" s="218" t="s">
        <v>544</v>
      </c>
      <c r="BG236" s="259">
        <f>IF(AND(AND($M$249="nonprofit",$M$257="nonprofit",$M$265="(select one)")),1,0)</f>
        <v>0</v>
      </c>
    </row>
    <row r="237" spans="1:69" ht="12.9" customHeight="1">
      <c r="D237" s="4" t="s">
        <v>90</v>
      </c>
      <c r="E237" s="4"/>
      <c r="F237" s="4"/>
      <c r="M237" s="1539" t="s">
        <v>2654</v>
      </c>
      <c r="N237" s="1539"/>
      <c r="O237" s="1539"/>
      <c r="P237" s="1539"/>
      <c r="Q237" s="1539"/>
      <c r="R237" s="1539"/>
      <c r="S237" s="1539"/>
      <c r="T237" s="1539"/>
      <c r="U237" s="1539"/>
      <c r="V237" s="1539"/>
      <c r="W237" s="1539"/>
      <c r="X237" s="1539"/>
      <c r="Y237" s="1539"/>
      <c r="Z237" s="1539"/>
      <c r="AA237" s="1539"/>
      <c r="AB237" s="1539"/>
      <c r="AC237" s="1539"/>
      <c r="AD237" s="1539"/>
      <c r="AE237" s="1539"/>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 customHeight="1">
      <c r="A238" s="2" t="s">
        <v>593</v>
      </c>
      <c r="C238" s="2" t="s">
        <v>532</v>
      </c>
      <c r="M238" s="1396" t="s">
        <v>300</v>
      </c>
      <c r="N238" s="1396"/>
      <c r="O238" s="1396"/>
      <c r="P238" s="1396"/>
      <c r="Q238" s="1396"/>
      <c r="R238" s="1396"/>
      <c r="S238" s="1396"/>
      <c r="T238" s="1396"/>
      <c r="U238" s="218" t="s">
        <v>920</v>
      </c>
      <c r="V238" s="218"/>
      <c r="W238" s="218"/>
      <c r="X238" s="218"/>
      <c r="Y238" s="218"/>
      <c r="Z238" s="218"/>
      <c r="AA238" s="1543"/>
      <c r="AB238" s="1544"/>
      <c r="AC238" s="1544"/>
      <c r="AD238" s="1544"/>
      <c r="AE238" s="1544"/>
      <c r="AF238" s="1544"/>
      <c r="AG238" s="1544"/>
      <c r="AH238" s="1544"/>
      <c r="AI238" s="1544"/>
      <c r="AJ238" s="1544"/>
      <c r="AK238" s="1544"/>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 customHeight="1">
      <c r="D239" t="s">
        <v>538</v>
      </c>
      <c r="M239" s="1474" t="s">
        <v>2685</v>
      </c>
      <c r="N239" s="1397"/>
      <c r="O239" s="1397"/>
      <c r="P239" s="1397"/>
      <c r="Q239" s="1397"/>
      <c r="R239" s="1397"/>
      <c r="S239" s="1397"/>
      <c r="T239" s="1397"/>
      <c r="U239" s="1397"/>
      <c r="V239" s="1397"/>
      <c r="W239" s="1397"/>
      <c r="X239" s="1397"/>
      <c r="Y239" s="1397"/>
      <c r="Z239" s="1397"/>
      <c r="AA239" s="1397"/>
      <c r="AB239" s="1397"/>
      <c r="AC239" s="1397"/>
      <c r="AD239" s="1397"/>
      <c r="AE239" s="1397"/>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 customHeight="1">
      <c r="D240" s="4"/>
      <c r="BB240" s="218" t="s">
        <v>888</v>
      </c>
      <c r="BG240" s="259">
        <f>IF(AND(AND($M$249="for profit",$M$257="for profit",$M$265="for profit")),3,0)</f>
        <v>0</v>
      </c>
    </row>
    <row r="241" spans="1:71" ht="12.9" customHeight="1">
      <c r="A241" s="2" t="s">
        <v>596</v>
      </c>
      <c r="C241" s="2" t="s">
        <v>1288</v>
      </c>
      <c r="D241" s="4"/>
      <c r="L241" s="8"/>
      <c r="M241" s="8"/>
      <c r="N241" s="8"/>
      <c r="AU241" s="3"/>
      <c r="AV241" s="3"/>
      <c r="AW241" s="3"/>
      <c r="AX241" s="3"/>
      <c r="AY241" s="3"/>
      <c r="BB241" s="218" t="s">
        <v>888</v>
      </c>
      <c r="BG241" s="259">
        <f>IF(AND(AND($M$249="for profit",$M$257="(select one)",$M$265="(select one)")),3,0)</f>
        <v>0</v>
      </c>
    </row>
    <row r="242" spans="1:71"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 customHeight="1">
      <c r="A243" s="19"/>
      <c r="B243" s="4"/>
      <c r="C243" s="56" t="s">
        <v>480</v>
      </c>
      <c r="D243" s="4" t="s">
        <v>539</v>
      </c>
      <c r="E243" s="4"/>
      <c r="F243" s="4"/>
      <c r="G243" s="4"/>
      <c r="H243" s="4"/>
      <c r="I243" s="4"/>
      <c r="J243" s="4"/>
      <c r="K243" s="4"/>
      <c r="L243" s="4"/>
      <c r="M243" s="1566" t="s">
        <v>2642</v>
      </c>
      <c r="N243" s="1541"/>
      <c r="O243" s="1541"/>
      <c r="P243" s="1541"/>
      <c r="Q243" s="1541"/>
      <c r="R243" s="1541"/>
      <c r="S243" s="1541"/>
      <c r="T243" s="1541"/>
      <c r="U243" s="1541"/>
      <c r="V243" s="1541"/>
      <c r="W243" s="1541"/>
      <c r="X243" s="1541"/>
      <c r="Y243" s="1541"/>
      <c r="Z243" s="1541"/>
      <c r="AA243" s="1541"/>
      <c r="AB243" s="1541"/>
      <c r="AC243" s="1541"/>
      <c r="AD243" s="1541"/>
      <c r="AE243" s="1541"/>
      <c r="AF243" s="1541" t="s">
        <v>2656</v>
      </c>
      <c r="AG243" s="1541"/>
      <c r="AH243" s="1541"/>
      <c r="AI243" s="1541"/>
      <c r="AJ243" s="1541"/>
      <c r="AK243" s="1541"/>
      <c r="AU243" s="4"/>
      <c r="AV243" s="4"/>
      <c r="AW243" s="4"/>
      <c r="AX243" s="4"/>
      <c r="AY243" s="4"/>
      <c r="BG243">
        <f>SUM(BG226:BG241)</f>
        <v>2</v>
      </c>
    </row>
    <row r="244" spans="1:71" ht="12.9" customHeight="1">
      <c r="A244" s="19"/>
      <c r="B244" s="4"/>
      <c r="C244" s="4"/>
      <c r="D244" s="4" t="s">
        <v>85</v>
      </c>
      <c r="E244" s="4"/>
      <c r="F244" s="4"/>
      <c r="G244" s="4"/>
      <c r="H244" s="4"/>
      <c r="I244" s="4"/>
      <c r="J244" s="4"/>
      <c r="K244" s="4"/>
      <c r="L244" s="4"/>
      <c r="M244" s="1474" t="s">
        <v>2762</v>
      </c>
      <c r="N244" s="1455"/>
      <c r="O244" s="1455"/>
      <c r="P244" s="1455"/>
      <c r="Q244" s="1455"/>
      <c r="R244" s="1455"/>
      <c r="S244" s="1455"/>
      <c r="T244" s="1455"/>
      <c r="U244" s="1455"/>
      <c r="V244" s="1455"/>
      <c r="W244" s="1455"/>
      <c r="X244" s="1455"/>
      <c r="Y244" s="1455"/>
      <c r="Z244" s="1455"/>
      <c r="AA244" s="1455"/>
      <c r="AB244" s="1455"/>
      <c r="AC244" s="1455"/>
      <c r="AD244" s="1455"/>
      <c r="AE244" s="1455"/>
      <c r="AF244" s="3" t="s">
        <v>1284</v>
      </c>
      <c r="AL244" s="4"/>
      <c r="AM244" s="4"/>
      <c r="AN244" s="4"/>
      <c r="AO244" s="4"/>
      <c r="AP244" s="4"/>
      <c r="AQ244" s="4"/>
      <c r="AR244" s="4"/>
      <c r="AS244" s="4"/>
      <c r="AT244" s="4"/>
      <c r="BB244" t="s">
        <v>307</v>
      </c>
      <c r="BG244">
        <v>1</v>
      </c>
      <c r="BH244" t="s">
        <v>541</v>
      </c>
    </row>
    <row r="245" spans="1:71" ht="12.9" customHeight="1">
      <c r="A245" s="19"/>
      <c r="B245" s="4"/>
      <c r="C245" s="4"/>
      <c r="D245" s="4" t="s">
        <v>587</v>
      </c>
      <c r="E245" s="4"/>
      <c r="M245" s="1474" t="s">
        <v>2764</v>
      </c>
      <c r="N245" s="1455"/>
      <c r="O245" s="1455"/>
      <c r="P245" s="1455"/>
      <c r="Q245" s="1455"/>
      <c r="R245" s="1455"/>
      <c r="S245" s="1455"/>
      <c r="T245" s="1455"/>
      <c r="V245" s="33" t="s">
        <v>86</v>
      </c>
      <c r="W245" s="1453" t="s">
        <v>2659</v>
      </c>
      <c r="X245" s="1399"/>
      <c r="Y245" s="4" t="s">
        <v>590</v>
      </c>
      <c r="AC245" s="1455">
        <v>90266</v>
      </c>
      <c r="AD245" s="1455"/>
      <c r="AE245" s="1455"/>
      <c r="AF245" s="3" t="s">
        <v>1285</v>
      </c>
      <c r="AU245" s="4"/>
      <c r="AV245" s="4"/>
      <c r="AW245" s="4"/>
      <c r="AX245" s="4"/>
      <c r="AY245" s="4"/>
      <c r="BB245" s="4" t="s">
        <v>280</v>
      </c>
      <c r="BG245">
        <v>2</v>
      </c>
      <c r="BH245" t="s">
        <v>573</v>
      </c>
      <c r="BO245" s="257" t="str">
        <f>VLOOKUP(BG243,BG244:BH247,2,FALSE)</f>
        <v>Joint Venture</v>
      </c>
    </row>
    <row r="246" spans="1:71" ht="12.9" customHeight="1">
      <c r="A246" s="19"/>
      <c r="B246" s="4"/>
      <c r="C246" s="4"/>
      <c r="D246" s="4" t="s">
        <v>87</v>
      </c>
      <c r="E246" s="4"/>
      <c r="F246" s="4"/>
      <c r="G246" s="4"/>
      <c r="H246" s="4"/>
      <c r="I246" s="4"/>
      <c r="J246" s="4"/>
      <c r="K246" s="4"/>
      <c r="L246" s="19"/>
      <c r="M246" s="1455" t="s">
        <v>2652</v>
      </c>
      <c r="N246" s="1455"/>
      <c r="O246" s="1455"/>
      <c r="P246" s="1455"/>
      <c r="Q246" s="1455"/>
      <c r="R246" s="1455"/>
      <c r="S246" s="1455"/>
      <c r="T246" s="1455"/>
      <c r="U246" s="1455"/>
      <c r="V246" s="1455"/>
      <c r="W246" s="1455"/>
      <c r="X246" s="1455"/>
      <c r="Y246" s="1455"/>
      <c r="Z246" s="1455"/>
      <c r="AA246" s="1455"/>
      <c r="AB246" s="1455"/>
      <c r="AC246" s="1455"/>
      <c r="AD246" s="1455"/>
      <c r="AE246" s="1455"/>
      <c r="AH246" s="1546">
        <v>5.0000000000000001E-3</v>
      </c>
      <c r="AI246" s="1546"/>
      <c r="AJ246" s="1546"/>
      <c r="AK246" s="1546"/>
      <c r="AL246" s="4"/>
      <c r="AM246" s="4"/>
      <c r="AN246" s="4"/>
      <c r="AO246" s="4"/>
      <c r="AP246" s="4"/>
      <c r="AQ246" s="4"/>
      <c r="AR246" s="4"/>
      <c r="AS246" s="4"/>
      <c r="AT246" s="4"/>
      <c r="BB246" s="4" t="s">
        <v>172</v>
      </c>
      <c r="BG246">
        <v>3</v>
      </c>
      <c r="BH246" t="s">
        <v>543</v>
      </c>
      <c r="BN246" s="34"/>
    </row>
    <row r="247" spans="1:71" ht="12.9" customHeight="1">
      <c r="A247" s="19"/>
      <c r="B247" s="4"/>
      <c r="C247" s="4"/>
      <c r="D247" s="4" t="s">
        <v>88</v>
      </c>
      <c r="E247" s="4"/>
      <c r="F247" s="4"/>
      <c r="M247" s="1400" t="s">
        <v>2653</v>
      </c>
      <c r="N247" s="1400"/>
      <c r="O247" s="1400"/>
      <c r="P247" s="1400"/>
      <c r="Q247" s="1400"/>
      <c r="R247" s="1400"/>
      <c r="S247" s="4" t="s">
        <v>206</v>
      </c>
      <c r="T247" s="4"/>
      <c r="U247" s="1399"/>
      <c r="V247" s="1399"/>
      <c r="W247" s="1399"/>
      <c r="X247" s="4" t="s">
        <v>89</v>
      </c>
      <c r="Z247" s="1400"/>
      <c r="AA247" s="1400"/>
      <c r="AB247" s="1400"/>
      <c r="AC247" s="1400"/>
      <c r="AD247" s="1400"/>
      <c r="AE247" s="1400"/>
      <c r="AU247" s="4"/>
      <c r="AV247" s="4"/>
      <c r="AW247" s="4"/>
      <c r="AX247" s="4"/>
      <c r="AY247" s="4"/>
      <c r="BG247">
        <v>0</v>
      </c>
      <c r="BH247" s="3"/>
      <c r="BN247" s="34"/>
    </row>
    <row r="248" spans="1:71" ht="12.9" customHeight="1">
      <c r="A248" s="19"/>
      <c r="B248" s="4"/>
      <c r="C248" s="4"/>
      <c r="D248" s="4" t="s">
        <v>90</v>
      </c>
      <c r="E248" s="4"/>
      <c r="F248" s="4"/>
      <c r="M248" s="1539" t="s">
        <v>2654</v>
      </c>
      <c r="N248" s="1539"/>
      <c r="O248" s="1539"/>
      <c r="P248" s="1539"/>
      <c r="Q248" s="1539"/>
      <c r="R248" s="1539"/>
      <c r="S248" s="1539"/>
      <c r="T248" s="1539"/>
      <c r="U248" s="1539"/>
      <c r="V248" s="1539"/>
      <c r="W248" s="1539"/>
      <c r="X248" s="1539"/>
      <c r="Y248" s="1539"/>
      <c r="Z248" s="1539"/>
      <c r="AA248" s="1539"/>
      <c r="AB248" s="1539"/>
      <c r="AC248" s="1539"/>
      <c r="AD248" s="1539"/>
      <c r="AE248" s="1539"/>
      <c r="AG248" s="4"/>
      <c r="AH248" s="4"/>
      <c r="AI248" s="4"/>
      <c r="AJ248" s="4"/>
      <c r="AK248" s="4"/>
      <c r="AL248" s="4"/>
      <c r="AM248" s="4"/>
      <c r="AN248" s="4"/>
      <c r="AO248" s="4"/>
      <c r="AP248" s="4"/>
      <c r="AQ248" s="4"/>
      <c r="AR248" s="4"/>
      <c r="AS248" s="4"/>
      <c r="AT248" s="4"/>
      <c r="BN248" s="34"/>
    </row>
    <row r="249" spans="1:71" ht="12.9" customHeight="1">
      <c r="A249" s="13"/>
      <c r="B249" s="4"/>
      <c r="C249" s="56"/>
      <c r="D249" s="4" t="s">
        <v>542</v>
      </c>
      <c r="E249" s="4"/>
      <c r="F249" s="4"/>
      <c r="G249" s="4"/>
      <c r="H249" s="4"/>
      <c r="I249" s="4"/>
      <c r="J249" s="4"/>
      <c r="K249" s="4"/>
      <c r="L249" s="4"/>
      <c r="M249" s="1396" t="s">
        <v>543</v>
      </c>
      <c r="N249" s="1396"/>
      <c r="O249" s="1396"/>
      <c r="P249" s="1396"/>
      <c r="Q249" s="1396"/>
      <c r="R249" s="1396"/>
      <c r="S249" s="1396"/>
      <c r="T249" s="1396"/>
      <c r="U249" s="218" t="s">
        <v>920</v>
      </c>
      <c r="V249" s="218"/>
      <c r="W249" s="218"/>
      <c r="X249" s="218"/>
      <c r="Y249" s="218"/>
      <c r="Z249" s="218"/>
      <c r="AA249" s="1544"/>
      <c r="AB249" s="1544"/>
      <c r="AC249" s="1544"/>
      <c r="AD249" s="1544"/>
      <c r="AE249" s="1544"/>
      <c r="AF249" s="1544"/>
      <c r="AG249" s="1544"/>
      <c r="AH249" s="1544"/>
      <c r="AI249" s="1544"/>
      <c r="AJ249" s="1544"/>
      <c r="AK249" s="1544"/>
      <c r="BN249" s="34"/>
    </row>
    <row r="250" spans="1:71" ht="12.9" customHeight="1">
      <c r="A250" s="19"/>
      <c r="B250" s="4"/>
      <c r="C250" s="4"/>
      <c r="D250" s="4"/>
      <c r="E250" s="4"/>
      <c r="F250" s="4"/>
      <c r="G250" s="4"/>
      <c r="H250" s="4"/>
      <c r="I250" s="4"/>
      <c r="J250" s="4"/>
      <c r="K250" s="4"/>
      <c r="L250" s="4"/>
      <c r="AG250" s="4"/>
      <c r="AH250" s="4"/>
      <c r="AI250" s="4"/>
      <c r="AJ250" s="4"/>
      <c r="BN250" s="34"/>
    </row>
    <row r="251" spans="1:71" ht="12.9" customHeight="1">
      <c r="A251" s="2"/>
      <c r="B251" s="4"/>
      <c r="C251" s="56" t="s">
        <v>98</v>
      </c>
      <c r="D251" s="4" t="s">
        <v>973</v>
      </c>
      <c r="E251" s="4"/>
      <c r="F251" s="4"/>
      <c r="G251" s="4"/>
      <c r="H251" s="4"/>
      <c r="I251" s="4"/>
      <c r="J251" s="4"/>
      <c r="K251" s="4"/>
      <c r="L251" s="4"/>
      <c r="M251" s="1566" t="s">
        <v>2657</v>
      </c>
      <c r="N251" s="1541"/>
      <c r="O251" s="1541"/>
      <c r="P251" s="1541"/>
      <c r="Q251" s="1541"/>
      <c r="R251" s="1541"/>
      <c r="S251" s="1541"/>
      <c r="T251" s="1541"/>
      <c r="U251" s="1541"/>
      <c r="V251" s="1541"/>
      <c r="W251" s="1541"/>
      <c r="X251" s="1541"/>
      <c r="Y251" s="1541"/>
      <c r="Z251" s="1541"/>
      <c r="AA251" s="1541"/>
      <c r="AB251" s="1541"/>
      <c r="AC251" s="1541"/>
      <c r="AD251" s="1541"/>
      <c r="AE251" s="1541"/>
      <c r="AF251" s="1541" t="s">
        <v>2658</v>
      </c>
      <c r="AG251" s="1541"/>
      <c r="AH251" s="1541"/>
      <c r="AI251" s="1541"/>
      <c r="AJ251" s="1541"/>
      <c r="AK251" s="1541"/>
      <c r="AU251" s="4"/>
      <c r="AV251" s="4"/>
      <c r="AW251" s="4"/>
      <c r="AX251" s="4"/>
      <c r="AY251" s="4"/>
      <c r="BN251" s="34"/>
    </row>
    <row r="252" spans="1:71" ht="12.9" customHeight="1">
      <c r="A252" s="19"/>
      <c r="B252" s="4"/>
      <c r="C252" s="4"/>
      <c r="D252" s="4" t="s">
        <v>85</v>
      </c>
      <c r="E252" s="4"/>
      <c r="F252" s="4"/>
      <c r="G252" s="4"/>
      <c r="H252" s="4"/>
      <c r="I252" s="4"/>
      <c r="J252" s="4"/>
      <c r="K252" s="4"/>
      <c r="L252" s="4"/>
      <c r="M252" s="1474" t="s">
        <v>2686</v>
      </c>
      <c r="N252" s="1455"/>
      <c r="O252" s="1455"/>
      <c r="P252" s="1455"/>
      <c r="Q252" s="1455"/>
      <c r="R252" s="1455"/>
      <c r="S252" s="1455"/>
      <c r="T252" s="1455"/>
      <c r="U252" s="1455"/>
      <c r="V252" s="1455"/>
      <c r="W252" s="1455"/>
      <c r="X252" s="1455"/>
      <c r="Y252" s="1455"/>
      <c r="Z252" s="1455"/>
      <c r="AA252" s="1455"/>
      <c r="AB252" s="1455"/>
      <c r="AC252" s="1455"/>
      <c r="AD252" s="1455"/>
      <c r="AE252" s="1455"/>
      <c r="AF252" s="3" t="s">
        <v>1284</v>
      </c>
      <c r="AL252" s="4"/>
      <c r="AM252" s="4"/>
      <c r="AN252" s="4"/>
      <c r="AO252" s="4"/>
      <c r="AP252" s="4"/>
      <c r="AQ252" s="4"/>
      <c r="AR252" s="4"/>
      <c r="AS252" s="4"/>
      <c r="AT252" s="4"/>
      <c r="BN252" s="34"/>
    </row>
    <row r="253" spans="1:71" ht="12.9" customHeight="1">
      <c r="A253" s="19"/>
      <c r="B253" s="4"/>
      <c r="C253" s="4"/>
      <c r="D253" s="4" t="s">
        <v>587</v>
      </c>
      <c r="E253" s="4"/>
      <c r="M253" s="1474" t="s">
        <v>737</v>
      </c>
      <c r="N253" s="1455"/>
      <c r="O253" s="1455"/>
      <c r="P253" s="1455"/>
      <c r="Q253" s="1455"/>
      <c r="R253" s="1455"/>
      <c r="S253" s="1455"/>
      <c r="T253" s="1455"/>
      <c r="V253" s="33" t="s">
        <v>86</v>
      </c>
      <c r="W253" s="1453" t="s">
        <v>2659</v>
      </c>
      <c r="X253" s="1399"/>
      <c r="Y253" s="4" t="s">
        <v>590</v>
      </c>
      <c r="AC253" s="1455">
        <v>92127</v>
      </c>
      <c r="AD253" s="1455"/>
      <c r="AE253" s="1455"/>
      <c r="AF253" s="3" t="s">
        <v>1285</v>
      </c>
      <c r="AU253" s="4"/>
      <c r="AV253" s="4"/>
      <c r="AW253" s="4"/>
      <c r="AX253" s="4"/>
      <c r="AY253" s="4"/>
      <c r="BN253" s="34"/>
    </row>
    <row r="254" spans="1:71" ht="12.9" customHeight="1">
      <c r="A254" s="19"/>
      <c r="B254" s="4"/>
      <c r="C254" s="4"/>
      <c r="D254" s="4" t="s">
        <v>87</v>
      </c>
      <c r="E254" s="4"/>
      <c r="F254" s="4"/>
      <c r="G254" s="4"/>
      <c r="H254" s="4"/>
      <c r="I254" s="4"/>
      <c r="J254" s="4"/>
      <c r="K254" s="4"/>
      <c r="L254" s="19"/>
      <c r="M254" s="1474" t="s">
        <v>2775</v>
      </c>
      <c r="N254" s="1455"/>
      <c r="O254" s="1455"/>
      <c r="P254" s="1455"/>
      <c r="Q254" s="1455"/>
      <c r="R254" s="1455"/>
      <c r="S254" s="1455"/>
      <c r="T254" s="1455"/>
      <c r="U254" s="1455"/>
      <c r="V254" s="1455"/>
      <c r="W254" s="1455"/>
      <c r="X254" s="1455"/>
      <c r="Y254" s="1455"/>
      <c r="Z254" s="1455"/>
      <c r="AA254" s="1455"/>
      <c r="AB254" s="1455"/>
      <c r="AC254" s="1455"/>
      <c r="AD254" s="1455"/>
      <c r="AE254" s="1455"/>
      <c r="AH254" s="1546">
        <v>5.0000000000000001E-3</v>
      </c>
      <c r="AI254" s="1546"/>
      <c r="AJ254" s="1546"/>
      <c r="AK254" s="1546"/>
      <c r="AL254" s="4"/>
      <c r="AM254" s="4"/>
      <c r="AN254" s="4"/>
      <c r="AO254" s="4"/>
      <c r="AP254" s="4"/>
      <c r="AQ254" s="4"/>
      <c r="AR254" s="4"/>
      <c r="AS254" s="4"/>
      <c r="AT254" s="4"/>
    </row>
    <row r="255" spans="1:71" ht="12.9" customHeight="1">
      <c r="A255" s="19"/>
      <c r="B255" s="4"/>
      <c r="C255" s="4"/>
      <c r="D255" s="4" t="s">
        <v>88</v>
      </c>
      <c r="E255" s="4"/>
      <c r="F255" s="4"/>
      <c r="M255" s="1550" t="s">
        <v>2687</v>
      </c>
      <c r="N255" s="1400"/>
      <c r="O255" s="1400"/>
      <c r="P255" s="1400"/>
      <c r="Q255" s="1400"/>
      <c r="R255" s="1400"/>
      <c r="S255" s="4" t="s">
        <v>206</v>
      </c>
      <c r="T255" s="4"/>
      <c r="U255" s="1399"/>
      <c r="V255" s="1399"/>
      <c r="W255" s="1399"/>
      <c r="X255" s="4" t="s">
        <v>89</v>
      </c>
      <c r="Z255" s="1400"/>
      <c r="AA255" s="1400"/>
      <c r="AB255" s="1400"/>
      <c r="AC255" s="1400"/>
      <c r="AD255" s="1400"/>
      <c r="AE255" s="1400"/>
      <c r="AU255" s="4"/>
      <c r="AV255" s="4"/>
      <c r="AW255" s="4"/>
      <c r="AX255" s="4"/>
      <c r="AY255" s="4"/>
      <c r="BN255" s="34"/>
    </row>
    <row r="256" spans="1:71" ht="12.9" customHeight="1">
      <c r="A256" s="19"/>
      <c r="B256" s="4"/>
      <c r="C256" s="4"/>
      <c r="D256" s="4" t="s">
        <v>90</v>
      </c>
      <c r="E256" s="4"/>
      <c r="F256" s="4"/>
      <c r="M256" s="1539" t="s">
        <v>2774</v>
      </c>
      <c r="N256" s="1539"/>
      <c r="O256" s="1539"/>
      <c r="P256" s="1539"/>
      <c r="Q256" s="1539"/>
      <c r="R256" s="1539"/>
      <c r="S256" s="1539"/>
      <c r="T256" s="1539"/>
      <c r="U256" s="1539"/>
      <c r="V256" s="1539"/>
      <c r="W256" s="1539"/>
      <c r="X256" s="1539"/>
      <c r="Y256" s="1539"/>
      <c r="Z256" s="1539"/>
      <c r="AA256" s="1539"/>
      <c r="AB256" s="1539"/>
      <c r="AC256" s="1539"/>
      <c r="AD256" s="1539"/>
      <c r="AE256" s="1539"/>
      <c r="AG256" s="4"/>
      <c r="AH256" s="4"/>
      <c r="AI256" s="4"/>
      <c r="AJ256" s="4"/>
      <c r="AK256" s="4"/>
      <c r="AL256" s="4"/>
      <c r="AM256" s="4"/>
      <c r="AN256" s="4"/>
      <c r="AO256" s="4"/>
      <c r="AP256" s="4"/>
      <c r="AQ256" s="4"/>
      <c r="AR256" s="4"/>
      <c r="AS256" s="4"/>
      <c r="AT256" s="4"/>
      <c r="AU256" s="3"/>
      <c r="AV256" s="3"/>
      <c r="AW256" s="3"/>
      <c r="AX256" s="3"/>
      <c r="AY256" s="3"/>
      <c r="BN256" s="34"/>
    </row>
    <row r="257" spans="1:66" ht="12.9" customHeight="1">
      <c r="A257" s="13"/>
      <c r="B257" s="4"/>
      <c r="C257" s="56"/>
      <c r="D257" s="4" t="s">
        <v>542</v>
      </c>
      <c r="E257" s="4"/>
      <c r="F257" s="4"/>
      <c r="G257" s="4"/>
      <c r="H257" s="4"/>
      <c r="I257" s="4"/>
      <c r="J257" s="4"/>
      <c r="K257" s="4"/>
      <c r="L257" s="4"/>
      <c r="M257" s="1396" t="s">
        <v>541</v>
      </c>
      <c r="N257" s="1396"/>
      <c r="O257" s="1396"/>
      <c r="P257" s="1396"/>
      <c r="Q257" s="1396"/>
      <c r="R257" s="1396"/>
      <c r="S257" s="1396"/>
      <c r="T257" s="1396"/>
      <c r="U257" s="218" t="s">
        <v>920</v>
      </c>
      <c r="V257" s="218"/>
      <c r="W257" s="218"/>
      <c r="X257" s="218"/>
      <c r="Y257" s="218"/>
      <c r="Z257" s="218"/>
      <c r="AA257" s="1543" t="s">
        <v>2657</v>
      </c>
      <c r="AB257" s="1544"/>
      <c r="AC257" s="1544"/>
      <c r="AD257" s="1544"/>
      <c r="AE257" s="1544"/>
      <c r="AF257" s="1544"/>
      <c r="AG257" s="1544"/>
      <c r="AH257" s="1544"/>
      <c r="AI257" s="1544"/>
      <c r="AJ257" s="1544"/>
      <c r="AK257" s="1544"/>
      <c r="AL257" s="3"/>
      <c r="AM257" s="3"/>
      <c r="AN257" s="3"/>
      <c r="AO257" s="3"/>
      <c r="AP257" s="3"/>
      <c r="AQ257" s="3"/>
      <c r="AR257" s="3"/>
      <c r="AS257" s="3"/>
      <c r="AT257" s="3"/>
      <c r="AU257" s="3"/>
      <c r="AV257" s="3"/>
      <c r="AW257" s="3"/>
      <c r="AX257" s="3"/>
      <c r="AY257" s="3"/>
      <c r="BN257" s="34"/>
    </row>
    <row r="258" spans="1:66"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 customHeight="1">
      <c r="A259" s="13"/>
      <c r="B259" s="4"/>
      <c r="C259" s="56" t="s">
        <v>887</v>
      </c>
      <c r="D259" s="4" t="s">
        <v>539</v>
      </c>
      <c r="E259" s="4"/>
      <c r="F259" s="4"/>
      <c r="G259" s="4"/>
      <c r="H259" s="4"/>
      <c r="I259" s="4"/>
      <c r="J259" s="4"/>
      <c r="K259" s="4"/>
      <c r="L259" s="4"/>
      <c r="M259" s="1541"/>
      <c r="N259" s="1541"/>
      <c r="O259" s="1541"/>
      <c r="P259" s="1541"/>
      <c r="Q259" s="1541"/>
      <c r="R259" s="1541"/>
      <c r="S259" s="1541"/>
      <c r="T259" s="1541"/>
      <c r="U259" s="1541"/>
      <c r="V259" s="1541"/>
      <c r="W259" s="1541"/>
      <c r="X259" s="1541"/>
      <c r="Y259" s="1541"/>
      <c r="Z259" s="1541"/>
      <c r="AA259" s="1541"/>
      <c r="AB259" s="1541"/>
      <c r="AC259" s="1541"/>
      <c r="AD259" s="1541"/>
      <c r="AE259" s="1541"/>
      <c r="AF259" s="1541" t="s">
        <v>307</v>
      </c>
      <c r="AG259" s="1541"/>
      <c r="AH259" s="1541"/>
      <c r="AI259" s="1541"/>
      <c r="AJ259" s="1541"/>
      <c r="AK259" s="1541"/>
      <c r="AL259" s="3"/>
      <c r="AM259" s="3"/>
      <c r="AN259" s="3"/>
      <c r="AO259" s="3"/>
      <c r="AP259" s="3"/>
      <c r="AQ259" s="3"/>
      <c r="AR259" s="3"/>
      <c r="AS259" s="3"/>
      <c r="AT259" s="3"/>
      <c r="AU259" s="3"/>
      <c r="AV259" s="3"/>
      <c r="AW259" s="3"/>
      <c r="AX259" s="3"/>
      <c r="AY259" s="3"/>
      <c r="BN259" s="34"/>
    </row>
    <row r="260" spans="1:66" ht="12.9" customHeight="1">
      <c r="A260" s="13"/>
      <c r="B260" s="4"/>
      <c r="C260" s="4"/>
      <c r="D260" s="4" t="s">
        <v>85</v>
      </c>
      <c r="E260" s="4"/>
      <c r="F260" s="4"/>
      <c r="G260" s="4"/>
      <c r="H260" s="4"/>
      <c r="I260" s="4"/>
      <c r="J260" s="4"/>
      <c r="K260" s="4"/>
      <c r="L260" s="4"/>
      <c r="M260" s="1455"/>
      <c r="N260" s="1455"/>
      <c r="O260" s="1455"/>
      <c r="P260" s="1455"/>
      <c r="Q260" s="1455"/>
      <c r="R260" s="1455"/>
      <c r="S260" s="1455"/>
      <c r="T260" s="1455"/>
      <c r="U260" s="1455"/>
      <c r="V260" s="1455"/>
      <c r="W260" s="1455"/>
      <c r="X260" s="1455"/>
      <c r="Y260" s="1455"/>
      <c r="Z260" s="1455"/>
      <c r="AA260" s="1455"/>
      <c r="AB260" s="1455"/>
      <c r="AC260" s="1455"/>
      <c r="AD260" s="1455"/>
      <c r="AE260" s="1455"/>
      <c r="AF260" s="3" t="s">
        <v>1284</v>
      </c>
      <c r="AL260" s="3"/>
      <c r="AM260" s="3"/>
      <c r="AN260" s="3"/>
      <c r="AO260" s="3"/>
      <c r="AP260" s="3"/>
      <c r="AQ260" s="3"/>
      <c r="AR260" s="3"/>
      <c r="AS260" s="3"/>
      <c r="AT260" s="3"/>
      <c r="AU260" s="3"/>
      <c r="AV260" s="3"/>
      <c r="AW260" s="3"/>
      <c r="AX260" s="3"/>
      <c r="AY260" s="3"/>
      <c r="BN260" s="34"/>
    </row>
    <row r="261" spans="1:66" ht="12.9" customHeight="1">
      <c r="A261" s="13"/>
      <c r="B261" s="4"/>
      <c r="C261" s="4"/>
      <c r="D261" s="4" t="s">
        <v>587</v>
      </c>
      <c r="E261" s="4"/>
      <c r="M261" s="1455"/>
      <c r="N261" s="1455"/>
      <c r="O261" s="1455"/>
      <c r="P261" s="1455"/>
      <c r="Q261" s="1455"/>
      <c r="R261" s="1455"/>
      <c r="S261" s="1455"/>
      <c r="T261" s="1455"/>
      <c r="V261" s="33" t="s">
        <v>86</v>
      </c>
      <c r="W261" s="1399"/>
      <c r="X261" s="1399"/>
      <c r="Y261" s="4" t="s">
        <v>590</v>
      </c>
      <c r="AC261" s="1455"/>
      <c r="AD261" s="1455"/>
      <c r="AE261" s="1455"/>
      <c r="AF261" s="3" t="s">
        <v>1285</v>
      </c>
      <c r="AL261" s="3"/>
      <c r="AM261" s="3"/>
      <c r="AN261" s="3"/>
      <c r="AO261" s="3"/>
      <c r="AP261" s="3"/>
      <c r="AQ261" s="3"/>
      <c r="AR261" s="3"/>
      <c r="AS261" s="3"/>
      <c r="AT261" s="3"/>
      <c r="AU261" s="3"/>
      <c r="AV261" s="3"/>
      <c r="AW261" s="3"/>
      <c r="AX261" s="3"/>
      <c r="AY261" s="3"/>
      <c r="BN261" s="34"/>
    </row>
    <row r="262" spans="1:66" ht="12.9" customHeight="1">
      <c r="A262" s="13"/>
      <c r="B262" s="4"/>
      <c r="C262" s="4"/>
      <c r="D262" s="4" t="s">
        <v>87</v>
      </c>
      <c r="E262" s="4"/>
      <c r="F262" s="4"/>
      <c r="G262" s="4"/>
      <c r="H262" s="4"/>
      <c r="I262" s="4"/>
      <c r="J262" s="4"/>
      <c r="K262" s="4"/>
      <c r="L262" s="19"/>
      <c r="M262" s="1455"/>
      <c r="N262" s="1455"/>
      <c r="O262" s="1455"/>
      <c r="P262" s="1455"/>
      <c r="Q262" s="1455"/>
      <c r="R262" s="1455"/>
      <c r="S262" s="1455"/>
      <c r="T262" s="1455"/>
      <c r="U262" s="1455"/>
      <c r="V262" s="1455"/>
      <c r="W262" s="1455"/>
      <c r="X262" s="1455"/>
      <c r="Y262" s="1455"/>
      <c r="Z262" s="1455"/>
      <c r="AA262" s="1455"/>
      <c r="AB262" s="1455"/>
      <c r="AC262" s="1455"/>
      <c r="AD262" s="1455"/>
      <c r="AE262" s="1455"/>
      <c r="AH262" s="1546"/>
      <c r="AI262" s="1546"/>
      <c r="AJ262" s="1546"/>
      <c r="AK262" s="1546"/>
      <c r="AL262" s="3"/>
      <c r="AM262" s="3"/>
      <c r="AN262" s="3"/>
      <c r="AO262" s="3"/>
      <c r="AP262" s="3"/>
      <c r="AQ262" s="3"/>
      <c r="AR262" s="3"/>
      <c r="AS262" s="3"/>
      <c r="AT262" s="3"/>
      <c r="AU262" s="3"/>
      <c r="AV262" s="3"/>
      <c r="AW262" s="3"/>
      <c r="AX262" s="3"/>
      <c r="AY262" s="3"/>
      <c r="BN262" s="34"/>
    </row>
    <row r="263" spans="1:66" ht="12.9" customHeight="1">
      <c r="A263" s="13"/>
      <c r="B263" s="4"/>
      <c r="C263" s="4"/>
      <c r="D263" s="4" t="s">
        <v>88</v>
      </c>
      <c r="E263" s="4"/>
      <c r="F263" s="4"/>
      <c r="M263" s="1400"/>
      <c r="N263" s="1400"/>
      <c r="O263" s="1400"/>
      <c r="P263" s="1400"/>
      <c r="Q263" s="1400"/>
      <c r="R263" s="1400"/>
      <c r="S263" s="4" t="s">
        <v>206</v>
      </c>
      <c r="T263" s="4"/>
      <c r="U263" s="1399"/>
      <c r="V263" s="1399"/>
      <c r="W263" s="1399"/>
      <c r="X263" s="4" t="s">
        <v>89</v>
      </c>
      <c r="Z263" s="1400"/>
      <c r="AA263" s="1400"/>
      <c r="AB263" s="1400"/>
      <c r="AC263" s="1400"/>
      <c r="AD263" s="1400"/>
      <c r="AE263" s="1400"/>
      <c r="AL263" s="3"/>
      <c r="AM263" s="3"/>
      <c r="AN263" s="3"/>
      <c r="AO263" s="3"/>
      <c r="AP263" s="3"/>
      <c r="AQ263" s="3"/>
      <c r="AR263" s="3"/>
      <c r="AS263" s="3"/>
      <c r="AT263" s="3"/>
      <c r="AU263" s="3"/>
      <c r="AV263" s="3"/>
      <c r="AW263" s="3"/>
      <c r="AX263" s="3"/>
      <c r="AY263" s="3"/>
      <c r="BN263" s="34"/>
    </row>
    <row r="264" spans="1:66" ht="12.9" customHeight="1">
      <c r="A264" s="13"/>
      <c r="B264" s="4"/>
      <c r="C264" s="4"/>
      <c r="D264" s="4" t="s">
        <v>90</v>
      </c>
      <c r="E264" s="4"/>
      <c r="F264" s="4"/>
      <c r="M264" s="1539"/>
      <c r="N264" s="1539"/>
      <c r="O264" s="1539"/>
      <c r="P264" s="1539"/>
      <c r="Q264" s="1539"/>
      <c r="R264" s="1539"/>
      <c r="S264" s="1539"/>
      <c r="T264" s="1539"/>
      <c r="U264" s="1539"/>
      <c r="V264" s="1539"/>
      <c r="W264" s="1539"/>
      <c r="X264" s="1539"/>
      <c r="Y264" s="1539"/>
      <c r="Z264" s="1539"/>
      <c r="AA264" s="1540"/>
      <c r="AB264" s="1540"/>
      <c r="AC264" s="1540"/>
      <c r="AD264" s="1540"/>
      <c r="AE264" s="1540"/>
      <c r="AG264" s="4"/>
      <c r="AH264" s="4"/>
      <c r="AI264" s="4"/>
      <c r="AJ264" s="4"/>
      <c r="AK264" s="4"/>
      <c r="AL264" s="3"/>
      <c r="AM264" s="3"/>
      <c r="AN264" s="3"/>
      <c r="AO264" s="3"/>
      <c r="AP264" s="3"/>
      <c r="AQ264" s="3"/>
      <c r="AR264" s="3"/>
      <c r="AS264" s="3"/>
      <c r="AT264" s="3"/>
      <c r="AU264" s="3"/>
      <c r="AV264" s="3"/>
      <c r="AW264" s="3"/>
      <c r="AX264" s="3"/>
      <c r="AY264" s="3"/>
      <c r="BN264" s="34"/>
    </row>
    <row r="265" spans="1:66" ht="12.9" customHeight="1">
      <c r="A265" s="13"/>
      <c r="B265" s="4"/>
      <c r="C265" s="56"/>
      <c r="D265" s="4" t="s">
        <v>542</v>
      </c>
      <c r="E265" s="4"/>
      <c r="F265" s="4"/>
      <c r="G265" s="4"/>
      <c r="H265" s="4"/>
      <c r="I265" s="4"/>
      <c r="J265" s="4"/>
      <c r="K265" s="4"/>
      <c r="L265" s="4"/>
      <c r="M265" s="1396" t="s">
        <v>307</v>
      </c>
      <c r="N265" s="1396"/>
      <c r="O265" s="1396"/>
      <c r="P265" s="1396"/>
      <c r="Q265" s="1396"/>
      <c r="R265" s="1396"/>
      <c r="S265" s="1396"/>
      <c r="T265" s="1396"/>
      <c r="U265" s="218" t="s">
        <v>920</v>
      </c>
      <c r="V265" s="218"/>
      <c r="W265" s="218"/>
      <c r="X265" s="218"/>
      <c r="Y265" s="218"/>
      <c r="Z265" s="218"/>
      <c r="AA265" s="1545"/>
      <c r="AB265" s="1545"/>
      <c r="AC265" s="1545"/>
      <c r="AD265" s="1545"/>
      <c r="AE265" s="1545"/>
      <c r="AF265" s="1545"/>
      <c r="AG265" s="1545"/>
      <c r="AH265" s="1545"/>
      <c r="AI265" s="1545"/>
      <c r="AJ265" s="1545"/>
      <c r="AK265" s="1545"/>
      <c r="AL265" s="3"/>
      <c r="AM265" s="3"/>
      <c r="AN265" s="3"/>
      <c r="AO265" s="3"/>
      <c r="AP265" s="3"/>
      <c r="AQ265" s="3"/>
      <c r="AR265" s="3"/>
      <c r="AS265" s="3"/>
      <c r="AT265" s="3"/>
      <c r="BN265" s="34"/>
    </row>
    <row r="266" spans="1:66"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 customHeight="1">
      <c r="A267" s="57" t="s">
        <v>597</v>
      </c>
      <c r="B267" s="4"/>
      <c r="C267" s="2" t="s">
        <v>295</v>
      </c>
      <c r="D267" s="4"/>
      <c r="E267" s="4"/>
      <c r="F267" s="4"/>
      <c r="G267" s="4"/>
      <c r="H267" s="4"/>
      <c r="I267" s="4"/>
      <c r="J267" s="4"/>
      <c r="K267" s="4"/>
      <c r="L267" s="4"/>
      <c r="M267" s="35"/>
      <c r="N267" s="35"/>
      <c r="O267" s="35"/>
      <c r="P267" s="35"/>
      <c r="Q267" s="35"/>
      <c r="T267" s="1542" t="str">
        <f>IFERROR(BO245,"")</f>
        <v>Joint Venture</v>
      </c>
      <c r="U267" s="1542"/>
      <c r="V267" s="1542"/>
      <c r="W267" s="1542"/>
      <c r="X267" s="1542"/>
      <c r="Z267" s="331" t="s">
        <v>972</v>
      </c>
      <c r="AA267" s="332"/>
      <c r="AB267" s="332"/>
      <c r="AC267" s="332"/>
      <c r="AD267" s="105"/>
      <c r="AE267" s="105"/>
      <c r="AF267" s="105"/>
      <c r="AG267" s="105"/>
      <c r="AH267" s="105"/>
      <c r="AI267" s="105"/>
      <c r="AJ267" s="105"/>
      <c r="AK267" s="333"/>
      <c r="AL267" s="58"/>
      <c r="BN267" s="34"/>
    </row>
    <row r="268" spans="1:66" ht="12.9"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 customHeight="1">
      <c r="A270" s="4"/>
      <c r="B270" s="36">
        <v>0</v>
      </c>
      <c r="D270" s="1455" t="s">
        <v>172</v>
      </c>
      <c r="E270" s="1455"/>
      <c r="F270" s="1455"/>
      <c r="G270" s="1455"/>
      <c r="H270" s="1455"/>
      <c r="J270" t="s">
        <v>279</v>
      </c>
      <c r="X270" s="1538">
        <v>45627</v>
      </c>
      <c r="Y270" s="1538"/>
      <c r="Z270" s="1538"/>
      <c r="AA270" s="1538"/>
      <c r="AB270" s="1538"/>
      <c r="AC270" s="1538"/>
      <c r="AU270" s="3"/>
      <c r="AV270" s="3"/>
      <c r="AW270" s="3"/>
      <c r="AX270" s="3"/>
      <c r="AY270" s="3"/>
      <c r="BN270" s="34"/>
    </row>
    <row r="271" spans="1:66" ht="12.9"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 customHeight="1">
      <c r="D274" s="4" t="s">
        <v>296</v>
      </c>
      <c r="E274" s="4"/>
      <c r="F274" s="4"/>
      <c r="G274" s="4"/>
      <c r="H274" s="4"/>
      <c r="I274" s="4"/>
      <c r="J274" s="4"/>
      <c r="K274" s="4"/>
      <c r="L274" s="1541" t="s">
        <v>2655</v>
      </c>
      <c r="M274" s="1541"/>
      <c r="N274" s="1541"/>
      <c r="O274" s="1541"/>
      <c r="P274" s="1541"/>
      <c r="Q274" s="1541"/>
      <c r="R274" s="1541"/>
      <c r="S274" s="1541"/>
      <c r="T274" s="1541"/>
      <c r="U274" s="1541"/>
      <c r="V274" s="1541"/>
      <c r="W274" s="1541"/>
      <c r="X274" s="1541"/>
      <c r="Y274" s="1541"/>
      <c r="Z274" s="1541"/>
      <c r="AA274" s="1541"/>
      <c r="AB274" s="1541"/>
      <c r="AC274" s="1541"/>
      <c r="AD274" s="1541"/>
      <c r="AE274" s="1541"/>
      <c r="AF274" s="1541"/>
      <c r="AG274" s="1541"/>
      <c r="AH274" s="1541"/>
      <c r="AI274" s="1541"/>
      <c r="AJ274" s="1541"/>
      <c r="AK274" s="3"/>
      <c r="AL274" s="3"/>
      <c r="AM274" s="3"/>
      <c r="AN274" s="3"/>
      <c r="AO274" s="3"/>
      <c r="AP274" s="3"/>
      <c r="AQ274" s="3"/>
      <c r="AR274" s="3"/>
      <c r="AS274" s="3"/>
      <c r="AT274" s="3"/>
      <c r="AU274" s="3"/>
      <c r="AV274" s="3"/>
      <c r="AW274" s="3"/>
      <c r="AX274" s="3"/>
      <c r="AY274" s="3"/>
      <c r="BN274" s="34"/>
    </row>
    <row r="275" spans="1:66" ht="12.9" customHeight="1">
      <c r="D275" s="4" t="s">
        <v>85</v>
      </c>
      <c r="E275" s="4"/>
      <c r="F275" s="4"/>
      <c r="G275" s="4"/>
      <c r="H275" s="4"/>
      <c r="I275" s="4"/>
      <c r="J275" s="4"/>
      <c r="K275" s="4"/>
      <c r="L275" s="1474" t="s">
        <v>2688</v>
      </c>
      <c r="M275" s="1455"/>
      <c r="N275" s="1455"/>
      <c r="O275" s="1455"/>
      <c r="P275" s="1455"/>
      <c r="Q275" s="1455"/>
      <c r="R275" s="1455"/>
      <c r="S275" s="1455"/>
      <c r="T275" s="1455"/>
      <c r="U275" s="1455"/>
      <c r="V275" s="1455"/>
      <c r="W275" s="1455"/>
      <c r="X275" s="1455"/>
      <c r="Y275" s="1455"/>
      <c r="Z275" s="1455"/>
      <c r="AA275" s="1455"/>
      <c r="AB275" s="1455"/>
      <c r="AC275" s="1455"/>
      <c r="AD275" s="1455"/>
      <c r="AK275" s="3"/>
      <c r="AL275" s="3"/>
      <c r="AM275" s="3"/>
      <c r="AN275" s="3"/>
      <c r="AO275" s="3"/>
      <c r="AP275" s="3"/>
      <c r="AQ275" s="3"/>
      <c r="AR275" s="3"/>
      <c r="AS275" s="3"/>
      <c r="AT275" s="3"/>
      <c r="AU275" s="3"/>
      <c r="AV275" s="3"/>
      <c r="AW275" s="3"/>
      <c r="AX275" s="3"/>
      <c r="AY275" s="3"/>
      <c r="BN275" s="34"/>
    </row>
    <row r="276" spans="1:66" ht="12.9" customHeight="1">
      <c r="D276" s="4" t="s">
        <v>587</v>
      </c>
      <c r="E276" s="4"/>
      <c r="L276" s="1474" t="s">
        <v>501</v>
      </c>
      <c r="M276" s="1455"/>
      <c r="N276" s="1455"/>
      <c r="O276" s="1455"/>
      <c r="P276" s="1455"/>
      <c r="Q276" s="1455"/>
      <c r="R276" s="1455"/>
      <c r="S276" s="1455"/>
      <c r="U276" s="33" t="s">
        <v>86</v>
      </c>
      <c r="V276" s="1453" t="s">
        <v>2659</v>
      </c>
      <c r="W276" s="1399"/>
      <c r="X276" s="4" t="s">
        <v>590</v>
      </c>
      <c r="AB276" s="1455">
        <v>90045</v>
      </c>
      <c r="AC276" s="1455"/>
      <c r="AD276" s="1455"/>
      <c r="AK276" s="3"/>
      <c r="AL276" s="3"/>
      <c r="AM276" s="3"/>
      <c r="AN276" s="3"/>
      <c r="AO276" s="3"/>
      <c r="AP276" s="3"/>
      <c r="AQ276" s="3"/>
      <c r="AR276" s="3"/>
      <c r="AS276" s="3"/>
      <c r="AT276" s="3"/>
      <c r="AU276" s="3"/>
      <c r="AV276" s="3"/>
      <c r="AW276" s="3"/>
      <c r="AX276" s="3"/>
      <c r="AY276" s="3"/>
      <c r="BN276" s="34"/>
    </row>
    <row r="277" spans="1:66" ht="12.9" customHeight="1">
      <c r="D277" s="4" t="s">
        <v>87</v>
      </c>
      <c r="E277" s="4"/>
      <c r="F277" s="4"/>
      <c r="G277" s="4"/>
      <c r="H277" s="4"/>
      <c r="I277" s="4"/>
      <c r="J277" s="4"/>
      <c r="K277" s="19"/>
      <c r="L277" s="1474" t="s">
        <v>2660</v>
      </c>
      <c r="M277" s="1455"/>
      <c r="N277" s="1455"/>
      <c r="O277" s="1455"/>
      <c r="P277" s="1455"/>
      <c r="Q277" s="1455"/>
      <c r="R277" s="1455"/>
      <c r="S277" s="1455"/>
      <c r="T277" s="1455"/>
      <c r="U277" s="1455"/>
      <c r="V277" s="1455"/>
      <c r="W277" s="1455"/>
      <c r="X277" s="1455"/>
      <c r="Y277" s="1455"/>
      <c r="Z277" s="1455"/>
      <c r="AA277" s="1455"/>
      <c r="AB277" s="1455"/>
      <c r="AC277" s="1455"/>
      <c r="AD277" s="1455"/>
      <c r="AI277" s="4"/>
      <c r="AJ277" s="4"/>
      <c r="AK277" s="3"/>
      <c r="AL277" s="3"/>
      <c r="AM277" s="3"/>
      <c r="AN277" s="3"/>
      <c r="AO277" s="3"/>
      <c r="AP277" s="3"/>
      <c r="AQ277" s="3"/>
      <c r="AR277" s="3"/>
      <c r="AS277" s="3"/>
      <c r="AT277" s="3"/>
      <c r="BN277" s="34"/>
    </row>
    <row r="278" spans="1:66" ht="12.9" customHeight="1">
      <c r="D278" s="4" t="s">
        <v>88</v>
      </c>
      <c r="E278" s="4"/>
      <c r="F278" s="4"/>
      <c r="L278" s="1550" t="s">
        <v>2661</v>
      </c>
      <c r="M278" s="1400"/>
      <c r="N278" s="1400"/>
      <c r="O278" s="1400"/>
      <c r="P278" s="1400"/>
      <c r="Q278" s="1400"/>
      <c r="R278" s="4" t="s">
        <v>206</v>
      </c>
      <c r="S278" s="4"/>
      <c r="T278" s="1399"/>
      <c r="U278" s="1399"/>
      <c r="V278" s="1399"/>
      <c r="W278" s="4" t="s">
        <v>89</v>
      </c>
      <c r="Y278" s="1400"/>
      <c r="Z278" s="1400"/>
      <c r="AA278" s="1400"/>
      <c r="AB278" s="1400"/>
      <c r="AC278" s="1400"/>
      <c r="AD278" s="1400"/>
      <c r="BN278" s="34"/>
    </row>
    <row r="279" spans="1:66" ht="12.9" customHeight="1">
      <c r="D279" s="4" t="s">
        <v>90</v>
      </c>
      <c r="E279" s="4"/>
      <c r="F279" s="4"/>
      <c r="L279" s="1539" t="s">
        <v>2662</v>
      </c>
      <c r="M279" s="1539"/>
      <c r="N279" s="1539"/>
      <c r="O279" s="1539"/>
      <c r="P279" s="1539"/>
      <c r="Q279" s="1539"/>
      <c r="R279" s="1539"/>
      <c r="S279" s="1539"/>
      <c r="T279" s="1539"/>
      <c r="U279" s="1539"/>
      <c r="V279" s="1539"/>
      <c r="W279" s="1539"/>
      <c r="X279" s="1539"/>
      <c r="Y279" s="1539"/>
      <c r="Z279" s="1539"/>
      <c r="AA279" s="1539"/>
      <c r="AB279" s="1539"/>
      <c r="AC279" s="1539"/>
      <c r="AD279" s="1539"/>
      <c r="AF279" s="4"/>
      <c r="AG279" s="4"/>
      <c r="AH279" s="4"/>
      <c r="AI279" s="4"/>
      <c r="AJ279" s="4"/>
      <c r="AU279" s="3"/>
      <c r="AV279" s="3"/>
      <c r="AW279" s="3"/>
      <c r="AX279" s="3"/>
      <c r="AY279" s="3"/>
      <c r="BN279" s="34"/>
    </row>
    <row r="280" spans="1:66" ht="12.9" customHeight="1">
      <c r="D280" s="3" t="s">
        <v>630</v>
      </c>
      <c r="E280" s="3"/>
      <c r="F280" s="3"/>
      <c r="G280" s="3"/>
      <c r="H280" s="3"/>
      <c r="I280" s="3"/>
      <c r="L280" s="1453" t="s">
        <v>2689</v>
      </c>
      <c r="M280" s="1453"/>
      <c r="N280" s="1453"/>
      <c r="O280" s="1453"/>
      <c r="P280" s="1453"/>
      <c r="Q280" s="1453"/>
      <c r="R280" s="1453"/>
      <c r="S280" s="1453"/>
      <c r="T280" s="1453"/>
      <c r="U280" s="1453"/>
      <c r="V280" s="1453"/>
      <c r="W280" s="1453"/>
      <c r="X280" s="1453"/>
      <c r="Y280" s="1453"/>
      <c r="Z280" s="1453"/>
      <c r="AA280" s="1453"/>
      <c r="AB280" s="1453"/>
      <c r="AC280" s="1453"/>
      <c r="AD280" s="1453"/>
      <c r="AK280" s="3"/>
      <c r="AL280" s="3"/>
      <c r="AM280" s="3"/>
      <c r="AN280" s="3"/>
      <c r="AO280" s="3"/>
      <c r="AP280" s="3"/>
      <c r="AQ280" s="3"/>
      <c r="AR280" s="3"/>
      <c r="AS280" s="3"/>
      <c r="AT280" s="3"/>
      <c r="BN280" s="34"/>
    </row>
    <row r="281" spans="1:66" ht="12.9" customHeight="1">
      <c r="L281" s="22" t="s">
        <v>631</v>
      </c>
      <c r="AU281" s="95"/>
      <c r="AV281" s="95"/>
      <c r="AW281" s="95"/>
      <c r="AX281" s="95"/>
      <c r="AY281" s="95"/>
      <c r="BN281" s="34"/>
    </row>
    <row r="282" spans="1:66" ht="12.9" customHeight="1">
      <c r="A282" s="1547" t="s">
        <v>548</v>
      </c>
      <c r="B282" s="1547"/>
      <c r="C282" s="1547"/>
      <c r="D282" s="1547"/>
      <c r="E282" s="1547"/>
      <c r="F282" s="1547"/>
      <c r="G282" s="1547"/>
      <c r="H282" s="1547"/>
      <c r="I282" s="1547"/>
      <c r="J282" s="1547"/>
      <c r="K282" s="1547"/>
      <c r="L282" s="1547"/>
      <c r="M282" s="1547"/>
      <c r="N282" s="1547"/>
      <c r="O282" s="1547"/>
      <c r="P282" s="1547"/>
      <c r="Q282" s="1547"/>
      <c r="R282" s="1547"/>
      <c r="S282" s="1547"/>
      <c r="T282" s="1547"/>
      <c r="U282" s="1547"/>
      <c r="V282" s="1547"/>
      <c r="W282" s="1547"/>
      <c r="X282" s="1547"/>
      <c r="Y282" s="1547"/>
      <c r="Z282" s="1547"/>
      <c r="AA282" s="1547"/>
      <c r="AB282" s="1547"/>
      <c r="AC282" s="1547"/>
      <c r="AD282" s="1547"/>
      <c r="AE282" s="1547"/>
      <c r="AF282" s="1547"/>
      <c r="AG282" s="1547"/>
      <c r="AH282" s="1547"/>
      <c r="AI282" s="1547"/>
      <c r="AJ282" s="1547"/>
      <c r="AK282" s="1547"/>
      <c r="AL282" s="1547"/>
      <c r="AM282" s="1547"/>
      <c r="AN282" s="1547"/>
      <c r="AO282" s="1547"/>
      <c r="AP282" s="1547"/>
      <c r="AQ282" s="1547"/>
      <c r="AR282" s="1547"/>
      <c r="AS282" s="1547"/>
      <c r="AT282" s="1547"/>
      <c r="AU282" s="95"/>
      <c r="AV282" s="95"/>
      <c r="AW282" s="95"/>
      <c r="AX282" s="95"/>
      <c r="AY282" s="95"/>
      <c r="BN282" s="34"/>
    </row>
    <row r="283" spans="1:66" ht="12.9" customHeight="1">
      <c r="A283" s="1547"/>
      <c r="B283" s="1547"/>
      <c r="C283" s="1547"/>
      <c r="D283" s="1547"/>
      <c r="E283" s="1547"/>
      <c r="F283" s="1547"/>
      <c r="G283" s="1547"/>
      <c r="H283" s="1547"/>
      <c r="I283" s="1547"/>
      <c r="J283" s="1547"/>
      <c r="K283" s="1547"/>
      <c r="L283" s="1547"/>
      <c r="M283" s="1547"/>
      <c r="N283" s="1547"/>
      <c r="O283" s="1547"/>
      <c r="P283" s="1547"/>
      <c r="Q283" s="1547"/>
      <c r="R283" s="1547"/>
      <c r="S283" s="1547"/>
      <c r="T283" s="1547"/>
      <c r="U283" s="1547"/>
      <c r="V283" s="1547"/>
      <c r="W283" s="1547"/>
      <c r="X283" s="1547"/>
      <c r="Y283" s="1547"/>
      <c r="Z283" s="1547"/>
      <c r="AA283" s="1547"/>
      <c r="AB283" s="1547"/>
      <c r="AC283" s="1547"/>
      <c r="AD283" s="1547"/>
      <c r="AE283" s="1547"/>
      <c r="AF283" s="1547"/>
      <c r="AG283" s="1547"/>
      <c r="AH283" s="1547"/>
      <c r="AI283" s="1547"/>
      <c r="AJ283" s="1547"/>
      <c r="AK283" s="1547"/>
      <c r="AL283" s="1547"/>
      <c r="AM283" s="1547"/>
      <c r="AN283" s="1547"/>
      <c r="AO283" s="1547"/>
      <c r="AP283" s="1547"/>
      <c r="AQ283" s="1547"/>
      <c r="AR283" s="1547"/>
      <c r="AS283" s="1547"/>
      <c r="AT283" s="1547"/>
      <c r="AU283" s="25"/>
      <c r="AV283" s="25"/>
      <c r="AW283" s="25"/>
      <c r="AX283" s="25"/>
      <c r="AY283" s="25"/>
      <c r="BN283" s="34"/>
    </row>
    <row r="284" spans="1:66"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 customHeight="1">
      <c r="B287" s="3" t="s">
        <v>633</v>
      </c>
      <c r="C287" s="3"/>
      <c r="D287" s="3"/>
      <c r="E287" s="3"/>
      <c r="F287" s="3"/>
      <c r="H287" s="1474" t="s">
        <v>2655</v>
      </c>
      <c r="I287" s="1397"/>
      <c r="J287" s="1397"/>
      <c r="K287" s="1397"/>
      <c r="L287" s="1397"/>
      <c r="M287" s="1397"/>
      <c r="N287" s="1397"/>
      <c r="O287" s="1397"/>
      <c r="P287" s="1397"/>
      <c r="Q287" s="1397"/>
      <c r="R287" s="1397"/>
      <c r="T287" s="3" t="s">
        <v>574</v>
      </c>
      <c r="V287" s="3"/>
      <c r="W287" s="3"/>
      <c r="X287" s="3"/>
      <c r="Y287" s="3"/>
      <c r="AA287" s="1474" t="s">
        <v>2749</v>
      </c>
      <c r="AB287" s="1397"/>
      <c r="AC287" s="1397"/>
      <c r="AD287" s="1397"/>
      <c r="AE287" s="1397"/>
      <c r="AF287" s="1397"/>
      <c r="AG287" s="1397"/>
      <c r="AH287" s="1397"/>
      <c r="AI287" s="1397"/>
      <c r="AJ287" s="1397"/>
      <c r="AK287" s="1397"/>
      <c r="BN287" s="34"/>
    </row>
    <row r="288" spans="1:66" ht="12.9" customHeight="1">
      <c r="B288" s="3" t="s">
        <v>478</v>
      </c>
      <c r="C288" s="3"/>
      <c r="D288" s="3"/>
      <c r="E288" s="3"/>
      <c r="F288" s="3"/>
      <c r="H288" s="1396" t="s">
        <v>2688</v>
      </c>
      <c r="I288" s="1396"/>
      <c r="J288" s="1396"/>
      <c r="K288" s="1396"/>
      <c r="L288" s="1396"/>
      <c r="M288" s="1396"/>
      <c r="N288" s="1396"/>
      <c r="O288" s="1396"/>
      <c r="P288" s="1396"/>
      <c r="Q288" s="1396"/>
      <c r="R288" s="1396"/>
      <c r="T288" s="3" t="s">
        <v>478</v>
      </c>
      <c r="V288" s="3"/>
      <c r="W288" s="3"/>
      <c r="X288" s="3"/>
      <c r="Y288" s="3"/>
      <c r="AA288" s="1453" t="s">
        <v>2750</v>
      </c>
      <c r="AB288" s="1396"/>
      <c r="AC288" s="1396"/>
      <c r="AD288" s="1396"/>
      <c r="AE288" s="1396"/>
      <c r="AF288" s="1396"/>
      <c r="AG288" s="1396"/>
      <c r="AH288" s="1396"/>
      <c r="AI288" s="1396"/>
      <c r="AJ288" s="1396"/>
      <c r="AK288" s="1396"/>
      <c r="BN288" s="34"/>
    </row>
    <row r="289" spans="2:66" ht="12.9" customHeight="1">
      <c r="B289" s="3" t="s">
        <v>479</v>
      </c>
      <c r="C289" s="3"/>
      <c r="D289" s="3"/>
      <c r="E289" s="3"/>
      <c r="F289" s="3"/>
      <c r="H289" s="1396" t="s">
        <v>501</v>
      </c>
      <c r="I289" s="1396"/>
      <c r="J289" s="1396"/>
      <c r="K289" s="1396"/>
      <c r="L289" s="1396"/>
      <c r="M289" s="1396"/>
      <c r="N289" s="1396"/>
      <c r="O289" s="1396"/>
      <c r="P289" s="1396"/>
      <c r="Q289" s="1396"/>
      <c r="R289" s="1396"/>
      <c r="T289" s="3" t="s">
        <v>75</v>
      </c>
      <c r="V289" s="3"/>
      <c r="W289" s="3"/>
      <c r="X289" s="3"/>
      <c r="Y289" s="3"/>
      <c r="AA289" s="1453" t="s">
        <v>2751</v>
      </c>
      <c r="AB289" s="1396"/>
      <c r="AC289" s="1396"/>
      <c r="AD289" s="1396"/>
      <c r="AE289" s="1396"/>
      <c r="AF289" s="1396"/>
      <c r="AG289" s="1396"/>
      <c r="AH289" s="1396"/>
      <c r="AI289" s="1396"/>
      <c r="AJ289" s="1396"/>
      <c r="AK289" s="1396"/>
      <c r="BN289" s="34"/>
    </row>
    <row r="290" spans="2:66" ht="12.9" customHeight="1">
      <c r="B290" s="3" t="s">
        <v>87</v>
      </c>
      <c r="C290" s="3"/>
      <c r="D290" s="3"/>
      <c r="E290" s="3"/>
      <c r="F290" s="3"/>
      <c r="H290" s="1453" t="s">
        <v>2652</v>
      </c>
      <c r="I290" s="1396"/>
      <c r="J290" s="1396"/>
      <c r="K290" s="1396"/>
      <c r="L290" s="1396"/>
      <c r="M290" s="1396"/>
      <c r="N290" s="1396"/>
      <c r="O290" s="1396"/>
      <c r="P290" s="1396"/>
      <c r="Q290" s="1396"/>
      <c r="R290" s="1396"/>
      <c r="T290" s="3" t="s">
        <v>87</v>
      </c>
      <c r="V290" s="3"/>
      <c r="W290" s="3"/>
      <c r="X290" s="3"/>
      <c r="Y290" s="3"/>
      <c r="AA290" s="1453" t="s">
        <v>2752</v>
      </c>
      <c r="AB290" s="1396"/>
      <c r="AC290" s="1396"/>
      <c r="AD290" s="1396"/>
      <c r="AE290" s="1396"/>
      <c r="AF290" s="1396"/>
      <c r="AG290" s="1396"/>
      <c r="AH290" s="1396"/>
      <c r="AI290" s="1396"/>
      <c r="AJ290" s="1396"/>
      <c r="AK290" s="1396"/>
      <c r="BN290" s="34"/>
    </row>
    <row r="291" spans="2:66" ht="12.9" customHeight="1">
      <c r="B291" s="3" t="s">
        <v>88</v>
      </c>
      <c r="C291" s="3"/>
      <c r="D291" s="3"/>
      <c r="E291" s="3"/>
      <c r="F291" s="3"/>
      <c r="G291" s="3"/>
      <c r="H291" s="1469" t="s">
        <v>2753</v>
      </c>
      <c r="I291" s="1470"/>
      <c r="J291" s="1470"/>
      <c r="K291" s="1470"/>
      <c r="L291" s="1470"/>
      <c r="M291" s="1470"/>
      <c r="N291" s="4" t="s">
        <v>206</v>
      </c>
      <c r="O291" s="4"/>
      <c r="P291" s="1455"/>
      <c r="Q291" s="1455"/>
      <c r="R291" s="1455"/>
      <c r="S291" s="3"/>
      <c r="T291" s="3" t="s">
        <v>88</v>
      </c>
      <c r="V291" s="3"/>
      <c r="W291" s="3"/>
      <c r="X291" s="3"/>
      <c r="Y291" s="3"/>
      <c r="AA291" s="1469" t="s">
        <v>2690</v>
      </c>
      <c r="AB291" s="1470"/>
      <c r="AC291" s="1470"/>
      <c r="AD291" s="1470"/>
      <c r="AE291" s="1470"/>
      <c r="AF291" s="1470"/>
      <c r="AG291" s="4" t="s">
        <v>206</v>
      </c>
      <c r="AH291" s="4"/>
      <c r="AI291" s="1455"/>
      <c r="AJ291" s="1455"/>
      <c r="AK291" s="1455"/>
      <c r="BN291" s="34"/>
    </row>
    <row r="292" spans="2:66" ht="12.9" customHeight="1">
      <c r="B292" s="3" t="s">
        <v>89</v>
      </c>
      <c r="C292" s="3"/>
      <c r="D292" s="3"/>
      <c r="E292" s="3"/>
      <c r="F292" s="3"/>
      <c r="G292" s="3"/>
      <c r="H292" s="1400"/>
      <c r="I292" s="1400"/>
      <c r="J292" s="1400"/>
      <c r="K292" s="1400"/>
      <c r="L292" s="1400"/>
      <c r="M292" s="1400"/>
      <c r="N292" s="4"/>
      <c r="O292" s="4"/>
      <c r="P292" s="35"/>
      <c r="Q292" s="35"/>
      <c r="R292" s="35"/>
      <c r="S292" s="3"/>
      <c r="T292" s="3" t="s">
        <v>89</v>
      </c>
      <c r="V292" s="3"/>
      <c r="W292" s="3"/>
      <c r="X292" s="3"/>
      <c r="Y292" s="3"/>
      <c r="AA292" s="1400"/>
      <c r="AB292" s="1400"/>
      <c r="AC292" s="1400"/>
      <c r="AD292" s="1400"/>
      <c r="AE292" s="1400"/>
      <c r="AF292" s="1400"/>
      <c r="AG292" s="4"/>
      <c r="AH292" s="4"/>
      <c r="AI292" s="35"/>
      <c r="AJ292" s="35"/>
      <c r="AK292" s="35"/>
      <c r="BN292" s="34"/>
    </row>
    <row r="293" spans="2:66" ht="12.9" customHeight="1">
      <c r="B293" s="3" t="s">
        <v>76</v>
      </c>
      <c r="C293" s="3"/>
      <c r="D293" s="3"/>
      <c r="E293" s="3"/>
      <c r="F293" s="3"/>
      <c r="G293" s="3"/>
      <c r="H293" s="1453" t="s">
        <v>2654</v>
      </c>
      <c r="I293" s="1396"/>
      <c r="J293" s="1396"/>
      <c r="K293" s="1396"/>
      <c r="L293" s="1396"/>
      <c r="M293" s="1396"/>
      <c r="N293" s="1397"/>
      <c r="O293" s="1397"/>
      <c r="P293" s="1397"/>
      <c r="Q293" s="1397"/>
      <c r="R293" s="1397"/>
      <c r="S293" s="3"/>
      <c r="T293" s="3" t="s">
        <v>76</v>
      </c>
      <c r="V293" s="3"/>
      <c r="W293" s="3"/>
      <c r="X293" s="3"/>
      <c r="Y293" s="3"/>
      <c r="AA293" s="1453" t="s">
        <v>2691</v>
      </c>
      <c r="AB293" s="1396"/>
      <c r="AC293" s="1396"/>
      <c r="AD293" s="1396"/>
      <c r="AE293" s="1396"/>
      <c r="AF293" s="1396"/>
      <c r="AG293" s="1397"/>
      <c r="AH293" s="1397"/>
      <c r="AI293" s="1397"/>
      <c r="AJ293" s="1397"/>
      <c r="AK293" s="1397"/>
      <c r="BN293" s="34"/>
    </row>
    <row r="294" spans="2:66"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 customHeight="1">
      <c r="B295" s="3" t="s">
        <v>323</v>
      </c>
      <c r="C295" s="3"/>
      <c r="D295" s="3"/>
      <c r="E295" s="3"/>
      <c r="F295" s="3"/>
      <c r="H295" s="1474" t="s">
        <v>2737</v>
      </c>
      <c r="I295" s="1397"/>
      <c r="J295" s="1397"/>
      <c r="K295" s="1397"/>
      <c r="L295" s="1397"/>
      <c r="M295" s="1397"/>
      <c r="N295" s="1397"/>
      <c r="O295" s="1397"/>
      <c r="P295" s="1397"/>
      <c r="Q295" s="1397"/>
      <c r="R295" s="1397"/>
      <c r="T295" s="3" t="s">
        <v>364</v>
      </c>
      <c r="V295" s="3"/>
      <c r="W295" s="3"/>
      <c r="X295" s="3"/>
      <c r="Y295" s="3"/>
      <c r="AA295" s="1474" t="s">
        <v>2699</v>
      </c>
      <c r="AB295" s="1397"/>
      <c r="AC295" s="1397"/>
      <c r="AD295" s="1397"/>
      <c r="AE295" s="1397"/>
      <c r="AF295" s="1397"/>
      <c r="AG295" s="1397"/>
      <c r="AH295" s="1397"/>
      <c r="AI295" s="1397"/>
      <c r="AJ295" s="1397"/>
      <c r="AK295" s="1397"/>
      <c r="BN295" s="34"/>
    </row>
    <row r="296" spans="2:66" ht="12.9" customHeight="1">
      <c r="B296" s="3" t="s">
        <v>478</v>
      </c>
      <c r="C296" s="3"/>
      <c r="D296" s="3"/>
      <c r="E296" s="3"/>
      <c r="F296" s="3"/>
      <c r="H296" s="1453" t="s">
        <v>2738</v>
      </c>
      <c r="I296" s="1396"/>
      <c r="J296" s="1396"/>
      <c r="K296" s="1396"/>
      <c r="L296" s="1396"/>
      <c r="M296" s="1396"/>
      <c r="N296" s="1396"/>
      <c r="O296" s="1396"/>
      <c r="P296" s="1396"/>
      <c r="Q296" s="1396"/>
      <c r="R296" s="1396"/>
      <c r="T296" s="3" t="s">
        <v>478</v>
      </c>
      <c r="V296" s="3"/>
      <c r="W296" s="3"/>
      <c r="X296" s="3"/>
      <c r="Y296" s="3"/>
      <c r="AA296" s="1453" t="s">
        <v>2700</v>
      </c>
      <c r="AB296" s="1396"/>
      <c r="AC296" s="1396"/>
      <c r="AD296" s="1396"/>
      <c r="AE296" s="1396"/>
      <c r="AF296" s="1396"/>
      <c r="AG296" s="1396"/>
      <c r="AH296" s="1396"/>
      <c r="AI296" s="1396"/>
      <c r="AJ296" s="1396"/>
      <c r="AK296" s="1396"/>
      <c r="BN296" s="34"/>
    </row>
    <row r="297" spans="2:66" ht="12.9" customHeight="1">
      <c r="B297" s="3" t="s">
        <v>479</v>
      </c>
      <c r="C297" s="3"/>
      <c r="D297" s="3"/>
      <c r="E297" s="3"/>
      <c r="F297" s="3"/>
      <c r="H297" s="1453" t="s">
        <v>2739</v>
      </c>
      <c r="I297" s="1396"/>
      <c r="J297" s="1396"/>
      <c r="K297" s="1396"/>
      <c r="L297" s="1396"/>
      <c r="M297" s="1396"/>
      <c r="N297" s="1396"/>
      <c r="O297" s="1396"/>
      <c r="P297" s="1396"/>
      <c r="Q297" s="1396"/>
      <c r="R297" s="1396"/>
      <c r="T297" s="3" t="s">
        <v>75</v>
      </c>
      <c r="V297" s="3"/>
      <c r="W297" s="3"/>
      <c r="X297" s="3"/>
      <c r="Y297" s="3"/>
      <c r="AA297" s="1453" t="s">
        <v>2701</v>
      </c>
      <c r="AB297" s="1396"/>
      <c r="AC297" s="1396"/>
      <c r="AD297" s="1396"/>
      <c r="AE297" s="1396"/>
      <c r="AF297" s="1396"/>
      <c r="AG297" s="1396"/>
      <c r="AH297" s="1396"/>
      <c r="AI297" s="1396"/>
      <c r="AJ297" s="1396"/>
      <c r="AK297" s="1396"/>
      <c r="BN297" s="34"/>
    </row>
    <row r="298" spans="2:66" ht="12.9" customHeight="1">
      <c r="B298" s="3" t="s">
        <v>87</v>
      </c>
      <c r="C298" s="3"/>
      <c r="D298" s="3"/>
      <c r="E298" s="3"/>
      <c r="F298" s="3"/>
      <c r="H298" s="1453" t="s">
        <v>2740</v>
      </c>
      <c r="I298" s="1396"/>
      <c r="J298" s="1396"/>
      <c r="K298" s="1396"/>
      <c r="L298" s="1396"/>
      <c r="M298" s="1396"/>
      <c r="N298" s="1396"/>
      <c r="O298" s="1396"/>
      <c r="P298" s="1396"/>
      <c r="Q298" s="1396"/>
      <c r="R298" s="1396"/>
      <c r="T298" s="3" t="s">
        <v>87</v>
      </c>
      <c r="V298" s="3"/>
      <c r="W298" s="3"/>
      <c r="X298" s="3"/>
      <c r="Y298" s="3"/>
      <c r="AA298" s="1453" t="s">
        <v>2702</v>
      </c>
      <c r="AB298" s="1396"/>
      <c r="AC298" s="1396"/>
      <c r="AD298" s="1396"/>
      <c r="AE298" s="1396"/>
      <c r="AF298" s="1396"/>
      <c r="AG298" s="1396"/>
      <c r="AH298" s="1396"/>
      <c r="AI298" s="1396"/>
      <c r="AJ298" s="1396"/>
      <c r="AK298" s="1396"/>
      <c r="BN298" s="34"/>
    </row>
    <row r="299" spans="2:66" ht="12.9" customHeight="1">
      <c r="B299" s="3" t="s">
        <v>88</v>
      </c>
      <c r="C299" s="3"/>
      <c r="D299" s="3"/>
      <c r="E299" s="3"/>
      <c r="F299" s="3"/>
      <c r="G299" s="3"/>
      <c r="H299" s="1469" t="s">
        <v>2741</v>
      </c>
      <c r="I299" s="1470"/>
      <c r="J299" s="1470"/>
      <c r="K299" s="1470"/>
      <c r="L299" s="1470"/>
      <c r="M299" s="1470"/>
      <c r="N299" s="4" t="s">
        <v>206</v>
      </c>
      <c r="O299" s="4"/>
      <c r="P299" s="1455"/>
      <c r="Q299" s="1455"/>
      <c r="R299" s="1455"/>
      <c r="S299" s="3"/>
      <c r="T299" s="3" t="s">
        <v>88</v>
      </c>
      <c r="V299" s="3"/>
      <c r="W299" s="3"/>
      <c r="X299" s="3"/>
      <c r="Y299" s="3"/>
      <c r="AA299" s="1469" t="s">
        <v>2703</v>
      </c>
      <c r="AB299" s="1470"/>
      <c r="AC299" s="1470"/>
      <c r="AD299" s="1470"/>
      <c r="AE299" s="1470"/>
      <c r="AF299" s="1470"/>
      <c r="AG299" s="4" t="s">
        <v>206</v>
      </c>
      <c r="AH299" s="4"/>
      <c r="AI299" s="1455"/>
      <c r="AJ299" s="1455"/>
      <c r="AK299" s="1455"/>
      <c r="BN299" s="34"/>
    </row>
    <row r="300" spans="2:66" ht="12.9" customHeight="1">
      <c r="B300" s="3" t="s">
        <v>89</v>
      </c>
      <c r="C300" s="3"/>
      <c r="D300" s="3"/>
      <c r="E300" s="3"/>
      <c r="F300" s="3"/>
      <c r="G300" s="3"/>
      <c r="H300" s="1400"/>
      <c r="I300" s="1400"/>
      <c r="J300" s="1400"/>
      <c r="K300" s="1400"/>
      <c r="L300" s="1400"/>
      <c r="M300" s="1400"/>
      <c r="N300" s="4"/>
      <c r="O300" s="4"/>
      <c r="P300" s="35"/>
      <c r="Q300" s="35"/>
      <c r="R300" s="35"/>
      <c r="S300" s="3"/>
      <c r="T300" s="3" t="s">
        <v>89</v>
      </c>
      <c r="V300" s="3"/>
      <c r="W300" s="3"/>
      <c r="X300" s="3"/>
      <c r="Y300" s="3"/>
      <c r="AA300" s="1400"/>
      <c r="AB300" s="1400"/>
      <c r="AC300" s="1400"/>
      <c r="AD300" s="1400"/>
      <c r="AE300" s="1400"/>
      <c r="AF300" s="1400"/>
      <c r="AG300" s="4"/>
      <c r="AH300" s="4"/>
      <c r="AI300" s="35"/>
      <c r="AJ300" s="35"/>
      <c r="AK300" s="35"/>
      <c r="BN300" s="34"/>
    </row>
    <row r="301" spans="2:66" ht="12.9" customHeight="1">
      <c r="B301" s="3" t="s">
        <v>76</v>
      </c>
      <c r="C301" s="3"/>
      <c r="D301" s="3"/>
      <c r="E301" s="3"/>
      <c r="F301" s="3"/>
      <c r="G301" s="3"/>
      <c r="H301" s="1453" t="s">
        <v>2742</v>
      </c>
      <c r="I301" s="1396"/>
      <c r="J301" s="1396"/>
      <c r="K301" s="1396"/>
      <c r="L301" s="1396"/>
      <c r="M301" s="1396"/>
      <c r="N301" s="1397"/>
      <c r="O301" s="1397"/>
      <c r="P301" s="1397"/>
      <c r="Q301" s="1397"/>
      <c r="R301" s="1397"/>
      <c r="S301" s="3"/>
      <c r="T301" s="3" t="s">
        <v>76</v>
      </c>
      <c r="V301" s="3"/>
      <c r="W301" s="3"/>
      <c r="X301" s="3"/>
      <c r="Y301" s="3"/>
      <c r="AA301" s="1396" t="s">
        <v>2786</v>
      </c>
      <c r="AB301" s="1396"/>
      <c r="AC301" s="1396"/>
      <c r="AD301" s="1396"/>
      <c r="AE301" s="1396"/>
      <c r="AF301" s="1396"/>
      <c r="AG301" s="1397"/>
      <c r="AH301" s="1397"/>
      <c r="AI301" s="1397"/>
      <c r="AJ301" s="1397"/>
      <c r="AK301" s="1397"/>
      <c r="BN301" s="34"/>
    </row>
    <row r="302" spans="2:66" ht="12.9" customHeight="1">
      <c r="BN302" s="34"/>
    </row>
    <row r="303" spans="2:66" ht="12.9" customHeight="1">
      <c r="B303" s="3" t="s">
        <v>77</v>
      </c>
      <c r="C303" s="3"/>
      <c r="D303" s="3"/>
      <c r="E303" s="3"/>
      <c r="F303" s="3"/>
      <c r="H303" s="1474" t="s">
        <v>2743</v>
      </c>
      <c r="I303" s="1397"/>
      <c r="J303" s="1397"/>
      <c r="K303" s="1397"/>
      <c r="L303" s="1397"/>
      <c r="M303" s="1397"/>
      <c r="N303" s="1397"/>
      <c r="O303" s="1397"/>
      <c r="P303" s="1397"/>
      <c r="Q303" s="1397"/>
      <c r="R303" s="1397"/>
      <c r="T303" s="4" t="s">
        <v>889</v>
      </c>
      <c r="V303" s="3"/>
      <c r="W303" s="3"/>
      <c r="X303" s="3"/>
      <c r="Y303" s="3"/>
      <c r="AA303" s="1474" t="s">
        <v>2698</v>
      </c>
      <c r="AB303" s="1397"/>
      <c r="AC303" s="1397"/>
      <c r="AD303" s="1397"/>
      <c r="AE303" s="1397"/>
      <c r="AF303" s="1397"/>
      <c r="AG303" s="1397"/>
      <c r="AH303" s="1397"/>
      <c r="AI303" s="1397"/>
      <c r="AJ303" s="1397"/>
      <c r="AK303" s="1397"/>
      <c r="BN303" s="34"/>
    </row>
    <row r="304" spans="2:66" ht="12.9" customHeight="1">
      <c r="B304" s="3" t="s">
        <v>478</v>
      </c>
      <c r="C304" s="3"/>
      <c r="D304" s="3"/>
      <c r="E304" s="3"/>
      <c r="F304" s="3"/>
      <c r="H304" s="1453" t="s">
        <v>2744</v>
      </c>
      <c r="I304" s="1396"/>
      <c r="J304" s="1396"/>
      <c r="K304" s="1396"/>
      <c r="L304" s="1396"/>
      <c r="M304" s="1396"/>
      <c r="N304" s="1396"/>
      <c r="O304" s="1396"/>
      <c r="P304" s="1396"/>
      <c r="Q304" s="1396"/>
      <c r="R304" s="1396"/>
      <c r="T304" s="3" t="s">
        <v>478</v>
      </c>
      <c r="V304" s="3"/>
      <c r="W304" s="3"/>
      <c r="X304" s="3"/>
      <c r="Y304" s="3"/>
      <c r="AA304" s="1396"/>
      <c r="AB304" s="1396"/>
      <c r="AC304" s="1396"/>
      <c r="AD304" s="1396"/>
      <c r="AE304" s="1396"/>
      <c r="AF304" s="1396"/>
      <c r="AG304" s="1396"/>
      <c r="AH304" s="1396"/>
      <c r="AI304" s="1396"/>
      <c r="AJ304" s="1396"/>
      <c r="AK304" s="1396"/>
      <c r="BN304" s="34"/>
    </row>
    <row r="305" spans="2:66" ht="12.9" customHeight="1">
      <c r="B305" s="3" t="s">
        <v>479</v>
      </c>
      <c r="C305" s="3"/>
      <c r="D305" s="3"/>
      <c r="E305" s="3"/>
      <c r="F305" s="3"/>
      <c r="H305" s="1453" t="s">
        <v>2745</v>
      </c>
      <c r="I305" s="1396"/>
      <c r="J305" s="1396"/>
      <c r="K305" s="1396"/>
      <c r="L305" s="1396"/>
      <c r="M305" s="1396"/>
      <c r="N305" s="1396"/>
      <c r="O305" s="1396"/>
      <c r="P305" s="1396"/>
      <c r="Q305" s="1396"/>
      <c r="R305" s="1396"/>
      <c r="T305" s="3" t="s">
        <v>75</v>
      </c>
      <c r="V305" s="3"/>
      <c r="W305" s="3"/>
      <c r="X305" s="3"/>
      <c r="Y305" s="3"/>
      <c r="AA305" s="1396"/>
      <c r="AB305" s="1396"/>
      <c r="AC305" s="1396"/>
      <c r="AD305" s="1396"/>
      <c r="AE305" s="1396"/>
      <c r="AF305" s="1396"/>
      <c r="AG305" s="1396"/>
      <c r="AH305" s="1396"/>
      <c r="AI305" s="1396"/>
      <c r="AJ305" s="1396"/>
      <c r="AK305" s="1396"/>
      <c r="BN305" s="34"/>
    </row>
    <row r="306" spans="2:66" ht="12.9" customHeight="1">
      <c r="B306" s="3" t="s">
        <v>87</v>
      </c>
      <c r="C306" s="3"/>
      <c r="D306" s="3"/>
      <c r="E306" s="3"/>
      <c r="F306" s="3"/>
      <c r="H306" s="1453" t="s">
        <v>2747</v>
      </c>
      <c r="I306" s="1396"/>
      <c r="J306" s="1396"/>
      <c r="K306" s="1396"/>
      <c r="L306" s="1396"/>
      <c r="M306" s="1396"/>
      <c r="N306" s="1396"/>
      <c r="O306" s="1396"/>
      <c r="P306" s="1396"/>
      <c r="Q306" s="1396"/>
      <c r="R306" s="1396"/>
      <c r="T306" s="3" t="s">
        <v>87</v>
      </c>
      <c r="V306" s="3"/>
      <c r="W306" s="3"/>
      <c r="X306" s="3"/>
      <c r="Y306" s="3"/>
      <c r="AA306" s="1396"/>
      <c r="AB306" s="1396"/>
      <c r="AC306" s="1396"/>
      <c r="AD306" s="1396"/>
      <c r="AE306" s="1396"/>
      <c r="AF306" s="1396"/>
      <c r="AG306" s="1396"/>
      <c r="AH306" s="1396"/>
      <c r="AI306" s="1396"/>
      <c r="AJ306" s="1396"/>
      <c r="AK306" s="1396"/>
      <c r="BN306" s="34"/>
    </row>
    <row r="307" spans="2:66" ht="12.9" customHeight="1">
      <c r="B307" s="3" t="s">
        <v>88</v>
      </c>
      <c r="C307" s="3"/>
      <c r="D307" s="3"/>
      <c r="E307" s="3"/>
      <c r="F307" s="3"/>
      <c r="G307" s="3"/>
      <c r="H307" s="1469" t="s">
        <v>2746</v>
      </c>
      <c r="I307" s="1470"/>
      <c r="J307" s="1470"/>
      <c r="K307" s="1470"/>
      <c r="L307" s="1470"/>
      <c r="M307" s="1470"/>
      <c r="N307" s="4" t="s">
        <v>206</v>
      </c>
      <c r="O307" s="4"/>
      <c r="P307" s="1455"/>
      <c r="Q307" s="1455"/>
      <c r="R307" s="1455"/>
      <c r="S307" s="3"/>
      <c r="T307" s="3" t="s">
        <v>88</v>
      </c>
      <c r="V307" s="3"/>
      <c r="W307" s="3"/>
      <c r="X307" s="3"/>
      <c r="Y307" s="3"/>
      <c r="AA307" s="1470"/>
      <c r="AB307" s="1470"/>
      <c r="AC307" s="1470"/>
      <c r="AD307" s="1470"/>
      <c r="AE307" s="1470"/>
      <c r="AF307" s="1470"/>
      <c r="AG307" s="4" t="s">
        <v>206</v>
      </c>
      <c r="AH307" s="4"/>
      <c r="AI307" s="1455"/>
      <c r="AJ307" s="1455"/>
      <c r="AK307" s="1455"/>
      <c r="BN307" s="34"/>
    </row>
    <row r="308" spans="2:66" ht="12.9" customHeight="1">
      <c r="B308" s="3" t="s">
        <v>89</v>
      </c>
      <c r="C308" s="3"/>
      <c r="D308" s="3"/>
      <c r="E308" s="3"/>
      <c r="F308" s="3"/>
      <c r="G308" s="3"/>
      <c r="H308" s="1400"/>
      <c r="I308" s="1400"/>
      <c r="J308" s="1400"/>
      <c r="K308" s="1400"/>
      <c r="L308" s="1400"/>
      <c r="M308" s="1400"/>
      <c r="N308" s="4"/>
      <c r="O308" s="4"/>
      <c r="P308" s="35"/>
      <c r="Q308" s="35"/>
      <c r="R308" s="35"/>
      <c r="S308" s="3"/>
      <c r="T308" s="3" t="s">
        <v>89</v>
      </c>
      <c r="V308" s="3"/>
      <c r="W308" s="3"/>
      <c r="X308" s="3"/>
      <c r="Y308" s="3"/>
      <c r="AA308" s="1400"/>
      <c r="AB308" s="1400"/>
      <c r="AC308" s="1400"/>
      <c r="AD308" s="1400"/>
      <c r="AE308" s="1400"/>
      <c r="AF308" s="1400"/>
      <c r="AG308" s="4"/>
      <c r="AH308" s="4"/>
      <c r="AI308" s="35"/>
      <c r="AJ308" s="35"/>
      <c r="AK308" s="35"/>
      <c r="BN308" s="34"/>
    </row>
    <row r="309" spans="2:66" ht="12.9" customHeight="1">
      <c r="B309" s="3" t="s">
        <v>76</v>
      </c>
      <c r="C309" s="3"/>
      <c r="D309" s="3"/>
      <c r="E309" s="3"/>
      <c r="F309" s="3"/>
      <c r="G309" s="3"/>
      <c r="H309" s="1453" t="s">
        <v>2748</v>
      </c>
      <c r="I309" s="1396"/>
      <c r="J309" s="1396"/>
      <c r="K309" s="1396"/>
      <c r="L309" s="1396"/>
      <c r="M309" s="1396"/>
      <c r="N309" s="1397"/>
      <c r="O309" s="1397"/>
      <c r="P309" s="1397"/>
      <c r="Q309" s="1397"/>
      <c r="R309" s="1397"/>
      <c r="S309" s="3"/>
      <c r="T309" s="3" t="s">
        <v>76</v>
      </c>
      <c r="V309" s="3"/>
      <c r="W309" s="3"/>
      <c r="X309" s="3"/>
      <c r="Y309" s="3"/>
      <c r="AA309" s="1396"/>
      <c r="AB309" s="1396"/>
      <c r="AC309" s="1396"/>
      <c r="AD309" s="1396"/>
      <c r="AE309" s="1396"/>
      <c r="AF309" s="1396"/>
      <c r="AG309" s="1397"/>
      <c r="AH309" s="1397"/>
      <c r="AI309" s="1397"/>
      <c r="AJ309" s="1397"/>
      <c r="AK309" s="1397"/>
      <c r="BN309" s="34"/>
    </row>
    <row r="310" spans="2:66"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 customHeight="1">
      <c r="B311" s="4" t="s">
        <v>921</v>
      </c>
      <c r="C311" s="3"/>
      <c r="D311" s="3"/>
      <c r="E311" s="3"/>
      <c r="F311" s="3"/>
      <c r="H311" s="1397" t="s">
        <v>2743</v>
      </c>
      <c r="I311" s="1397"/>
      <c r="J311" s="1397"/>
      <c r="K311" s="1397"/>
      <c r="L311" s="1397"/>
      <c r="M311" s="1397"/>
      <c r="N311" s="1397"/>
      <c r="O311" s="1397"/>
      <c r="P311" s="1397"/>
      <c r="Q311" s="1397"/>
      <c r="R311" s="1397"/>
      <c r="S311" s="3"/>
      <c r="T311" s="3" t="s">
        <v>365</v>
      </c>
      <c r="V311" s="3"/>
      <c r="W311" s="3"/>
      <c r="X311" s="3"/>
      <c r="Y311" s="3"/>
      <c r="AA311" s="1474" t="s">
        <v>2698</v>
      </c>
      <c r="AB311" s="1397"/>
      <c r="AC311" s="1397"/>
      <c r="AD311" s="1397"/>
      <c r="AE311" s="1397"/>
      <c r="AF311" s="1397"/>
      <c r="AG311" s="1397"/>
      <c r="AH311" s="1397"/>
      <c r="AI311" s="1397"/>
      <c r="AJ311" s="1397"/>
      <c r="AK311" s="1397"/>
      <c r="BN311" s="34"/>
    </row>
    <row r="312" spans="2:66" ht="12.9" customHeight="1">
      <c r="B312" s="3" t="s">
        <v>478</v>
      </c>
      <c r="C312" s="3"/>
      <c r="D312" s="3"/>
      <c r="E312" s="3"/>
      <c r="F312" s="3"/>
      <c r="H312" s="1396" t="s">
        <v>2744</v>
      </c>
      <c r="I312" s="1396"/>
      <c r="J312" s="1396"/>
      <c r="K312" s="1396"/>
      <c r="L312" s="1396"/>
      <c r="M312" s="1396"/>
      <c r="N312" s="1396"/>
      <c r="O312" s="1396"/>
      <c r="P312" s="1396"/>
      <c r="Q312" s="1396"/>
      <c r="R312" s="1396"/>
      <c r="S312" s="3"/>
      <c r="T312" s="3" t="s">
        <v>478</v>
      </c>
      <c r="V312" s="3"/>
      <c r="W312" s="3"/>
      <c r="X312" s="3"/>
      <c r="Y312" s="3"/>
      <c r="AA312" s="1396"/>
      <c r="AB312" s="1396"/>
      <c r="AC312" s="1396"/>
      <c r="AD312" s="1396"/>
      <c r="AE312" s="1396"/>
      <c r="AF312" s="1396"/>
      <c r="AG312" s="1396"/>
      <c r="AH312" s="1396"/>
      <c r="AI312" s="1396"/>
      <c r="AJ312" s="1396"/>
      <c r="AK312" s="1396"/>
      <c r="BN312" s="34"/>
    </row>
    <row r="313" spans="2:66" ht="12.9" customHeight="1">
      <c r="B313" s="3" t="s">
        <v>479</v>
      </c>
      <c r="C313" s="3"/>
      <c r="D313" s="3"/>
      <c r="E313" s="3"/>
      <c r="F313" s="3"/>
      <c r="H313" s="1396" t="s">
        <v>2745</v>
      </c>
      <c r="I313" s="1396"/>
      <c r="J313" s="1396"/>
      <c r="K313" s="1396"/>
      <c r="L313" s="1396"/>
      <c r="M313" s="1396"/>
      <c r="N313" s="1396"/>
      <c r="O313" s="1396"/>
      <c r="P313" s="1396"/>
      <c r="Q313" s="1396"/>
      <c r="R313" s="1396"/>
      <c r="S313" s="3"/>
      <c r="T313" s="3" t="s">
        <v>75</v>
      </c>
      <c r="V313" s="3"/>
      <c r="W313" s="3"/>
      <c r="X313" s="3"/>
      <c r="Y313" s="3"/>
      <c r="AA313" s="1396"/>
      <c r="AB313" s="1396"/>
      <c r="AC313" s="1396"/>
      <c r="AD313" s="1396"/>
      <c r="AE313" s="1396"/>
      <c r="AF313" s="1396"/>
      <c r="AG313" s="1396"/>
      <c r="AH313" s="1396"/>
      <c r="AI313" s="1396"/>
      <c r="AJ313" s="1396"/>
      <c r="AK313" s="1396"/>
      <c r="BN313" s="34"/>
    </row>
    <row r="314" spans="2:66" ht="12.9" customHeight="1">
      <c r="B314" s="3" t="s">
        <v>87</v>
      </c>
      <c r="C314" s="3"/>
      <c r="D314" s="3"/>
      <c r="E314" s="3"/>
      <c r="F314" s="3"/>
      <c r="H314" s="1396" t="s">
        <v>2747</v>
      </c>
      <c r="I314" s="1396"/>
      <c r="J314" s="1396"/>
      <c r="K314" s="1396"/>
      <c r="L314" s="1396"/>
      <c r="M314" s="1396"/>
      <c r="N314" s="1396"/>
      <c r="O314" s="1396"/>
      <c r="P314" s="1396"/>
      <c r="Q314" s="1396"/>
      <c r="R314" s="1396"/>
      <c r="S314" s="3"/>
      <c r="T314" s="3" t="s">
        <v>87</v>
      </c>
      <c r="V314" s="3"/>
      <c r="W314" s="3"/>
      <c r="X314" s="3"/>
      <c r="Y314" s="3"/>
      <c r="AA314" s="1396"/>
      <c r="AB314" s="1396"/>
      <c r="AC314" s="1396"/>
      <c r="AD314" s="1396"/>
      <c r="AE314" s="1396"/>
      <c r="AF314" s="1396"/>
      <c r="AG314" s="1396"/>
      <c r="AH314" s="1396"/>
      <c r="AI314" s="1396"/>
      <c r="AJ314" s="1396"/>
      <c r="AK314" s="1396"/>
      <c r="BN314" s="34"/>
    </row>
    <row r="315" spans="2:66" ht="12.9" customHeight="1">
      <c r="B315" s="3" t="s">
        <v>88</v>
      </c>
      <c r="C315" s="3"/>
      <c r="D315" s="3"/>
      <c r="E315" s="3"/>
      <c r="F315" s="3"/>
      <c r="G315" s="3"/>
      <c r="H315" s="1470" t="s">
        <v>2746</v>
      </c>
      <c r="I315" s="1470"/>
      <c r="J315" s="1470"/>
      <c r="K315" s="1470"/>
      <c r="L315" s="1470"/>
      <c r="M315" s="1470"/>
      <c r="N315" s="4" t="s">
        <v>206</v>
      </c>
      <c r="O315" s="4"/>
      <c r="P315" s="1455"/>
      <c r="Q315" s="1455"/>
      <c r="R315" s="1455"/>
      <c r="S315" s="3"/>
      <c r="T315" s="3" t="s">
        <v>88</v>
      </c>
      <c r="V315" s="3"/>
      <c r="W315" s="3"/>
      <c r="X315" s="3"/>
      <c r="Y315" s="3"/>
      <c r="AA315" s="1470"/>
      <c r="AB315" s="1470"/>
      <c r="AC315" s="1470"/>
      <c r="AD315" s="1470"/>
      <c r="AE315" s="1470"/>
      <c r="AF315" s="1470"/>
      <c r="AG315" s="4" t="s">
        <v>206</v>
      </c>
      <c r="AH315" s="4"/>
      <c r="AI315" s="1455"/>
      <c r="AJ315" s="1455"/>
      <c r="AK315" s="1455"/>
      <c r="BN315" s="34"/>
    </row>
    <row r="316" spans="2:66" ht="12.9" customHeight="1">
      <c r="B316" s="3" t="s">
        <v>89</v>
      </c>
      <c r="C316" s="3"/>
      <c r="D316" s="3"/>
      <c r="E316" s="3"/>
      <c r="F316" s="3"/>
      <c r="G316" s="3"/>
      <c r="H316" s="1400"/>
      <c r="I316" s="1400"/>
      <c r="J316" s="1400"/>
      <c r="K316" s="1400"/>
      <c r="L316" s="1400"/>
      <c r="M316" s="1400"/>
      <c r="N316" s="4"/>
      <c r="O316" s="4"/>
      <c r="P316" s="35"/>
      <c r="Q316" s="35"/>
      <c r="R316" s="35"/>
      <c r="S316" s="3"/>
      <c r="T316" s="3" t="s">
        <v>89</v>
      </c>
      <c r="V316" s="3"/>
      <c r="W316" s="3"/>
      <c r="X316" s="3"/>
      <c r="Y316" s="3"/>
      <c r="AA316" s="1400"/>
      <c r="AB316" s="1400"/>
      <c r="AC316" s="1400"/>
      <c r="AD316" s="1400"/>
      <c r="AE316" s="1400"/>
      <c r="AF316" s="1400"/>
      <c r="AG316" s="4"/>
      <c r="AH316" s="4"/>
      <c r="AI316" s="35"/>
      <c r="AJ316" s="35"/>
      <c r="AK316" s="35"/>
      <c r="BN316" s="34"/>
    </row>
    <row r="317" spans="2:66" ht="12.9" customHeight="1">
      <c r="B317" s="3" t="s">
        <v>76</v>
      </c>
      <c r="C317" s="3"/>
      <c r="D317" s="3"/>
      <c r="E317" s="3"/>
      <c r="F317" s="3"/>
      <c r="G317" s="3"/>
      <c r="H317" s="1396" t="s">
        <v>2748</v>
      </c>
      <c r="I317" s="1396"/>
      <c r="J317" s="1396"/>
      <c r="K317" s="1396"/>
      <c r="L317" s="1396"/>
      <c r="M317" s="1396"/>
      <c r="N317" s="1397"/>
      <c r="O317" s="1397"/>
      <c r="P317" s="1397"/>
      <c r="Q317" s="1397"/>
      <c r="R317" s="1397"/>
      <c r="S317" s="3"/>
      <c r="T317" s="3" t="s">
        <v>76</v>
      </c>
      <c r="V317" s="3"/>
      <c r="W317" s="3"/>
      <c r="X317" s="3"/>
      <c r="Y317" s="3"/>
      <c r="AA317" s="1396"/>
      <c r="AB317" s="1396"/>
      <c r="AC317" s="1396"/>
      <c r="AD317" s="1396"/>
      <c r="AE317" s="1396"/>
      <c r="AF317" s="1396"/>
      <c r="AG317" s="1397"/>
      <c r="AH317" s="1397"/>
      <c r="AI317" s="1397"/>
      <c r="AJ317" s="1397"/>
      <c r="AK317" s="1397"/>
      <c r="BN317" s="34"/>
    </row>
    <row r="318" spans="2:66" ht="12.9" customHeight="1">
      <c r="BN318" s="34"/>
    </row>
    <row r="319" spans="2:66" ht="12.9" customHeight="1">
      <c r="B319" s="4" t="s">
        <v>922</v>
      </c>
      <c r="C319" s="3"/>
      <c r="D319" s="3"/>
      <c r="E319" s="3"/>
      <c r="F319" s="3"/>
      <c r="H319" s="1474" t="s">
        <v>2692</v>
      </c>
      <c r="I319" s="1397"/>
      <c r="J319" s="1397"/>
      <c r="K319" s="1397"/>
      <c r="L319" s="1397"/>
      <c r="M319" s="1397"/>
      <c r="N319" s="1397"/>
      <c r="O319" s="1397"/>
      <c r="P319" s="1397"/>
      <c r="Q319" s="1397"/>
      <c r="R319" s="1397"/>
      <c r="T319" s="3" t="s">
        <v>366</v>
      </c>
      <c r="V319" s="3"/>
      <c r="W319" s="3"/>
      <c r="X319" s="3"/>
      <c r="Y319" s="3"/>
      <c r="AA319" s="1474" t="s">
        <v>2754</v>
      </c>
      <c r="AB319" s="1397"/>
      <c r="AC319" s="1397"/>
      <c r="AD319" s="1397"/>
      <c r="AE319" s="1397"/>
      <c r="AF319" s="1397"/>
      <c r="AG319" s="1397"/>
      <c r="AH319" s="1397"/>
      <c r="AI319" s="1397"/>
      <c r="AJ319" s="1397"/>
      <c r="AK319" s="1397"/>
      <c r="BN319" s="34"/>
    </row>
    <row r="320" spans="2:66" ht="12.9" customHeight="1">
      <c r="B320" s="3" t="s">
        <v>478</v>
      </c>
      <c r="C320" s="3"/>
      <c r="D320" s="3"/>
      <c r="E320" s="3"/>
      <c r="F320" s="3"/>
      <c r="H320" s="1453" t="s">
        <v>2693</v>
      </c>
      <c r="I320" s="1396"/>
      <c r="J320" s="1396"/>
      <c r="K320" s="1396"/>
      <c r="L320" s="1396"/>
      <c r="M320" s="1396"/>
      <c r="N320" s="1396"/>
      <c r="O320" s="1396"/>
      <c r="P320" s="1396"/>
      <c r="Q320" s="1396"/>
      <c r="R320" s="1396"/>
      <c r="T320" s="3" t="s">
        <v>478</v>
      </c>
      <c r="V320" s="3"/>
      <c r="W320" s="3"/>
      <c r="X320" s="3"/>
      <c r="Y320" s="3"/>
      <c r="AA320" s="1453" t="s">
        <v>2759</v>
      </c>
      <c r="AB320" s="1396"/>
      <c r="AC320" s="1396"/>
      <c r="AD320" s="1396"/>
      <c r="AE320" s="1396"/>
      <c r="AF320" s="1396"/>
      <c r="AG320" s="1396"/>
      <c r="AH320" s="1396"/>
      <c r="AI320" s="1396"/>
      <c r="AJ320" s="1396"/>
      <c r="AK320" s="1396"/>
      <c r="BN320" s="34"/>
    </row>
    <row r="321" spans="2:66" ht="12.9" customHeight="1">
      <c r="B321" s="3" t="s">
        <v>479</v>
      </c>
      <c r="C321" s="3"/>
      <c r="D321" s="3"/>
      <c r="E321" s="3"/>
      <c r="F321" s="3"/>
      <c r="H321" s="1453" t="s">
        <v>2694</v>
      </c>
      <c r="I321" s="1396"/>
      <c r="J321" s="1396"/>
      <c r="K321" s="1396"/>
      <c r="L321" s="1396"/>
      <c r="M321" s="1396"/>
      <c r="N321" s="1396"/>
      <c r="O321" s="1396"/>
      <c r="P321" s="1396"/>
      <c r="Q321" s="1396"/>
      <c r="R321" s="1396"/>
      <c r="T321" s="3" t="s">
        <v>75</v>
      </c>
      <c r="V321" s="3"/>
      <c r="W321" s="3"/>
      <c r="X321" s="3"/>
      <c r="Y321" s="3"/>
      <c r="AA321" s="1453" t="s">
        <v>2758</v>
      </c>
      <c r="AB321" s="1396"/>
      <c r="AC321" s="1396"/>
      <c r="AD321" s="1396"/>
      <c r="AE321" s="1396"/>
      <c r="AF321" s="1396"/>
      <c r="AG321" s="1396"/>
      <c r="AH321" s="1396"/>
      <c r="AI321" s="1396"/>
      <c r="AJ321" s="1396"/>
      <c r="AK321" s="1396"/>
      <c r="BN321" s="34"/>
    </row>
    <row r="322" spans="2:66" ht="12.9" customHeight="1">
      <c r="B322" s="3" t="s">
        <v>87</v>
      </c>
      <c r="C322" s="3"/>
      <c r="D322" s="3"/>
      <c r="E322" s="3"/>
      <c r="F322" s="3"/>
      <c r="H322" s="1453" t="s">
        <v>2695</v>
      </c>
      <c r="I322" s="1396"/>
      <c r="J322" s="1396"/>
      <c r="K322" s="1396"/>
      <c r="L322" s="1396"/>
      <c r="M322" s="1396"/>
      <c r="N322" s="1396"/>
      <c r="O322" s="1396"/>
      <c r="P322" s="1396"/>
      <c r="Q322" s="1396"/>
      <c r="R322" s="1396"/>
      <c r="T322" s="3" t="s">
        <v>87</v>
      </c>
      <c r="V322" s="3"/>
      <c r="W322" s="3"/>
      <c r="X322" s="3"/>
      <c r="Y322" s="3"/>
      <c r="AA322" s="1453" t="s">
        <v>2756</v>
      </c>
      <c r="AB322" s="1396"/>
      <c r="AC322" s="1396"/>
      <c r="AD322" s="1396"/>
      <c r="AE322" s="1396"/>
      <c r="AF322" s="1396"/>
      <c r="AG322" s="1396"/>
      <c r="AH322" s="1396"/>
      <c r="AI322" s="1396"/>
      <c r="AJ322" s="1396"/>
      <c r="AK322" s="1396"/>
      <c r="BN322" s="34"/>
    </row>
    <row r="323" spans="2:66" ht="12.9" customHeight="1">
      <c r="B323" s="3" t="s">
        <v>88</v>
      </c>
      <c r="C323" s="3"/>
      <c r="D323" s="3"/>
      <c r="E323" s="3"/>
      <c r="F323" s="3"/>
      <c r="G323" s="3"/>
      <c r="H323" s="1469" t="s">
        <v>2696</v>
      </c>
      <c r="I323" s="1470"/>
      <c r="J323" s="1470"/>
      <c r="K323" s="1470"/>
      <c r="L323" s="1470"/>
      <c r="M323" s="1470"/>
      <c r="N323" s="4" t="s">
        <v>206</v>
      </c>
      <c r="O323" s="4"/>
      <c r="P323" s="1455"/>
      <c r="Q323" s="1455"/>
      <c r="R323" s="1455"/>
      <c r="S323" s="3"/>
      <c r="T323" s="3" t="s">
        <v>88</v>
      </c>
      <c r="V323" s="3"/>
      <c r="W323" s="3"/>
      <c r="X323" s="3"/>
      <c r="Y323" s="3"/>
      <c r="AA323" s="1469" t="s">
        <v>2757</v>
      </c>
      <c r="AB323" s="1470"/>
      <c r="AC323" s="1470"/>
      <c r="AD323" s="1470"/>
      <c r="AE323" s="1470"/>
      <c r="AF323" s="1470"/>
      <c r="AG323" s="4" t="s">
        <v>206</v>
      </c>
      <c r="AH323" s="4"/>
      <c r="AI323" s="1455"/>
      <c r="AJ323" s="1455"/>
      <c r="AK323" s="1455"/>
    </row>
    <row r="324" spans="2:66" ht="12.9" customHeight="1">
      <c r="B324" s="3" t="s">
        <v>89</v>
      </c>
      <c r="C324" s="3"/>
      <c r="D324" s="3"/>
      <c r="E324" s="3"/>
      <c r="F324" s="3"/>
      <c r="G324" s="3"/>
      <c r="H324" s="1400"/>
      <c r="I324" s="1400"/>
      <c r="J324" s="1400"/>
      <c r="K324" s="1400"/>
      <c r="L324" s="1400"/>
      <c r="M324" s="1400"/>
      <c r="N324" s="4"/>
      <c r="O324" s="4"/>
      <c r="P324" s="35"/>
      <c r="Q324" s="35"/>
      <c r="R324" s="35"/>
      <c r="S324" s="3"/>
      <c r="T324" s="3" t="s">
        <v>89</v>
      </c>
      <c r="V324" s="3"/>
      <c r="W324" s="3"/>
      <c r="X324" s="3"/>
      <c r="Y324" s="3"/>
      <c r="AA324" s="1400"/>
      <c r="AB324" s="1400"/>
      <c r="AC324" s="1400"/>
      <c r="AD324" s="1400"/>
      <c r="AE324" s="1400"/>
      <c r="AF324" s="1400"/>
      <c r="AG324" s="4"/>
      <c r="AH324" s="4"/>
      <c r="AI324" s="35"/>
      <c r="AJ324" s="35"/>
      <c r="AK324" s="35"/>
    </row>
    <row r="325" spans="2:66" ht="12.9" customHeight="1">
      <c r="B325" s="3" t="s">
        <v>76</v>
      </c>
      <c r="C325" s="3"/>
      <c r="D325" s="3"/>
      <c r="E325" s="3"/>
      <c r="F325" s="3"/>
      <c r="G325" s="3"/>
      <c r="H325" s="1453" t="s">
        <v>2697</v>
      </c>
      <c r="I325" s="1396"/>
      <c r="J325" s="1396"/>
      <c r="K325" s="1396"/>
      <c r="L325" s="1396"/>
      <c r="M325" s="1396"/>
      <c r="N325" s="1397"/>
      <c r="O325" s="1397"/>
      <c r="P325" s="1397"/>
      <c r="Q325" s="1397"/>
      <c r="R325" s="1397"/>
      <c r="S325" s="3"/>
      <c r="T325" s="3" t="s">
        <v>76</v>
      </c>
      <c r="V325" s="3"/>
      <c r="W325" s="3"/>
      <c r="X325" s="3"/>
      <c r="Y325" s="3"/>
      <c r="AA325" s="1453" t="s">
        <v>2755</v>
      </c>
      <c r="AB325" s="1396"/>
      <c r="AC325" s="1396"/>
      <c r="AD325" s="1396"/>
      <c r="AE325" s="1396"/>
      <c r="AF325" s="1396"/>
      <c r="AG325" s="1397"/>
      <c r="AH325" s="1397"/>
      <c r="AI325" s="1397"/>
      <c r="AJ325" s="1397"/>
      <c r="AK325" s="1397"/>
    </row>
    <row r="326" spans="2:66" ht="12.9" customHeight="1">
      <c r="B326" s="3"/>
      <c r="C326" s="3"/>
      <c r="D326" s="3"/>
      <c r="E326" s="3"/>
      <c r="F326" s="3"/>
      <c r="G326" s="3"/>
      <c r="P326" s="163"/>
      <c r="Q326" s="163"/>
      <c r="R326" s="163"/>
      <c r="S326" s="163"/>
      <c r="T326" s="163"/>
      <c r="U326" s="163"/>
      <c r="V326" s="4"/>
      <c r="W326" s="4"/>
      <c r="X326" s="35"/>
      <c r="Y326" s="35"/>
      <c r="Z326" s="35"/>
    </row>
    <row r="327" spans="2:66" ht="12.9" customHeight="1">
      <c r="B327" s="3" t="s">
        <v>367</v>
      </c>
      <c r="C327" s="3"/>
      <c r="D327" s="3"/>
      <c r="E327" s="3"/>
      <c r="F327" s="3"/>
      <c r="H327" s="1474" t="s">
        <v>2710</v>
      </c>
      <c r="I327" s="1397"/>
      <c r="J327" s="1397"/>
      <c r="K327" s="1397"/>
      <c r="L327" s="1397"/>
      <c r="M327" s="1397"/>
      <c r="N327" s="1397"/>
      <c r="O327" s="1397"/>
      <c r="P327" s="1397"/>
      <c r="Q327" s="1397"/>
      <c r="R327" s="1397"/>
      <c r="T327" s="3" t="s">
        <v>368</v>
      </c>
      <c r="V327" s="3"/>
      <c r="W327" s="3"/>
      <c r="X327" s="3"/>
      <c r="Y327" s="3"/>
      <c r="AA327" s="1474" t="s">
        <v>598</v>
      </c>
      <c r="AB327" s="1397"/>
      <c r="AC327" s="1397"/>
      <c r="AD327" s="1397"/>
      <c r="AE327" s="1397"/>
      <c r="AF327" s="1397"/>
      <c r="AG327" s="1397"/>
      <c r="AH327" s="1397"/>
      <c r="AI327" s="1397"/>
      <c r="AJ327" s="1397"/>
      <c r="AK327" s="1397"/>
    </row>
    <row r="328" spans="2:66" ht="12.9" customHeight="1">
      <c r="B328" s="3" t="s">
        <v>478</v>
      </c>
      <c r="C328" s="3"/>
      <c r="D328" s="3"/>
      <c r="E328" s="3"/>
      <c r="F328" s="3"/>
      <c r="H328" s="1453" t="s">
        <v>2714</v>
      </c>
      <c r="I328" s="1396"/>
      <c r="J328" s="1396"/>
      <c r="K328" s="1396"/>
      <c r="L328" s="1396"/>
      <c r="M328" s="1396"/>
      <c r="N328" s="1396"/>
      <c r="O328" s="1396"/>
      <c r="P328" s="1396"/>
      <c r="Q328" s="1396"/>
      <c r="R328" s="1396"/>
      <c r="T328" s="3" t="s">
        <v>478</v>
      </c>
      <c r="V328" s="3"/>
      <c r="W328" s="3"/>
      <c r="X328" s="3"/>
      <c r="Y328" s="3"/>
      <c r="AA328" s="1396"/>
      <c r="AB328" s="1396"/>
      <c r="AC328" s="1396"/>
      <c r="AD328" s="1396"/>
      <c r="AE328" s="1396"/>
      <c r="AF328" s="1396"/>
      <c r="AG328" s="1396"/>
      <c r="AH328" s="1396"/>
      <c r="AI328" s="1396"/>
      <c r="AJ328" s="1396"/>
      <c r="AK328" s="1396"/>
    </row>
    <row r="329" spans="2:66" ht="12.9" customHeight="1">
      <c r="B329" s="3" t="s">
        <v>479</v>
      </c>
      <c r="C329" s="3"/>
      <c r="D329" s="3"/>
      <c r="E329" s="3"/>
      <c r="F329" s="3"/>
      <c r="H329" s="1453" t="s">
        <v>2715</v>
      </c>
      <c r="I329" s="1396"/>
      <c r="J329" s="1396"/>
      <c r="K329" s="1396"/>
      <c r="L329" s="1396"/>
      <c r="M329" s="1396"/>
      <c r="N329" s="1396"/>
      <c r="O329" s="1396"/>
      <c r="P329" s="1396"/>
      <c r="Q329" s="1396"/>
      <c r="R329" s="1396"/>
      <c r="T329" s="3" t="s">
        <v>75</v>
      </c>
      <c r="V329" s="3"/>
      <c r="W329" s="3"/>
      <c r="X329" s="3"/>
      <c r="Y329" s="3"/>
      <c r="AA329" s="1396"/>
      <c r="AB329" s="1396"/>
      <c r="AC329" s="1396"/>
      <c r="AD329" s="1396"/>
      <c r="AE329" s="1396"/>
      <c r="AF329" s="1396"/>
      <c r="AG329" s="1396"/>
      <c r="AH329" s="1396"/>
      <c r="AI329" s="1396"/>
      <c r="AJ329" s="1396"/>
      <c r="AK329" s="1396"/>
    </row>
    <row r="330" spans="2:66" ht="12.9" customHeight="1">
      <c r="B330" s="3" t="s">
        <v>87</v>
      </c>
      <c r="C330" s="3"/>
      <c r="D330" s="3"/>
      <c r="E330" s="3"/>
      <c r="F330" s="3"/>
      <c r="H330" s="1453" t="s">
        <v>2711</v>
      </c>
      <c r="I330" s="1396"/>
      <c r="J330" s="1396"/>
      <c r="K330" s="1396"/>
      <c r="L330" s="1396"/>
      <c r="M330" s="1396"/>
      <c r="N330" s="1396"/>
      <c r="O330" s="1396"/>
      <c r="P330" s="1396"/>
      <c r="Q330" s="1396"/>
      <c r="R330" s="1396"/>
      <c r="T330" s="3" t="s">
        <v>87</v>
      </c>
      <c r="V330" s="3"/>
      <c r="W330" s="3"/>
      <c r="X330" s="3"/>
      <c r="Y330" s="3"/>
      <c r="AA330" s="1396"/>
      <c r="AB330" s="1396"/>
      <c r="AC330" s="1396"/>
      <c r="AD330" s="1396"/>
      <c r="AE330" s="1396"/>
      <c r="AF330" s="1396"/>
      <c r="AG330" s="1396"/>
      <c r="AH330" s="1396"/>
      <c r="AI330" s="1396"/>
      <c r="AJ330" s="1396"/>
      <c r="AK330" s="1396"/>
    </row>
    <row r="331" spans="2:66" ht="12.9" customHeight="1">
      <c r="B331" s="3" t="s">
        <v>88</v>
      </c>
      <c r="C331" s="3"/>
      <c r="D331" s="3"/>
      <c r="E331" s="3"/>
      <c r="F331" s="3"/>
      <c r="G331" s="3"/>
      <c r="H331" s="1469" t="s">
        <v>2712</v>
      </c>
      <c r="I331" s="1470"/>
      <c r="J331" s="1470"/>
      <c r="K331" s="1470"/>
      <c r="L331" s="1470"/>
      <c r="M331" s="1470"/>
      <c r="N331" s="4" t="s">
        <v>206</v>
      </c>
      <c r="O331" s="4"/>
      <c r="P331" s="1455"/>
      <c r="Q331" s="1455"/>
      <c r="R331" s="1455"/>
      <c r="S331" s="3"/>
      <c r="T331" s="3" t="s">
        <v>88</v>
      </c>
      <c r="V331" s="3"/>
      <c r="W331" s="3"/>
      <c r="X331" s="3"/>
      <c r="Y331" s="3"/>
      <c r="AA331" s="1470"/>
      <c r="AB331" s="1470"/>
      <c r="AC331" s="1470"/>
      <c r="AD331" s="1470"/>
      <c r="AE331" s="1470"/>
      <c r="AF331" s="1470"/>
      <c r="AG331" s="4" t="s">
        <v>206</v>
      </c>
      <c r="AH331" s="4"/>
      <c r="AI331" s="1455"/>
      <c r="AJ331" s="1455"/>
      <c r="AK331" s="1455"/>
    </row>
    <row r="332" spans="2:66" ht="12.9" customHeight="1">
      <c r="B332" s="3" t="s">
        <v>89</v>
      </c>
      <c r="C332" s="3"/>
      <c r="D332" s="3"/>
      <c r="E332" s="3"/>
      <c r="F332" s="3"/>
      <c r="G332" s="3"/>
      <c r="H332" s="1400"/>
      <c r="I332" s="1400"/>
      <c r="J332" s="1400"/>
      <c r="K332" s="1400"/>
      <c r="L332" s="1400"/>
      <c r="M332" s="1400"/>
      <c r="N332" s="4"/>
      <c r="O332" s="4"/>
      <c r="P332" s="35"/>
      <c r="Q332" s="35"/>
      <c r="R332" s="35"/>
      <c r="S332" s="3"/>
      <c r="T332" s="3" t="s">
        <v>89</v>
      </c>
      <c r="V332" s="3"/>
      <c r="W332" s="3"/>
      <c r="X332" s="3"/>
      <c r="Y332" s="3"/>
      <c r="AA332" s="1400"/>
      <c r="AB332" s="1400"/>
      <c r="AC332" s="1400"/>
      <c r="AD332" s="1400"/>
      <c r="AE332" s="1400"/>
      <c r="AF332" s="1400"/>
      <c r="AG332" s="4"/>
      <c r="AH332" s="4"/>
      <c r="AI332" s="35"/>
      <c r="AJ332" s="35"/>
      <c r="AK332" s="35"/>
    </row>
    <row r="333" spans="2:66" ht="12.9" customHeight="1">
      <c r="B333" s="3" t="s">
        <v>76</v>
      </c>
      <c r="C333" s="3"/>
      <c r="D333" s="3"/>
      <c r="E333" s="3"/>
      <c r="F333" s="3"/>
      <c r="G333" s="3"/>
      <c r="H333" s="1453" t="s">
        <v>2713</v>
      </c>
      <c r="I333" s="1396"/>
      <c r="J333" s="1396"/>
      <c r="K333" s="1396"/>
      <c r="L333" s="1396"/>
      <c r="M333" s="1396"/>
      <c r="N333" s="1397"/>
      <c r="O333" s="1397"/>
      <c r="P333" s="1397"/>
      <c r="Q333" s="1397"/>
      <c r="R333" s="1397"/>
      <c r="S333" s="3"/>
      <c r="T333" s="3" t="s">
        <v>76</v>
      </c>
      <c r="V333" s="3"/>
      <c r="W333" s="3"/>
      <c r="X333" s="3"/>
      <c r="Y333" s="3"/>
      <c r="AA333" s="1396"/>
      <c r="AB333" s="1396"/>
      <c r="AC333" s="1396"/>
      <c r="AD333" s="1396"/>
      <c r="AE333" s="1396"/>
      <c r="AF333" s="1396"/>
      <c r="AG333" s="1397"/>
      <c r="AH333" s="1397"/>
      <c r="AI333" s="1397"/>
      <c r="AJ333" s="1397"/>
      <c r="AK333" s="1397"/>
    </row>
    <row r="334" spans="2:66" ht="12.9" customHeight="1">
      <c r="B334" s="3"/>
      <c r="C334" s="3"/>
      <c r="D334" s="3"/>
      <c r="E334" s="3"/>
      <c r="F334" s="3"/>
      <c r="G334" s="3"/>
      <c r="P334" s="163"/>
      <c r="Q334" s="163"/>
      <c r="R334" s="163"/>
      <c r="S334" s="163"/>
      <c r="T334" s="163"/>
      <c r="U334" s="163"/>
      <c r="V334" s="4"/>
      <c r="W334" s="4"/>
      <c r="X334" s="35"/>
      <c r="Y334" s="35"/>
      <c r="Z334" s="35"/>
    </row>
    <row r="335" spans="2:66" ht="12.9" customHeight="1">
      <c r="B335" s="3" t="s">
        <v>329</v>
      </c>
      <c r="C335" s="3"/>
      <c r="D335" s="3"/>
      <c r="E335" s="3"/>
      <c r="F335" s="3"/>
      <c r="H335" s="1474" t="s">
        <v>2704</v>
      </c>
      <c r="I335" s="1397"/>
      <c r="J335" s="1397"/>
      <c r="K335" s="1397"/>
      <c r="L335" s="1397"/>
      <c r="M335" s="1397"/>
      <c r="N335" s="1397"/>
      <c r="O335" s="1397"/>
      <c r="P335" s="1397"/>
      <c r="Q335" s="1397"/>
      <c r="R335" s="1397"/>
      <c r="T335" s="218" t="s">
        <v>898</v>
      </c>
      <c r="V335" s="3"/>
      <c r="W335" s="3"/>
      <c r="X335" s="3"/>
      <c r="Y335" s="3"/>
      <c r="AA335" s="1474" t="s">
        <v>2765</v>
      </c>
      <c r="AB335" s="1397"/>
      <c r="AC335" s="1397"/>
      <c r="AD335" s="1397"/>
      <c r="AE335" s="1397"/>
      <c r="AF335" s="1397"/>
      <c r="AG335" s="1397"/>
      <c r="AH335" s="1397"/>
      <c r="AI335" s="1397"/>
      <c r="AJ335" s="1397"/>
      <c r="AK335" s="1397"/>
    </row>
    <row r="336" spans="2:66" ht="12.9" customHeight="1">
      <c r="B336" s="3" t="s">
        <v>478</v>
      </c>
      <c r="C336" s="3"/>
      <c r="D336" s="3"/>
      <c r="E336" s="3"/>
      <c r="F336" s="3"/>
      <c r="H336" s="1453" t="s">
        <v>2706</v>
      </c>
      <c r="I336" s="1396"/>
      <c r="J336" s="1396"/>
      <c r="K336" s="1396"/>
      <c r="L336" s="1396"/>
      <c r="M336" s="1396"/>
      <c r="N336" s="1396"/>
      <c r="O336" s="1396"/>
      <c r="P336" s="1396"/>
      <c r="Q336" s="1396"/>
      <c r="R336" s="1396"/>
      <c r="T336" s="3" t="s">
        <v>478</v>
      </c>
      <c r="V336" s="3"/>
      <c r="W336" s="3"/>
      <c r="X336" s="3"/>
      <c r="Y336" s="3"/>
      <c r="AA336" s="1453" t="s">
        <v>2766</v>
      </c>
      <c r="AB336" s="1396"/>
      <c r="AC336" s="1396"/>
      <c r="AD336" s="1396"/>
      <c r="AE336" s="1396"/>
      <c r="AF336" s="1396"/>
      <c r="AG336" s="1396"/>
      <c r="AH336" s="1396"/>
      <c r="AI336" s="1396"/>
      <c r="AJ336" s="1396"/>
      <c r="AK336" s="1396"/>
    </row>
    <row r="337" spans="1:66" ht="12.9" customHeight="1">
      <c r="B337" s="3" t="s">
        <v>75</v>
      </c>
      <c r="C337" s="3"/>
      <c r="D337" s="3"/>
      <c r="E337" s="3"/>
      <c r="F337" s="3"/>
      <c r="H337" s="1453" t="s">
        <v>2707</v>
      </c>
      <c r="I337" s="1396"/>
      <c r="J337" s="1396"/>
      <c r="K337" s="1396"/>
      <c r="L337" s="1396"/>
      <c r="M337" s="1396"/>
      <c r="N337" s="1396"/>
      <c r="O337" s="1396"/>
      <c r="P337" s="1396"/>
      <c r="Q337" s="1396"/>
      <c r="R337" s="1396"/>
      <c r="T337" s="3" t="s">
        <v>75</v>
      </c>
      <c r="V337" s="3"/>
      <c r="W337" s="3"/>
      <c r="X337" s="3"/>
      <c r="Y337" s="3"/>
      <c r="AA337" s="1453" t="s">
        <v>2767</v>
      </c>
      <c r="AB337" s="1396"/>
      <c r="AC337" s="1396"/>
      <c r="AD337" s="1396"/>
      <c r="AE337" s="1396"/>
      <c r="AF337" s="1396"/>
      <c r="AG337" s="1396"/>
      <c r="AH337" s="1396"/>
      <c r="AI337" s="1396"/>
      <c r="AJ337" s="1396"/>
      <c r="AK337" s="1396"/>
    </row>
    <row r="338" spans="1:66" ht="12.9" customHeight="1">
      <c r="B338" s="3" t="s">
        <v>87</v>
      </c>
      <c r="C338" s="3"/>
      <c r="D338" s="3"/>
      <c r="E338" s="3"/>
      <c r="F338" s="3"/>
      <c r="G338" s="3"/>
      <c r="H338" s="1453" t="s">
        <v>2708</v>
      </c>
      <c r="I338" s="1396"/>
      <c r="J338" s="1396"/>
      <c r="K338" s="1396"/>
      <c r="L338" s="1396"/>
      <c r="M338" s="1396"/>
      <c r="N338" s="1396"/>
      <c r="O338" s="1396"/>
      <c r="P338" s="1396"/>
      <c r="Q338" s="1396"/>
      <c r="R338" s="1396"/>
      <c r="T338" s="3" t="s">
        <v>87</v>
      </c>
      <c r="V338" s="3"/>
      <c r="W338" s="3"/>
      <c r="X338" s="3"/>
      <c r="Y338" s="3"/>
      <c r="AA338" s="1453" t="s">
        <v>2768</v>
      </c>
      <c r="AB338" s="1396"/>
      <c r="AC338" s="1396"/>
      <c r="AD338" s="1396"/>
      <c r="AE338" s="1396"/>
      <c r="AF338" s="1396"/>
      <c r="AG338" s="1396"/>
      <c r="AH338" s="1396"/>
      <c r="AI338" s="1396"/>
      <c r="AJ338" s="1396"/>
      <c r="AK338" s="1396"/>
    </row>
    <row r="339" spans="1:66" ht="12.9" customHeight="1">
      <c r="B339" s="3" t="s">
        <v>88</v>
      </c>
      <c r="C339" s="3"/>
      <c r="D339" s="3"/>
      <c r="E339" s="3"/>
      <c r="F339" s="3"/>
      <c r="G339" s="3"/>
      <c r="H339" s="1469" t="s">
        <v>2705</v>
      </c>
      <c r="I339" s="1470"/>
      <c r="J339" s="1470"/>
      <c r="K339" s="1470"/>
      <c r="L339" s="1470"/>
      <c r="M339" s="1470"/>
      <c r="N339" s="4" t="s">
        <v>206</v>
      </c>
      <c r="O339" s="4"/>
      <c r="P339" s="1455"/>
      <c r="Q339" s="1455"/>
      <c r="R339" s="1455"/>
      <c r="S339" s="3"/>
      <c r="T339" s="3" t="s">
        <v>88</v>
      </c>
      <c r="V339" s="3"/>
      <c r="W339" s="3"/>
      <c r="X339" s="3"/>
      <c r="Y339" s="3"/>
      <c r="AA339" s="1469" t="s">
        <v>2770</v>
      </c>
      <c r="AB339" s="1470"/>
      <c r="AC339" s="1470"/>
      <c r="AD339" s="1470"/>
      <c r="AE339" s="1470"/>
      <c r="AF339" s="1470"/>
      <c r="AG339" s="4" t="s">
        <v>206</v>
      </c>
      <c r="AH339" s="4"/>
      <c r="AI339" s="1455"/>
      <c r="AJ339" s="1455"/>
      <c r="AK339" s="1455"/>
    </row>
    <row r="340" spans="1:66" ht="12.9" customHeight="1">
      <c r="B340" s="3" t="s">
        <v>89</v>
      </c>
      <c r="C340" s="3"/>
      <c r="D340" s="3"/>
      <c r="E340" s="3"/>
      <c r="F340" s="3"/>
      <c r="G340" s="3"/>
      <c r="H340" s="1400"/>
      <c r="I340" s="1400"/>
      <c r="J340" s="1400"/>
      <c r="K340" s="1400"/>
      <c r="L340" s="1400"/>
      <c r="M340" s="1400"/>
      <c r="N340" s="4"/>
      <c r="O340" s="4"/>
      <c r="P340" s="35"/>
      <c r="Q340" s="35"/>
      <c r="R340" s="35"/>
      <c r="S340" s="3"/>
      <c r="T340" s="3" t="s">
        <v>89</v>
      </c>
      <c r="V340" s="3"/>
      <c r="W340" s="3"/>
      <c r="X340" s="3"/>
      <c r="Y340" s="3"/>
      <c r="AA340" s="1400"/>
      <c r="AB340" s="1400"/>
      <c r="AC340" s="1400"/>
      <c r="AD340" s="1400"/>
      <c r="AE340" s="1400"/>
      <c r="AF340" s="1400"/>
      <c r="AG340" s="4"/>
      <c r="AH340" s="4"/>
      <c r="AI340" s="35"/>
      <c r="AJ340" s="35"/>
      <c r="AK340" s="35"/>
    </row>
    <row r="341" spans="1:66" ht="12.9" customHeight="1">
      <c r="B341" s="3" t="s">
        <v>76</v>
      </c>
      <c r="C341" s="3"/>
      <c r="D341" s="3"/>
      <c r="E341" s="3"/>
      <c r="F341" s="3"/>
      <c r="G341" s="3"/>
      <c r="H341" s="1453" t="s">
        <v>2709</v>
      </c>
      <c r="I341" s="1396"/>
      <c r="J341" s="1396"/>
      <c r="K341" s="1396"/>
      <c r="L341" s="1396"/>
      <c r="M341" s="1396"/>
      <c r="N341" s="1397"/>
      <c r="O341" s="1397"/>
      <c r="P341" s="1397"/>
      <c r="Q341" s="1397"/>
      <c r="R341" s="1397"/>
      <c r="S341" s="3"/>
      <c r="T341" s="3" t="s">
        <v>76</v>
      </c>
      <c r="V341" s="3"/>
      <c r="W341" s="3"/>
      <c r="X341" s="3"/>
      <c r="Y341" s="3"/>
      <c r="AA341" s="1453" t="s">
        <v>2769</v>
      </c>
      <c r="AB341" s="1396"/>
      <c r="AC341" s="1396"/>
      <c r="AD341" s="1396"/>
      <c r="AE341" s="1396"/>
      <c r="AF341" s="1396"/>
      <c r="AG341" s="1397"/>
      <c r="AH341" s="1397"/>
      <c r="AI341" s="1397"/>
      <c r="AJ341" s="1397"/>
      <c r="AK341" s="1397"/>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 customHeight="1">
      <c r="B343" s="3"/>
      <c r="C343" s="4"/>
      <c r="D343" s="4"/>
      <c r="E343" s="4"/>
      <c r="F343" s="4"/>
      <c r="I343" s="218" t="s">
        <v>899</v>
      </c>
      <c r="P343" s="1397" t="s">
        <v>598</v>
      </c>
      <c r="Q343" s="1397"/>
      <c r="R343" s="1397"/>
      <c r="S343" s="1397"/>
      <c r="T343" s="1397"/>
      <c r="U343" s="1397"/>
      <c r="V343" s="1397"/>
      <c r="W343" s="1397"/>
      <c r="X343" s="1397"/>
      <c r="Y343" s="1397"/>
      <c r="Z343" s="1397"/>
      <c r="AA343" s="1397"/>
      <c r="AB343" s="1397"/>
      <c r="AC343" s="1397"/>
      <c r="AD343" s="1397"/>
      <c r="AE343" s="1397"/>
      <c r="BN343" t="s">
        <v>676</v>
      </c>
    </row>
    <row r="344" spans="1:66" ht="12.9" customHeight="1">
      <c r="B344" s="4"/>
      <c r="C344" s="4"/>
      <c r="D344" s="4"/>
      <c r="E344" s="4"/>
      <c r="F344" s="4"/>
      <c r="I344" s="4" t="s">
        <v>478</v>
      </c>
      <c r="P344" s="1396"/>
      <c r="Q344" s="1396"/>
      <c r="R344" s="1396"/>
      <c r="S344" s="1396"/>
      <c r="T344" s="1396"/>
      <c r="U344" s="1396"/>
      <c r="V344" s="1396"/>
      <c r="W344" s="1396"/>
      <c r="X344" s="1396"/>
      <c r="Y344" s="1396"/>
      <c r="Z344" s="1396"/>
      <c r="AA344" s="1396"/>
      <c r="AB344" s="1396"/>
      <c r="AC344" s="1396"/>
      <c r="AD344" s="1396"/>
      <c r="AE344" s="1396"/>
      <c r="BN344" t="s">
        <v>552</v>
      </c>
    </row>
    <row r="345" spans="1:66" ht="12.9" customHeight="1">
      <c r="B345" s="4"/>
      <c r="C345" s="4"/>
      <c r="D345" s="4"/>
      <c r="E345" s="4"/>
      <c r="F345" s="4"/>
      <c r="I345" s="4" t="s">
        <v>75</v>
      </c>
      <c r="P345" s="1396"/>
      <c r="Q345" s="1396"/>
      <c r="R345" s="1396"/>
      <c r="S345" s="1396"/>
      <c r="T345" s="1396"/>
      <c r="U345" s="1396"/>
      <c r="V345" s="1396"/>
      <c r="W345" s="1396"/>
      <c r="X345" s="1396"/>
      <c r="Y345" s="1396"/>
      <c r="Z345" s="1396"/>
      <c r="AA345" s="1396"/>
      <c r="AB345" s="1396"/>
      <c r="AC345" s="1396"/>
      <c r="AD345" s="1396"/>
      <c r="AE345" s="1396"/>
    </row>
    <row r="346" spans="1:66" ht="12.9" customHeight="1">
      <c r="B346" s="4"/>
      <c r="C346" s="4"/>
      <c r="D346" s="4"/>
      <c r="E346" s="4"/>
      <c r="F346" s="4"/>
      <c r="G346" s="4"/>
      <c r="I346" s="4" t="s">
        <v>87</v>
      </c>
      <c r="P346" s="1396"/>
      <c r="Q346" s="1396"/>
      <c r="R346" s="1396"/>
      <c r="S346" s="1396"/>
      <c r="T346" s="1396"/>
      <c r="U346" s="1396"/>
      <c r="V346" s="1396"/>
      <c r="W346" s="1396"/>
      <c r="X346" s="1396"/>
      <c r="Y346" s="1396"/>
      <c r="Z346" s="1396"/>
      <c r="AA346" s="1396"/>
      <c r="AB346" s="1396"/>
      <c r="AC346" s="1396"/>
      <c r="AD346" s="1396"/>
      <c r="AE346" s="1396"/>
    </row>
    <row r="347" spans="1:66" ht="12.9" customHeight="1">
      <c r="B347" s="4"/>
      <c r="C347" s="4"/>
      <c r="D347" s="4"/>
      <c r="E347" s="4"/>
      <c r="F347" s="4"/>
      <c r="G347" s="4"/>
      <c r="H347" s="324"/>
      <c r="I347" s="4" t="s">
        <v>88</v>
      </c>
      <c r="P347" s="1400"/>
      <c r="Q347" s="1400"/>
      <c r="R347" s="1400"/>
      <c r="S347" s="1400"/>
      <c r="T347" s="1400"/>
      <c r="U347" s="1400"/>
      <c r="V347" s="1400"/>
      <c r="W347" s="1400"/>
      <c r="X347" s="1400"/>
      <c r="Y347" s="1400"/>
      <c r="Z347" s="1400"/>
      <c r="AA347" s="4" t="s">
        <v>206</v>
      </c>
      <c r="AB347" s="4"/>
      <c r="AC347" s="1399"/>
      <c r="AD347" s="1399"/>
      <c r="AE347" s="1399"/>
      <c r="AF347" s="324"/>
      <c r="AG347" s="4"/>
      <c r="AH347" s="4"/>
      <c r="AI347" s="4"/>
      <c r="AJ347" s="4"/>
      <c r="AK347" s="4"/>
    </row>
    <row r="348" spans="1:66" ht="12.9" customHeight="1">
      <c r="B348" s="4"/>
      <c r="C348" s="4"/>
      <c r="D348" s="4"/>
      <c r="E348" s="4"/>
      <c r="F348" s="4"/>
      <c r="G348" s="4"/>
      <c r="H348" s="324"/>
      <c r="I348" s="4" t="s">
        <v>89</v>
      </c>
      <c r="P348" s="1400"/>
      <c r="Q348" s="1400"/>
      <c r="R348" s="1400"/>
      <c r="S348" s="1400"/>
      <c r="T348" s="1400"/>
      <c r="U348" s="1400"/>
      <c r="V348" s="1400"/>
      <c r="W348" s="1400"/>
      <c r="X348" s="1400"/>
      <c r="Y348" s="1400"/>
      <c r="Z348" s="1400"/>
      <c r="AF348" s="324"/>
      <c r="AG348" s="4"/>
      <c r="AH348" s="4"/>
      <c r="AI348" s="35"/>
      <c r="AJ348" s="35"/>
      <c r="AK348" s="35"/>
    </row>
    <row r="349" spans="1:66" ht="12.9" customHeight="1">
      <c r="B349" s="4"/>
      <c r="C349" s="4"/>
      <c r="D349" s="4"/>
      <c r="E349" s="4"/>
      <c r="F349" s="4"/>
      <c r="G349" s="4"/>
      <c r="I349" s="4" t="s">
        <v>76</v>
      </c>
      <c r="P349" s="1397"/>
      <c r="Q349" s="1397"/>
      <c r="R349" s="1397"/>
      <c r="S349" s="1397"/>
      <c r="T349" s="1397"/>
      <c r="U349" s="1397"/>
      <c r="V349" s="1397"/>
      <c r="W349" s="1397"/>
      <c r="X349" s="1397"/>
      <c r="Y349" s="1397"/>
      <c r="Z349" s="1397"/>
      <c r="AA349" s="1397"/>
      <c r="AB349" s="1397"/>
      <c r="AC349" s="1397"/>
      <c r="AD349" s="1397"/>
      <c r="AE349" s="1397"/>
    </row>
    <row r="350" spans="1:66" ht="12.9" customHeight="1">
      <c r="T350" s="8"/>
      <c r="U350" s="8"/>
      <c r="V350" s="8"/>
      <c r="W350" s="8"/>
      <c r="X350" s="8"/>
      <c r="Y350" s="8"/>
      <c r="Z350" s="8"/>
      <c r="AU350" s="95"/>
      <c r="AV350" s="95"/>
      <c r="AW350" s="95"/>
      <c r="AX350" s="95"/>
      <c r="AY350" s="95"/>
    </row>
    <row r="351" spans="1:66" ht="12.9" customHeight="1">
      <c r="A351" s="1547" t="s">
        <v>549</v>
      </c>
      <c r="B351" s="1547"/>
      <c r="C351" s="1547"/>
      <c r="D351" s="1547"/>
      <c r="E351" s="1547"/>
      <c r="F351" s="1547"/>
      <c r="G351" s="1547"/>
      <c r="H351" s="1547"/>
      <c r="I351" s="1547"/>
      <c r="J351" s="1547"/>
      <c r="K351" s="1547"/>
      <c r="L351" s="1547"/>
      <c r="M351" s="1547"/>
      <c r="N351" s="1547"/>
      <c r="O351" s="1547"/>
      <c r="P351" s="1547"/>
      <c r="Q351" s="1547"/>
      <c r="R351" s="1547"/>
      <c r="S351" s="1547"/>
      <c r="T351" s="1547"/>
      <c r="U351" s="1547"/>
      <c r="V351" s="1547"/>
      <c r="W351" s="1547"/>
      <c r="X351" s="1547"/>
      <c r="Y351" s="1547"/>
      <c r="Z351" s="1547"/>
      <c r="AA351" s="1547"/>
      <c r="AB351" s="1547"/>
      <c r="AC351" s="1547"/>
      <c r="AD351" s="1547"/>
      <c r="AE351" s="1547"/>
      <c r="AF351" s="1547"/>
      <c r="AG351" s="1547"/>
      <c r="AH351" s="1547"/>
      <c r="AI351" s="1547"/>
      <c r="AJ351" s="1547"/>
      <c r="AK351" s="1547"/>
      <c r="AL351" s="1547"/>
      <c r="AM351" s="1547"/>
      <c r="AN351" s="1547"/>
      <c r="AO351" s="1547"/>
      <c r="AP351" s="1547"/>
      <c r="AQ351" s="1547"/>
      <c r="AR351" s="1547"/>
      <c r="AS351" s="1547"/>
      <c r="AT351" s="1547"/>
      <c r="AU351" s="95"/>
      <c r="AV351" s="95"/>
      <c r="AW351" s="95"/>
      <c r="AX351" s="95"/>
      <c r="AY351" s="95"/>
    </row>
    <row r="352" spans="1:66" ht="12.9" customHeight="1">
      <c r="A352" s="1547"/>
      <c r="B352" s="1547"/>
      <c r="C352" s="1547"/>
      <c r="D352" s="1547"/>
      <c r="E352" s="1547"/>
      <c r="F352" s="1547"/>
      <c r="G352" s="1547"/>
      <c r="H352" s="1547"/>
      <c r="I352" s="1547"/>
      <c r="J352" s="1547"/>
      <c r="K352" s="1547"/>
      <c r="L352" s="1547"/>
      <c r="M352" s="1547"/>
      <c r="N352" s="1547"/>
      <c r="O352" s="1547"/>
      <c r="P352" s="1547"/>
      <c r="Q352" s="1547"/>
      <c r="R352" s="1547"/>
      <c r="S352" s="1547"/>
      <c r="T352" s="1547"/>
      <c r="U352" s="1547"/>
      <c r="V352" s="1547"/>
      <c r="W352" s="1547"/>
      <c r="X352" s="1547"/>
      <c r="Y352" s="1547"/>
      <c r="Z352" s="1547"/>
      <c r="AA352" s="1547"/>
      <c r="AB352" s="1547"/>
      <c r="AC352" s="1547"/>
      <c r="AD352" s="1547"/>
      <c r="AE352" s="1547"/>
      <c r="AF352" s="1547"/>
      <c r="AG352" s="1547"/>
      <c r="AH352" s="1547"/>
      <c r="AI352" s="1547"/>
      <c r="AJ352" s="1547"/>
      <c r="AK352" s="1547"/>
      <c r="AL352" s="1547"/>
      <c r="AM352" s="1547"/>
      <c r="AN352" s="1547"/>
      <c r="AO352" s="1547"/>
      <c r="AP352" s="1547"/>
      <c r="AQ352" s="1547"/>
      <c r="AR352" s="1547"/>
      <c r="AS352" s="1547"/>
      <c r="AT352" s="1547"/>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319</v>
      </c>
      <c r="B354" s="2"/>
      <c r="C354" s="2" t="s">
        <v>790</v>
      </c>
    </row>
    <row r="355" spans="1:46" ht="12.9" customHeight="1">
      <c r="D355" s="3" t="s">
        <v>2415</v>
      </c>
      <c r="M355" s="1415" t="s">
        <v>552</v>
      </c>
      <c r="N355" s="1415"/>
      <c r="P355" t="s">
        <v>1761</v>
      </c>
      <c r="AJ355" s="1415" t="s">
        <v>552</v>
      </c>
      <c r="AK355" s="1415"/>
    </row>
    <row r="356" spans="1:46" ht="12.9" customHeight="1">
      <c r="D356" s="3" t="s">
        <v>1750</v>
      </c>
      <c r="M356" s="1415" t="s">
        <v>598</v>
      </c>
      <c r="N356" s="1415"/>
      <c r="P356" s="3" t="s">
        <v>1907</v>
      </c>
      <c r="AJ356" s="1445">
        <v>0</v>
      </c>
      <c r="AK356" s="1445"/>
    </row>
    <row r="357" spans="1:46" ht="12.9" customHeight="1">
      <c r="D357" s="3" t="s">
        <v>712</v>
      </c>
      <c r="M357" s="1415" t="s">
        <v>598</v>
      </c>
      <c r="N357" s="1415"/>
      <c r="P357" t="s">
        <v>1760</v>
      </c>
      <c r="AJ357" s="1415" t="s">
        <v>676</v>
      </c>
      <c r="AK357" s="1415"/>
    </row>
    <row r="358" spans="1:46" ht="12.9" customHeight="1">
      <c r="D358" s="3" t="s">
        <v>713</v>
      </c>
      <c r="M358" s="1415" t="s">
        <v>598</v>
      </c>
      <c r="N358" s="1415"/>
      <c r="Q358" s="4"/>
    </row>
    <row r="359" spans="1:46" ht="12.9" customHeight="1">
      <c r="Q359" s="4"/>
    </row>
    <row r="360" spans="1:46" ht="12.9" customHeight="1">
      <c r="Q360" s="4"/>
    </row>
    <row r="361" spans="1:46" ht="12.9" customHeight="1">
      <c r="A361" s="2" t="s">
        <v>583</v>
      </c>
      <c r="B361" s="2"/>
      <c r="C361" s="2" t="s">
        <v>559</v>
      </c>
      <c r="D361" s="2"/>
    </row>
    <row r="362" spans="1:46" ht="12.9"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185</v>
      </c>
      <c r="E363" s="40"/>
      <c r="F363" s="40"/>
      <c r="G363" s="40"/>
      <c r="H363" s="40"/>
      <c r="I363" s="40"/>
      <c r="J363" s="40"/>
      <c r="K363" s="40"/>
      <c r="L363" s="40"/>
      <c r="M363" s="40"/>
      <c r="N363" s="1415" t="s">
        <v>598</v>
      </c>
      <c r="O363" s="1415"/>
      <c r="P363" s="40"/>
      <c r="Q363" s="40"/>
      <c r="R363" s="40"/>
      <c r="S363" s="40"/>
      <c r="T363" s="40"/>
      <c r="U363" s="40"/>
      <c r="V363" s="40"/>
      <c r="W363" s="40"/>
      <c r="X363" s="40"/>
      <c r="Y363" s="40"/>
      <c r="Z363" s="40"/>
      <c r="AC363" s="40"/>
      <c r="AD363" s="40"/>
      <c r="AE363" s="40"/>
    </row>
    <row r="364" spans="1:46" ht="12.9" customHeight="1">
      <c r="E364" t="s">
        <v>370</v>
      </c>
      <c r="Y364" s="1415" t="s">
        <v>598</v>
      </c>
      <c r="Z364" s="1415"/>
    </row>
    <row r="365" spans="1:46" ht="12.9" customHeight="1">
      <c r="D365" s="4" t="s">
        <v>996</v>
      </c>
      <c r="Q365" s="1397" t="s">
        <v>598</v>
      </c>
      <c r="R365" s="1397"/>
      <c r="S365" s="1397"/>
      <c r="T365" s="1397"/>
      <c r="U365" s="1397"/>
      <c r="V365" s="1397"/>
      <c r="W365" s="1397"/>
      <c r="X365" s="1397"/>
      <c r="Y365" s="1397"/>
      <c r="Z365" s="1397"/>
      <c r="AA365" s="1397"/>
      <c r="AB365" s="1397"/>
      <c r="AC365" s="1397"/>
      <c r="AD365" s="1397"/>
      <c r="AE365" s="1397"/>
      <c r="AF365" s="1397"/>
      <c r="AG365" s="1397"/>
    </row>
    <row r="366" spans="1:46" ht="12.9"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188</v>
      </c>
      <c r="E367" s="40"/>
      <c r="F367" s="40"/>
      <c r="G367" s="40"/>
      <c r="H367" s="40"/>
      <c r="I367" s="40"/>
      <c r="J367" s="1415" t="s">
        <v>598</v>
      </c>
      <c r="K367" s="1415"/>
      <c r="L367" s="40"/>
      <c r="M367" s="40"/>
      <c r="N367" s="40"/>
      <c r="O367" s="40"/>
      <c r="P367" s="40"/>
      <c r="Q367" s="40"/>
      <c r="R367" s="40"/>
      <c r="S367" s="40"/>
      <c r="T367" s="40"/>
      <c r="U367" s="40"/>
      <c r="V367" s="40"/>
      <c r="W367" s="40"/>
      <c r="X367" s="40"/>
      <c r="Y367" s="40"/>
      <c r="Z367" s="40"/>
      <c r="AC367" s="40"/>
      <c r="AD367" s="40"/>
      <c r="AE367" s="40"/>
    </row>
    <row r="368" spans="1:46" ht="12.9" customHeight="1">
      <c r="E368" s="1467" t="s">
        <v>714</v>
      </c>
      <c r="F368" s="1467"/>
      <c r="G368" s="1467"/>
      <c r="H368" s="1467"/>
      <c r="I368" s="1467"/>
      <c r="J368" s="1467"/>
      <c r="K368" s="1467"/>
      <c r="L368" s="1467"/>
      <c r="M368" s="1467"/>
      <c r="N368" s="1467"/>
      <c r="O368" s="1467"/>
      <c r="P368" s="1467"/>
      <c r="Q368" s="1467"/>
      <c r="R368" s="1467"/>
      <c r="S368" s="1467"/>
      <c r="T368" s="1467"/>
      <c r="U368" s="1467"/>
      <c r="V368" s="1467"/>
      <c r="W368" s="1467"/>
      <c r="X368" s="1467"/>
      <c r="Y368" s="1467"/>
      <c r="Z368" s="1467"/>
      <c r="AA368" s="1467"/>
      <c r="AB368" s="1467"/>
      <c r="AC368" s="1467"/>
      <c r="AD368" s="1467"/>
      <c r="AE368" s="1467"/>
      <c r="AF368" s="1467"/>
      <c r="AG368" s="1467"/>
      <c r="AH368" s="1467"/>
    </row>
    <row r="369" spans="1:34" ht="12.9" customHeight="1">
      <c r="E369" s="1467"/>
      <c r="F369" s="1467"/>
      <c r="G369" s="1467"/>
      <c r="H369" s="1467"/>
      <c r="I369" s="1467"/>
      <c r="J369" s="1467"/>
      <c r="K369" s="1467"/>
      <c r="L369" s="1467"/>
      <c r="M369" s="1467"/>
      <c r="N369" s="1467"/>
      <c r="O369" s="1467"/>
      <c r="P369" s="1467"/>
      <c r="Q369" s="1467"/>
      <c r="R369" s="1467"/>
      <c r="S369" s="1467"/>
      <c r="T369" s="1467"/>
      <c r="U369" s="1467"/>
      <c r="V369" s="1467"/>
      <c r="W369" s="1467"/>
      <c r="X369" s="1467"/>
      <c r="Y369" s="1467"/>
      <c r="Z369" s="1467"/>
      <c r="AA369" s="1467"/>
      <c r="AB369" s="1467"/>
      <c r="AC369" s="1467"/>
      <c r="AD369" s="1467"/>
      <c r="AE369" s="1467"/>
      <c r="AF369" s="1467"/>
      <c r="AG369" s="1467"/>
      <c r="AH369" s="1467"/>
    </row>
    <row r="370" spans="1:34" ht="12.9" customHeight="1">
      <c r="E370" s="4" t="s">
        <v>455</v>
      </c>
      <c r="F370" s="4"/>
      <c r="G370" s="4"/>
      <c r="H370" s="4"/>
      <c r="I370" s="4"/>
      <c r="J370" s="4"/>
      <c r="K370" s="4"/>
      <c r="L370" s="4"/>
      <c r="N370" s="1414"/>
      <c r="O370" s="1414"/>
      <c r="P370" s="1414"/>
      <c r="Q370" s="1414"/>
      <c r="R370" s="4"/>
      <c r="U370" s="4" t="s">
        <v>456</v>
      </c>
      <c r="V370" s="4"/>
      <c r="W370" s="4"/>
      <c r="X370" s="4"/>
      <c r="Y370" s="4"/>
      <c r="Z370" s="4"/>
      <c r="AA370" s="4"/>
      <c r="AB370" s="4"/>
      <c r="AC370" s="1414"/>
      <c r="AD370" s="1414"/>
      <c r="AE370" s="1414"/>
      <c r="AF370" s="1414"/>
    </row>
    <row r="371" spans="1:34" ht="12.9" customHeight="1">
      <c r="E371" s="4" t="s">
        <v>457</v>
      </c>
      <c r="F371" s="4"/>
      <c r="G371" s="4"/>
      <c r="H371" s="4"/>
      <c r="I371" s="4"/>
      <c r="J371" s="4"/>
      <c r="K371" s="4"/>
      <c r="L371" s="4"/>
      <c r="N371" s="1414"/>
      <c r="O371" s="1414"/>
      <c r="P371" s="1414"/>
      <c r="Q371" s="1414"/>
      <c r="R371" s="4"/>
      <c r="U371" s="4" t="s">
        <v>0</v>
      </c>
      <c r="V371" s="4"/>
      <c r="W371" s="4"/>
      <c r="X371" s="4"/>
      <c r="Y371" s="4"/>
      <c r="Z371" s="4"/>
      <c r="AA371" s="4"/>
      <c r="AB371" s="4"/>
      <c r="AC371" s="1414"/>
      <c r="AD371" s="1414"/>
      <c r="AE371" s="1414"/>
      <c r="AF371" s="1414"/>
    </row>
    <row r="372" spans="1:34" ht="12.9" customHeight="1">
      <c r="E372" s="4" t="s">
        <v>1</v>
      </c>
      <c r="F372" s="4"/>
      <c r="G372" s="4"/>
      <c r="H372" s="4"/>
      <c r="I372" s="4"/>
      <c r="J372" s="4"/>
      <c r="K372" s="4"/>
      <c r="L372" s="4"/>
      <c r="N372" s="1414"/>
      <c r="O372" s="1414"/>
      <c r="P372" s="1414"/>
      <c r="Q372" s="1414"/>
      <c r="R372" s="4"/>
      <c r="V372" s="4"/>
      <c r="W372" s="4"/>
      <c r="X372" s="4"/>
      <c r="Y372" s="4"/>
      <c r="Z372" s="4"/>
      <c r="AA372" s="4"/>
      <c r="AB372" s="4"/>
    </row>
    <row r="373" spans="1:34" ht="12.9" customHeight="1">
      <c r="E373" s="4" t="s">
        <v>2</v>
      </c>
      <c r="F373" s="4"/>
      <c r="G373" s="4"/>
      <c r="H373" s="4"/>
      <c r="I373" s="4"/>
      <c r="J373" s="4"/>
      <c r="K373" s="4"/>
      <c r="L373" s="4"/>
      <c r="N373" s="1479"/>
      <c r="O373" s="1479"/>
      <c r="P373" s="1479"/>
      <c r="Q373" s="1479"/>
      <c r="R373" s="1479"/>
      <c r="S373" s="1479"/>
      <c r="T373" s="1479"/>
      <c r="U373" s="1479"/>
      <c r="V373" s="1479"/>
      <c r="W373" s="1479"/>
      <c r="X373" s="1479"/>
      <c r="Y373" s="1479"/>
      <c r="Z373" s="1479"/>
      <c r="AA373" s="1479"/>
      <c r="AB373" s="1479"/>
      <c r="AC373" s="1479"/>
      <c r="AD373" s="1479"/>
      <c r="AE373" s="1479"/>
      <c r="AF373" s="1479"/>
    </row>
    <row r="374" spans="1:34" ht="12.9" customHeight="1">
      <c r="E374" s="4"/>
      <c r="F374" s="4"/>
      <c r="G374" s="4"/>
      <c r="H374" s="4"/>
      <c r="I374" s="4"/>
      <c r="J374" s="4"/>
      <c r="K374" s="4"/>
      <c r="L374" s="4"/>
      <c r="N374" s="1480"/>
      <c r="O374" s="1480"/>
      <c r="P374" s="1480"/>
      <c r="Q374" s="1480"/>
      <c r="R374" s="1480"/>
      <c r="S374" s="1480"/>
      <c r="T374" s="1480"/>
      <c r="U374" s="1480"/>
      <c r="V374" s="1480"/>
      <c r="W374" s="1480"/>
      <c r="X374" s="1480"/>
      <c r="Y374" s="1480"/>
      <c r="Z374" s="1480"/>
      <c r="AA374" s="1480"/>
      <c r="AB374" s="1480"/>
      <c r="AC374" s="1480"/>
      <c r="AD374" s="1480"/>
      <c r="AE374" s="1480"/>
      <c r="AF374" s="1480"/>
    </row>
    <row r="375" spans="1:34" ht="12.9" customHeight="1">
      <c r="C375" s="546"/>
      <c r="E375" s="4"/>
      <c r="F375" s="4"/>
      <c r="G375" s="4"/>
      <c r="H375" s="4"/>
      <c r="I375" s="4"/>
      <c r="J375" s="4"/>
      <c r="K375" s="4"/>
      <c r="L375" s="4"/>
    </row>
    <row r="376" spans="1:34" ht="12.9" customHeight="1">
      <c r="D376" s="2" t="s">
        <v>993</v>
      </c>
      <c r="E376" s="2"/>
      <c r="F376" s="4"/>
      <c r="G376" s="4"/>
      <c r="H376" s="4"/>
      <c r="I376" s="4"/>
      <c r="J376" s="4"/>
      <c r="K376" s="4"/>
      <c r="L376" s="4"/>
    </row>
    <row r="377" spans="1:34" ht="12.9" customHeight="1">
      <c r="E377" s="4" t="s">
        <v>2399</v>
      </c>
      <c r="F377" s="4"/>
      <c r="G377" s="4"/>
      <c r="H377" s="4"/>
      <c r="I377" s="4"/>
      <c r="J377" s="4"/>
      <c r="K377" s="4"/>
      <c r="L377" s="4"/>
      <c r="N377" t="s">
        <v>2394</v>
      </c>
      <c r="R377" s="27" t="s">
        <v>305</v>
      </c>
      <c r="S377" s="1464"/>
      <c r="T377" s="1464"/>
      <c r="U377" s="1" t="s">
        <v>306</v>
      </c>
      <c r="V377" s="1464"/>
      <c r="W377" s="1464"/>
      <c r="Y377" t="s">
        <v>2394</v>
      </c>
      <c r="AC377" s="27" t="s">
        <v>305</v>
      </c>
      <c r="AD377" s="1464"/>
      <c r="AE377" s="1464"/>
      <c r="AF377" s="1" t="s">
        <v>306</v>
      </c>
      <c r="AG377" s="1464"/>
      <c r="AH377" s="1464"/>
    </row>
    <row r="378" spans="1:34" ht="12.9" customHeight="1">
      <c r="E378" s="4" t="s">
        <v>1010</v>
      </c>
      <c r="F378" s="4"/>
      <c r="G378" s="4"/>
      <c r="H378" s="4"/>
      <c r="I378" s="4"/>
      <c r="J378" s="4"/>
      <c r="K378" s="4"/>
      <c r="L378" s="4"/>
      <c r="N378" s="1464"/>
      <c r="O378" s="1464"/>
      <c r="P378" s="1464"/>
    </row>
    <row r="379" spans="1:34" ht="12.9" customHeight="1">
      <c r="E379" s="218" t="s">
        <v>2400</v>
      </c>
      <c r="F379" s="4"/>
      <c r="G379" s="4"/>
      <c r="H379" s="4"/>
      <c r="I379" s="4"/>
      <c r="J379" s="4"/>
      <c r="K379" s="4"/>
      <c r="L379" s="4"/>
      <c r="AG379" s="1535" t="s">
        <v>598</v>
      </c>
      <c r="AH379" s="1535"/>
    </row>
    <row r="380" spans="1:34" ht="12.9" customHeight="1">
      <c r="E380" s="4"/>
      <c r="F380" s="4"/>
      <c r="G380" s="4" t="s">
        <v>2401</v>
      </c>
      <c r="H380" s="4"/>
      <c r="I380" s="4"/>
      <c r="J380" s="4"/>
      <c r="K380" s="4"/>
      <c r="L380" s="4"/>
      <c r="AG380" s="1535" t="s">
        <v>598</v>
      </c>
      <c r="AH380" s="1535"/>
    </row>
    <row r="381" spans="1:34" ht="12.9" customHeight="1">
      <c r="E381" s="4"/>
      <c r="F381" s="4"/>
      <c r="G381" s="348" t="s">
        <v>1011</v>
      </c>
      <c r="H381" s="4"/>
      <c r="I381" s="4"/>
      <c r="J381" s="4"/>
      <c r="K381" s="4"/>
      <c r="L381" s="4"/>
      <c r="V381" s="1415" t="s">
        <v>598</v>
      </c>
      <c r="W381" s="1415"/>
      <c r="Y381" s="22" t="s">
        <v>998</v>
      </c>
    </row>
    <row r="382" spans="1:34" ht="12.9" customHeight="1">
      <c r="E382" s="4" t="s">
        <v>999</v>
      </c>
      <c r="F382" s="4"/>
      <c r="G382" s="4"/>
      <c r="H382" s="4"/>
      <c r="I382" s="4"/>
      <c r="J382" s="4"/>
      <c r="K382" s="4"/>
      <c r="L382" s="4"/>
      <c r="V382" s="1415" t="s">
        <v>598</v>
      </c>
      <c r="W382" s="1415"/>
      <c r="Y382" s="4" t="s">
        <v>1000</v>
      </c>
    </row>
    <row r="383" spans="1:34" ht="12.9" customHeight="1"/>
    <row r="384" spans="1:34" ht="12.9" customHeight="1">
      <c r="A384" s="2" t="s">
        <v>78</v>
      </c>
      <c r="B384" s="2"/>
    </row>
    <row r="385" spans="4:36" ht="12.9" customHeight="1">
      <c r="D385" t="s">
        <v>428</v>
      </c>
      <c r="J385" s="1474" t="s">
        <v>2787</v>
      </c>
      <c r="K385" s="1397"/>
      <c r="L385" s="1397"/>
      <c r="M385" s="1397"/>
      <c r="N385" s="1397"/>
      <c r="O385" s="1397"/>
      <c r="P385" s="1397"/>
      <c r="Q385" s="1397"/>
      <c r="R385" s="1397"/>
      <c r="S385" s="1397"/>
      <c r="T385" s="1397"/>
      <c r="U385" s="1397"/>
      <c r="V385" s="8" t="s">
        <v>83</v>
      </c>
      <c r="W385" s="8"/>
      <c r="X385" s="8"/>
      <c r="Y385" s="8"/>
      <c r="Z385" s="8"/>
      <c r="AA385" s="8"/>
      <c r="AB385" s="8"/>
      <c r="AC385" s="1397"/>
      <c r="AD385" s="1397"/>
      <c r="AE385" s="1397"/>
      <c r="AF385" s="1397"/>
      <c r="AG385" s="1397"/>
      <c r="AH385" s="1397"/>
      <c r="AI385" s="1397"/>
      <c r="AJ385" s="1397"/>
    </row>
    <row r="386" spans="4:36" ht="12.9" customHeight="1">
      <c r="D386" s="3" t="s">
        <v>1287</v>
      </c>
      <c r="J386" s="1396"/>
      <c r="K386" s="1396"/>
      <c r="L386" s="1396"/>
      <c r="M386" s="1396"/>
      <c r="N386" s="1396"/>
      <c r="O386" s="1396"/>
      <c r="P386" s="1396"/>
      <c r="Q386" s="1396"/>
      <c r="R386" s="1396"/>
      <c r="S386" s="1396"/>
      <c r="T386" s="1396"/>
      <c r="U386" s="1396"/>
      <c r="V386" s="3" t="s">
        <v>1287</v>
      </c>
      <c r="W386" s="8"/>
      <c r="X386" s="8"/>
      <c r="Y386" s="8"/>
      <c r="Z386" s="8"/>
      <c r="AA386" s="8"/>
      <c r="AB386" s="8"/>
      <c r="AC386" s="1397"/>
      <c r="AD386" s="1397"/>
      <c r="AE386" s="1397"/>
      <c r="AF386" s="1397"/>
      <c r="AG386" s="1397"/>
      <c r="AH386" s="1397"/>
      <c r="AI386" s="1397"/>
      <c r="AJ386" s="1397"/>
    </row>
    <row r="387" spans="4:36" ht="12.9" customHeight="1">
      <c r="D387" s="3" t="s">
        <v>442</v>
      </c>
      <c r="J387" s="1396"/>
      <c r="K387" s="1396"/>
      <c r="L387" s="1396"/>
      <c r="M387" s="1396"/>
      <c r="N387" s="1396"/>
      <c r="O387" s="1396"/>
      <c r="P387" s="1396"/>
      <c r="Q387" s="1396"/>
      <c r="R387" s="1396"/>
      <c r="S387" s="1396"/>
      <c r="T387" s="1396"/>
      <c r="U387" s="1396"/>
      <c r="V387" s="3" t="s">
        <v>442</v>
      </c>
      <c r="W387" s="8"/>
      <c r="X387" s="8"/>
      <c r="Y387" s="8"/>
      <c r="Z387" s="8"/>
      <c r="AA387" s="8"/>
      <c r="AB387" s="8"/>
      <c r="AC387" s="1397"/>
      <c r="AD387" s="1397"/>
      <c r="AE387" s="1397"/>
      <c r="AF387" s="1397"/>
      <c r="AG387" s="1397"/>
      <c r="AH387" s="1397"/>
      <c r="AI387" s="1397"/>
      <c r="AJ387" s="1397"/>
    </row>
    <row r="388" spans="4:36" ht="12.9" customHeight="1">
      <c r="D388" t="s">
        <v>1283</v>
      </c>
      <c r="J388" s="1416"/>
      <c r="K388" s="1416"/>
      <c r="L388" s="1416"/>
      <c r="M388" s="1416"/>
      <c r="N388" s="1416"/>
      <c r="O388" s="1416"/>
      <c r="P388" s="1416"/>
      <c r="Q388" s="1416"/>
      <c r="R388" s="1416"/>
      <c r="S388" s="1416"/>
      <c r="T388" s="1416"/>
      <c r="U388" s="1416"/>
      <c r="V388" s="1397"/>
      <c r="W388" s="1397"/>
      <c r="X388" s="1397"/>
      <c r="Y388" s="1397"/>
      <c r="Z388" s="1397"/>
      <c r="AA388" s="1397"/>
      <c r="AB388" s="1397"/>
      <c r="AC388" s="1397"/>
      <c r="AD388" s="1397"/>
      <c r="AE388" s="1397"/>
      <c r="AF388" s="1397"/>
      <c r="AG388" s="1397"/>
      <c r="AH388" s="1397"/>
      <c r="AI388" s="1397"/>
      <c r="AJ388" s="1397"/>
    </row>
    <row r="389" spans="4:36" ht="12.9" customHeight="1">
      <c r="D389" t="s">
        <v>4</v>
      </c>
      <c r="Q389" s="1846"/>
      <c r="R389" s="1846"/>
      <c r="S389" s="1846"/>
      <c r="T389" s="1846"/>
      <c r="U389" s="1846"/>
      <c r="V389" t="s">
        <v>309</v>
      </c>
      <c r="AI389" s="1415" t="s">
        <v>676</v>
      </c>
      <c r="AJ389" s="1415"/>
    </row>
    <row r="390" spans="4:36" ht="12.9" customHeight="1">
      <c r="D390" t="s">
        <v>5</v>
      </c>
      <c r="Q390" s="1465"/>
      <c r="R390" s="1466"/>
      <c r="S390" s="1466"/>
      <c r="T390" s="1466"/>
      <c r="U390" s="1466"/>
      <c r="W390" s="21" t="s">
        <v>74</v>
      </c>
      <c r="AG390" s="1459"/>
      <c r="AH390" s="1459"/>
      <c r="AI390" s="1459"/>
      <c r="AJ390" s="1459"/>
    </row>
    <row r="391" spans="4:36" ht="12.9" customHeight="1">
      <c r="D391" t="s">
        <v>427</v>
      </c>
      <c r="Q391" s="1463"/>
      <c r="R391" s="1463"/>
      <c r="S391" s="1463"/>
      <c r="T391" s="1463"/>
      <c r="U391" s="1463"/>
      <c r="V391" s="3" t="s">
        <v>1286</v>
      </c>
      <c r="AG391" s="1533"/>
      <c r="AH391" s="1533"/>
      <c r="AI391" s="1533"/>
      <c r="AJ391" s="1533"/>
    </row>
    <row r="392" spans="4:36" ht="12.9" customHeight="1">
      <c r="D392" t="s">
        <v>88</v>
      </c>
      <c r="I392" s="1470"/>
      <c r="J392" s="1470"/>
      <c r="K392" s="1470"/>
      <c r="L392" s="1470"/>
      <c r="M392" s="1470"/>
      <c r="N392" s="1470"/>
      <c r="Q392" s="4" t="s">
        <v>206</v>
      </c>
      <c r="S392" s="1848"/>
      <c r="T392" s="1848"/>
      <c r="U392" s="1848"/>
      <c r="V392" t="s">
        <v>73</v>
      </c>
      <c r="AI392" s="1415" t="s">
        <v>676</v>
      </c>
      <c r="AJ392" s="1415"/>
    </row>
    <row r="393" spans="4:36" ht="12.9" customHeight="1">
      <c r="D393" t="s">
        <v>310</v>
      </c>
      <c r="Q393" s="1534"/>
      <c r="R393" s="1534"/>
      <c r="S393" s="1534"/>
      <c r="T393" s="1534"/>
      <c r="U393" s="1534"/>
      <c r="V393" t="s">
        <v>311</v>
      </c>
      <c r="AG393" s="1459"/>
      <c r="AH393" s="1459"/>
      <c r="AI393" s="1459"/>
      <c r="AJ393" s="1459"/>
    </row>
    <row r="394" spans="4:36" ht="12.9" customHeight="1">
      <c r="D394" t="s">
        <v>312</v>
      </c>
      <c r="Q394" s="1536"/>
      <c r="R394" s="1536"/>
      <c r="S394" s="1536"/>
      <c r="T394" s="1536"/>
      <c r="U394" s="1536"/>
      <c r="V394" t="s">
        <v>1267</v>
      </c>
      <c r="AG394" s="1459"/>
      <c r="AH394" s="1459"/>
      <c r="AI394" s="1459"/>
      <c r="AJ394" s="1459"/>
    </row>
    <row r="395" spans="4:36" ht="12.9" customHeight="1">
      <c r="D395" t="s">
        <v>1266</v>
      </c>
      <c r="AG395" s="1459"/>
      <c r="AH395" s="1459"/>
      <c r="AI395" s="1459"/>
      <c r="AJ395" s="1459"/>
    </row>
    <row r="396" spans="4:36" ht="12.9" customHeight="1">
      <c r="AG396" s="490"/>
      <c r="AH396" s="490"/>
      <c r="AI396" s="490"/>
      <c r="AJ396" s="490"/>
    </row>
    <row r="397" spans="4:36" ht="12.9" customHeight="1">
      <c r="D397" s="3" t="s">
        <v>2500</v>
      </c>
      <c r="AG397" s="490"/>
      <c r="AH397" s="490"/>
      <c r="AI397" s="1415" t="s">
        <v>676</v>
      </c>
      <c r="AJ397" s="1415"/>
    </row>
    <row r="398" spans="4:36" ht="12.9" customHeight="1">
      <c r="D398" s="3" t="s">
        <v>1779</v>
      </c>
      <c r="T398" s="1412"/>
      <c r="U398" s="1412"/>
      <c r="V398" s="1412"/>
      <c r="W398" s="1412"/>
      <c r="X398" s="1412"/>
      <c r="Y398" s="1412"/>
      <c r="Z398" s="1412"/>
      <c r="AA398" s="1412"/>
      <c r="AB398" s="1412"/>
      <c r="AC398" s="1412"/>
      <c r="AD398" s="1412"/>
      <c r="AE398" s="1412"/>
      <c r="AF398" s="1412"/>
      <c r="AG398" s="1412"/>
      <c r="AH398" s="1412"/>
      <c r="AI398" s="1412"/>
      <c r="AJ398" s="1412"/>
    </row>
    <row r="399" spans="4:36" ht="12.9" customHeight="1">
      <c r="D399" s="3" t="s">
        <v>1778</v>
      </c>
      <c r="T399" s="1454"/>
      <c r="U399" s="1454"/>
      <c r="V399" s="1454"/>
      <c r="W399" s="1454"/>
      <c r="X399" s="1454"/>
      <c r="Y399" s="1454"/>
      <c r="Z399" s="1454"/>
      <c r="AA399" s="1454"/>
      <c r="AB399" s="1454"/>
      <c r="AC399" s="1454"/>
      <c r="AD399" s="1454"/>
      <c r="AE399" s="1454"/>
      <c r="AF399" s="1454"/>
      <c r="AG399" s="1454"/>
      <c r="AH399" s="1454"/>
      <c r="AI399" s="1454"/>
      <c r="AJ399" s="1454"/>
    </row>
    <row r="400" spans="4:36" ht="12.9" customHeight="1">
      <c r="AG400" s="490"/>
      <c r="AH400" s="490"/>
      <c r="AI400" s="490"/>
      <c r="AJ400" s="490"/>
    </row>
    <row r="401" spans="1:36" ht="12.9" customHeight="1">
      <c r="D401" s="3" t="s">
        <v>1772</v>
      </c>
      <c r="S401" s="1412" t="s">
        <v>676</v>
      </c>
      <c r="T401" s="1412"/>
      <c r="U401" s="1412"/>
      <c r="V401" t="s">
        <v>1773</v>
      </c>
      <c r="AG401" s="1494"/>
      <c r="AH401" s="1494"/>
      <c r="AI401" s="1494"/>
      <c r="AJ401" s="1494"/>
    </row>
    <row r="402" spans="1:36" ht="12.9" customHeight="1">
      <c r="D402" s="3" t="s">
        <v>1770</v>
      </c>
      <c r="S402" s="1412" t="s">
        <v>598</v>
      </c>
      <c r="T402" s="1412"/>
      <c r="U402" s="1412"/>
      <c r="V402" t="s">
        <v>1775</v>
      </c>
      <c r="AE402" s="1498"/>
      <c r="AF402" s="1498"/>
      <c r="AG402" s="1498"/>
      <c r="AH402" s="1498"/>
      <c r="AI402" s="1498"/>
      <c r="AJ402" s="1498"/>
    </row>
    <row r="403" spans="1:36" ht="12.9" customHeight="1">
      <c r="D403" s="3" t="s">
        <v>1771</v>
      </c>
      <c r="K403" s="1493"/>
      <c r="L403" s="1493"/>
      <c r="M403" s="1493"/>
      <c r="N403" s="1493"/>
      <c r="O403" s="1493"/>
      <c r="P403" s="1493"/>
      <c r="Q403" s="1493"/>
      <c r="R403" s="1493"/>
      <c r="S403" s="1493"/>
      <c r="T403" s="1493"/>
      <c r="U403" s="1493"/>
      <c r="V403" s="1493"/>
      <c r="W403" s="1493"/>
      <c r="X403" s="1493"/>
      <c r="Y403" s="1493"/>
      <c r="Z403" s="1493"/>
      <c r="AA403" s="1493"/>
      <c r="AB403" s="1493"/>
      <c r="AC403" s="1493"/>
      <c r="AD403" s="1493"/>
      <c r="AE403" s="1493"/>
      <c r="AF403" s="1493"/>
      <c r="AG403" s="1493"/>
      <c r="AH403" s="1493"/>
      <c r="AI403" s="1493"/>
      <c r="AJ403" s="1493"/>
    </row>
    <row r="404" spans="1:36" ht="12.9" customHeight="1">
      <c r="D404" s="3" t="s">
        <v>1774</v>
      </c>
      <c r="K404" s="1493"/>
      <c r="L404" s="1493"/>
      <c r="M404" s="1493"/>
      <c r="N404" s="1493"/>
      <c r="O404" s="1493"/>
      <c r="P404" s="1493"/>
      <c r="Q404" s="1493"/>
      <c r="R404" s="1493"/>
      <c r="S404" s="1493"/>
      <c r="T404" s="1493"/>
      <c r="U404" s="1493"/>
      <c r="V404" s="1493"/>
      <c r="W404" s="1493"/>
      <c r="X404" s="1493"/>
      <c r="Y404" s="1493"/>
      <c r="Z404" s="1493"/>
      <c r="AA404" s="1493"/>
      <c r="AB404" s="1493"/>
      <c r="AC404" s="1493"/>
      <c r="AD404" s="1493"/>
      <c r="AE404" s="1493"/>
      <c r="AF404" s="1493"/>
      <c r="AG404" s="1493"/>
      <c r="AH404" s="1493"/>
      <c r="AI404" s="1493"/>
      <c r="AJ404" s="1493"/>
    </row>
    <row r="405" spans="1:36" ht="12.9" customHeight="1">
      <c r="D405" s="3" t="s">
        <v>1777</v>
      </c>
      <c r="E405" s="511"/>
      <c r="F405" s="511"/>
      <c r="G405" s="511"/>
      <c r="H405" s="511"/>
      <c r="I405" s="511"/>
      <c r="J405" s="511"/>
      <c r="K405" s="511"/>
      <c r="L405" s="511"/>
      <c r="M405" s="511"/>
      <c r="N405" s="511"/>
      <c r="O405" s="511"/>
      <c r="P405" s="511"/>
      <c r="Q405" s="511"/>
      <c r="R405" s="511"/>
      <c r="S405" s="1523" t="s">
        <v>2716</v>
      </c>
      <c r="T405" s="1523"/>
      <c r="U405" s="1523"/>
      <c r="V405" s="1523"/>
      <c r="W405" s="1523"/>
      <c r="X405" s="1523"/>
      <c r="Y405" s="1523"/>
      <c r="Z405" s="1523"/>
      <c r="AA405" s="1523"/>
      <c r="AB405" s="1523"/>
      <c r="AC405" s="1523"/>
      <c r="AD405" s="1523"/>
      <c r="AE405" s="1523"/>
      <c r="AF405" s="1523"/>
      <c r="AG405" s="1523"/>
      <c r="AH405" s="1523"/>
      <c r="AI405" s="1523"/>
      <c r="AJ405" s="1523"/>
    </row>
    <row r="406" spans="1:36" ht="12.9" customHeight="1">
      <c r="D406" s="1271" t="s">
        <v>1776</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2.9"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2.9" customHeight="1">
      <c r="AG408" s="490"/>
      <c r="AH408" s="490"/>
      <c r="AI408" s="490"/>
      <c r="AJ408" s="490"/>
    </row>
    <row r="409" spans="1:36" ht="12.9" customHeight="1">
      <c r="A409" s="2" t="s">
        <v>596</v>
      </c>
      <c r="B409" s="2"/>
      <c r="C409" s="2" t="s">
        <v>111</v>
      </c>
    </row>
    <row r="410" spans="1:36" ht="12.9" customHeight="1">
      <c r="B410" s="2"/>
      <c r="C410" s="2"/>
      <c r="D410" s="2" t="s">
        <v>1309</v>
      </c>
      <c r="I410" s="1474" t="s">
        <v>2639</v>
      </c>
      <c r="J410" s="1474"/>
      <c r="K410" s="1474"/>
      <c r="L410" s="1474"/>
      <c r="M410" s="1474"/>
      <c r="N410" s="1474"/>
      <c r="O410" s="1474"/>
      <c r="P410" s="1474"/>
      <c r="Q410" s="1474"/>
      <c r="R410" s="1474"/>
      <c r="S410" s="1474"/>
      <c r="T410" s="1474"/>
      <c r="U410" s="1474"/>
      <c r="V410" s="1474"/>
      <c r="W410" s="1474"/>
      <c r="X410" s="1474"/>
      <c r="Y410" s="1474"/>
      <c r="Z410" s="1474"/>
      <c r="AA410" s="1474"/>
      <c r="AB410" s="1474"/>
      <c r="AC410" s="1474"/>
      <c r="AD410" s="1474"/>
      <c r="AE410" s="1474"/>
    </row>
    <row r="411" spans="1:36" ht="12.9" customHeight="1">
      <c r="E411" t="s">
        <v>106</v>
      </c>
      <c r="R411" s="1415" t="s">
        <v>552</v>
      </c>
      <c r="S411" s="1415"/>
      <c r="AC411" s="27" t="s">
        <v>577</v>
      </c>
      <c r="AD411" s="1414">
        <v>11</v>
      </c>
      <c r="AE411" s="1414"/>
    </row>
    <row r="412" spans="1:36" ht="12.9" customHeight="1">
      <c r="E412" t="s">
        <v>107</v>
      </c>
      <c r="R412" s="1415" t="s">
        <v>598</v>
      </c>
      <c r="S412" s="1415"/>
      <c r="AC412" s="27" t="s">
        <v>577</v>
      </c>
      <c r="AD412" s="1414"/>
      <c r="AE412" s="1414"/>
    </row>
    <row r="413" spans="1:36" ht="12.9" customHeight="1">
      <c r="E413" t="s">
        <v>108</v>
      </c>
      <c r="S413" s="1415" t="s">
        <v>598</v>
      </c>
      <c r="T413" s="1415"/>
    </row>
    <row r="414" spans="1:36" ht="12.9" customHeight="1">
      <c r="E414" t="s">
        <v>169</v>
      </c>
      <c r="H414" s="1849" t="s">
        <v>334</v>
      </c>
      <c r="I414" s="1849"/>
      <c r="J414" s="1849"/>
      <c r="K414" s="1849"/>
      <c r="L414" s="1849"/>
      <c r="M414" s="1849"/>
      <c r="N414" s="1849"/>
      <c r="O414" s="1849"/>
      <c r="P414" s="1849"/>
      <c r="Q414" s="1849"/>
      <c r="R414" s="1849"/>
      <c r="S414" s="1849"/>
      <c r="T414" s="1849"/>
      <c r="U414" s="1849"/>
      <c r="V414" s="1849"/>
      <c r="W414" s="1849"/>
      <c r="X414" s="1849"/>
      <c r="Y414" s="1849"/>
      <c r="Z414" s="1849"/>
      <c r="AA414" s="1849"/>
      <c r="AB414" s="1849"/>
      <c r="AC414" s="1849"/>
      <c r="AD414" s="1849"/>
      <c r="AE414" s="1849"/>
    </row>
    <row r="415" spans="1:36" ht="12.9" customHeight="1">
      <c r="H415" s="1850"/>
      <c r="I415" s="1850"/>
      <c r="J415" s="1850"/>
      <c r="K415" s="1850"/>
      <c r="L415" s="1850"/>
      <c r="M415" s="1850"/>
      <c r="N415" s="1850"/>
      <c r="O415" s="1850"/>
      <c r="P415" s="1850"/>
      <c r="Q415" s="1850"/>
      <c r="R415" s="1850"/>
      <c r="S415" s="1850"/>
      <c r="T415" s="1850"/>
      <c r="U415" s="1850"/>
      <c r="V415" s="1850"/>
      <c r="W415" s="1850"/>
      <c r="X415" s="1850"/>
      <c r="Y415" s="1850"/>
      <c r="Z415" s="1850"/>
      <c r="AA415" s="1850"/>
      <c r="AB415" s="1850"/>
      <c r="AC415" s="1850"/>
      <c r="AD415" s="1850"/>
      <c r="AE415" s="1850"/>
    </row>
    <row r="416" spans="1:36" ht="12.9" customHeight="1"/>
    <row r="417" spans="1:39" ht="12.9" customHeight="1">
      <c r="A417" s="2" t="s">
        <v>597</v>
      </c>
      <c r="B417" s="2"/>
      <c r="C417" s="2"/>
      <c r="D417" s="2" t="s">
        <v>114</v>
      </c>
      <c r="AF417" s="2" t="s">
        <v>975</v>
      </c>
    </row>
    <row r="418" spans="1:39" ht="12.9" customHeight="1">
      <c r="E418" s="1464"/>
      <c r="F418" s="1464"/>
      <c r="G418" s="1464"/>
      <c r="H418" s="13" t="s">
        <v>115</v>
      </c>
      <c r="I418" s="1464"/>
      <c r="J418" s="1464"/>
      <c r="K418" s="1464"/>
      <c r="L418" t="s">
        <v>116</v>
      </c>
      <c r="N418" s="27" t="s">
        <v>582</v>
      </c>
      <c r="P418" s="1872">
        <v>0.61770000000000003</v>
      </c>
      <c r="Q418" s="1872"/>
      <c r="R418" s="1872"/>
      <c r="S418" t="s">
        <v>117</v>
      </c>
      <c r="W418" s="1478">
        <f>IF(E418&gt;0,(E418*I418),(P418*43560))</f>
        <v>26907.012000000002</v>
      </c>
      <c r="X418" s="1478"/>
      <c r="Y418" s="1478"/>
      <c r="Z418" t="s">
        <v>118</v>
      </c>
      <c r="AF418" s="1725">
        <f>IFERROR(IF(P418&gt;0,(AG437/P418),(AG437/(W418/43560))),0)</f>
        <v>688.03626355836161</v>
      </c>
      <c r="AG418" s="1725"/>
      <c r="AH418" s="1725"/>
      <c r="AM418" s="3"/>
    </row>
    <row r="419" spans="1:39" ht="12.9" customHeight="1">
      <c r="E419" t="s">
        <v>51</v>
      </c>
    </row>
    <row r="420" spans="1:39" ht="12.9" customHeight="1">
      <c r="E420" s="1497"/>
      <c r="F420" s="1497"/>
      <c r="G420" s="1497"/>
      <c r="H420" s="1497"/>
      <c r="I420" s="1497"/>
      <c r="J420" s="1497"/>
      <c r="K420" s="1497"/>
      <c r="L420" s="1497"/>
      <c r="M420" s="1497"/>
      <c r="N420" s="1497"/>
      <c r="O420" s="1497"/>
      <c r="P420" s="1497"/>
      <c r="Q420" s="1497"/>
      <c r="R420" s="1497"/>
      <c r="S420" s="1497"/>
      <c r="T420" s="1497"/>
      <c r="U420" s="1497"/>
      <c r="V420" s="1497"/>
      <c r="W420" s="1497"/>
      <c r="X420" s="1497"/>
      <c r="Y420" s="1497"/>
      <c r="Z420" s="1497"/>
      <c r="AA420" s="1497"/>
      <c r="AB420" s="1497"/>
      <c r="AC420" s="1497"/>
      <c r="AD420" s="1497"/>
      <c r="AE420" s="1497"/>
      <c r="AF420" s="1497"/>
      <c r="AG420" s="1497"/>
      <c r="AH420" s="1497"/>
      <c r="AI420" s="1497"/>
      <c r="AJ420" s="1497"/>
    </row>
    <row r="421" spans="1:39" ht="12.9" customHeight="1">
      <c r="E421" s="118" t="s">
        <v>1924</v>
      </c>
      <c r="F421" s="1048"/>
      <c r="G421" s="1048"/>
      <c r="H421" s="1048"/>
      <c r="I421" s="1578">
        <v>0.6</v>
      </c>
      <c r="J421" s="1578"/>
      <c r="K421" s="1578"/>
      <c r="L421" s="1048"/>
      <c r="M421" s="118"/>
      <c r="N421" s="1048"/>
      <c r="O421" s="1048"/>
      <c r="P421" s="1847">
        <f>(CS634+CS642+CS658)/I421</f>
        <v>708.33333333333337</v>
      </c>
      <c r="Q421" s="1847"/>
      <c r="R421" s="1847"/>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 customHeight="1"/>
    <row r="423" spans="1:39" ht="12.9" customHeight="1">
      <c r="A423" s="2" t="s">
        <v>599</v>
      </c>
      <c r="B423" s="2"/>
      <c r="C423" s="2"/>
      <c r="D423" s="2" t="s">
        <v>120</v>
      </c>
    </row>
    <row r="424" spans="1:39" ht="12.9" customHeight="1">
      <c r="E424" t="s">
        <v>121</v>
      </c>
      <c r="P424" s="1415">
        <v>1</v>
      </c>
      <c r="Q424" s="1415"/>
      <c r="S424" t="s">
        <v>189</v>
      </c>
      <c r="AE424" s="1415">
        <v>1</v>
      </c>
      <c r="AF424" s="1415"/>
    </row>
    <row r="425" spans="1:39" ht="12.9" customHeight="1">
      <c r="E425" t="s">
        <v>190</v>
      </c>
      <c r="P425" s="1415">
        <v>0</v>
      </c>
      <c r="Q425" s="1415"/>
      <c r="S425" t="s">
        <v>131</v>
      </c>
      <c r="AE425" s="1415" t="s">
        <v>552</v>
      </c>
      <c r="AF425" s="1415"/>
    </row>
    <row r="426" spans="1:39" ht="12.9" customHeight="1">
      <c r="F426" s="28" t="s">
        <v>132</v>
      </c>
    </row>
    <row r="427" spans="1:39" ht="12.9" customHeight="1">
      <c r="F427" s="1481" t="s">
        <v>2760</v>
      </c>
      <c r="G427" s="1482"/>
      <c r="H427" s="1482"/>
      <c r="I427" s="1482"/>
      <c r="J427" s="1482"/>
      <c r="K427" s="1482"/>
      <c r="L427" s="1482"/>
      <c r="M427" s="1482"/>
      <c r="N427" s="1482"/>
      <c r="O427" s="1482"/>
      <c r="P427" s="1482"/>
      <c r="Q427" s="1482"/>
      <c r="R427" s="1482"/>
      <c r="S427" s="1482"/>
      <c r="T427" s="1482"/>
      <c r="U427" s="1482"/>
      <c r="V427" s="1482"/>
      <c r="W427" s="1482"/>
      <c r="X427" s="1482"/>
      <c r="Y427" s="1482"/>
      <c r="Z427" s="1482"/>
      <c r="AA427" s="1482"/>
      <c r="AB427" s="1482"/>
      <c r="AC427" s="1482"/>
      <c r="AD427" s="1482"/>
      <c r="AE427" s="1482"/>
      <c r="AF427" s="1482"/>
      <c r="AG427" s="1482"/>
      <c r="AH427" s="1482"/>
    </row>
    <row r="428" spans="1:39" ht="12.9" customHeight="1">
      <c r="F428" s="1483"/>
      <c r="G428" s="1483"/>
      <c r="H428" s="1483"/>
      <c r="I428" s="1483"/>
      <c r="J428" s="1483"/>
      <c r="K428" s="1483"/>
      <c r="L428" s="1483"/>
      <c r="M428" s="1483"/>
      <c r="N428" s="1483"/>
      <c r="O428" s="1483"/>
      <c r="P428" s="1483"/>
      <c r="Q428" s="1483"/>
      <c r="R428" s="1483"/>
      <c r="S428" s="1483"/>
      <c r="T428" s="1483"/>
      <c r="U428" s="1483"/>
      <c r="V428" s="1483"/>
      <c r="W428" s="1483"/>
      <c r="X428" s="1483"/>
      <c r="Y428" s="1483"/>
      <c r="Z428" s="1483"/>
      <c r="AA428" s="1483"/>
      <c r="AB428" s="1483"/>
      <c r="AC428" s="1483"/>
      <c r="AD428" s="1483"/>
      <c r="AE428" s="1483"/>
      <c r="AF428" s="1483"/>
      <c r="AG428" s="1483"/>
      <c r="AH428" s="1483"/>
    </row>
    <row r="429" spans="1:39" ht="12.9" customHeight="1">
      <c r="E429" t="s">
        <v>615</v>
      </c>
      <c r="P429" s="1"/>
      <c r="Q429" s="1415" t="s">
        <v>552</v>
      </c>
      <c r="R429" s="1415"/>
    </row>
    <row r="430" spans="1:39" ht="12.9" customHeight="1">
      <c r="F430" t="s">
        <v>616</v>
      </c>
      <c r="P430" s="1"/>
      <c r="Q430" s="1"/>
      <c r="AF430" s="1415" t="s">
        <v>598</v>
      </c>
      <c r="AG430" s="1485"/>
    </row>
    <row r="431" spans="1:39" ht="12.9" customHeight="1"/>
    <row r="432" spans="1:39" ht="12.9" customHeight="1">
      <c r="A432" s="2"/>
      <c r="B432" s="2"/>
      <c r="C432" s="2"/>
      <c r="E432" s="4" t="s">
        <v>308</v>
      </c>
      <c r="Z432" s="1415" t="s">
        <v>676</v>
      </c>
      <c r="AA432" s="1415"/>
    </row>
    <row r="433" spans="1:110" ht="12.9"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 customHeight="1">
      <c r="F434" t="s">
        <v>715</v>
      </c>
      <c r="G434" s="40"/>
      <c r="I434" s="40"/>
      <c r="J434" s="40"/>
      <c r="K434" s="40"/>
      <c r="L434" s="40"/>
      <c r="M434" s="40"/>
      <c r="N434" s="40"/>
      <c r="O434" s="28"/>
      <c r="P434" s="40"/>
      <c r="Q434" s="40"/>
      <c r="R434" s="40"/>
      <c r="S434" s="40"/>
      <c r="T434" s="40"/>
      <c r="U434" s="40"/>
      <c r="V434" s="40"/>
      <c r="W434" s="40"/>
      <c r="Z434" s="1415" t="s">
        <v>598</v>
      </c>
      <c r="AA434" s="1415"/>
    </row>
    <row r="435" spans="1:110" ht="12.9" customHeight="1"/>
    <row r="436" spans="1:110" ht="12.9" customHeight="1">
      <c r="A436" s="2" t="s">
        <v>474</v>
      </c>
      <c r="B436" s="2"/>
      <c r="C436" s="2"/>
      <c r="D436" s="2" t="s">
        <v>772</v>
      </c>
      <c r="AF436" s="48"/>
    </row>
    <row r="437" spans="1:110" ht="12.9" customHeight="1">
      <c r="D437" s="1484" t="s">
        <v>43</v>
      </c>
      <c r="E437" s="1403"/>
      <c r="F437" s="1403"/>
      <c r="G437" s="1403"/>
      <c r="H437" s="1403"/>
      <c r="I437" s="1403"/>
      <c r="J437" s="1403"/>
      <c r="K437" s="1403"/>
      <c r="L437" s="1403"/>
      <c r="M437" s="1403"/>
      <c r="N437" s="1403"/>
      <c r="O437" s="1403"/>
      <c r="P437" s="1403"/>
      <c r="Q437" s="1403"/>
      <c r="R437" s="1403"/>
      <c r="S437" s="1403"/>
      <c r="T437" s="1403"/>
      <c r="U437" s="1403"/>
      <c r="V437" s="1403"/>
      <c r="W437" s="1403"/>
      <c r="X437" s="1403"/>
      <c r="Y437" s="1403"/>
      <c r="Z437" s="1403"/>
      <c r="AA437" s="1403"/>
      <c r="AB437" s="1403"/>
      <c r="AC437" s="1403"/>
      <c r="AD437" s="1403"/>
      <c r="AE437" s="1403"/>
      <c r="AF437" s="1404"/>
      <c r="AG437" s="1401">
        <v>425</v>
      </c>
      <c r="AH437" s="1401"/>
      <c r="AI437" s="1401"/>
      <c r="AJ437" s="1401"/>
    </row>
    <row r="438" spans="1:110" ht="12.9" customHeight="1">
      <c r="D438" s="1402" t="s">
        <v>1328</v>
      </c>
      <c r="E438" s="1425"/>
      <c r="F438" s="1425"/>
      <c r="G438" s="1425"/>
      <c r="H438" s="1425"/>
      <c r="I438" s="1425"/>
      <c r="J438" s="1425"/>
      <c r="K438" s="1425"/>
      <c r="L438" s="1425"/>
      <c r="M438" s="1425"/>
      <c r="N438" s="1425"/>
      <c r="O438" s="1425"/>
      <c r="P438" s="1425"/>
      <c r="Q438" s="1425"/>
      <c r="R438" s="1425"/>
      <c r="S438" s="1425"/>
      <c r="T438" s="1425"/>
      <c r="U438" s="1425"/>
      <c r="V438" s="1425"/>
      <c r="W438" s="1425"/>
      <c r="X438" s="1425"/>
      <c r="Y438" s="1425"/>
      <c r="Z438" s="1425"/>
      <c r="AA438" s="1425"/>
      <c r="AB438" s="1425"/>
      <c r="AC438" s="1425"/>
      <c r="AD438" s="1425"/>
      <c r="AE438" s="1425"/>
      <c r="AF438" s="1426"/>
      <c r="AG438" s="1495">
        <v>0</v>
      </c>
      <c r="AH438" s="1496"/>
      <c r="AI438" s="1496"/>
      <c r="AJ438" s="1496"/>
    </row>
    <row r="439" spans="1:110" ht="12.9" customHeight="1">
      <c r="D439" s="1402" t="s">
        <v>1054</v>
      </c>
      <c r="E439" s="1425"/>
      <c r="F439" s="1425"/>
      <c r="G439" s="1425"/>
      <c r="H439" s="1425"/>
      <c r="I439" s="1425"/>
      <c r="J439" s="1425"/>
      <c r="K439" s="1425"/>
      <c r="L439" s="1425"/>
      <c r="M439" s="1425"/>
      <c r="N439" s="1425"/>
      <c r="O439" s="1425"/>
      <c r="P439" s="1425"/>
      <c r="Q439" s="1425"/>
      <c r="R439" s="1425"/>
      <c r="S439" s="1425"/>
      <c r="T439" s="1425"/>
      <c r="U439" s="1425"/>
      <c r="V439" s="1425"/>
      <c r="W439" s="1425"/>
      <c r="X439" s="1425"/>
      <c r="Y439" s="1425"/>
      <c r="Z439" s="1425"/>
      <c r="AA439" s="1425"/>
      <c r="AB439" s="1425"/>
      <c r="AC439" s="1425"/>
      <c r="AD439" s="1425"/>
      <c r="AE439" s="1425"/>
      <c r="AF439" s="1426"/>
      <c r="AG439" s="1401">
        <v>421</v>
      </c>
      <c r="AH439" s="1401"/>
      <c r="AI439" s="1401"/>
      <c r="AJ439" s="1401"/>
    </row>
    <row r="440" spans="1:110" ht="12.9" customHeight="1">
      <c r="D440" s="1402" t="s">
        <v>1055</v>
      </c>
      <c r="E440" s="1425"/>
      <c r="F440" s="1425"/>
      <c r="G440" s="1425"/>
      <c r="H440" s="1425"/>
      <c r="I440" s="1425"/>
      <c r="J440" s="1425"/>
      <c r="K440" s="1425"/>
      <c r="L440" s="1425"/>
      <c r="M440" s="1425"/>
      <c r="N440" s="1425"/>
      <c r="O440" s="1425"/>
      <c r="P440" s="1425"/>
      <c r="Q440" s="1425"/>
      <c r="R440" s="1425"/>
      <c r="S440" s="1425"/>
      <c r="T440" s="1425"/>
      <c r="U440" s="1425"/>
      <c r="V440" s="1425"/>
      <c r="W440" s="1425"/>
      <c r="X440" s="1425"/>
      <c r="Y440" s="1425"/>
      <c r="Z440" s="1425"/>
      <c r="AA440" s="1425"/>
      <c r="AB440" s="1425"/>
      <c r="AC440" s="1425"/>
      <c r="AD440" s="1425"/>
      <c r="AE440" s="1425"/>
      <c r="AF440" s="1426"/>
      <c r="AG440" s="1401">
        <v>421</v>
      </c>
      <c r="AH440" s="1401"/>
      <c r="AI440" s="1401"/>
      <c r="AJ440" s="1401"/>
    </row>
    <row r="441" spans="1:110" ht="12.9" customHeight="1">
      <c r="D441" s="1402" t="s">
        <v>1057</v>
      </c>
      <c r="E441" s="1425"/>
      <c r="F441" s="1425"/>
      <c r="G441" s="1425"/>
      <c r="H441" s="1425"/>
      <c r="I441" s="1425"/>
      <c r="J441" s="1425"/>
      <c r="K441" s="1425"/>
      <c r="L441" s="1425"/>
      <c r="M441" s="1425"/>
      <c r="N441" s="1425"/>
      <c r="O441" s="1425"/>
      <c r="P441" s="1425"/>
      <c r="Q441" s="1425"/>
      <c r="R441" s="1425"/>
      <c r="S441" s="1425"/>
      <c r="T441" s="1425"/>
      <c r="U441" s="1425"/>
      <c r="V441" s="1425"/>
      <c r="W441" s="1425"/>
      <c r="X441" s="1425"/>
      <c r="Y441" s="1425"/>
      <c r="Z441" s="1425"/>
      <c r="AA441" s="1425"/>
      <c r="AB441" s="1425"/>
      <c r="AC441" s="1425"/>
      <c r="AD441" s="1425"/>
      <c r="AE441" s="1425"/>
      <c r="AF441" s="1426"/>
      <c r="AG441" s="1460">
        <f>IF(ISERROR(AG440/AG439),"",AG440/AG439)</f>
        <v>1</v>
      </c>
      <c r="AH441" s="1460"/>
      <c r="AI441" s="1460"/>
      <c r="AJ441" s="1460"/>
    </row>
    <row r="442" spans="1:110" ht="12.9" customHeight="1">
      <c r="D442" s="1402" t="s">
        <v>1056</v>
      </c>
      <c r="E442" s="1425"/>
      <c r="F442" s="1425"/>
      <c r="G442" s="1425"/>
      <c r="H442" s="1425"/>
      <c r="I442" s="1425"/>
      <c r="J442" s="1425"/>
      <c r="K442" s="1425"/>
      <c r="L442" s="1425"/>
      <c r="M442" s="1425"/>
      <c r="N442" s="1425"/>
      <c r="O442" s="1425"/>
      <c r="P442" s="1425"/>
      <c r="Q442" s="1425"/>
      <c r="R442" s="1425"/>
      <c r="S442" s="1425"/>
      <c r="T442" s="1425"/>
      <c r="U442" s="1425"/>
      <c r="V442" s="1425"/>
      <c r="W442" s="1425"/>
      <c r="X442" s="1425"/>
      <c r="Y442" s="1425"/>
      <c r="Z442" s="1425"/>
      <c r="AA442" s="1425"/>
      <c r="AB442" s="1425"/>
      <c r="AC442" s="1425"/>
      <c r="AD442" s="1425"/>
      <c r="AE442" s="1425"/>
      <c r="AF442" s="1426"/>
      <c r="AG442" s="1427">
        <f>129253-(294*4)</f>
        <v>128077</v>
      </c>
      <c r="AH442" s="1427"/>
      <c r="AI442" s="1427"/>
      <c r="AJ442" s="1427"/>
    </row>
    <row r="443" spans="1:110" ht="12.9" customHeight="1">
      <c r="D443" s="1402" t="s">
        <v>1058</v>
      </c>
      <c r="E443" s="1425"/>
      <c r="F443" s="1425"/>
      <c r="G443" s="1425"/>
      <c r="H443" s="1425"/>
      <c r="I443" s="1425"/>
      <c r="J443" s="1425"/>
      <c r="K443" s="1425"/>
      <c r="L443" s="1425"/>
      <c r="M443" s="1425"/>
      <c r="N443" s="1425"/>
      <c r="O443" s="1425"/>
      <c r="P443" s="1425"/>
      <c r="Q443" s="1425"/>
      <c r="R443" s="1425"/>
      <c r="S443" s="1425"/>
      <c r="T443" s="1425"/>
      <c r="U443" s="1425"/>
      <c r="V443" s="1425"/>
      <c r="W443" s="1425"/>
      <c r="X443" s="1425"/>
      <c r="Y443" s="1425"/>
      <c r="Z443" s="1425"/>
      <c r="AA443" s="1425"/>
      <c r="AB443" s="1425"/>
      <c r="AC443" s="1425"/>
      <c r="AD443" s="1425"/>
      <c r="AE443" s="1425"/>
      <c r="AF443" s="1426"/>
      <c r="AG443" s="1427">
        <v>128077</v>
      </c>
      <c r="AH443" s="1427"/>
      <c r="AI443" s="1427"/>
      <c r="AJ443" s="1427"/>
    </row>
    <row r="444" spans="1:110" ht="12.9" customHeight="1">
      <c r="D444" s="1402" t="s">
        <v>1059</v>
      </c>
      <c r="E444" s="1425"/>
      <c r="F444" s="1425"/>
      <c r="G444" s="1425"/>
      <c r="H444" s="1425"/>
      <c r="I444" s="1425"/>
      <c r="J444" s="1425"/>
      <c r="K444" s="1425"/>
      <c r="L444" s="1425"/>
      <c r="M444" s="1425"/>
      <c r="N444" s="1425"/>
      <c r="O444" s="1425"/>
      <c r="P444" s="1425"/>
      <c r="Q444" s="1425"/>
      <c r="R444" s="1425"/>
      <c r="S444" s="1425"/>
      <c r="T444" s="1425"/>
      <c r="U444" s="1425"/>
      <c r="V444" s="1425"/>
      <c r="W444" s="1425"/>
      <c r="X444" s="1425"/>
      <c r="Y444" s="1425"/>
      <c r="Z444" s="1425"/>
      <c r="AA444" s="1425"/>
      <c r="AB444" s="1425"/>
      <c r="AC444" s="1425"/>
      <c r="AD444" s="1425"/>
      <c r="AE444" s="1425"/>
      <c r="AF444" s="1426"/>
      <c r="AG444" s="1460">
        <f>IF(ISERROR(AG443/AG442),"",AG443/AG442)</f>
        <v>1</v>
      </c>
      <c r="AH444" s="1460"/>
      <c r="AI444" s="1460"/>
      <c r="AJ444" s="1460"/>
    </row>
    <row r="445" spans="1:110" ht="12.9" customHeight="1">
      <c r="D445" s="1402" t="s">
        <v>1060</v>
      </c>
      <c r="E445" s="1425"/>
      <c r="F445" s="1425"/>
      <c r="G445" s="1425"/>
      <c r="H445" s="1425"/>
      <c r="I445" s="1425"/>
      <c r="J445" s="1425"/>
      <c r="K445" s="1425"/>
      <c r="L445" s="1425"/>
      <c r="M445" s="1425"/>
      <c r="N445" s="1425"/>
      <c r="O445" s="1425"/>
      <c r="P445" s="1425"/>
      <c r="Q445" s="1425"/>
      <c r="R445" s="1425"/>
      <c r="S445" s="1425"/>
      <c r="T445" s="1425"/>
      <c r="U445" s="1425"/>
      <c r="V445" s="1425"/>
      <c r="W445" s="1425"/>
      <c r="X445" s="1425"/>
      <c r="Y445" s="1425"/>
      <c r="Z445" s="1425"/>
      <c r="AA445" s="1425"/>
      <c r="AB445" s="1425"/>
      <c r="AC445" s="1425"/>
      <c r="AD445" s="1425"/>
      <c r="AE445" s="1425"/>
      <c r="AF445" s="1426"/>
      <c r="AG445" s="1460">
        <f>MIN(IF(AG441&gt;AG444,AG444,AG441),1)</f>
        <v>1</v>
      </c>
      <c r="AH445" s="1460"/>
      <c r="AI445" s="1460"/>
      <c r="AJ445" s="1460"/>
    </row>
    <row r="446" spans="1:110" ht="12.9" customHeight="1">
      <c r="D446" s="1402" t="s">
        <v>2402</v>
      </c>
      <c r="E446" s="1403"/>
      <c r="F446" s="1403"/>
      <c r="G446" s="1403"/>
      <c r="H446" s="1403"/>
      <c r="I446" s="1403"/>
      <c r="J446" s="1403"/>
      <c r="K446" s="1403"/>
      <c r="L446" s="1403"/>
      <c r="M446" s="1403"/>
      <c r="N446" s="1403"/>
      <c r="O446" s="1403"/>
      <c r="P446" s="1403"/>
      <c r="Q446" s="1403"/>
      <c r="R446" s="1403"/>
      <c r="S446" s="1403"/>
      <c r="T446" s="1403"/>
      <c r="U446" s="1403"/>
      <c r="V446" s="1403"/>
      <c r="W446" s="1403"/>
      <c r="X446" s="1403"/>
      <c r="Y446" s="1403"/>
      <c r="Z446" s="1403"/>
      <c r="AA446" s="1403"/>
      <c r="AB446" s="1403"/>
      <c r="AC446" s="1403"/>
      <c r="AD446" s="1403"/>
      <c r="AE446" s="1403"/>
      <c r="AF446" s="1404"/>
      <c r="AG446" s="1427">
        <v>9825</v>
      </c>
      <c r="AH446" s="1427"/>
      <c r="AI446" s="1427"/>
      <c r="AJ446" s="14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 customHeight="1">
      <c r="D447" s="1484" t="s">
        <v>576</v>
      </c>
      <c r="E447" s="1403"/>
      <c r="F447" s="1403"/>
      <c r="G447" s="1403"/>
      <c r="H447" s="1403"/>
      <c r="I447" s="1403"/>
      <c r="J447" s="1403"/>
      <c r="K447" s="1403"/>
      <c r="L447" s="1403"/>
      <c r="M447" s="1403"/>
      <c r="N447" s="1403"/>
      <c r="O447" s="1403"/>
      <c r="P447" s="1403"/>
      <c r="Q447" s="1403"/>
      <c r="R447" s="1403"/>
      <c r="S447" s="1403"/>
      <c r="T447" s="1403"/>
      <c r="U447" s="1403"/>
      <c r="V447" s="1403"/>
      <c r="W447" s="1403"/>
      <c r="X447" s="1403"/>
      <c r="Y447" s="1403"/>
      <c r="Z447" s="1403"/>
      <c r="AA447" s="1403"/>
      <c r="AB447" s="1403"/>
      <c r="AC447" s="1403"/>
      <c r="AD447" s="1403"/>
      <c r="AE447" s="1403"/>
      <c r="AF447" s="1404"/>
      <c r="AG447" s="1427">
        <v>6236</v>
      </c>
      <c r="AH447" s="1427"/>
      <c r="AI447" s="1427"/>
      <c r="AJ447" s="14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 customHeight="1">
      <c r="D448" s="1402" t="s">
        <v>1310</v>
      </c>
      <c r="E448" s="1403"/>
      <c r="F448" s="1403"/>
      <c r="G448" s="1403"/>
      <c r="H448" s="1403"/>
      <c r="I448" s="1403"/>
      <c r="J448" s="1403"/>
      <c r="K448" s="1403"/>
      <c r="L448" s="1403"/>
      <c r="M448" s="1403"/>
      <c r="N448" s="1403"/>
      <c r="O448" s="1403"/>
      <c r="P448" s="1403"/>
      <c r="Q448" s="1403"/>
      <c r="R448" s="1403"/>
      <c r="S448" s="1403"/>
      <c r="T448" s="1403"/>
      <c r="U448" s="1403"/>
      <c r="V448" s="1403"/>
      <c r="W448" s="1403"/>
      <c r="X448" s="1403"/>
      <c r="Y448" s="1403"/>
      <c r="Z448" s="1403"/>
      <c r="AA448" s="1403"/>
      <c r="AB448" s="1403"/>
      <c r="AC448" s="1403"/>
      <c r="AD448" s="1403"/>
      <c r="AE448" s="1403"/>
      <c r="AF448" s="1404"/>
      <c r="AG448" s="1427">
        <f>1176+1425+45884+4614</f>
        <v>53099</v>
      </c>
      <c r="AH448" s="1427"/>
      <c r="AI448" s="1427"/>
      <c r="AJ448" s="14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 customHeight="1">
      <c r="D449" s="1402" t="s">
        <v>1061</v>
      </c>
      <c r="E449" s="1403"/>
      <c r="F449" s="1403"/>
      <c r="G449" s="1403"/>
      <c r="H449" s="1403"/>
      <c r="I449" s="1403"/>
      <c r="J449" s="1403"/>
      <c r="K449" s="1403"/>
      <c r="L449" s="1403"/>
      <c r="M449" s="1403"/>
      <c r="N449" s="1403"/>
      <c r="O449" s="1403"/>
      <c r="P449" s="1403"/>
      <c r="Q449" s="1403"/>
      <c r="R449" s="1403"/>
      <c r="S449" s="1403"/>
      <c r="T449" s="1403"/>
      <c r="U449" s="1403"/>
      <c r="V449" s="1403"/>
      <c r="W449" s="1403"/>
      <c r="X449" s="1403"/>
      <c r="Y449" s="1403"/>
      <c r="Z449" s="1403"/>
      <c r="AA449" s="1403"/>
      <c r="AB449" s="1403"/>
      <c r="AC449" s="1403"/>
      <c r="AD449" s="1403"/>
      <c r="AE449" s="1403"/>
      <c r="AF449" s="1404"/>
      <c r="AG449" s="1427">
        <v>4920</v>
      </c>
      <c r="AH449" s="1427"/>
      <c r="AI449" s="1427"/>
      <c r="AJ449" s="14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 customHeight="1">
      <c r="D450" s="1528" t="s">
        <v>1062</v>
      </c>
      <c r="E450" s="1529"/>
      <c r="F450" s="1529"/>
      <c r="G450" s="1529"/>
      <c r="H450" s="1529"/>
      <c r="I450" s="1529"/>
      <c r="J450" s="1529"/>
      <c r="K450" s="1529"/>
      <c r="L450" s="1529"/>
      <c r="M450" s="1529"/>
      <c r="N450" s="1529"/>
      <c r="O450" s="1529"/>
      <c r="P450" s="1529"/>
      <c r="Q450" s="1529"/>
      <c r="R450" s="1529"/>
      <c r="S450" s="1529"/>
      <c r="T450" s="1529"/>
      <c r="U450" s="1529"/>
      <c r="V450" s="1529"/>
      <c r="W450" s="1529"/>
      <c r="X450" s="1529"/>
      <c r="Y450" s="1529"/>
      <c r="Z450" s="1529"/>
      <c r="AA450" s="1529"/>
      <c r="AB450" s="1529"/>
      <c r="AC450" s="1529"/>
      <c r="AD450" s="1529"/>
      <c r="AE450" s="1529"/>
      <c r="AF450" s="1530"/>
      <c r="AG450" s="1428">
        <f>AG442+AG446+AG448+AG449</f>
        <v>195921</v>
      </c>
      <c r="AH450" s="1428"/>
      <c r="AI450" s="1428"/>
      <c r="AJ450" s="142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 customHeight="1">
      <c r="D451" s="1531" t="s">
        <v>1311</v>
      </c>
      <c r="E451" s="1531"/>
      <c r="F451" s="1531"/>
      <c r="G451" s="1531"/>
      <c r="H451" s="1531"/>
      <c r="I451" s="1531"/>
      <c r="J451" s="1531"/>
      <c r="K451" s="1531"/>
      <c r="L451" s="1531"/>
      <c r="M451" s="1531"/>
      <c r="N451" s="1531"/>
      <c r="O451" s="1531"/>
      <c r="P451" s="1531"/>
      <c r="Q451" s="1531"/>
      <c r="R451" s="1531"/>
      <c r="S451" s="1531"/>
      <c r="T451" s="1531"/>
      <c r="U451" s="1531"/>
      <c r="V451" s="1531"/>
      <c r="W451" s="1531"/>
      <c r="X451" s="1531"/>
      <c r="Y451" s="1531"/>
      <c r="Z451" s="1531"/>
      <c r="AA451" s="1531"/>
      <c r="AB451" s="1531"/>
      <c r="AC451" s="1531"/>
      <c r="AD451" s="1531"/>
      <c r="AE451" s="1531"/>
      <c r="AF451" s="1531"/>
      <c r="AG451" s="1531"/>
      <c r="AH451" s="1531"/>
      <c r="AI451" s="1531"/>
      <c r="AJ451" s="1531"/>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 customHeight="1">
      <c r="D452" s="1532"/>
      <c r="E452" s="1532"/>
      <c r="F452" s="1532"/>
      <c r="G452" s="1532"/>
      <c r="H452" s="1532"/>
      <c r="I452" s="1532"/>
      <c r="J452" s="1532"/>
      <c r="K452" s="1532"/>
      <c r="L452" s="1532"/>
      <c r="M452" s="1532"/>
      <c r="N452" s="1532"/>
      <c r="O452" s="1532"/>
      <c r="P452" s="1532"/>
      <c r="Q452" s="1532"/>
      <c r="R452" s="1532"/>
      <c r="S452" s="1532"/>
      <c r="T452" s="1532"/>
      <c r="U452" s="1532"/>
      <c r="V452" s="1532"/>
      <c r="W452" s="1532"/>
      <c r="X452" s="1532"/>
      <c r="Y452" s="1532"/>
      <c r="Z452" s="1532"/>
      <c r="AA452" s="1532"/>
      <c r="AB452" s="1532"/>
      <c r="AC452" s="1532"/>
      <c r="AD452" s="1532"/>
      <c r="AE452" s="1532"/>
      <c r="AF452" s="1532"/>
      <c r="AG452" s="1532"/>
      <c r="AH452" s="1532"/>
      <c r="AI452" s="1532"/>
      <c r="AJ452" s="1532"/>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1">
        <f>IF(AG437=0,"",'Sources and Uses Budget'!B105/Application!AG437)</f>
        <v>480000.27058823529</v>
      </c>
      <c r="AD454" s="1421"/>
      <c r="AE454" s="1421"/>
      <c r="AF454" s="142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1">
        <f>IF(AG437=0,"",'Sources and Uses Budget'!C105/Application!AG437)</f>
        <v>480000.27058823529</v>
      </c>
      <c r="AD455" s="1421"/>
      <c r="AE455" s="1421"/>
      <c r="AF455" s="142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1">
        <f>IF(AG437=0,"",('Sources and Uses Budget'!$S$107+'Sources and Uses Budget'!$T$107)/Application!AG437)</f>
        <v>396806.95529411762</v>
      </c>
      <c r="AD456" s="1421"/>
      <c r="AE456" s="1421"/>
      <c r="AF456" s="142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 customHeight="1">
      <c r="D457" s="186"/>
      <c r="E457" s="186"/>
      <c r="F457" s="1461" t="str">
        <f>IFERROR(IF(AC454&gt;650000,"Please provide a justification of cost per unit in Tab 12 for all projects with per unit costs of greater than $650,000.",""),"")</f>
        <v/>
      </c>
      <c r="G457" s="1461"/>
      <c r="H457" s="1461"/>
      <c r="I457" s="1461"/>
      <c r="J457" s="1461"/>
      <c r="K457" s="1461"/>
      <c r="L457" s="1461"/>
      <c r="M457" s="1461"/>
      <c r="N457" s="1461"/>
      <c r="O457" s="1461"/>
      <c r="P457" s="1461"/>
      <c r="Q457" s="1461"/>
      <c r="R457" s="1461"/>
      <c r="S457" s="1461"/>
      <c r="T457" s="1461"/>
      <c r="U457" s="1461"/>
      <c r="V457" s="1461"/>
      <c r="W457" s="1461"/>
      <c r="X457" s="1461"/>
      <c r="Y457" s="1461"/>
      <c r="Z457" s="1461"/>
      <c r="AA457" s="1461"/>
      <c r="AB457" s="146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 customHeight="1">
      <c r="A458" s="2"/>
      <c r="D458" s="2"/>
      <c r="E458" s="186"/>
      <c r="F458" s="1461"/>
      <c r="G458" s="1461"/>
      <c r="H458" s="1461"/>
      <c r="I458" s="1461"/>
      <c r="J458" s="1461"/>
      <c r="K458" s="1461"/>
      <c r="L458" s="1461"/>
      <c r="M458" s="1461"/>
      <c r="N458" s="1461"/>
      <c r="O458" s="1461"/>
      <c r="P458" s="1461"/>
      <c r="Q458" s="1461"/>
      <c r="R458" s="1461"/>
      <c r="S458" s="1461"/>
      <c r="T458" s="1461"/>
      <c r="U458" s="1461"/>
      <c r="V458" s="1461"/>
      <c r="W458" s="1461"/>
      <c r="X458" s="1461"/>
      <c r="Y458" s="1461"/>
      <c r="Z458" s="1461"/>
      <c r="AA458" s="1461"/>
      <c r="AB458" s="146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 customHeight="1">
      <c r="A465" s="3"/>
      <c r="B465" s="3"/>
      <c r="C465" s="3"/>
      <c r="D465" s="1418" t="s">
        <v>2416</v>
      </c>
      <c r="E465" s="1419"/>
      <c r="F465" s="1419"/>
      <c r="G465" s="1419"/>
      <c r="H465" s="1419"/>
      <c r="I465" s="1419"/>
      <c r="J465" s="1419"/>
      <c r="K465" s="1419"/>
      <c r="L465" s="1419"/>
      <c r="M465" s="1419"/>
      <c r="N465" s="1419"/>
      <c r="O465" s="1419"/>
      <c r="P465" s="1419"/>
      <c r="Q465" s="1419"/>
      <c r="R465" s="1419"/>
      <c r="S465" s="1419"/>
      <c r="T465" s="1419"/>
      <c r="U465" s="1419"/>
      <c r="V465" s="1420"/>
      <c r="W465" s="1456">
        <v>0</v>
      </c>
      <c r="X465" s="1457"/>
      <c r="Y465" s="145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 customHeight="1">
      <c r="A466" s="3"/>
      <c r="B466" s="3"/>
      <c r="C466" s="3"/>
      <c r="D466" s="1462" t="s">
        <v>701</v>
      </c>
      <c r="E466" s="1419"/>
      <c r="F466" s="1419"/>
      <c r="G466" s="1419"/>
      <c r="H466" s="1419"/>
      <c r="I466" s="1419"/>
      <c r="J466" s="1419"/>
      <c r="K466" s="1419"/>
      <c r="L466" s="1419"/>
      <c r="M466" s="1419"/>
      <c r="N466" s="1419"/>
      <c r="O466" s="1419"/>
      <c r="P466" s="1419"/>
      <c r="Q466" s="1419"/>
      <c r="R466" s="1419"/>
      <c r="S466" s="1419"/>
      <c r="T466" s="1419"/>
      <c r="U466" s="1419"/>
      <c r="V466" s="1420"/>
      <c r="W466" s="1456">
        <v>0</v>
      </c>
      <c r="X466" s="1457"/>
      <c r="Y466" s="145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 customHeight="1">
      <c r="A467" s="3"/>
      <c r="B467" s="3"/>
      <c r="C467" s="3"/>
      <c r="D467" s="1462" t="s">
        <v>702</v>
      </c>
      <c r="E467" s="1419"/>
      <c r="F467" s="1419"/>
      <c r="G467" s="1419"/>
      <c r="H467" s="1419"/>
      <c r="I467" s="1419"/>
      <c r="J467" s="1419"/>
      <c r="K467" s="1419"/>
      <c r="L467" s="1419"/>
      <c r="M467" s="1419"/>
      <c r="N467" s="1419"/>
      <c r="O467" s="1419"/>
      <c r="P467" s="1419"/>
      <c r="Q467" s="1419"/>
      <c r="R467" s="1419"/>
      <c r="S467" s="1419"/>
      <c r="T467" s="1419"/>
      <c r="U467" s="1419"/>
      <c r="V467" s="1420"/>
      <c r="W467" s="1456">
        <v>0</v>
      </c>
      <c r="X467" s="1457"/>
      <c r="Y467" s="145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 customHeight="1">
      <c r="A468" s="3"/>
      <c r="B468" s="3"/>
      <c r="C468" s="3"/>
      <c r="D468" s="1462" t="s">
        <v>703</v>
      </c>
      <c r="E468" s="1419"/>
      <c r="F468" s="1419"/>
      <c r="G468" s="1419"/>
      <c r="H468" s="1419"/>
      <c r="I468" s="1419"/>
      <c r="J468" s="1419"/>
      <c r="K468" s="1419"/>
      <c r="L468" s="1419"/>
      <c r="M468" s="1419"/>
      <c r="N468" s="1419"/>
      <c r="O468" s="1419"/>
      <c r="P468" s="1419"/>
      <c r="Q468" s="1419"/>
      <c r="R468" s="1419"/>
      <c r="S468" s="1419"/>
      <c r="T468" s="1419"/>
      <c r="U468" s="1419"/>
      <c r="V468" s="1420"/>
      <c r="W468" s="1456">
        <v>0</v>
      </c>
      <c r="X468" s="1457"/>
      <c r="Y468" s="145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 customHeight="1">
      <c r="A469" s="3"/>
      <c r="B469" s="3"/>
      <c r="C469" s="3"/>
      <c r="D469" s="1462" t="s">
        <v>892</v>
      </c>
      <c r="E469" s="1419"/>
      <c r="F469" s="1419"/>
      <c r="G469" s="1419"/>
      <c r="H469" s="1419"/>
      <c r="I469" s="1419"/>
      <c r="J469" s="1419"/>
      <c r="K469" s="1419"/>
      <c r="L469" s="1419"/>
      <c r="M469" s="1419"/>
      <c r="N469" s="1419"/>
      <c r="O469" s="1419"/>
      <c r="P469" s="1419"/>
      <c r="Q469" s="1419"/>
      <c r="R469" s="1419"/>
      <c r="S469" s="1419"/>
      <c r="T469" s="1419"/>
      <c r="U469" s="1419"/>
      <c r="V469" s="1420"/>
      <c r="W469" s="1456">
        <v>0</v>
      </c>
      <c r="X469" s="1457"/>
      <c r="Y469" s="145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 customHeight="1">
      <c r="A470" s="3"/>
      <c r="B470" s="3"/>
      <c r="C470" s="3"/>
      <c r="D470" s="1462" t="s">
        <v>704</v>
      </c>
      <c r="E470" s="1419"/>
      <c r="F470" s="1419"/>
      <c r="G470" s="1419"/>
      <c r="H470" s="1419"/>
      <c r="I470" s="1419"/>
      <c r="J470" s="1419"/>
      <c r="K470" s="1419"/>
      <c r="L470" s="1419"/>
      <c r="M470" s="1419"/>
      <c r="N470" s="1419"/>
      <c r="O470" s="1419"/>
      <c r="P470" s="1419"/>
      <c r="Q470" s="1419"/>
      <c r="R470" s="1419"/>
      <c r="S470" s="1419"/>
      <c r="T470" s="1419"/>
      <c r="U470" s="1419"/>
      <c r="V470" s="1420"/>
      <c r="W470" s="1456">
        <v>0</v>
      </c>
      <c r="X470" s="1457"/>
      <c r="Y470" s="145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 customHeight="1">
      <c r="A471" s="3"/>
      <c r="B471" s="3"/>
      <c r="C471" s="3"/>
      <c r="D471" s="1462" t="s">
        <v>1035</v>
      </c>
      <c r="E471" s="1419"/>
      <c r="F471" s="1419"/>
      <c r="G471" s="1419"/>
      <c r="H471" s="1419"/>
      <c r="I471" s="1419"/>
      <c r="J471" s="1419"/>
      <c r="K471" s="1419"/>
      <c r="L471" s="1419"/>
      <c r="M471" s="1419"/>
      <c r="N471" s="1419"/>
      <c r="O471" s="1419"/>
      <c r="P471" s="1419"/>
      <c r="Q471" s="1419"/>
      <c r="R471" s="1419"/>
      <c r="S471" s="1419"/>
      <c r="T471" s="1419"/>
      <c r="U471" s="1419"/>
      <c r="V471" s="1420"/>
      <c r="W471" s="1456">
        <v>0</v>
      </c>
      <c r="X471" s="1457"/>
      <c r="Y471" s="145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 customHeight="1">
      <c r="A472" s="3"/>
      <c r="B472" s="3"/>
      <c r="C472" s="3"/>
      <c r="D472" s="1418" t="s">
        <v>2551</v>
      </c>
      <c r="E472" s="1476"/>
      <c r="F472" s="1476"/>
      <c r="G472" s="1476"/>
      <c r="H472" s="1476"/>
      <c r="I472" s="1476"/>
      <c r="J472" s="1476"/>
      <c r="K472" s="1476"/>
      <c r="L472" s="1476"/>
      <c r="M472" s="1476"/>
      <c r="N472" s="1476"/>
      <c r="O472" s="1476"/>
      <c r="P472" s="1476"/>
      <c r="Q472" s="1476"/>
      <c r="R472" s="1476"/>
      <c r="S472" s="1476"/>
      <c r="T472" s="1476"/>
      <c r="U472" s="1476"/>
      <c r="V472" s="1477"/>
      <c r="W472" s="1456">
        <v>0</v>
      </c>
      <c r="X472" s="1457"/>
      <c r="Y472" s="145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 customHeight="1">
      <c r="A473" s="3"/>
      <c r="B473" s="3"/>
      <c r="C473" s="3"/>
      <c r="D473" s="1418" t="s">
        <v>1765</v>
      </c>
      <c r="E473" s="1419"/>
      <c r="F473" s="1419"/>
      <c r="G473" s="1419"/>
      <c r="H473" s="1419"/>
      <c r="I473" s="1419"/>
      <c r="J473" s="1419"/>
      <c r="K473" s="1419"/>
      <c r="L473" s="1419"/>
      <c r="M473" s="1419"/>
      <c r="N473" s="1419"/>
      <c r="O473" s="1419"/>
      <c r="P473" s="1419"/>
      <c r="Q473" s="1419"/>
      <c r="R473" s="1419"/>
      <c r="S473" s="1419"/>
      <c r="T473" s="1419"/>
      <c r="U473" s="1419"/>
      <c r="V473" s="1420"/>
      <c r="W473" s="1456">
        <v>0</v>
      </c>
      <c r="X473" s="1457"/>
      <c r="Y473" s="145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 customHeight="1">
      <c r="A474" s="3"/>
      <c r="B474" s="3"/>
      <c r="C474" s="3"/>
      <c r="D474" s="261" t="s">
        <v>169</v>
      </c>
      <c r="E474" s="262"/>
      <c r="F474" s="263"/>
      <c r="G474" s="1471"/>
      <c r="H474" s="1472"/>
      <c r="I474" s="1472"/>
      <c r="J474" s="1472"/>
      <c r="K474" s="1472"/>
      <c r="L474" s="1472"/>
      <c r="M474" s="1472"/>
      <c r="N474" s="1472"/>
      <c r="O474" s="1472"/>
      <c r="P474" s="1472"/>
      <c r="Q474" s="1472"/>
      <c r="R474" s="1472"/>
      <c r="S474" s="1472"/>
      <c r="T474" s="1472"/>
      <c r="U474" s="1472"/>
      <c r="V474" s="1473"/>
      <c r="W474" s="1456">
        <v>0</v>
      </c>
      <c r="X474" s="1457"/>
      <c r="Y474" s="145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 customHeight="1">
      <c r="A480" s="1547" t="s">
        <v>818</v>
      </c>
      <c r="B480" s="1547"/>
      <c r="C480" s="1547"/>
      <c r="D480" s="1547"/>
      <c r="E480" s="1547"/>
      <c r="F480" s="1547"/>
      <c r="G480" s="1547"/>
      <c r="H480" s="1547"/>
      <c r="I480" s="1547"/>
      <c r="J480" s="1547"/>
      <c r="K480" s="1547"/>
      <c r="L480" s="1547"/>
      <c r="M480" s="1547"/>
      <c r="N480" s="1547"/>
      <c r="O480" s="1547"/>
      <c r="P480" s="1547"/>
      <c r="Q480" s="1547"/>
      <c r="R480" s="1547"/>
      <c r="S480" s="1547"/>
      <c r="T480" s="1547"/>
      <c r="U480" s="1547"/>
      <c r="V480" s="1547"/>
      <c r="W480" s="1547"/>
      <c r="X480" s="1547"/>
      <c r="Y480" s="1547"/>
      <c r="Z480" s="1547"/>
      <c r="AA480" s="1547"/>
      <c r="AB480" s="1547"/>
      <c r="AC480" s="1547"/>
      <c r="AD480" s="1547"/>
      <c r="AE480" s="1547"/>
      <c r="AF480" s="1547"/>
      <c r="AG480" s="1547"/>
      <c r="AH480" s="1547"/>
      <c r="AI480" s="1547"/>
      <c r="AJ480" s="1547"/>
      <c r="AK480" s="1547"/>
      <c r="AL480" s="1547"/>
      <c r="AM480" s="1547"/>
      <c r="AN480" s="1547"/>
      <c r="AO480" s="1547"/>
      <c r="AP480" s="1547"/>
      <c r="AQ480" s="1547"/>
      <c r="AR480" s="1547"/>
      <c r="AS480" s="1547"/>
      <c r="AT480" s="154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 customHeight="1">
      <c r="A481" s="1547"/>
      <c r="B481" s="1547"/>
      <c r="C481" s="1547"/>
      <c r="D481" s="1547"/>
      <c r="E481" s="1547"/>
      <c r="F481" s="1547"/>
      <c r="G481" s="1547"/>
      <c r="H481" s="1547"/>
      <c r="I481" s="1547"/>
      <c r="J481" s="1547"/>
      <c r="K481" s="1547"/>
      <c r="L481" s="1547"/>
      <c r="M481" s="1547"/>
      <c r="N481" s="1547"/>
      <c r="O481" s="1547"/>
      <c r="P481" s="1547"/>
      <c r="Q481" s="1547"/>
      <c r="R481" s="1547"/>
      <c r="S481" s="1547"/>
      <c r="T481" s="1547"/>
      <c r="U481" s="1547"/>
      <c r="V481" s="1547"/>
      <c r="W481" s="1547"/>
      <c r="X481" s="1547"/>
      <c r="Y481" s="1547"/>
      <c r="Z481" s="1547"/>
      <c r="AA481" s="1547"/>
      <c r="AB481" s="1547"/>
      <c r="AC481" s="1547"/>
      <c r="AD481" s="1547"/>
      <c r="AE481" s="1547"/>
      <c r="AF481" s="1547"/>
      <c r="AG481" s="1547"/>
      <c r="AH481" s="1547"/>
      <c r="AI481" s="1547"/>
      <c r="AJ481" s="1547"/>
      <c r="AK481" s="1547"/>
      <c r="AL481" s="1547"/>
      <c r="AM481" s="1547"/>
      <c r="AN481" s="1547"/>
      <c r="AO481" s="1547"/>
      <c r="AP481" s="1547"/>
      <c r="AQ481" s="1547"/>
      <c r="AR481" s="1547"/>
      <c r="AS481" s="1547"/>
      <c r="AT481" s="154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 customHeight="1">
      <c r="A483" s="2" t="s">
        <v>319</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 customHeight="1">
      <c r="B485" s="45"/>
      <c r="C485" s="5"/>
      <c r="D485" s="5"/>
      <c r="E485" s="5"/>
      <c r="F485" s="5"/>
      <c r="G485" s="5"/>
      <c r="H485" s="5"/>
      <c r="I485" s="5"/>
      <c r="J485" s="5"/>
      <c r="K485" s="5"/>
      <c r="L485" s="5"/>
      <c r="M485" s="5"/>
      <c r="N485" s="5"/>
      <c r="O485" s="5"/>
      <c r="P485" s="46"/>
      <c r="Q485" s="1422" t="s">
        <v>393</v>
      </c>
      <c r="R485" s="1423"/>
      <c r="S485" s="1423"/>
      <c r="T485" s="1423"/>
      <c r="U485" s="1423"/>
      <c r="V485" s="1423"/>
      <c r="W485" s="1423"/>
      <c r="X485" s="1423"/>
      <c r="Y485" s="1423"/>
      <c r="Z485" s="1423"/>
      <c r="AA485" s="1423"/>
      <c r="AB485" s="1423"/>
      <c r="AC485" s="1423"/>
      <c r="AD485" s="1423"/>
      <c r="AE485" s="1423"/>
      <c r="AF485" s="1423"/>
      <c r="AG485" s="1423"/>
      <c r="AH485" s="1423"/>
      <c r="AI485" s="1423"/>
      <c r="AJ485" s="1423"/>
      <c r="AK485" s="142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 customHeight="1">
      <c r="B486" s="45" t="s">
        <v>394</v>
      </c>
      <c r="C486" s="5"/>
      <c r="D486" s="5"/>
      <c r="E486" s="5"/>
      <c r="F486" s="5"/>
      <c r="G486" s="5"/>
      <c r="H486" s="5"/>
      <c r="I486" s="5"/>
      <c r="J486" s="5"/>
      <c r="K486" s="5"/>
      <c r="L486" s="5"/>
      <c r="M486" s="5"/>
      <c r="N486" s="5"/>
      <c r="O486" s="5"/>
      <c r="P486" s="5"/>
      <c r="Q486" s="1475" t="s">
        <v>2663</v>
      </c>
      <c r="R486" s="1396"/>
      <c r="S486" s="1396"/>
      <c r="T486" s="1396"/>
      <c r="U486" s="1396"/>
      <c r="V486" s="1396"/>
      <c r="W486" s="1396"/>
      <c r="X486" s="1396"/>
      <c r="Y486" s="1396"/>
      <c r="Z486" s="1396"/>
      <c r="AA486" s="1396"/>
      <c r="AB486" s="1396"/>
      <c r="AC486" s="1396"/>
      <c r="AD486" s="1396"/>
      <c r="AE486" s="1396"/>
      <c r="AF486" s="1396"/>
      <c r="AG486" s="1396"/>
      <c r="AH486" s="1396"/>
      <c r="AI486" s="1396"/>
      <c r="AJ486" s="1396"/>
      <c r="AK486" s="1440"/>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 customHeight="1">
      <c r="B487" s="45" t="s">
        <v>395</v>
      </c>
      <c r="C487" s="5"/>
      <c r="D487" s="5"/>
      <c r="E487" s="5"/>
      <c r="F487" s="5"/>
      <c r="G487" s="5"/>
      <c r="H487" s="5"/>
      <c r="I487" s="5"/>
      <c r="J487" s="5"/>
      <c r="K487" s="5"/>
      <c r="L487" s="5"/>
      <c r="M487" s="5"/>
      <c r="N487" s="5"/>
      <c r="O487" s="5"/>
      <c r="P487" s="5"/>
      <c r="Q487" s="1439" t="s">
        <v>2641</v>
      </c>
      <c r="R487" s="1396"/>
      <c r="S487" s="1396"/>
      <c r="T487" s="1396"/>
      <c r="U487" s="1396"/>
      <c r="V487" s="1396"/>
      <c r="W487" s="1396"/>
      <c r="X487" s="1396"/>
      <c r="Y487" s="1396"/>
      <c r="Z487" s="1396"/>
      <c r="AA487" s="1396"/>
      <c r="AB487" s="1396"/>
      <c r="AC487" s="1396"/>
      <c r="AD487" s="1396"/>
      <c r="AE487" s="1396"/>
      <c r="AF487" s="1396"/>
      <c r="AG487" s="1396"/>
      <c r="AH487" s="1396"/>
      <c r="AI487" s="1396"/>
      <c r="AJ487" s="1396"/>
      <c r="AK487" s="1440"/>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 customHeight="1">
      <c r="B488" s="45" t="s">
        <v>396</v>
      </c>
      <c r="C488" s="5"/>
      <c r="D488" s="5"/>
      <c r="E488" s="5"/>
      <c r="F488" s="5"/>
      <c r="G488" s="5"/>
      <c r="H488" s="5"/>
      <c r="I488" s="5"/>
      <c r="J488" s="5"/>
      <c r="K488" s="5"/>
      <c r="L488" s="5"/>
      <c r="M488" s="5"/>
      <c r="N488" s="5"/>
      <c r="O488" s="5"/>
      <c r="P488" s="5"/>
      <c r="Q488" s="1439" t="s">
        <v>2641</v>
      </c>
      <c r="R488" s="1396"/>
      <c r="S488" s="1396"/>
      <c r="T488" s="1396"/>
      <c r="U488" s="1396"/>
      <c r="V488" s="1396"/>
      <c r="W488" s="1396"/>
      <c r="X488" s="1396"/>
      <c r="Y488" s="1396"/>
      <c r="Z488" s="1396"/>
      <c r="AA488" s="1396"/>
      <c r="AB488" s="1396"/>
      <c r="AC488" s="1396"/>
      <c r="AD488" s="1396"/>
      <c r="AE488" s="1396"/>
      <c r="AF488" s="1396"/>
      <c r="AG488" s="1396"/>
      <c r="AH488" s="1396"/>
      <c r="AI488" s="1396"/>
      <c r="AJ488" s="1396"/>
      <c r="AK488" s="144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 customHeight="1" thickBot="1">
      <c r="B489" s="1429" t="s">
        <v>397</v>
      </c>
      <c r="C489" s="1430"/>
      <c r="D489" s="1430"/>
      <c r="E489" s="1430"/>
      <c r="F489" s="1430"/>
      <c r="G489" s="1430"/>
      <c r="H489" s="1430"/>
      <c r="I489" s="1430"/>
      <c r="J489" s="1430"/>
      <c r="K489" s="1430"/>
      <c r="L489" s="1430"/>
      <c r="M489" s="1430"/>
      <c r="N489" s="1430"/>
      <c r="O489" s="1430"/>
      <c r="P489" s="1431"/>
      <c r="Q489" s="1435" t="s">
        <v>552</v>
      </c>
      <c r="R489" s="1436"/>
      <c r="S489" s="1518" t="s">
        <v>2717</v>
      </c>
      <c r="T489" s="1519"/>
      <c r="U489" s="1519"/>
      <c r="V489" s="1519"/>
      <c r="W489" s="1519"/>
      <c r="X489" s="1519"/>
      <c r="Y489" s="1519"/>
      <c r="Z489" s="1519"/>
      <c r="AA489" s="1519"/>
      <c r="AB489" s="1519"/>
      <c r="AC489" s="1519"/>
      <c r="AD489" s="1519"/>
      <c r="AE489" s="1519"/>
      <c r="AF489" s="1519"/>
      <c r="AG489" s="1519"/>
      <c r="AH489" s="1519"/>
      <c r="AI489" s="1519"/>
      <c r="AJ489" s="1519"/>
      <c r="AK489" s="152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 customHeight="1">
      <c r="B490" s="1432"/>
      <c r="C490" s="1433"/>
      <c r="D490" s="1433"/>
      <c r="E490" s="1433"/>
      <c r="F490" s="1433"/>
      <c r="G490" s="1433"/>
      <c r="H490" s="1433"/>
      <c r="I490" s="1433"/>
      <c r="J490" s="1433"/>
      <c r="K490" s="1433"/>
      <c r="L490" s="1433"/>
      <c r="M490" s="1433"/>
      <c r="N490" s="1433"/>
      <c r="O490" s="1433"/>
      <c r="P490" s="1434"/>
      <c r="Q490" s="1437"/>
      <c r="R490" s="1438"/>
      <c r="S490" s="1521"/>
      <c r="T490" s="1483"/>
      <c r="U490" s="1483"/>
      <c r="V490" s="1483"/>
      <c r="W490" s="1483"/>
      <c r="X490" s="1483"/>
      <c r="Y490" s="1483"/>
      <c r="Z490" s="1483"/>
      <c r="AA490" s="1483"/>
      <c r="AB490" s="1483"/>
      <c r="AC490" s="1483"/>
      <c r="AD490" s="1483"/>
      <c r="AE490" s="1483"/>
      <c r="AF490" s="1483"/>
      <c r="AG490" s="1483"/>
      <c r="AH490" s="1483"/>
      <c r="AI490" s="1483"/>
      <c r="AJ490" s="1483"/>
      <c r="AK490" s="152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 customHeight="1">
      <c r="B491" s="930" t="s">
        <v>1783</v>
      </c>
      <c r="C491" s="907"/>
      <c r="D491" s="907"/>
      <c r="E491" s="907"/>
      <c r="F491" s="907"/>
      <c r="G491" s="907"/>
      <c r="H491" s="907"/>
      <c r="I491" s="907"/>
      <c r="J491" s="907"/>
      <c r="K491" s="907"/>
      <c r="L491" s="907"/>
      <c r="M491" s="907"/>
      <c r="N491" s="907"/>
      <c r="O491" s="907"/>
      <c r="P491" s="907"/>
      <c r="Q491" s="1524" t="s">
        <v>552</v>
      </c>
      <c r="R491" s="1525"/>
      <c r="S491" s="1525"/>
      <c r="T491" s="1525"/>
      <c r="U491" s="1525"/>
      <c r="V491" s="1525"/>
      <c r="W491" s="1525"/>
      <c r="X491" s="1525"/>
      <c r="Y491" s="1525"/>
      <c r="Z491" s="1525"/>
      <c r="AA491" s="1525"/>
      <c r="AB491" s="1525"/>
      <c r="AC491" s="1525"/>
      <c r="AD491" s="1525"/>
      <c r="AE491" s="1525"/>
      <c r="AF491" s="1525"/>
      <c r="AG491" s="1525"/>
      <c r="AH491" s="1525"/>
      <c r="AI491" s="1525"/>
      <c r="AJ491" s="1525"/>
      <c r="AK491" s="1526"/>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 customHeight="1">
      <c r="B492" s="45" t="s">
        <v>398</v>
      </c>
      <c r="C492" s="5"/>
      <c r="D492" s="5"/>
      <c r="E492" s="5"/>
      <c r="F492" s="5"/>
      <c r="G492" s="5"/>
      <c r="H492" s="5"/>
      <c r="I492" s="5"/>
      <c r="J492" s="5"/>
      <c r="K492" s="5"/>
      <c r="L492" s="5"/>
      <c r="M492" s="5"/>
      <c r="N492" s="5"/>
      <c r="O492" s="5"/>
      <c r="P492" s="5"/>
      <c r="Q492" s="1475" t="s">
        <v>2718</v>
      </c>
      <c r="R492" s="1396"/>
      <c r="S492" s="1396"/>
      <c r="T492" s="1396"/>
      <c r="U492" s="1396"/>
      <c r="V492" s="1396"/>
      <c r="W492" s="1396"/>
      <c r="X492" s="1396"/>
      <c r="Y492" s="1396"/>
      <c r="Z492" s="1396"/>
      <c r="AA492" s="1396"/>
      <c r="AB492" s="1396"/>
      <c r="AC492" s="1396"/>
      <c r="AD492" s="1396"/>
      <c r="AE492" s="1396"/>
      <c r="AF492" s="1396"/>
      <c r="AG492" s="1396"/>
      <c r="AH492" s="1396"/>
      <c r="AI492" s="1396"/>
      <c r="AJ492" s="1396"/>
      <c r="AK492" s="144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 customHeight="1">
      <c r="B493" s="45" t="s">
        <v>399</v>
      </c>
      <c r="C493" s="5"/>
      <c r="D493" s="5"/>
      <c r="E493" s="5"/>
      <c r="F493" s="5"/>
      <c r="G493" s="5"/>
      <c r="H493" s="5"/>
      <c r="I493" s="5"/>
      <c r="J493" s="5"/>
      <c r="K493" s="5"/>
      <c r="L493" s="5"/>
      <c r="M493" s="5"/>
      <c r="N493" s="5"/>
      <c r="O493" s="5"/>
      <c r="P493" s="5"/>
      <c r="Q493" s="1439">
        <v>0</v>
      </c>
      <c r="R493" s="1396"/>
      <c r="S493" s="1396"/>
      <c r="T493" s="1396"/>
      <c r="U493" s="1396"/>
      <c r="V493" s="1396"/>
      <c r="W493" s="1396"/>
      <c r="X493" s="1396"/>
      <c r="Y493" s="1396"/>
      <c r="Z493" s="1396"/>
      <c r="AA493" s="1396"/>
      <c r="AB493" s="1396"/>
      <c r="AC493" s="1396"/>
      <c r="AD493" s="1396"/>
      <c r="AE493" s="1396"/>
      <c r="AF493" s="1396"/>
      <c r="AG493" s="1396"/>
      <c r="AH493" s="1396"/>
      <c r="AI493" s="1396"/>
      <c r="AJ493" s="1396"/>
      <c r="AK493" s="144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 customHeight="1">
      <c r="B494" s="121" t="s">
        <v>1780</v>
      </c>
      <c r="C494" s="5"/>
      <c r="D494" s="5"/>
      <c r="E494" s="5"/>
      <c r="F494" s="5"/>
      <c r="G494" s="5"/>
      <c r="H494" s="5"/>
      <c r="I494" s="5"/>
      <c r="J494" s="5"/>
      <c r="K494" s="5"/>
      <c r="L494" s="5"/>
      <c r="M494" s="5"/>
      <c r="N494" s="5"/>
      <c r="O494" s="5"/>
      <c r="P494" s="5"/>
      <c r="Q494" s="1439">
        <v>10</v>
      </c>
      <c r="R494" s="1396"/>
      <c r="S494" s="1396"/>
      <c r="T494" s="1396"/>
      <c r="U494" s="1396"/>
      <c r="V494" s="1396"/>
      <c r="W494" s="1396"/>
      <c r="X494" s="1396"/>
      <c r="Y494" s="1396"/>
      <c r="Z494" s="1396"/>
      <c r="AA494" s="1396"/>
      <c r="AB494" s="1396"/>
      <c r="AC494" s="1396"/>
      <c r="AD494" s="1396"/>
      <c r="AE494" s="1396"/>
      <c r="AF494" s="1396"/>
      <c r="AG494" s="1396"/>
      <c r="AH494" s="1396"/>
      <c r="AI494" s="1396"/>
      <c r="AJ494" s="1396"/>
      <c r="AK494" s="144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 customHeight="1">
      <c r="B495" s="121" t="s">
        <v>1781</v>
      </c>
      <c r="C495" s="5"/>
      <c r="D495" s="5"/>
      <c r="E495" s="5"/>
      <c r="F495" s="5"/>
      <c r="G495" s="5"/>
      <c r="H495" s="5"/>
      <c r="I495" s="5"/>
      <c r="J495" s="5"/>
      <c r="K495" s="5"/>
      <c r="L495" s="5"/>
      <c r="M495" s="1444">
        <v>10</v>
      </c>
      <c r="N495" s="1445"/>
      <c r="O495" s="1445"/>
      <c r="P495" s="1446"/>
      <c r="Q495" s="121" t="s">
        <v>1782</v>
      </c>
      <c r="R495" s="5"/>
      <c r="S495" s="5"/>
      <c r="T495" s="5"/>
      <c r="U495" s="5"/>
      <c r="V495" s="5"/>
      <c r="W495" s="5"/>
      <c r="X495" s="5"/>
      <c r="Y495" s="5"/>
      <c r="Z495" s="5"/>
      <c r="AA495" s="5"/>
      <c r="AB495" s="5"/>
      <c r="AC495" s="5"/>
      <c r="AD495" s="5"/>
      <c r="AE495" s="5"/>
      <c r="AF495" s="5"/>
      <c r="AG495" s="5"/>
      <c r="AH495" s="1444">
        <v>0</v>
      </c>
      <c r="AI495" s="1445"/>
      <c r="AJ495" s="1445"/>
      <c r="AK495" s="144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22" t="s">
        <v>401</v>
      </c>
      <c r="AD499" s="1423"/>
      <c r="AE499" s="1423"/>
      <c r="AF499" s="1423"/>
      <c r="AG499" s="1423"/>
      <c r="AH499" s="1423"/>
      <c r="AI499" s="1423"/>
      <c r="AJ499" s="1423"/>
      <c r="AK499" s="142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22" t="s">
        <v>402</v>
      </c>
      <c r="AD500" s="1423"/>
      <c r="AE500" s="1423"/>
      <c r="AF500" s="1423"/>
      <c r="AG500" s="50" t="s">
        <v>403</v>
      </c>
      <c r="AH500" s="1423" t="s">
        <v>404</v>
      </c>
      <c r="AI500" s="1423"/>
      <c r="AJ500" s="1423"/>
      <c r="AK500" s="142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 customHeight="1">
      <c r="B501" s="1405" t="s">
        <v>405</v>
      </c>
      <c r="C501" s="1406"/>
      <c r="D501" s="1406"/>
      <c r="E501" s="1406"/>
      <c r="F501" s="1406"/>
      <c r="G501" s="1406"/>
      <c r="H501" s="1407"/>
      <c r="I501" s="42" t="s">
        <v>406</v>
      </c>
      <c r="J501" s="42"/>
      <c r="K501" s="42"/>
      <c r="L501" s="42"/>
      <c r="M501" s="42"/>
      <c r="N501" s="42"/>
      <c r="O501" s="42"/>
      <c r="P501" s="42"/>
      <c r="Q501" s="42"/>
      <c r="R501" s="42"/>
      <c r="S501" s="42"/>
      <c r="T501" s="42"/>
      <c r="U501" s="42"/>
      <c r="V501" s="42"/>
      <c r="W501" s="42"/>
      <c r="AC501" s="1413" t="s">
        <v>598</v>
      </c>
      <c r="AD501" s="1414"/>
      <c r="AE501" s="1414"/>
      <c r="AF501" s="1414"/>
      <c r="AG501" s="13" t="s">
        <v>403</v>
      </c>
      <c r="AH501" s="1527" t="s">
        <v>598</v>
      </c>
      <c r="AI501" s="1416"/>
      <c r="AJ501" s="1416"/>
      <c r="AK501" s="1417"/>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 customHeight="1">
      <c r="B502" s="1408"/>
      <c r="C502" s="1409"/>
      <c r="D502" s="1409"/>
      <c r="E502" s="1409"/>
      <c r="F502" s="1409"/>
      <c r="G502" s="1409"/>
      <c r="H502" s="1410"/>
      <c r="I502" s="48" t="s">
        <v>407</v>
      </c>
      <c r="J502" s="48"/>
      <c r="K502" s="48"/>
      <c r="L502" s="48"/>
      <c r="M502" s="48"/>
      <c r="N502" s="48"/>
      <c r="O502" s="48"/>
      <c r="P502" s="48"/>
      <c r="Q502" s="48"/>
      <c r="R502" s="48"/>
      <c r="S502" s="48"/>
      <c r="T502" s="48"/>
      <c r="U502" s="48"/>
      <c r="V502" s="48"/>
      <c r="W502" s="48"/>
      <c r="X502" s="48"/>
      <c r="Y502" s="48"/>
      <c r="Z502" s="48"/>
      <c r="AA502" s="48"/>
      <c r="AB502" s="48"/>
      <c r="AC502" s="1413">
        <v>4</v>
      </c>
      <c r="AD502" s="1414"/>
      <c r="AE502" s="1414"/>
      <c r="AF502" s="1414"/>
      <c r="AG502" s="38" t="s">
        <v>403</v>
      </c>
      <c r="AH502" s="1416">
        <v>2022</v>
      </c>
      <c r="AI502" s="1416"/>
      <c r="AJ502" s="1416"/>
      <c r="AK502" s="1417"/>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 customHeight="1">
      <c r="B503" s="1405" t="s">
        <v>408</v>
      </c>
      <c r="C503" s="1406"/>
      <c r="D503" s="1406"/>
      <c r="E503" s="1406"/>
      <c r="F503" s="1406"/>
      <c r="G503" s="1406"/>
      <c r="H503" s="1407"/>
      <c r="I503" s="42" t="s">
        <v>409</v>
      </c>
      <c r="J503" s="42"/>
      <c r="K503" s="42"/>
      <c r="L503" s="42"/>
      <c r="M503" s="42"/>
      <c r="N503" s="42"/>
      <c r="O503" s="42"/>
      <c r="P503" s="42"/>
      <c r="Q503" s="42"/>
      <c r="R503" s="42"/>
      <c r="S503" s="42"/>
      <c r="T503" s="42"/>
      <c r="U503" s="42"/>
      <c r="V503" s="42"/>
      <c r="W503" s="42"/>
      <c r="AC503" s="1413" t="s">
        <v>598</v>
      </c>
      <c r="AD503" s="1414"/>
      <c r="AE503" s="1414"/>
      <c r="AF503" s="1414"/>
      <c r="AG503" s="13" t="s">
        <v>403</v>
      </c>
      <c r="AH503" s="1416" t="s">
        <v>598</v>
      </c>
      <c r="AI503" s="1416"/>
      <c r="AJ503" s="1416"/>
      <c r="AK503" s="1417"/>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 customHeight="1">
      <c r="B504" s="1408"/>
      <c r="C504" s="1409"/>
      <c r="D504" s="1409"/>
      <c r="E504" s="1409"/>
      <c r="F504" s="1409"/>
      <c r="G504" s="1409"/>
      <c r="H504" s="1410"/>
      <c r="I504" t="s">
        <v>410</v>
      </c>
      <c r="AC504" s="1413" t="s">
        <v>598</v>
      </c>
      <c r="AD504" s="1414"/>
      <c r="AE504" s="1414"/>
      <c r="AF504" s="1414"/>
      <c r="AG504" s="13" t="s">
        <v>403</v>
      </c>
      <c r="AH504" s="1416" t="s">
        <v>598</v>
      </c>
      <c r="AI504" s="1416"/>
      <c r="AJ504" s="1416"/>
      <c r="AK504" s="1417"/>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 customHeight="1">
      <c r="B505" s="1408"/>
      <c r="C505" s="1409"/>
      <c r="D505" s="1409"/>
      <c r="E505" s="1409"/>
      <c r="F505" s="1409"/>
      <c r="G505" s="1409"/>
      <c r="H505" s="1410"/>
      <c r="I505" t="s">
        <v>411</v>
      </c>
      <c r="AC505" s="1413">
        <v>9</v>
      </c>
      <c r="AD505" s="1414"/>
      <c r="AE505" s="1414"/>
      <c r="AF505" s="1414"/>
      <c r="AG505" s="13" t="s">
        <v>403</v>
      </c>
      <c r="AH505" s="1416">
        <v>2024</v>
      </c>
      <c r="AI505" s="1416"/>
      <c r="AJ505" s="1416"/>
      <c r="AK505" s="1417"/>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 customHeight="1">
      <c r="B506" s="1408"/>
      <c r="C506" s="1409"/>
      <c r="D506" s="1409"/>
      <c r="E506" s="1409"/>
      <c r="F506" s="1409"/>
      <c r="G506" s="1409"/>
      <c r="H506" s="1410"/>
      <c r="I506" t="s">
        <v>412</v>
      </c>
      <c r="AC506" s="1413">
        <v>5</v>
      </c>
      <c r="AD506" s="1414"/>
      <c r="AE506" s="1414"/>
      <c r="AF506" s="1414"/>
      <c r="AG506" s="13" t="s">
        <v>403</v>
      </c>
      <c r="AH506" s="1416">
        <v>2025</v>
      </c>
      <c r="AI506" s="1416"/>
      <c r="AJ506" s="1416"/>
      <c r="AK506" s="1417"/>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 customHeight="1">
      <c r="B507" s="1408"/>
      <c r="C507" s="1409"/>
      <c r="D507" s="1409"/>
      <c r="E507" s="1409"/>
      <c r="F507" s="1409"/>
      <c r="G507" s="1409"/>
      <c r="H507" s="1410"/>
      <c r="I507" s="3" t="s">
        <v>413</v>
      </c>
      <c r="AC507" s="1354">
        <v>5</v>
      </c>
      <c r="AD507" s="1355"/>
      <c r="AE507" s="1355"/>
      <c r="AF507" s="1355"/>
      <c r="AG507" s="13" t="s">
        <v>403</v>
      </c>
      <c r="AH507" s="1416">
        <v>2025</v>
      </c>
      <c r="AI507" s="1416"/>
      <c r="AJ507" s="1416"/>
      <c r="AK507" s="1417"/>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 customHeight="1">
      <c r="B508" s="1408"/>
      <c r="C508" s="1409"/>
      <c r="D508" s="1409"/>
      <c r="E508" s="1409"/>
      <c r="F508" s="1409"/>
      <c r="G508" s="1409"/>
      <c r="H508" s="1410"/>
      <c r="I508" s="931" t="s">
        <v>169</v>
      </c>
      <c r="J508" s="48"/>
      <c r="K508" s="48"/>
      <c r="L508" s="1411" t="s">
        <v>334</v>
      </c>
      <c r="M508" s="1412"/>
      <c r="N508" s="1412"/>
      <c r="O508" s="1412"/>
      <c r="P508" s="1412"/>
      <c r="Q508" s="1412"/>
      <c r="R508" s="1412"/>
      <c r="S508" s="1412"/>
      <c r="T508" s="1412"/>
      <c r="U508" s="1412"/>
      <c r="V508" s="1412"/>
      <c r="W508" s="1412"/>
      <c r="X508" s="1412"/>
      <c r="Y508" s="1412"/>
      <c r="Z508" s="1412"/>
      <c r="AA508" s="1412"/>
      <c r="AB508" s="1468"/>
      <c r="AC508" s="1413" t="s">
        <v>598</v>
      </c>
      <c r="AD508" s="1414"/>
      <c r="AE508" s="1414"/>
      <c r="AF508" s="1414"/>
      <c r="AG508" s="38" t="s">
        <v>403</v>
      </c>
      <c r="AH508" s="1416" t="s">
        <v>598</v>
      </c>
      <c r="AI508" s="1416"/>
      <c r="AJ508" s="1416"/>
      <c r="AK508" s="1417"/>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 customHeight="1">
      <c r="B509" s="905"/>
      <c r="C509" s="130"/>
      <c r="D509" s="130"/>
      <c r="E509" s="130"/>
      <c r="F509" s="130"/>
      <c r="G509" s="130"/>
      <c r="H509" s="906"/>
      <c r="I509" s="3" t="s">
        <v>1787</v>
      </c>
      <c r="AC509" s="1401" t="s">
        <v>552</v>
      </c>
      <c r="AD509" s="1401"/>
      <c r="AE509" s="1401"/>
      <c r="AF509" s="1401"/>
      <c r="AG509" s="13"/>
      <c r="AH509" s="1304"/>
      <c r="AI509" s="1304"/>
      <c r="AJ509" s="1304"/>
      <c r="AK509" s="1537"/>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 customHeight="1">
      <c r="B510" s="905"/>
      <c r="C510" s="130"/>
      <c r="D510" s="130"/>
      <c r="E510" s="130"/>
      <c r="F510" s="130"/>
      <c r="G510" s="130"/>
      <c r="H510" s="906"/>
      <c r="I510" t="s">
        <v>1784</v>
      </c>
      <c r="AC510" s="1842" t="s">
        <v>2698</v>
      </c>
      <c r="AD510" s="1355"/>
      <c r="AE510" s="1355"/>
      <c r="AF510" s="1356"/>
      <c r="AG510" s="13"/>
      <c r="AH510" s="1304"/>
      <c r="AI510" s="1304"/>
      <c r="AJ510" s="1304"/>
      <c r="AK510" s="1537"/>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488">
        <v>0.1</v>
      </c>
      <c r="AD512" s="1489"/>
      <c r="AE512" s="1489"/>
      <c r="AF512" s="1490"/>
      <c r="AG512" s="38"/>
      <c r="AH512" s="1491"/>
      <c r="AI512" s="1491"/>
      <c r="AJ512" s="1491"/>
      <c r="AK512" s="1492"/>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17" t="s">
        <v>402</v>
      </c>
      <c r="AD513" s="1486"/>
      <c r="AE513" s="1486"/>
      <c r="AF513" s="1486"/>
      <c r="AG513" s="38" t="s">
        <v>403</v>
      </c>
      <c r="AH513" s="1486" t="s">
        <v>404</v>
      </c>
      <c r="AI513" s="1486"/>
      <c r="AJ513" s="1486"/>
      <c r="AK513" s="1487"/>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 customHeight="1">
      <c r="B514" s="1405" t="s">
        <v>414</v>
      </c>
      <c r="C514" s="1406"/>
      <c r="D514" s="1406"/>
      <c r="E514" s="1406"/>
      <c r="F514" s="1406"/>
      <c r="G514" s="1406"/>
      <c r="H514" s="1407"/>
      <c r="I514" s="42" t="s">
        <v>415</v>
      </c>
      <c r="J514" s="42"/>
      <c r="K514" s="42"/>
      <c r="L514" s="42"/>
      <c r="M514" s="42"/>
      <c r="N514" s="42"/>
      <c r="O514" s="42"/>
      <c r="P514" s="42"/>
      <c r="Q514" s="42"/>
      <c r="R514" s="42"/>
      <c r="S514" s="42"/>
      <c r="T514" s="42"/>
      <c r="U514" s="42"/>
      <c r="V514" s="42"/>
      <c r="W514" s="42"/>
      <c r="AC514" s="1413">
        <v>8</v>
      </c>
      <c r="AD514" s="1414"/>
      <c r="AE514" s="1414"/>
      <c r="AF514" s="1414"/>
      <c r="AG514" s="13" t="s">
        <v>403</v>
      </c>
      <c r="AH514" s="1416">
        <v>2024</v>
      </c>
      <c r="AI514" s="1416"/>
      <c r="AJ514" s="1416"/>
      <c r="AK514" s="1417"/>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 customHeight="1">
      <c r="B515" s="1408"/>
      <c r="C515" s="1409"/>
      <c r="D515" s="1409"/>
      <c r="E515" s="1409"/>
      <c r="F515" s="1409"/>
      <c r="G515" s="1409"/>
      <c r="H515" s="1410"/>
      <c r="I515" t="s">
        <v>416</v>
      </c>
      <c r="AC515" s="1413">
        <v>1</v>
      </c>
      <c r="AD515" s="1414"/>
      <c r="AE515" s="1414"/>
      <c r="AF515" s="1414"/>
      <c r="AG515" s="13" t="s">
        <v>403</v>
      </c>
      <c r="AH515" s="1416">
        <v>2025</v>
      </c>
      <c r="AI515" s="1416"/>
      <c r="AJ515" s="1416"/>
      <c r="AK515" s="1417"/>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 customHeight="1">
      <c r="B516" s="1408"/>
      <c r="C516" s="1409"/>
      <c r="D516" s="1409"/>
      <c r="E516" s="1409"/>
      <c r="F516" s="1409"/>
      <c r="G516" s="1409"/>
      <c r="H516" s="1410"/>
      <c r="I516" s="48" t="s">
        <v>417</v>
      </c>
      <c r="J516" s="48"/>
      <c r="K516" s="48"/>
      <c r="L516" s="48"/>
      <c r="M516" s="48"/>
      <c r="N516" s="48"/>
      <c r="O516" s="48"/>
      <c r="P516" s="48"/>
      <c r="Q516" s="48"/>
      <c r="R516" s="48"/>
      <c r="S516" s="48"/>
      <c r="T516" s="48"/>
      <c r="U516" s="48"/>
      <c r="V516" s="48"/>
      <c r="W516" s="48"/>
      <c r="X516" s="48"/>
      <c r="Y516" s="48"/>
      <c r="Z516" s="48"/>
      <c r="AA516" s="48"/>
      <c r="AB516" s="48"/>
      <c r="AC516" s="1413">
        <v>5</v>
      </c>
      <c r="AD516" s="1414"/>
      <c r="AE516" s="1414"/>
      <c r="AF516" s="1414"/>
      <c r="AG516" s="38" t="s">
        <v>403</v>
      </c>
      <c r="AH516" s="1416">
        <v>2025</v>
      </c>
      <c r="AI516" s="1416"/>
      <c r="AJ516" s="1416"/>
      <c r="AK516" s="1417"/>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 customHeight="1">
      <c r="B517" s="1405" t="s">
        <v>418</v>
      </c>
      <c r="C517" s="1406"/>
      <c r="D517" s="1406"/>
      <c r="E517" s="1406"/>
      <c r="F517" s="1406"/>
      <c r="G517" s="1406"/>
      <c r="H517" s="1407"/>
      <c r="I517" s="42" t="s">
        <v>415</v>
      </c>
      <c r="J517" s="42"/>
      <c r="K517" s="42"/>
      <c r="L517" s="42"/>
      <c r="M517" s="42"/>
      <c r="N517" s="42"/>
      <c r="O517" s="42"/>
      <c r="P517" s="42"/>
      <c r="Q517" s="42"/>
      <c r="R517" s="42"/>
      <c r="S517" s="42"/>
      <c r="T517" s="42"/>
      <c r="U517" s="42"/>
      <c r="V517" s="42"/>
      <c r="W517" s="42"/>
      <c r="X517" s="42"/>
      <c r="Y517" s="42"/>
      <c r="Z517" s="42"/>
      <c r="AA517" s="42"/>
      <c r="AB517" s="42"/>
      <c r="AC517" s="1354">
        <v>8</v>
      </c>
      <c r="AD517" s="1355"/>
      <c r="AE517" s="1355"/>
      <c r="AF517" s="1355"/>
      <c r="AG517" s="129" t="s">
        <v>403</v>
      </c>
      <c r="AH517" s="1416">
        <v>2024</v>
      </c>
      <c r="AI517" s="1416"/>
      <c r="AJ517" s="1416"/>
      <c r="AK517" s="1417"/>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 customHeight="1">
      <c r="B518" s="1408"/>
      <c r="C518" s="1409"/>
      <c r="D518" s="1409"/>
      <c r="E518" s="1409"/>
      <c r="F518" s="1409"/>
      <c r="G518" s="1409"/>
      <c r="H518" s="1410"/>
      <c r="I518" t="s">
        <v>416</v>
      </c>
      <c r="AC518" s="1413">
        <v>1</v>
      </c>
      <c r="AD518" s="1414"/>
      <c r="AE518" s="1414"/>
      <c r="AF518" s="1414"/>
      <c r="AG518" s="13" t="s">
        <v>403</v>
      </c>
      <c r="AH518" s="1416">
        <v>2025</v>
      </c>
      <c r="AI518" s="1416"/>
      <c r="AJ518" s="1416"/>
      <c r="AK518" s="1417"/>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 customHeight="1">
      <c r="B519" s="1450"/>
      <c r="C519" s="1451"/>
      <c r="D519" s="1451"/>
      <c r="E519" s="1451"/>
      <c r="F519" s="1451"/>
      <c r="G519" s="1451"/>
      <c r="H519" s="1452"/>
      <c r="I519" s="48" t="s">
        <v>417</v>
      </c>
      <c r="J519" s="48"/>
      <c r="K519" s="48"/>
      <c r="L519" s="48"/>
      <c r="M519" s="48"/>
      <c r="N519" s="48"/>
      <c r="O519" s="48"/>
      <c r="P519" s="48"/>
      <c r="Q519" s="48"/>
      <c r="R519" s="48"/>
      <c r="S519" s="48"/>
      <c r="T519" s="48"/>
      <c r="U519" s="48"/>
      <c r="V519" s="48"/>
      <c r="W519" s="48"/>
      <c r="X519" s="48"/>
      <c r="Y519" s="48"/>
      <c r="Z519" s="48"/>
      <c r="AA519" s="48"/>
      <c r="AB519" s="48"/>
      <c r="AC519" s="1413">
        <v>1</v>
      </c>
      <c r="AD519" s="1414"/>
      <c r="AE519" s="1414"/>
      <c r="AF519" s="1414"/>
      <c r="AG519" s="38" t="s">
        <v>403</v>
      </c>
      <c r="AH519" s="1416">
        <v>2028</v>
      </c>
      <c r="AI519" s="1416"/>
      <c r="AJ519" s="1416"/>
      <c r="AK519" s="1417"/>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 customHeight="1">
      <c r="B520" s="1405" t="s">
        <v>419</v>
      </c>
      <c r="C520" s="1406"/>
      <c r="D520" s="1406"/>
      <c r="E520" s="1406"/>
      <c r="F520" s="1406"/>
      <c r="G520" s="1406"/>
      <c r="H520" s="1407"/>
      <c r="I520" s="41" t="s">
        <v>420</v>
      </c>
      <c r="J520" s="42"/>
      <c r="K520" s="42"/>
      <c r="L520" s="42"/>
      <c r="M520" s="42"/>
      <c r="N520" s="42"/>
      <c r="O520" s="1411" t="s">
        <v>2719</v>
      </c>
      <c r="P520" s="1412"/>
      <c r="Q520" s="1412"/>
      <c r="R520" s="1412"/>
      <c r="S520" s="1412"/>
      <c r="T520" s="1412"/>
      <c r="U520" s="1412"/>
      <c r="V520" s="1412"/>
      <c r="W520" s="1412"/>
      <c r="X520" s="1412"/>
      <c r="Y520" s="1412"/>
      <c r="Z520" s="1412"/>
      <c r="AA520" s="1412"/>
      <c r="AB520" s="58"/>
      <c r="AC520" s="1354">
        <v>8</v>
      </c>
      <c r="AD520" s="1355"/>
      <c r="AE520" s="1355"/>
      <c r="AF520" s="1355"/>
      <c r="AG520" s="129" t="s">
        <v>403</v>
      </c>
      <c r="AH520" s="1416">
        <v>2024</v>
      </c>
      <c r="AI520" s="1416"/>
      <c r="AJ520" s="1416"/>
      <c r="AK520" s="1417"/>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 customHeight="1">
      <c r="B521" s="1408"/>
      <c r="C521" s="1409"/>
      <c r="D521" s="1409"/>
      <c r="E521" s="1409"/>
      <c r="F521" s="1409"/>
      <c r="G521" s="1409"/>
      <c r="H521" s="1410"/>
      <c r="I521" s="114" t="s">
        <v>421</v>
      </c>
      <c r="AB521" s="65"/>
      <c r="AC521" s="1413">
        <v>1</v>
      </c>
      <c r="AD521" s="1414"/>
      <c r="AE521" s="1414"/>
      <c r="AF521" s="1414"/>
      <c r="AG521" s="13" t="s">
        <v>403</v>
      </c>
      <c r="AH521" s="1416">
        <v>2025</v>
      </c>
      <c r="AI521" s="1416"/>
      <c r="AJ521" s="1416"/>
      <c r="AK521" s="1417"/>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 customHeight="1">
      <c r="B522" s="1408"/>
      <c r="C522" s="1409"/>
      <c r="D522" s="1409"/>
      <c r="E522" s="1409"/>
      <c r="F522" s="1409"/>
      <c r="G522" s="1409"/>
      <c r="H522" s="1410"/>
      <c r="I522" s="47" t="s">
        <v>422</v>
      </c>
      <c r="J522" s="48"/>
      <c r="K522" s="48"/>
      <c r="L522" s="48"/>
      <c r="M522" s="48"/>
      <c r="N522" s="48"/>
      <c r="O522" s="48"/>
      <c r="P522" s="48"/>
      <c r="Q522" s="48"/>
      <c r="R522" s="48"/>
      <c r="S522" s="48"/>
      <c r="T522" s="48"/>
      <c r="U522" s="48"/>
      <c r="V522" s="48"/>
      <c r="W522" s="48"/>
      <c r="X522" s="48"/>
      <c r="Y522" s="48"/>
      <c r="Z522" s="48"/>
      <c r="AA522" s="48"/>
      <c r="AB522" s="49"/>
      <c r="AC522" s="1413">
        <v>5</v>
      </c>
      <c r="AD522" s="1414"/>
      <c r="AE522" s="1414"/>
      <c r="AF522" s="1414"/>
      <c r="AG522" s="38" t="s">
        <v>403</v>
      </c>
      <c r="AH522" s="1416">
        <v>2025</v>
      </c>
      <c r="AI522" s="1416"/>
      <c r="AJ522" s="1416"/>
      <c r="AK522" s="1417"/>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 customHeight="1">
      <c r="B523" s="1408"/>
      <c r="C523" s="1409"/>
      <c r="D523" s="1409"/>
      <c r="E523" s="1409"/>
      <c r="F523" s="1409"/>
      <c r="G523" s="1409"/>
      <c r="H523" s="1410"/>
      <c r="I523" s="42" t="s">
        <v>423</v>
      </c>
      <c r="J523" s="42"/>
      <c r="K523" s="42"/>
      <c r="L523" s="42"/>
      <c r="M523" s="42"/>
      <c r="N523" s="42"/>
      <c r="O523" s="1411" t="s">
        <v>334</v>
      </c>
      <c r="P523" s="1412"/>
      <c r="Q523" s="1412"/>
      <c r="R523" s="1412"/>
      <c r="S523" s="1412"/>
      <c r="T523" s="1412"/>
      <c r="U523" s="1412"/>
      <c r="V523" s="1412"/>
      <c r="W523" s="1412"/>
      <c r="X523" s="1412"/>
      <c r="Y523" s="1412"/>
      <c r="Z523" s="1412"/>
      <c r="AA523" s="1412"/>
      <c r="AC523" s="1413" t="s">
        <v>598</v>
      </c>
      <c r="AD523" s="1414"/>
      <c r="AE523" s="1414"/>
      <c r="AF523" s="1414"/>
      <c r="AG523" s="13" t="s">
        <v>403</v>
      </c>
      <c r="AH523" s="1416"/>
      <c r="AI523" s="1416"/>
      <c r="AJ523" s="1416"/>
      <c r="AK523" s="1417"/>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 customHeight="1">
      <c r="B524" s="1408"/>
      <c r="C524" s="1409"/>
      <c r="D524" s="1409"/>
      <c r="E524" s="1409"/>
      <c r="F524" s="1409"/>
      <c r="G524" s="1409"/>
      <c r="H524" s="1410"/>
      <c r="I524" t="s">
        <v>421</v>
      </c>
      <c r="AC524" s="1413" t="s">
        <v>598</v>
      </c>
      <c r="AD524" s="1414"/>
      <c r="AE524" s="1414"/>
      <c r="AF524" s="1414"/>
      <c r="AG524" s="13" t="s">
        <v>403</v>
      </c>
      <c r="AH524" s="1416"/>
      <c r="AI524" s="1416"/>
      <c r="AJ524" s="1416"/>
      <c r="AK524" s="1417"/>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 customHeight="1">
      <c r="B525" s="1408"/>
      <c r="C525" s="1409"/>
      <c r="D525" s="1409"/>
      <c r="E525" s="1409"/>
      <c r="F525" s="1409"/>
      <c r="G525" s="1409"/>
      <c r="H525" s="1410"/>
      <c r="I525" s="48" t="s">
        <v>422</v>
      </c>
      <c r="J525" s="48"/>
      <c r="K525" s="48"/>
      <c r="L525" s="48"/>
      <c r="M525" s="48"/>
      <c r="N525" s="48"/>
      <c r="O525" s="48"/>
      <c r="P525" s="48"/>
      <c r="Q525" s="48"/>
      <c r="R525" s="48"/>
      <c r="S525" s="48"/>
      <c r="T525" s="48"/>
      <c r="U525" s="48"/>
      <c r="V525" s="48"/>
      <c r="W525" s="48"/>
      <c r="X525" s="48"/>
      <c r="Y525" s="48"/>
      <c r="Z525" s="48"/>
      <c r="AA525" s="48"/>
      <c r="AB525" s="48"/>
      <c r="AC525" s="1413" t="s">
        <v>598</v>
      </c>
      <c r="AD525" s="1414"/>
      <c r="AE525" s="1414"/>
      <c r="AF525" s="1414"/>
      <c r="AG525" s="38" t="s">
        <v>403</v>
      </c>
      <c r="AH525" s="1416"/>
      <c r="AI525" s="1416"/>
      <c r="AJ525" s="1416"/>
      <c r="AK525" s="1417"/>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 customHeight="1">
      <c r="B526" s="1408"/>
      <c r="C526" s="1409"/>
      <c r="D526" s="1409"/>
      <c r="E526" s="1409"/>
      <c r="F526" s="1409"/>
      <c r="G526" s="1409"/>
      <c r="H526" s="1410"/>
      <c r="I526" s="42" t="s">
        <v>423</v>
      </c>
      <c r="J526" s="42"/>
      <c r="K526" s="42"/>
      <c r="L526" s="42"/>
      <c r="M526" s="42"/>
      <c r="N526" s="42"/>
      <c r="O526" s="1411" t="s">
        <v>334</v>
      </c>
      <c r="P526" s="1412"/>
      <c r="Q526" s="1412"/>
      <c r="R526" s="1412"/>
      <c r="S526" s="1412"/>
      <c r="T526" s="1412"/>
      <c r="U526" s="1412"/>
      <c r="V526" s="1412"/>
      <c r="W526" s="1412"/>
      <c r="X526" s="1412"/>
      <c r="Y526" s="1412"/>
      <c r="Z526" s="1412"/>
      <c r="AA526" s="1412"/>
      <c r="AC526" s="1413" t="s">
        <v>598</v>
      </c>
      <c r="AD526" s="1414"/>
      <c r="AE526" s="1414"/>
      <c r="AF526" s="1414"/>
      <c r="AG526" s="13" t="s">
        <v>403</v>
      </c>
      <c r="AH526" s="1416"/>
      <c r="AI526" s="1416"/>
      <c r="AJ526" s="1416"/>
      <c r="AK526" s="1417"/>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 customHeight="1">
      <c r="B527" s="1408"/>
      <c r="C527" s="1409"/>
      <c r="D527" s="1409"/>
      <c r="E527" s="1409"/>
      <c r="F527" s="1409"/>
      <c r="G527" s="1409"/>
      <c r="H527" s="1410"/>
      <c r="I527" t="s">
        <v>421</v>
      </c>
      <c r="AC527" s="1413" t="s">
        <v>598</v>
      </c>
      <c r="AD527" s="1414"/>
      <c r="AE527" s="1414"/>
      <c r="AF527" s="1414"/>
      <c r="AG527" s="13" t="s">
        <v>403</v>
      </c>
      <c r="AH527" s="1416"/>
      <c r="AI527" s="1416"/>
      <c r="AJ527" s="1416"/>
      <c r="AK527" s="1417"/>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 customHeight="1">
      <c r="B528" s="1408"/>
      <c r="C528" s="1409"/>
      <c r="D528" s="1409"/>
      <c r="E528" s="1409"/>
      <c r="F528" s="1409"/>
      <c r="G528" s="1409"/>
      <c r="H528" s="1410"/>
      <c r="I528" s="48" t="s">
        <v>422</v>
      </c>
      <c r="J528" s="48"/>
      <c r="K528" s="48"/>
      <c r="L528" s="48"/>
      <c r="M528" s="48"/>
      <c r="N528" s="48"/>
      <c r="O528" s="48"/>
      <c r="P528" s="48"/>
      <c r="Q528" s="48"/>
      <c r="R528" s="48"/>
      <c r="S528" s="48"/>
      <c r="T528" s="48"/>
      <c r="U528" s="48"/>
      <c r="V528" s="48"/>
      <c r="W528" s="48"/>
      <c r="X528" s="48"/>
      <c r="Y528" s="48"/>
      <c r="Z528" s="48"/>
      <c r="AA528" s="48"/>
      <c r="AB528" s="48"/>
      <c r="AC528" s="1413" t="s">
        <v>598</v>
      </c>
      <c r="AD528" s="1414"/>
      <c r="AE528" s="1414"/>
      <c r="AF528" s="1414"/>
      <c r="AG528" s="38" t="s">
        <v>403</v>
      </c>
      <c r="AH528" s="1416"/>
      <c r="AI528" s="1416"/>
      <c r="AJ528" s="1416"/>
      <c r="AK528" s="1417"/>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 customHeight="1">
      <c r="B529" s="1408"/>
      <c r="C529" s="1409"/>
      <c r="D529" s="1409"/>
      <c r="E529" s="1409"/>
      <c r="F529" s="1409"/>
      <c r="G529" s="1409"/>
      <c r="H529" s="1410"/>
      <c r="I529" s="42" t="s">
        <v>423</v>
      </c>
      <c r="J529" s="42"/>
      <c r="K529" s="42"/>
      <c r="L529" s="42"/>
      <c r="M529" s="42"/>
      <c r="N529" s="42"/>
      <c r="O529" s="1411" t="s">
        <v>334</v>
      </c>
      <c r="P529" s="1412"/>
      <c r="Q529" s="1412"/>
      <c r="R529" s="1412"/>
      <c r="S529" s="1412"/>
      <c r="T529" s="1412"/>
      <c r="U529" s="1412"/>
      <c r="V529" s="1412"/>
      <c r="W529" s="1412"/>
      <c r="X529" s="1412"/>
      <c r="Y529" s="1412"/>
      <c r="Z529" s="1412"/>
      <c r="AA529" s="1412"/>
      <c r="AC529" s="1413" t="s">
        <v>598</v>
      </c>
      <c r="AD529" s="1414"/>
      <c r="AE529" s="1414"/>
      <c r="AF529" s="1414"/>
      <c r="AG529" s="13" t="s">
        <v>403</v>
      </c>
      <c r="AH529" s="1416"/>
      <c r="AI529" s="1416"/>
      <c r="AJ529" s="1416"/>
      <c r="AK529" s="1417"/>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 customHeight="1">
      <c r="B530" s="1408"/>
      <c r="C530" s="1409"/>
      <c r="D530" s="1409"/>
      <c r="E530" s="1409"/>
      <c r="F530" s="1409"/>
      <c r="G530" s="1409"/>
      <c r="H530" s="1410"/>
      <c r="I530" t="s">
        <v>421</v>
      </c>
      <c r="AC530" s="1413" t="s">
        <v>598</v>
      </c>
      <c r="AD530" s="1414"/>
      <c r="AE530" s="1414"/>
      <c r="AF530" s="1414"/>
      <c r="AG530" s="13" t="s">
        <v>403</v>
      </c>
      <c r="AH530" s="1416"/>
      <c r="AI530" s="1416"/>
      <c r="AJ530" s="1416"/>
      <c r="AK530" s="1417"/>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 customHeight="1">
      <c r="B531" s="1408"/>
      <c r="C531" s="1409"/>
      <c r="D531" s="1409"/>
      <c r="E531" s="1409"/>
      <c r="F531" s="1409"/>
      <c r="G531" s="1409"/>
      <c r="H531" s="1410"/>
      <c r="I531" s="48" t="s">
        <v>422</v>
      </c>
      <c r="J531" s="48"/>
      <c r="K531" s="48"/>
      <c r="L531" s="48"/>
      <c r="M531" s="48"/>
      <c r="N531" s="48"/>
      <c r="O531" s="48"/>
      <c r="P531" s="48"/>
      <c r="Q531" s="48"/>
      <c r="R531" s="48"/>
      <c r="S531" s="48"/>
      <c r="T531" s="48"/>
      <c r="U531" s="48"/>
      <c r="V531" s="48"/>
      <c r="W531" s="48"/>
      <c r="X531" s="48"/>
      <c r="Y531" s="48"/>
      <c r="Z531" s="48"/>
      <c r="AA531" s="48"/>
      <c r="AB531" s="48"/>
      <c r="AC531" s="1413" t="s">
        <v>598</v>
      </c>
      <c r="AD531" s="1414"/>
      <c r="AE531" s="1414"/>
      <c r="AF531" s="1414"/>
      <c r="AG531" s="38" t="s">
        <v>403</v>
      </c>
      <c r="AH531" s="1416"/>
      <c r="AI531" s="1416"/>
      <c r="AJ531" s="1416"/>
      <c r="AK531" s="1417"/>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 customHeight="1">
      <c r="B532" s="1408"/>
      <c r="C532" s="1409"/>
      <c r="D532" s="1409"/>
      <c r="E532" s="1409"/>
      <c r="F532" s="1409"/>
      <c r="G532" s="1409"/>
      <c r="H532" s="1410"/>
      <c r="I532" s="42" t="s">
        <v>423</v>
      </c>
      <c r="J532" s="42"/>
      <c r="K532" s="42"/>
      <c r="L532" s="42"/>
      <c r="M532" s="42"/>
      <c r="N532" s="42"/>
      <c r="O532" s="1411" t="s">
        <v>334</v>
      </c>
      <c r="P532" s="1412"/>
      <c r="Q532" s="1412"/>
      <c r="R532" s="1412"/>
      <c r="S532" s="1412"/>
      <c r="T532" s="1412"/>
      <c r="U532" s="1412"/>
      <c r="V532" s="1412"/>
      <c r="W532" s="1412"/>
      <c r="X532" s="1412"/>
      <c r="Y532" s="1412"/>
      <c r="Z532" s="1412"/>
      <c r="AA532" s="1412"/>
      <c r="AC532" s="1413" t="s">
        <v>598</v>
      </c>
      <c r="AD532" s="1414"/>
      <c r="AE532" s="1414"/>
      <c r="AF532" s="1414"/>
      <c r="AG532" s="13" t="s">
        <v>403</v>
      </c>
      <c r="AH532" s="1416"/>
      <c r="AI532" s="1416"/>
      <c r="AJ532" s="1416"/>
      <c r="AK532" s="1417"/>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 customHeight="1">
      <c r="B533" s="1408"/>
      <c r="C533" s="1409"/>
      <c r="D533" s="1409"/>
      <c r="E533" s="1409"/>
      <c r="F533" s="1409"/>
      <c r="G533" s="1409"/>
      <c r="H533" s="1410"/>
      <c r="I533" t="s">
        <v>421</v>
      </c>
      <c r="AC533" s="1413" t="s">
        <v>598</v>
      </c>
      <c r="AD533" s="1414"/>
      <c r="AE533" s="1414"/>
      <c r="AF533" s="1414"/>
      <c r="AG533" s="38" t="s">
        <v>403</v>
      </c>
      <c r="AH533" s="1416"/>
      <c r="AI533" s="1416"/>
      <c r="AJ533" s="1416"/>
      <c r="AK533" s="1417"/>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 customHeight="1">
      <c r="B534" s="1408"/>
      <c r="C534" s="1409"/>
      <c r="D534" s="1409"/>
      <c r="E534" s="1409"/>
      <c r="F534" s="1409"/>
      <c r="G534" s="1409"/>
      <c r="H534" s="1410"/>
      <c r="I534" s="48" t="s">
        <v>422</v>
      </c>
      <c r="J534" s="48"/>
      <c r="K534" s="48"/>
      <c r="L534" s="48"/>
      <c r="M534" s="48"/>
      <c r="N534" s="48"/>
      <c r="O534" s="48"/>
      <c r="P534" s="48"/>
      <c r="Q534" s="48"/>
      <c r="R534" s="48"/>
      <c r="S534" s="48"/>
      <c r="T534" s="48"/>
      <c r="U534" s="48"/>
      <c r="V534" s="48"/>
      <c r="W534" s="48"/>
      <c r="X534" s="48"/>
      <c r="Y534" s="48"/>
      <c r="Z534" s="48"/>
      <c r="AA534" s="48"/>
      <c r="AB534" s="48"/>
      <c r="AC534" s="1413" t="s">
        <v>598</v>
      </c>
      <c r="AD534" s="1414"/>
      <c r="AE534" s="1414"/>
      <c r="AF534" s="1414"/>
      <c r="AG534" s="13" t="s">
        <v>403</v>
      </c>
      <c r="AH534" s="1416"/>
      <c r="AI534" s="1416"/>
      <c r="AJ534" s="1416"/>
      <c r="AK534" s="1417"/>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 customHeight="1">
      <c r="B535" s="1408"/>
      <c r="C535" s="1409"/>
      <c r="D535" s="1409"/>
      <c r="E535" s="1409"/>
      <c r="F535" s="1409"/>
      <c r="G535" s="1409"/>
      <c r="H535" s="1410"/>
      <c r="I535" s="42" t="s">
        <v>423</v>
      </c>
      <c r="J535" s="42"/>
      <c r="K535" s="42"/>
      <c r="L535" s="42"/>
      <c r="M535" s="42"/>
      <c r="N535" s="42"/>
      <c r="O535" s="1411" t="s">
        <v>334</v>
      </c>
      <c r="P535" s="1412"/>
      <c r="Q535" s="1412"/>
      <c r="R535" s="1412"/>
      <c r="S535" s="1412"/>
      <c r="T535" s="1412"/>
      <c r="U535" s="1412"/>
      <c r="V535" s="1412"/>
      <c r="W535" s="1412"/>
      <c r="X535" s="1412"/>
      <c r="Y535" s="1412"/>
      <c r="Z535" s="1412"/>
      <c r="AA535" s="1412"/>
      <c r="AC535" s="1413" t="s">
        <v>598</v>
      </c>
      <c r="AD535" s="1414"/>
      <c r="AE535" s="1414"/>
      <c r="AF535" s="1414"/>
      <c r="AG535" s="38" t="s">
        <v>403</v>
      </c>
      <c r="AH535" s="1416"/>
      <c r="AI535" s="1416"/>
      <c r="AJ535" s="1416"/>
      <c r="AK535" s="1417"/>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 customHeight="1">
      <c r="B536" s="1408"/>
      <c r="C536" s="1409"/>
      <c r="D536" s="1409"/>
      <c r="E536" s="1409"/>
      <c r="F536" s="1409"/>
      <c r="G536" s="1409"/>
      <c r="H536" s="1410"/>
      <c r="I536" t="s">
        <v>421</v>
      </c>
      <c r="AC536" s="1413" t="s">
        <v>598</v>
      </c>
      <c r="AD536" s="1414"/>
      <c r="AE536" s="1414"/>
      <c r="AF536" s="1414"/>
      <c r="AG536" s="13" t="s">
        <v>403</v>
      </c>
      <c r="AH536" s="1416"/>
      <c r="AI536" s="1416"/>
      <c r="AJ536" s="1416"/>
      <c r="AK536" s="1417"/>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 customHeight="1">
      <c r="B537" s="1408"/>
      <c r="C537" s="1409"/>
      <c r="D537" s="1409"/>
      <c r="E537" s="1409"/>
      <c r="F537" s="1409"/>
      <c r="G537" s="1409"/>
      <c r="H537" s="1410"/>
      <c r="I537" s="48" t="s">
        <v>422</v>
      </c>
      <c r="J537" s="48"/>
      <c r="K537" s="48"/>
      <c r="L537" s="48"/>
      <c r="M537" s="48"/>
      <c r="N537" s="48"/>
      <c r="O537" s="48"/>
      <c r="P537" s="48"/>
      <c r="Q537" s="48"/>
      <c r="R537" s="48"/>
      <c r="S537" s="48"/>
      <c r="T537" s="48"/>
      <c r="U537" s="48"/>
      <c r="V537" s="48"/>
      <c r="W537" s="48"/>
      <c r="X537" s="48"/>
      <c r="Y537" s="48"/>
      <c r="Z537" s="48"/>
      <c r="AA537" s="48"/>
      <c r="AB537" s="48"/>
      <c r="AC537" s="1413" t="s">
        <v>598</v>
      </c>
      <c r="AD537" s="1414"/>
      <c r="AE537" s="1414"/>
      <c r="AF537" s="1414"/>
      <c r="AG537" s="38" t="s">
        <v>403</v>
      </c>
      <c r="AH537" s="1416"/>
      <c r="AI537" s="1416"/>
      <c r="AJ537" s="1416"/>
      <c r="AK537" s="1417"/>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 customHeight="1">
      <c r="B538" s="1408"/>
      <c r="C538" s="1409"/>
      <c r="D538" s="1409"/>
      <c r="E538" s="1409"/>
      <c r="F538" s="1409"/>
      <c r="G538" s="1409"/>
      <c r="H538" s="1410"/>
      <c r="I538" s="42" t="s">
        <v>569</v>
      </c>
      <c r="J538" s="42"/>
      <c r="K538" s="42"/>
      <c r="L538" s="42"/>
      <c r="M538" s="42"/>
      <c r="N538" s="42"/>
      <c r="O538" s="42"/>
      <c r="P538" s="42"/>
      <c r="Q538" s="42"/>
      <c r="R538" s="42"/>
      <c r="S538" s="42"/>
      <c r="T538" s="42"/>
      <c r="U538" s="42"/>
      <c r="V538" s="42"/>
      <c r="W538" s="42"/>
      <c r="AC538" s="1413">
        <v>5</v>
      </c>
      <c r="AD538" s="1414"/>
      <c r="AE538" s="1414"/>
      <c r="AF538" s="1414"/>
      <c r="AG538" s="38" t="s">
        <v>403</v>
      </c>
      <c r="AH538" s="1416">
        <v>2025</v>
      </c>
      <c r="AI538" s="1416"/>
      <c r="AJ538" s="1416"/>
      <c r="AK538" s="1417"/>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 customHeight="1">
      <c r="B539" s="1408"/>
      <c r="C539" s="1409"/>
      <c r="D539" s="1409"/>
      <c r="E539" s="1409"/>
      <c r="F539" s="1409"/>
      <c r="G539" s="1409"/>
      <c r="H539" s="1410"/>
      <c r="I539" t="s">
        <v>570</v>
      </c>
      <c r="AC539" s="1413">
        <v>5</v>
      </c>
      <c r="AD539" s="1414"/>
      <c r="AE539" s="1414"/>
      <c r="AF539" s="1414"/>
      <c r="AG539" s="13" t="s">
        <v>403</v>
      </c>
      <c r="AH539" s="1416">
        <v>2025</v>
      </c>
      <c r="AI539" s="1416"/>
      <c r="AJ539" s="1416"/>
      <c r="AK539" s="1417"/>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 customHeight="1">
      <c r="B540" s="1408"/>
      <c r="C540" s="1409"/>
      <c r="D540" s="1409"/>
      <c r="E540" s="1409"/>
      <c r="F540" s="1409"/>
      <c r="G540" s="1409"/>
      <c r="H540" s="1410"/>
      <c r="I540" t="s">
        <v>571</v>
      </c>
      <c r="AC540" s="1413">
        <v>4</v>
      </c>
      <c r="AD540" s="1414"/>
      <c r="AE540" s="1414"/>
      <c r="AF540" s="1414"/>
      <c r="AG540" s="38" t="s">
        <v>403</v>
      </c>
      <c r="AH540" s="1416">
        <v>2027</v>
      </c>
      <c r="AI540" s="1416"/>
      <c r="AJ540" s="1416"/>
      <c r="AK540" s="1417"/>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 customHeight="1">
      <c r="B541" s="1408"/>
      <c r="C541" s="1409"/>
      <c r="D541" s="1409"/>
      <c r="E541" s="1409"/>
      <c r="F541" s="1409"/>
      <c r="G541" s="1409"/>
      <c r="H541" s="1410"/>
      <c r="I541" t="s">
        <v>572</v>
      </c>
      <c r="AC541" s="1413">
        <v>4</v>
      </c>
      <c r="AD541" s="1414"/>
      <c r="AE541" s="1414"/>
      <c r="AF541" s="1414"/>
      <c r="AG541" s="38" t="s">
        <v>403</v>
      </c>
      <c r="AH541" s="1416">
        <v>2027</v>
      </c>
      <c r="AI541" s="1416"/>
      <c r="AJ541" s="1416"/>
      <c r="AK541" s="1417"/>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 customHeight="1">
      <c r="B542" s="1450"/>
      <c r="C542" s="1451"/>
      <c r="D542" s="1451"/>
      <c r="E542" s="1451"/>
      <c r="F542" s="1451"/>
      <c r="G542" s="1451"/>
      <c r="H542" s="1452"/>
      <c r="I542" s="48" t="s">
        <v>458</v>
      </c>
      <c r="J542" s="48"/>
      <c r="K542" s="48"/>
      <c r="L542" s="48"/>
      <c r="M542" s="48"/>
      <c r="N542" s="48"/>
      <c r="O542" s="48"/>
      <c r="P542" s="48"/>
      <c r="Q542" s="48"/>
      <c r="R542" s="48"/>
      <c r="S542" s="48"/>
      <c r="T542" s="48"/>
      <c r="U542" s="48"/>
      <c r="V542" s="48"/>
      <c r="W542" s="48"/>
      <c r="X542" s="48"/>
      <c r="Y542" s="48"/>
      <c r="Z542" s="48"/>
      <c r="AA542" s="48"/>
      <c r="AB542" s="48"/>
      <c r="AC542" s="1413">
        <v>12</v>
      </c>
      <c r="AD542" s="1414"/>
      <c r="AE542" s="1414"/>
      <c r="AF542" s="1414"/>
      <c r="AG542" s="38" t="s">
        <v>403</v>
      </c>
      <c r="AH542" s="1416">
        <v>2027</v>
      </c>
      <c r="AI542" s="1416"/>
      <c r="AJ542" s="1416"/>
      <c r="AK542" s="1417"/>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 customHeight="1">
      <c r="A544" s="1275" t="s">
        <v>550</v>
      </c>
      <c r="B544" s="1275"/>
      <c r="C544" s="1275"/>
      <c r="D544" s="1275"/>
      <c r="E544" s="1275"/>
      <c r="F544" s="1275"/>
      <c r="G544" s="1275"/>
      <c r="H544" s="1275"/>
      <c r="I544" s="1275"/>
      <c r="J544" s="1275"/>
      <c r="K544" s="1275"/>
      <c r="L544" s="1275"/>
      <c r="M544" s="1275"/>
      <c r="N544" s="1275"/>
      <c r="O544" s="1275"/>
      <c r="P544" s="1275"/>
      <c r="Q544" s="1275"/>
      <c r="R544" s="1275"/>
      <c r="S544" s="1275"/>
      <c r="T544" s="1275"/>
      <c r="U544" s="1275"/>
      <c r="V544" s="1275"/>
      <c r="W544" s="1275"/>
      <c r="X544" s="1275"/>
      <c r="Y544" s="1275"/>
      <c r="Z544" s="1275"/>
      <c r="AA544" s="1275"/>
      <c r="AB544" s="1275"/>
      <c r="AC544" s="1275"/>
      <c r="AD544" s="1275"/>
      <c r="AE544" s="1275"/>
      <c r="AF544" s="1275"/>
      <c r="AG544" s="1275"/>
      <c r="AH544" s="1275"/>
      <c r="AI544" s="1275"/>
      <c r="AJ544" s="1275"/>
      <c r="AK544" s="1275"/>
      <c r="AL544" s="1275"/>
      <c r="AM544" s="1275"/>
      <c r="AN544" s="1275"/>
      <c r="AO544" s="1275"/>
      <c r="AP544" s="1275"/>
      <c r="AQ544" s="1275"/>
      <c r="AR544" s="1275"/>
      <c r="AS544" s="1275"/>
      <c r="AT544" s="1275"/>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 customHeight="1">
      <c r="A545" s="1275"/>
      <c r="B545" s="1275"/>
      <c r="C545" s="1275"/>
      <c r="D545" s="1275"/>
      <c r="E545" s="1275"/>
      <c r="F545" s="1275"/>
      <c r="G545" s="1275"/>
      <c r="H545" s="1275"/>
      <c r="I545" s="1275"/>
      <c r="J545" s="1275"/>
      <c r="K545" s="1275"/>
      <c r="L545" s="1275"/>
      <c r="M545" s="1275"/>
      <c r="N545" s="1275"/>
      <c r="O545" s="1275"/>
      <c r="P545" s="1275"/>
      <c r="Q545" s="1275"/>
      <c r="R545" s="1275"/>
      <c r="S545" s="1275"/>
      <c r="T545" s="1275"/>
      <c r="U545" s="1275"/>
      <c r="V545" s="1275"/>
      <c r="W545" s="1275"/>
      <c r="X545" s="1275"/>
      <c r="Y545" s="1275"/>
      <c r="Z545" s="1275"/>
      <c r="AA545" s="1275"/>
      <c r="AB545" s="1275"/>
      <c r="AC545" s="1275"/>
      <c r="AD545" s="1275"/>
      <c r="AE545" s="1275"/>
      <c r="AF545" s="1275"/>
      <c r="AG545" s="1275"/>
      <c r="AH545" s="1275"/>
      <c r="AI545" s="1275"/>
      <c r="AJ545" s="1275"/>
      <c r="AK545" s="1275"/>
      <c r="AL545" s="1275"/>
      <c r="AM545" s="1275"/>
      <c r="AN545" s="1275"/>
      <c r="AO545" s="1275"/>
      <c r="AP545" s="1275"/>
      <c r="AQ545" s="1275"/>
      <c r="AR545" s="1275"/>
      <c r="AS545" s="1275"/>
      <c r="AT545" s="1275"/>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 customHeight="1">
      <c r="B551" s="1405" t="s">
        <v>2420</v>
      </c>
      <c r="C551" s="1406"/>
      <c r="D551" s="1406"/>
      <c r="E551" s="1406"/>
      <c r="F551" s="1406"/>
      <c r="G551" s="1406"/>
      <c r="H551" s="1406"/>
      <c r="I551" s="1406"/>
      <c r="J551" s="1406"/>
      <c r="K551" s="1406"/>
      <c r="L551" s="1407"/>
      <c r="M551" s="1405" t="s">
        <v>2421</v>
      </c>
      <c r="N551" s="1406"/>
      <c r="O551" s="1406"/>
      <c r="P551" s="1407"/>
      <c r="Q551" s="1405" t="s">
        <v>2447</v>
      </c>
      <c r="R551" s="1406"/>
      <c r="S551" s="1407"/>
      <c r="T551" s="1405" t="s">
        <v>2448</v>
      </c>
      <c r="U551" s="1406"/>
      <c r="V551" s="1407"/>
      <c r="W551" s="1405" t="s">
        <v>460</v>
      </c>
      <c r="X551" s="1406"/>
      <c r="Y551" s="1407"/>
      <c r="Z551" s="1405" t="s">
        <v>2041</v>
      </c>
      <c r="AA551" s="1406"/>
      <c r="AB551" s="1406"/>
      <c r="AC551" s="1406"/>
      <c r="AD551" s="1407"/>
      <c r="AE551" s="1405" t="s">
        <v>1863</v>
      </c>
      <c r="AF551" s="1406"/>
      <c r="AG551" s="1406"/>
      <c r="AH551" s="1407"/>
      <c r="AI551" s="1405" t="s">
        <v>1864</v>
      </c>
      <c r="AJ551" s="1406"/>
      <c r="AK551" s="1406"/>
      <c r="AL551" s="1407"/>
      <c r="AM551" s="1405" t="s">
        <v>461</v>
      </c>
      <c r="AN551" s="1406"/>
      <c r="AO551" s="1406"/>
      <c r="AP551" s="1406"/>
      <c r="AQ551" s="1406"/>
      <c r="AR551" s="1406"/>
      <c r="AS551" s="1407"/>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 customHeight="1">
      <c r="B552" s="1408"/>
      <c r="C552" s="1409"/>
      <c r="D552" s="1409"/>
      <c r="E552" s="1409"/>
      <c r="F552" s="1409"/>
      <c r="G552" s="1409"/>
      <c r="H552" s="1409"/>
      <c r="I552" s="1409"/>
      <c r="J552" s="1409"/>
      <c r="K552" s="1409"/>
      <c r="L552" s="1410"/>
      <c r="M552" s="1408"/>
      <c r="N552" s="1409"/>
      <c r="O552" s="1409"/>
      <c r="P552" s="1410"/>
      <c r="Q552" s="1408"/>
      <c r="R552" s="1409"/>
      <c r="S552" s="1410"/>
      <c r="T552" s="1408"/>
      <c r="U552" s="1409"/>
      <c r="V552" s="1410"/>
      <c r="W552" s="1408"/>
      <c r="X552" s="1409"/>
      <c r="Y552" s="1410"/>
      <c r="Z552" s="1408"/>
      <c r="AA552" s="1409"/>
      <c r="AB552" s="1409"/>
      <c r="AC552" s="1409"/>
      <c r="AD552" s="1410"/>
      <c r="AE552" s="1408"/>
      <c r="AF552" s="1409"/>
      <c r="AG552" s="1409"/>
      <c r="AH552" s="1410"/>
      <c r="AI552" s="1408"/>
      <c r="AJ552" s="1409"/>
      <c r="AK552" s="1409"/>
      <c r="AL552" s="1410"/>
      <c r="AM552" s="1408"/>
      <c r="AN552" s="1409"/>
      <c r="AO552" s="1409"/>
      <c r="AP552" s="1409"/>
      <c r="AQ552" s="1409"/>
      <c r="AR552" s="1409"/>
      <c r="AS552" s="141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 customHeight="1">
      <c r="B553" s="1450"/>
      <c r="C553" s="1451"/>
      <c r="D553" s="1451"/>
      <c r="E553" s="1451"/>
      <c r="F553" s="1451"/>
      <c r="G553" s="1451"/>
      <c r="H553" s="1451"/>
      <c r="I553" s="1451"/>
      <c r="J553" s="1451"/>
      <c r="K553" s="1451"/>
      <c r="L553" s="1452"/>
      <c r="M553" s="1450"/>
      <c r="N553" s="1451"/>
      <c r="O553" s="1451"/>
      <c r="P553" s="1452"/>
      <c r="Q553" s="1450"/>
      <c r="R553" s="1451"/>
      <c r="S553" s="1452"/>
      <c r="T553" s="1450"/>
      <c r="U553" s="1451"/>
      <c r="V553" s="1452"/>
      <c r="W553" s="1450"/>
      <c r="X553" s="1451"/>
      <c r="Y553" s="1452"/>
      <c r="Z553" s="1450"/>
      <c r="AA553" s="1451"/>
      <c r="AB553" s="1451"/>
      <c r="AC553" s="1451"/>
      <c r="AD553" s="1452"/>
      <c r="AE553" s="1450"/>
      <c r="AF553" s="1451"/>
      <c r="AG553" s="1451"/>
      <c r="AH553" s="1452"/>
      <c r="AI553" s="1450"/>
      <c r="AJ553" s="1451"/>
      <c r="AK553" s="1451"/>
      <c r="AL553" s="1452"/>
      <c r="AM553" s="1450"/>
      <c r="AN553" s="1451"/>
      <c r="AO553" s="1451"/>
      <c r="AP553" s="1451"/>
      <c r="AQ553" s="1451"/>
      <c r="AR553" s="1451"/>
      <c r="AS553" s="145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 customHeight="1">
      <c r="B554" s="51" t="s">
        <v>112</v>
      </c>
      <c r="C554" s="1507" t="s">
        <v>2674</v>
      </c>
      <c r="D554" s="1507"/>
      <c r="E554" s="1507"/>
      <c r="F554" s="1507"/>
      <c r="G554" s="1507"/>
      <c r="H554" s="1507"/>
      <c r="I554" s="1507"/>
      <c r="J554" s="1507"/>
      <c r="K554" s="1507"/>
      <c r="L554" s="1507"/>
      <c r="M554" s="1507" t="s">
        <v>2437</v>
      </c>
      <c r="N554" s="1507"/>
      <c r="O554" s="1507"/>
      <c r="P554" s="1507"/>
      <c r="Q554" s="1448">
        <v>30</v>
      </c>
      <c r="R554" s="1448"/>
      <c r="S554" s="1449"/>
      <c r="T554" s="1447"/>
      <c r="U554" s="1448"/>
      <c r="V554" s="1449"/>
      <c r="W554" s="1508">
        <v>5.7500000000000002E-2</v>
      </c>
      <c r="X554" s="1509"/>
      <c r="Y554" s="1510"/>
      <c r="Z554" s="1506" t="s">
        <v>2780</v>
      </c>
      <c r="AA554" s="1506"/>
      <c r="AB554" s="1506"/>
      <c r="AC554" s="1506"/>
      <c r="AD554" s="1506"/>
      <c r="AE554" s="1499">
        <v>1</v>
      </c>
      <c r="AF554" s="1500"/>
      <c r="AG554" s="1500"/>
      <c r="AH554" s="1501"/>
      <c r="AI554" s="1502"/>
      <c r="AJ554" s="1503"/>
      <c r="AK554" s="1503"/>
      <c r="AL554" s="1504"/>
      <c r="AM554" s="1441">
        <f>101746126</f>
        <v>101746126</v>
      </c>
      <c r="AN554" s="1442"/>
      <c r="AO554" s="1442"/>
      <c r="AP554" s="1442"/>
      <c r="AQ554" s="1442"/>
      <c r="AR554" s="1442"/>
      <c r="AS554" s="1443"/>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 customHeight="1">
      <c r="B555" s="52" t="s">
        <v>113</v>
      </c>
      <c r="C555" s="1505" t="s">
        <v>2675</v>
      </c>
      <c r="D555" s="1505"/>
      <c r="E555" s="1505"/>
      <c r="F555" s="1505"/>
      <c r="G555" s="1505"/>
      <c r="H555" s="1505"/>
      <c r="I555" s="1505"/>
      <c r="J555" s="1505"/>
      <c r="K555" s="1505"/>
      <c r="L555" s="1505"/>
      <c r="M555" s="1507" t="s">
        <v>2438</v>
      </c>
      <c r="N555" s="1507"/>
      <c r="O555" s="1507"/>
      <c r="P555" s="1507"/>
      <c r="Q555" s="1447">
        <v>30</v>
      </c>
      <c r="R555" s="1448"/>
      <c r="S555" s="1449"/>
      <c r="T555" s="1447"/>
      <c r="U555" s="1448"/>
      <c r="V555" s="1449"/>
      <c r="W555" s="1508">
        <v>5.7500000000000002E-2</v>
      </c>
      <c r="X555" s="1509"/>
      <c r="Y555" s="1510"/>
      <c r="Z555" s="1506" t="s">
        <v>2780</v>
      </c>
      <c r="AA555" s="1506"/>
      <c r="AB555" s="1506"/>
      <c r="AC555" s="1506"/>
      <c r="AD555" s="1506"/>
      <c r="AE555" s="1499">
        <v>1</v>
      </c>
      <c r="AF555" s="1500"/>
      <c r="AG555" s="1500"/>
      <c r="AH555" s="1501"/>
      <c r="AI555" s="1502"/>
      <c r="AJ555" s="1503"/>
      <c r="AK555" s="1503"/>
      <c r="AL555" s="1504"/>
      <c r="AM555" s="1441">
        <v>16324009</v>
      </c>
      <c r="AN555" s="1442"/>
      <c r="AO555" s="1442"/>
      <c r="AP555" s="1442"/>
      <c r="AQ555" s="1442"/>
      <c r="AR555" s="1442"/>
      <c r="AS555" s="1443"/>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 customHeight="1">
      <c r="B556" s="52" t="s">
        <v>119</v>
      </c>
      <c r="C556" s="1505" t="s">
        <v>2676</v>
      </c>
      <c r="D556" s="1505"/>
      <c r="E556" s="1505"/>
      <c r="F556" s="1505"/>
      <c r="G556" s="1505"/>
      <c r="H556" s="1505"/>
      <c r="I556" s="1505"/>
      <c r="J556" s="1505"/>
      <c r="K556" s="1505"/>
      <c r="L556" s="1505"/>
      <c r="M556" s="1507" t="s">
        <v>2436</v>
      </c>
      <c r="N556" s="1507"/>
      <c r="O556" s="1507"/>
      <c r="P556" s="1507"/>
      <c r="Q556" s="1447">
        <v>30</v>
      </c>
      <c r="R556" s="1448"/>
      <c r="S556" s="1449"/>
      <c r="T556" s="1447"/>
      <c r="U556" s="1448"/>
      <c r="V556" s="1449"/>
      <c r="W556" s="1508">
        <v>5.7500000000000002E-2</v>
      </c>
      <c r="X556" s="1509"/>
      <c r="Y556" s="1510"/>
      <c r="Z556" s="1506" t="s">
        <v>2780</v>
      </c>
      <c r="AA556" s="1506"/>
      <c r="AB556" s="1506"/>
      <c r="AC556" s="1506"/>
      <c r="AD556" s="1506"/>
      <c r="AE556" s="1499">
        <v>2</v>
      </c>
      <c r="AF556" s="1500"/>
      <c r="AG556" s="1500"/>
      <c r="AH556" s="1501"/>
      <c r="AI556" s="1502"/>
      <c r="AJ556" s="1503"/>
      <c r="AK556" s="1503"/>
      <c r="AL556" s="1504"/>
      <c r="AM556" s="1441">
        <f>16341466</f>
        <v>16341466</v>
      </c>
      <c r="AN556" s="1442"/>
      <c r="AO556" s="1442"/>
      <c r="AP556" s="1442"/>
      <c r="AQ556" s="1442"/>
      <c r="AR556" s="1442"/>
      <c r="AS556" s="1443"/>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 customHeight="1">
      <c r="B557" s="52" t="s">
        <v>588</v>
      </c>
      <c r="C557" s="1505" t="s">
        <v>2771</v>
      </c>
      <c r="D557" s="1505"/>
      <c r="E557" s="1505"/>
      <c r="F557" s="1505"/>
      <c r="G557" s="1505"/>
      <c r="H557" s="1505"/>
      <c r="I557" s="1505"/>
      <c r="J557" s="1505"/>
      <c r="K557" s="1505"/>
      <c r="L557" s="1505"/>
      <c r="M557" s="1507" t="s">
        <v>2428</v>
      </c>
      <c r="N557" s="1507"/>
      <c r="O557" s="1507"/>
      <c r="P557" s="1507"/>
      <c r="Q557" s="1447"/>
      <c r="R557" s="1448"/>
      <c r="S557" s="1449"/>
      <c r="T557" s="1447"/>
      <c r="U557" s="1448"/>
      <c r="V557" s="1449"/>
      <c r="W557" s="1508"/>
      <c r="X557" s="1509"/>
      <c r="Y557" s="1510"/>
      <c r="Z557" s="1506" t="s">
        <v>1289</v>
      </c>
      <c r="AA557" s="1506"/>
      <c r="AB557" s="1506"/>
      <c r="AC557" s="1506"/>
      <c r="AD557" s="1506"/>
      <c r="AE557" s="1499"/>
      <c r="AF557" s="1500"/>
      <c r="AG557" s="1500"/>
      <c r="AH557" s="1501"/>
      <c r="AI557" s="1502"/>
      <c r="AJ557" s="1503"/>
      <c r="AK557" s="1503"/>
      <c r="AL557" s="1504"/>
      <c r="AM557" s="1441">
        <f>19021023-50000</f>
        <v>18971023</v>
      </c>
      <c r="AN557" s="1442"/>
      <c r="AO557" s="1442"/>
      <c r="AP557" s="1442"/>
      <c r="AQ557" s="1442"/>
      <c r="AR557" s="1442"/>
      <c r="AS557" s="1443"/>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 customHeight="1">
      <c r="B558" s="52" t="s">
        <v>771</v>
      </c>
      <c r="C558" s="1505" t="s">
        <v>2672</v>
      </c>
      <c r="D558" s="1505"/>
      <c r="E558" s="1505"/>
      <c r="F558" s="1505"/>
      <c r="G558" s="1505"/>
      <c r="H558" s="1505"/>
      <c r="I558" s="1505"/>
      <c r="J558" s="1505"/>
      <c r="K558" s="1505"/>
      <c r="L558" s="1505"/>
      <c r="M558" s="1507" t="s">
        <v>2435</v>
      </c>
      <c r="N558" s="1507"/>
      <c r="O558" s="1507"/>
      <c r="P558" s="1507"/>
      <c r="Q558" s="1447">
        <v>30</v>
      </c>
      <c r="R558" s="1448"/>
      <c r="S558" s="1449"/>
      <c r="T558" s="1447"/>
      <c r="U558" s="1448"/>
      <c r="V558" s="1449"/>
      <c r="W558" s="1508">
        <v>0.08</v>
      </c>
      <c r="X558" s="1509"/>
      <c r="Y558" s="1510"/>
      <c r="Z558" s="1506" t="s">
        <v>2782</v>
      </c>
      <c r="AA558" s="1506"/>
      <c r="AB558" s="1506"/>
      <c r="AC558" s="1506">
        <v>2</v>
      </c>
      <c r="AD558" s="1506"/>
      <c r="AE558" s="1499">
        <v>3</v>
      </c>
      <c r="AF558" s="1500"/>
      <c r="AG558" s="1500"/>
      <c r="AH558" s="1501"/>
      <c r="AI558" s="1502"/>
      <c r="AJ558" s="1503"/>
      <c r="AK558" s="1503"/>
      <c r="AL558" s="1504"/>
      <c r="AM558" s="1441">
        <v>17200000</v>
      </c>
      <c r="AN558" s="1442"/>
      <c r="AO558" s="1442"/>
      <c r="AP558" s="1442"/>
      <c r="AQ558" s="1442"/>
      <c r="AR558" s="1442"/>
      <c r="AS558" s="1443"/>
      <c r="AT558" s="1192" t="str">
        <f t="shared" ref="AT558:AT565" si="0">IF(AND(NOT(C557=""),C558="",NOT(C559="")),"!","")</f>
        <v/>
      </c>
      <c r="AU558" s="1191"/>
      <c r="BB558" s="3"/>
      <c r="BC558" s="3"/>
      <c r="BD558" s="3"/>
      <c r="BE558" s="3"/>
      <c r="BF558" s="3"/>
      <c r="BG558" s="3"/>
      <c r="BH558" s="3" t="s">
        <v>771</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 customHeight="1">
      <c r="B559" s="52" t="s">
        <v>591</v>
      </c>
      <c r="C559" s="1505" t="s">
        <v>1849</v>
      </c>
      <c r="D559" s="1505"/>
      <c r="E559" s="1505"/>
      <c r="F559" s="1505"/>
      <c r="G559" s="1505"/>
      <c r="H559" s="1505"/>
      <c r="I559" s="1505"/>
      <c r="J559" s="1505"/>
      <c r="K559" s="1505"/>
      <c r="L559" s="1505"/>
      <c r="M559" s="1507" t="s">
        <v>2424</v>
      </c>
      <c r="N559" s="1507"/>
      <c r="O559" s="1507"/>
      <c r="P559" s="1507"/>
      <c r="Q559" s="1447"/>
      <c r="R559" s="1448"/>
      <c r="S559" s="1449"/>
      <c r="T559" s="1447"/>
      <c r="U559" s="1448"/>
      <c r="V559" s="1449"/>
      <c r="W559" s="1508"/>
      <c r="X559" s="1509"/>
      <c r="Y559" s="1510"/>
      <c r="Z559" s="1506" t="s">
        <v>1289</v>
      </c>
      <c r="AA559" s="1506"/>
      <c r="AB559" s="1506"/>
      <c r="AC559" s="1506"/>
      <c r="AD559" s="1506"/>
      <c r="AE559" s="1499"/>
      <c r="AF559" s="1500"/>
      <c r="AG559" s="1500"/>
      <c r="AH559" s="1501"/>
      <c r="AI559" s="1502"/>
      <c r="AJ559" s="1503"/>
      <c r="AK559" s="1503"/>
      <c r="AL559" s="1504"/>
      <c r="AM559" s="1441">
        <v>26696839</v>
      </c>
      <c r="AN559" s="1442"/>
      <c r="AO559" s="1442"/>
      <c r="AP559" s="1442"/>
      <c r="AQ559" s="1442"/>
      <c r="AR559" s="1442"/>
      <c r="AS559" s="1443"/>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 customHeight="1">
      <c r="B560" s="52" t="s">
        <v>462</v>
      </c>
      <c r="C560" s="1505" t="s">
        <v>2673</v>
      </c>
      <c r="D560" s="1505"/>
      <c r="E560" s="1505"/>
      <c r="F560" s="1505"/>
      <c r="G560" s="1505"/>
      <c r="H560" s="1505"/>
      <c r="I560" s="1505"/>
      <c r="J560" s="1505"/>
      <c r="K560" s="1505"/>
      <c r="L560" s="1505"/>
      <c r="M560" s="1507" t="s">
        <v>2439</v>
      </c>
      <c r="N560" s="1507"/>
      <c r="O560" s="1507"/>
      <c r="P560" s="1507"/>
      <c r="Q560" s="1447"/>
      <c r="R560" s="1448"/>
      <c r="S560" s="1449"/>
      <c r="T560" s="1447"/>
      <c r="U560" s="1448"/>
      <c r="V560" s="1449"/>
      <c r="W560" s="1508"/>
      <c r="X560" s="1509"/>
      <c r="Y560" s="1510"/>
      <c r="Z560" s="1506" t="s">
        <v>1289</v>
      </c>
      <c r="AA560" s="1506"/>
      <c r="AB560" s="1506"/>
      <c r="AC560" s="1506"/>
      <c r="AD560" s="1506"/>
      <c r="AE560" s="1499"/>
      <c r="AF560" s="1500"/>
      <c r="AG560" s="1500"/>
      <c r="AH560" s="1501"/>
      <c r="AI560" s="1502"/>
      <c r="AJ560" s="1503"/>
      <c r="AK560" s="1503"/>
      <c r="AL560" s="1504"/>
      <c r="AM560" s="1441">
        <v>2667061</v>
      </c>
      <c r="AN560" s="1442"/>
      <c r="AO560" s="1442"/>
      <c r="AP560" s="1442"/>
      <c r="AQ560" s="1442"/>
      <c r="AR560" s="1442"/>
      <c r="AS560" s="1443"/>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 customHeight="1">
      <c r="B561" s="52" t="s">
        <v>463</v>
      </c>
      <c r="C561" s="1505" t="s">
        <v>2720</v>
      </c>
      <c r="D561" s="1505"/>
      <c r="E561" s="1505"/>
      <c r="F561" s="1505"/>
      <c r="G561" s="1505"/>
      <c r="H561" s="1505"/>
      <c r="I561" s="1505"/>
      <c r="J561" s="1505"/>
      <c r="K561" s="1505"/>
      <c r="L561" s="1505"/>
      <c r="M561" s="1507" t="s">
        <v>2423</v>
      </c>
      <c r="N561" s="1507"/>
      <c r="O561" s="1507"/>
      <c r="P561" s="1507"/>
      <c r="Q561" s="1447"/>
      <c r="R561" s="1448"/>
      <c r="S561" s="1449"/>
      <c r="T561" s="1447"/>
      <c r="U561" s="1448"/>
      <c r="V561" s="1449"/>
      <c r="W561" s="1508"/>
      <c r="X561" s="1509"/>
      <c r="Y561" s="1510"/>
      <c r="Z561" s="1506" t="s">
        <v>1289</v>
      </c>
      <c r="AA561" s="1506"/>
      <c r="AB561" s="1506"/>
      <c r="AC561" s="1506"/>
      <c r="AD561" s="1506"/>
      <c r="AE561" s="1499"/>
      <c r="AF561" s="1500"/>
      <c r="AG561" s="1500"/>
      <c r="AH561" s="1501"/>
      <c r="AI561" s="1502"/>
      <c r="AJ561" s="1503"/>
      <c r="AK561" s="1503"/>
      <c r="AL561" s="1504"/>
      <c r="AM561" s="1441">
        <f>1410320+1465980+850512+326779</f>
        <v>4053591</v>
      </c>
      <c r="AN561" s="1442"/>
      <c r="AO561" s="1442"/>
      <c r="AP561" s="1442"/>
      <c r="AQ561" s="1442"/>
      <c r="AR561" s="1442"/>
      <c r="AS561" s="1443"/>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 customHeight="1">
      <c r="B562" s="52" t="s">
        <v>468</v>
      </c>
      <c r="C562" s="1505"/>
      <c r="D562" s="1505"/>
      <c r="E562" s="1505"/>
      <c r="F562" s="1505"/>
      <c r="G562" s="1505"/>
      <c r="H562" s="1505"/>
      <c r="I562" s="1505"/>
      <c r="J562" s="1505"/>
      <c r="K562" s="1505"/>
      <c r="L562" s="1505"/>
      <c r="M562" s="1507" t="s">
        <v>1289</v>
      </c>
      <c r="N562" s="1507"/>
      <c r="O562" s="1507"/>
      <c r="P562" s="1507"/>
      <c r="Q562" s="1447"/>
      <c r="R562" s="1448"/>
      <c r="S562" s="1449"/>
      <c r="T562" s="1447"/>
      <c r="U562" s="1448"/>
      <c r="V562" s="1449"/>
      <c r="W562" s="1508"/>
      <c r="X562" s="1509"/>
      <c r="Y562" s="1510"/>
      <c r="Z562" s="1506" t="s">
        <v>1289</v>
      </c>
      <c r="AA562" s="1506"/>
      <c r="AB562" s="1506"/>
      <c r="AC562" s="1506"/>
      <c r="AD562" s="1506"/>
      <c r="AE562" s="1499"/>
      <c r="AF562" s="1500"/>
      <c r="AG562" s="1500"/>
      <c r="AH562" s="1501"/>
      <c r="AI562" s="1502"/>
      <c r="AJ562" s="1503"/>
      <c r="AK562" s="1503"/>
      <c r="AL562" s="1504"/>
      <c r="AM562" s="1441"/>
      <c r="AN562" s="1442"/>
      <c r="AO562" s="1442"/>
      <c r="AP562" s="1442"/>
      <c r="AQ562" s="1442"/>
      <c r="AR562" s="1442"/>
      <c r="AS562" s="1443"/>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 customHeight="1">
      <c r="B563" s="52" t="s">
        <v>653</v>
      </c>
      <c r="C563" s="1505"/>
      <c r="D563" s="1505"/>
      <c r="E563" s="1505"/>
      <c r="F563" s="1505"/>
      <c r="G563" s="1505"/>
      <c r="H563" s="1505"/>
      <c r="I563" s="1505"/>
      <c r="J563" s="1505"/>
      <c r="K563" s="1505"/>
      <c r="L563" s="1505"/>
      <c r="M563" s="1507" t="s">
        <v>1289</v>
      </c>
      <c r="N563" s="1507"/>
      <c r="O563" s="1507"/>
      <c r="P563" s="1507"/>
      <c r="Q563" s="1447"/>
      <c r="R563" s="1448"/>
      <c r="S563" s="1449"/>
      <c r="T563" s="1447"/>
      <c r="U563" s="1448"/>
      <c r="V563" s="1449"/>
      <c r="W563" s="1508"/>
      <c r="X563" s="1509"/>
      <c r="Y563" s="1510"/>
      <c r="Z563" s="1506" t="s">
        <v>1289</v>
      </c>
      <c r="AA563" s="1506"/>
      <c r="AB563" s="1506"/>
      <c r="AC563" s="1506"/>
      <c r="AD563" s="1506"/>
      <c r="AE563" s="1499"/>
      <c r="AF563" s="1500"/>
      <c r="AG563" s="1500"/>
      <c r="AH563" s="1501"/>
      <c r="AI563" s="1502"/>
      <c r="AJ563" s="1503"/>
      <c r="AK563" s="1503"/>
      <c r="AL563" s="1504"/>
      <c r="AM563" s="1441"/>
      <c r="AN563" s="1442"/>
      <c r="AO563" s="1442"/>
      <c r="AP563" s="1442"/>
      <c r="AQ563" s="1442"/>
      <c r="AR563" s="1442"/>
      <c r="AS563" s="1443"/>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 customHeight="1">
      <c r="B564" s="52" t="s">
        <v>362</v>
      </c>
      <c r="C564" s="1505"/>
      <c r="D564" s="1505"/>
      <c r="E564" s="1505"/>
      <c r="F564" s="1505"/>
      <c r="G564" s="1505"/>
      <c r="H564" s="1505"/>
      <c r="I564" s="1505"/>
      <c r="J564" s="1505"/>
      <c r="K564" s="1505"/>
      <c r="L564" s="1505"/>
      <c r="M564" s="1507" t="s">
        <v>1289</v>
      </c>
      <c r="N564" s="1507"/>
      <c r="O564" s="1507"/>
      <c r="P564" s="1507"/>
      <c r="Q564" s="1447"/>
      <c r="R564" s="1448"/>
      <c r="S564" s="1449"/>
      <c r="T564" s="1447"/>
      <c r="U564" s="1448"/>
      <c r="V564" s="1449"/>
      <c r="W564" s="1508"/>
      <c r="X564" s="1509"/>
      <c r="Y564" s="1510"/>
      <c r="Z564" s="1506" t="s">
        <v>1289</v>
      </c>
      <c r="AA564" s="1506"/>
      <c r="AB564" s="1506"/>
      <c r="AC564" s="1506"/>
      <c r="AD564" s="1506"/>
      <c r="AE564" s="1499"/>
      <c r="AF564" s="1500"/>
      <c r="AG564" s="1500"/>
      <c r="AH564" s="1501"/>
      <c r="AI564" s="1502"/>
      <c r="AJ564" s="1503"/>
      <c r="AK564" s="1503"/>
      <c r="AL564" s="1504"/>
      <c r="AM564" s="1441"/>
      <c r="AN564" s="1442"/>
      <c r="AO564" s="1442"/>
      <c r="AP564" s="1442"/>
      <c r="AQ564" s="1442"/>
      <c r="AR564" s="1442"/>
      <c r="AS564" s="1443"/>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 customHeight="1">
      <c r="B565" s="52" t="s">
        <v>363</v>
      </c>
      <c r="C565" s="1505"/>
      <c r="D565" s="1505"/>
      <c r="E565" s="1505"/>
      <c r="F565" s="1505"/>
      <c r="G565" s="1505"/>
      <c r="H565" s="1505"/>
      <c r="I565" s="1505"/>
      <c r="J565" s="1505"/>
      <c r="K565" s="1505"/>
      <c r="L565" s="1505"/>
      <c r="M565" s="1507" t="s">
        <v>1289</v>
      </c>
      <c r="N565" s="1507"/>
      <c r="O565" s="1507"/>
      <c r="P565" s="1507"/>
      <c r="Q565" s="1447"/>
      <c r="R565" s="1448"/>
      <c r="S565" s="1449"/>
      <c r="T565" s="1447"/>
      <c r="U565" s="1448"/>
      <c r="V565" s="1449"/>
      <c r="W565" s="1508"/>
      <c r="X565" s="1509"/>
      <c r="Y565" s="1510"/>
      <c r="Z565" s="1506" t="s">
        <v>1289</v>
      </c>
      <c r="AA565" s="1506"/>
      <c r="AB565" s="1506"/>
      <c r="AC565" s="1506"/>
      <c r="AD565" s="1506"/>
      <c r="AE565" s="1499"/>
      <c r="AF565" s="1500"/>
      <c r="AG565" s="1500"/>
      <c r="AH565" s="1501"/>
      <c r="AI565" s="1502"/>
      <c r="AJ565" s="1503"/>
      <c r="AK565" s="1503"/>
      <c r="AL565" s="1504"/>
      <c r="AM565" s="1441"/>
      <c r="AN565" s="1442"/>
      <c r="AO565" s="1442"/>
      <c r="AP565" s="1442"/>
      <c r="AQ565" s="1442"/>
      <c r="AR565" s="1442"/>
      <c r="AS565" s="1443"/>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 customHeight="1">
      <c r="B566" s="1607" t="s">
        <v>127</v>
      </c>
      <c r="C566" s="1608"/>
      <c r="D566" s="1608"/>
      <c r="E566" s="1608"/>
      <c r="F566" s="1608"/>
      <c r="G566" s="1608"/>
      <c r="H566" s="1608"/>
      <c r="I566" s="1608"/>
      <c r="J566" s="1608"/>
      <c r="K566" s="1608"/>
      <c r="L566" s="1608"/>
      <c r="M566" s="1608"/>
      <c r="N566" s="1608"/>
      <c r="O566" s="1608"/>
      <c r="P566" s="1608"/>
      <c r="Q566" s="1608"/>
      <c r="R566" s="1608"/>
      <c r="S566" s="1608"/>
      <c r="T566" s="1608"/>
      <c r="U566" s="1726"/>
      <c r="V566" s="1608"/>
      <c r="W566" s="1608"/>
      <c r="X566" s="1608"/>
      <c r="Y566" s="1608"/>
      <c r="Z566" s="1608"/>
      <c r="AA566" s="1608"/>
      <c r="AB566" s="1608"/>
      <c r="AC566" s="1608"/>
      <c r="AD566" s="1608"/>
      <c r="AE566" s="1608"/>
      <c r="AF566" s="1608"/>
      <c r="AG566" s="1608"/>
      <c r="AH566" s="1608"/>
      <c r="AI566" s="1608"/>
      <c r="AJ566" s="1608"/>
      <c r="AK566" s="1608"/>
      <c r="AL566" s="1609"/>
      <c r="AM566" s="1589">
        <f>SUM(AM554:AS565)</f>
        <v>204000115</v>
      </c>
      <c r="AN566" s="1590"/>
      <c r="AO566" s="1590"/>
      <c r="AP566" s="1590"/>
      <c r="AQ566" s="1590"/>
      <c r="AR566" s="1590"/>
      <c r="AS566" s="1591"/>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 customHeight="1">
      <c r="A568" s="55" t="s">
        <v>112</v>
      </c>
      <c r="B568" t="s">
        <v>470</v>
      </c>
      <c r="G568" s="1511" t="str">
        <f>C554</f>
        <v>Citibank-Conduit (Tax-Exempt New)</v>
      </c>
      <c r="H568" s="1511"/>
      <c r="I568" s="1511"/>
      <c r="J568" s="1511"/>
      <c r="K568" s="1511"/>
      <c r="L568" s="1511"/>
      <c r="M568" s="1511"/>
      <c r="N568" s="1511"/>
      <c r="O568" s="1511"/>
      <c r="P568" s="1511"/>
      <c r="Q568" s="1511"/>
      <c r="R568" s="1511"/>
      <c r="S568" s="8"/>
      <c r="T568" s="55" t="s">
        <v>113</v>
      </c>
      <c r="U568" t="s">
        <v>470</v>
      </c>
      <c r="Z568" s="1511" t="str">
        <f>C555</f>
        <v>Citibank-Conduit (TE Recycled)</v>
      </c>
      <c r="AA568" s="1511"/>
      <c r="AB568" s="1511"/>
      <c r="AC568" s="1511"/>
      <c r="AD568" s="1511"/>
      <c r="AE568" s="1511"/>
      <c r="AF568" s="1511"/>
      <c r="AG568" s="1511"/>
      <c r="AH568" s="1511"/>
      <c r="AI568" s="1511"/>
      <c r="AJ568" s="1511"/>
      <c r="AK568" s="151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 customHeight="1">
      <c r="A569" s="22"/>
      <c r="B569" t="s">
        <v>85</v>
      </c>
      <c r="G569" s="1474" t="s">
        <v>2721</v>
      </c>
      <c r="H569" s="1397"/>
      <c r="I569" s="1397"/>
      <c r="J569" s="1397"/>
      <c r="K569" s="1397"/>
      <c r="L569" s="1397"/>
      <c r="M569" s="1397"/>
      <c r="N569" s="1397"/>
      <c r="O569" s="1397"/>
      <c r="P569" s="1397"/>
      <c r="Q569" s="1397"/>
      <c r="R569" s="1397"/>
      <c r="S569" s="8"/>
      <c r="T569" s="22"/>
      <c r="U569" t="s">
        <v>85</v>
      </c>
      <c r="Z569" s="1397" t="s">
        <v>2721</v>
      </c>
      <c r="AA569" s="1397"/>
      <c r="AB569" s="1397"/>
      <c r="AC569" s="1397"/>
      <c r="AD569" s="1397"/>
      <c r="AE569" s="1397"/>
      <c r="AF569" s="1397"/>
      <c r="AG569" s="1397"/>
      <c r="AH569" s="1397"/>
      <c r="AI569" s="1397"/>
      <c r="AJ569" s="1397"/>
      <c r="AK569" s="139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 customHeight="1">
      <c r="A570" s="22"/>
      <c r="B570" t="s">
        <v>587</v>
      </c>
      <c r="G570" s="1474" t="s">
        <v>2722</v>
      </c>
      <c r="H570" s="1397"/>
      <c r="I570" s="1397"/>
      <c r="J570" s="1397"/>
      <c r="K570" s="1397"/>
      <c r="L570" s="1397"/>
      <c r="M570" s="1397"/>
      <c r="N570" s="1397"/>
      <c r="O570" s="1397"/>
      <c r="P570" s="1397"/>
      <c r="Q570" s="1397"/>
      <c r="R570" s="1397"/>
      <c r="T570" s="22"/>
      <c r="U570" t="s">
        <v>587</v>
      </c>
      <c r="Z570" s="1396" t="s">
        <v>2722</v>
      </c>
      <c r="AA570" s="1396"/>
      <c r="AB570" s="1396"/>
      <c r="AC570" s="1396"/>
      <c r="AD570" s="1396"/>
      <c r="AE570" s="1396"/>
      <c r="AF570" s="1396"/>
      <c r="AG570" s="1396"/>
      <c r="AH570" s="1396"/>
      <c r="AI570" s="1396"/>
      <c r="AJ570" s="1396"/>
      <c r="AK570" s="1396"/>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 customHeight="1">
      <c r="A571" s="22"/>
      <c r="B571" t="s">
        <v>17</v>
      </c>
      <c r="G571" s="1474" t="s">
        <v>2723</v>
      </c>
      <c r="H571" s="1397"/>
      <c r="I571" s="1397"/>
      <c r="J571" s="1397"/>
      <c r="K571" s="1397"/>
      <c r="L571" s="1397"/>
      <c r="M571" s="1397"/>
      <c r="N571" s="1397"/>
      <c r="O571" s="1397"/>
      <c r="P571" s="1397"/>
      <c r="Q571" s="1397"/>
      <c r="R571" s="1397"/>
      <c r="S571" s="8"/>
      <c r="T571" s="22"/>
      <c r="U571" t="s">
        <v>17</v>
      </c>
      <c r="Z571" s="1396" t="s">
        <v>2723</v>
      </c>
      <c r="AA571" s="1396"/>
      <c r="AB571" s="1396"/>
      <c r="AC571" s="1396"/>
      <c r="AD571" s="1396"/>
      <c r="AE571" s="1396"/>
      <c r="AF571" s="1396"/>
      <c r="AG571" s="1396"/>
      <c r="AH571" s="1396"/>
      <c r="AI571" s="1396"/>
      <c r="AJ571" s="1396"/>
      <c r="AK571" s="1396"/>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 customHeight="1">
      <c r="A572" s="22"/>
      <c r="B572" t="s">
        <v>316</v>
      </c>
      <c r="G572" s="1550" t="s">
        <v>2724</v>
      </c>
      <c r="H572" s="1400"/>
      <c r="I572" s="1400"/>
      <c r="J572" s="1400"/>
      <c r="K572" s="1400"/>
      <c r="L572" s="1400"/>
      <c r="O572" s="33" t="s">
        <v>206</v>
      </c>
      <c r="P572" s="1399"/>
      <c r="Q572" s="1399"/>
      <c r="R572" s="1399"/>
      <c r="S572" s="10"/>
      <c r="T572" s="22"/>
      <c r="U572" t="s">
        <v>316</v>
      </c>
      <c r="Z572" s="1400" t="s">
        <v>2724</v>
      </c>
      <c r="AA572" s="1400"/>
      <c r="AB572" s="1400"/>
      <c r="AC572" s="1400"/>
      <c r="AD572" s="1400"/>
      <c r="AE572" s="1400"/>
      <c r="AH572" s="33" t="s">
        <v>206</v>
      </c>
      <c r="AI572" s="1399"/>
      <c r="AJ572" s="1399"/>
      <c r="AK572" s="139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 customHeight="1">
      <c r="A573" s="22"/>
      <c r="B573" t="s">
        <v>18</v>
      </c>
      <c r="H573" s="1873" t="s">
        <v>2725</v>
      </c>
      <c r="I573" s="1873"/>
      <c r="J573" s="1873"/>
      <c r="K573" s="1873"/>
      <c r="L573" s="1873"/>
      <c r="M573" s="1873"/>
      <c r="N573" s="1873"/>
      <c r="O573" s="1873"/>
      <c r="P573" s="1873"/>
      <c r="Q573" s="1873"/>
      <c r="R573" s="1873"/>
      <c r="S573" s="8"/>
      <c r="T573" s="22"/>
      <c r="U573" t="s">
        <v>18</v>
      </c>
      <c r="AA573" s="1474" t="s">
        <v>2727</v>
      </c>
      <c r="AB573" s="1397"/>
      <c r="AC573" s="1397"/>
      <c r="AD573" s="1397"/>
      <c r="AE573" s="1397"/>
      <c r="AF573" s="1397"/>
      <c r="AG573" s="1397"/>
      <c r="AH573" s="1397"/>
      <c r="AI573" s="1397"/>
      <c r="AJ573" s="1397"/>
      <c r="AK573" s="139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 customHeight="1">
      <c r="A574" s="22"/>
      <c r="B574" s="348" t="s">
        <v>1290</v>
      </c>
      <c r="H574" s="8"/>
      <c r="I574" s="8"/>
      <c r="J574" s="8"/>
      <c r="K574" s="8"/>
      <c r="L574" s="8"/>
      <c r="M574" s="1576" t="s">
        <v>2726</v>
      </c>
      <c r="N574" s="1577"/>
      <c r="O574" s="1577"/>
      <c r="P574" s="1577"/>
      <c r="Q574" s="1577"/>
      <c r="R574" s="1577"/>
      <c r="S574" s="8"/>
      <c r="T574" s="22"/>
      <c r="U574" s="348" t="s">
        <v>1290</v>
      </c>
      <c r="AA574" s="8"/>
      <c r="AB574" s="8"/>
      <c r="AC574" s="8"/>
      <c r="AD574" s="8"/>
      <c r="AE574" s="8"/>
      <c r="AF574" s="1577" t="s">
        <v>2726</v>
      </c>
      <c r="AG574" s="1577"/>
      <c r="AH574" s="1577"/>
      <c r="AI574" s="1577"/>
      <c r="AJ574" s="1577"/>
      <c r="AK574" s="157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 customHeight="1">
      <c r="A575" s="22"/>
      <c r="B575" t="s">
        <v>20</v>
      </c>
      <c r="N575" s="1415" t="s">
        <v>552</v>
      </c>
      <c r="O575" s="1415"/>
      <c r="T575" s="22"/>
      <c r="U575" t="s">
        <v>20</v>
      </c>
      <c r="AG575" s="1415" t="s">
        <v>552</v>
      </c>
      <c r="AH575" s="141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 customHeight="1">
      <c r="A577" s="55" t="s">
        <v>119</v>
      </c>
      <c r="B577" t="s">
        <v>470</v>
      </c>
      <c r="G577" s="1511" t="str">
        <f>C556</f>
        <v>Citibank Taxable Construction Loan</v>
      </c>
      <c r="H577" s="1511"/>
      <c r="I577" s="1511"/>
      <c r="J577" s="1511"/>
      <c r="K577" s="1511"/>
      <c r="L577" s="1511"/>
      <c r="M577" s="1511"/>
      <c r="N577" s="1511"/>
      <c r="O577" s="1511"/>
      <c r="P577" s="1511"/>
      <c r="Q577" s="1511"/>
      <c r="R577" s="1511"/>
      <c r="T577" s="55" t="s">
        <v>588</v>
      </c>
      <c r="U577" t="s">
        <v>470</v>
      </c>
      <c r="Z577" s="1511" t="str">
        <f>C557</f>
        <v>R4 Capital - Tax Credit Equity</v>
      </c>
      <c r="AA577" s="1511"/>
      <c r="AB577" s="1511"/>
      <c r="AC577" s="1511"/>
      <c r="AD577" s="1511"/>
      <c r="AE577" s="1511"/>
      <c r="AF577" s="1511"/>
      <c r="AG577" s="1511"/>
      <c r="AH577" s="1511"/>
      <c r="AI577" s="1511"/>
      <c r="AJ577" s="1511"/>
      <c r="AK577" s="151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 customHeight="1">
      <c r="A578" s="22"/>
      <c r="B578" t="s">
        <v>85</v>
      </c>
      <c r="G578" s="1397" t="s">
        <v>2721</v>
      </c>
      <c r="H578" s="1397"/>
      <c r="I578" s="1397"/>
      <c r="J578" s="1397"/>
      <c r="K578" s="1397"/>
      <c r="L578" s="1397"/>
      <c r="M578" s="1397"/>
      <c r="N578" s="1397"/>
      <c r="O578" s="1397"/>
      <c r="P578" s="1397"/>
      <c r="Q578" s="1397"/>
      <c r="R578" s="1397"/>
      <c r="T578" s="22"/>
      <c r="U578" t="s">
        <v>85</v>
      </c>
      <c r="Z578" s="1474" t="s">
        <v>2730</v>
      </c>
      <c r="AA578" s="1397"/>
      <c r="AB578" s="1397"/>
      <c r="AC578" s="1397"/>
      <c r="AD578" s="1397"/>
      <c r="AE578" s="1397"/>
      <c r="AF578" s="1397"/>
      <c r="AG578" s="1397"/>
      <c r="AH578" s="1397"/>
      <c r="AI578" s="1397"/>
      <c r="AJ578" s="1397"/>
      <c r="AK578" s="139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 customHeight="1">
      <c r="A579" s="22"/>
      <c r="B579" t="s">
        <v>587</v>
      </c>
      <c r="G579" s="1396" t="s">
        <v>2722</v>
      </c>
      <c r="H579" s="1396"/>
      <c r="I579" s="1396"/>
      <c r="J579" s="1396"/>
      <c r="K579" s="1396"/>
      <c r="L579" s="1396"/>
      <c r="M579" s="1396"/>
      <c r="N579" s="1396"/>
      <c r="O579" s="1396"/>
      <c r="P579" s="1396"/>
      <c r="Q579" s="1396"/>
      <c r="R579" s="1396"/>
      <c r="T579" s="22"/>
      <c r="U579" t="s">
        <v>587</v>
      </c>
      <c r="Z579" s="1453" t="s">
        <v>2731</v>
      </c>
      <c r="AA579" s="1396"/>
      <c r="AB579" s="1396"/>
      <c r="AC579" s="1396"/>
      <c r="AD579" s="1396"/>
      <c r="AE579" s="1396"/>
      <c r="AF579" s="1396"/>
      <c r="AG579" s="1396"/>
      <c r="AH579" s="1396"/>
      <c r="AI579" s="1396"/>
      <c r="AJ579" s="1396"/>
      <c r="AK579" s="1396"/>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 customHeight="1">
      <c r="A580" s="22"/>
      <c r="B580" t="s">
        <v>17</v>
      </c>
      <c r="G580" s="1396" t="s">
        <v>2723</v>
      </c>
      <c r="H580" s="1396"/>
      <c r="I580" s="1396"/>
      <c r="J580" s="1396"/>
      <c r="K580" s="1396"/>
      <c r="L580" s="1396"/>
      <c r="M580" s="1396"/>
      <c r="N580" s="1396"/>
      <c r="O580" s="1396"/>
      <c r="P580" s="1396"/>
      <c r="Q580" s="1396"/>
      <c r="R580" s="1396"/>
      <c r="T580" s="22"/>
      <c r="U580" t="s">
        <v>17</v>
      </c>
      <c r="Z580" s="1453" t="s">
        <v>2729</v>
      </c>
      <c r="AA580" s="1396"/>
      <c r="AB580" s="1396"/>
      <c r="AC580" s="1396"/>
      <c r="AD580" s="1396"/>
      <c r="AE580" s="1396"/>
      <c r="AF580" s="1396"/>
      <c r="AG580" s="1396"/>
      <c r="AH580" s="1396"/>
      <c r="AI580" s="1396"/>
      <c r="AJ580" s="1396"/>
      <c r="AK580" s="1396"/>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 customHeight="1">
      <c r="A581" s="22"/>
      <c r="B581" t="s">
        <v>316</v>
      </c>
      <c r="G581" s="1400" t="s">
        <v>2724</v>
      </c>
      <c r="H581" s="1400"/>
      <c r="I581" s="1400"/>
      <c r="J581" s="1400"/>
      <c r="K581" s="1400"/>
      <c r="L581" s="1400"/>
      <c r="O581" s="33" t="s">
        <v>206</v>
      </c>
      <c r="P581" s="1399"/>
      <c r="Q581" s="1399"/>
      <c r="R581" s="1399"/>
      <c r="T581" s="22"/>
      <c r="U581" t="s">
        <v>316</v>
      </c>
      <c r="Z581" s="1550" t="s">
        <v>2732</v>
      </c>
      <c r="AA581" s="1400"/>
      <c r="AB581" s="1400"/>
      <c r="AC581" s="1400"/>
      <c r="AD581" s="1400"/>
      <c r="AE581" s="1400"/>
      <c r="AH581" s="33" t="s">
        <v>206</v>
      </c>
      <c r="AI581" s="1399"/>
      <c r="AJ581" s="1399"/>
      <c r="AK581" s="139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 customHeight="1">
      <c r="A582" s="22"/>
      <c r="B582" t="s">
        <v>18</v>
      </c>
      <c r="H582" s="1474" t="s">
        <v>2728</v>
      </c>
      <c r="I582" s="1397"/>
      <c r="J582" s="1397"/>
      <c r="K582" s="1397"/>
      <c r="L582" s="1397"/>
      <c r="M582" s="1397"/>
      <c r="N582" s="1397"/>
      <c r="O582" s="1397"/>
      <c r="P582" s="1397"/>
      <c r="Q582" s="1397"/>
      <c r="R582" s="1397"/>
      <c r="T582" s="22"/>
      <c r="U582" t="s">
        <v>18</v>
      </c>
      <c r="AA582" s="1474" t="s">
        <v>2733</v>
      </c>
      <c r="AB582" s="1397"/>
      <c r="AC582" s="1397"/>
      <c r="AD582" s="1397"/>
      <c r="AE582" s="1397"/>
      <c r="AF582" s="1397"/>
      <c r="AG582" s="1397"/>
      <c r="AH582" s="1397"/>
      <c r="AI582" s="1397"/>
      <c r="AJ582" s="1397"/>
      <c r="AK582" s="139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 customHeight="1">
      <c r="A583" s="22"/>
      <c r="B583" t="s">
        <v>20</v>
      </c>
      <c r="N583" s="1415" t="s">
        <v>552</v>
      </c>
      <c r="O583" s="1415"/>
      <c r="T583" s="22"/>
      <c r="U583" t="s">
        <v>20</v>
      </c>
      <c r="AG583" s="1415" t="s">
        <v>552</v>
      </c>
      <c r="AH583" s="141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 customHeight="1">
      <c r="A585" s="55" t="s">
        <v>771</v>
      </c>
      <c r="B585" t="s">
        <v>470</v>
      </c>
      <c r="G585" s="1511" t="str">
        <f>C558</f>
        <v>GP Loan</v>
      </c>
      <c r="H585" s="1511"/>
      <c r="I585" s="1511"/>
      <c r="J585" s="1511"/>
      <c r="K585" s="1511"/>
      <c r="L585" s="1511"/>
      <c r="M585" s="1511"/>
      <c r="N585" s="1511"/>
      <c r="O585" s="1511"/>
      <c r="P585" s="1511"/>
      <c r="Q585" s="1511"/>
      <c r="R585" s="1511"/>
      <c r="T585" s="55" t="s">
        <v>591</v>
      </c>
      <c r="U585" t="s">
        <v>470</v>
      </c>
      <c r="Z585" s="1511" t="str">
        <f>C559</f>
        <v>Deferred Developer Fee</v>
      </c>
      <c r="AA585" s="1511"/>
      <c r="AB585" s="1511"/>
      <c r="AC585" s="1511"/>
      <c r="AD585" s="1511"/>
      <c r="AE585" s="1511"/>
      <c r="AF585" s="1511"/>
      <c r="AG585" s="1511"/>
      <c r="AH585" s="1511"/>
      <c r="AI585" s="1511"/>
      <c r="AJ585" s="1511"/>
      <c r="AK585" s="151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 customHeight="1">
      <c r="A586" s="22"/>
      <c r="B586" t="s">
        <v>85</v>
      </c>
      <c r="G586" s="1397" t="s">
        <v>2762</v>
      </c>
      <c r="H586" s="1397"/>
      <c r="I586" s="1397"/>
      <c r="J586" s="1397"/>
      <c r="K586" s="1397"/>
      <c r="L586" s="1397"/>
      <c r="M586" s="1397"/>
      <c r="N586" s="1397"/>
      <c r="O586" s="1397"/>
      <c r="P586" s="1397"/>
      <c r="Q586" s="1397"/>
      <c r="R586" s="1397"/>
      <c r="T586" s="22"/>
      <c r="U586" t="s">
        <v>85</v>
      </c>
      <c r="Z586" s="1397" t="s">
        <v>2762</v>
      </c>
      <c r="AA586" s="1397"/>
      <c r="AB586" s="1397"/>
      <c r="AC586" s="1397"/>
      <c r="AD586" s="1397"/>
      <c r="AE586" s="1397"/>
      <c r="AF586" s="1397"/>
      <c r="AG586" s="1397"/>
      <c r="AH586" s="1397"/>
      <c r="AI586" s="1397"/>
      <c r="AJ586" s="1397"/>
      <c r="AK586" s="139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 customHeight="1">
      <c r="A587" s="22"/>
      <c r="B587" t="s">
        <v>587</v>
      </c>
      <c r="G587" s="1397" t="s">
        <v>2772</v>
      </c>
      <c r="H587" s="1397"/>
      <c r="I587" s="1397"/>
      <c r="J587" s="1397"/>
      <c r="K587" s="1397"/>
      <c r="L587" s="1397"/>
      <c r="M587" s="1397"/>
      <c r="N587" s="1397"/>
      <c r="O587" s="1397"/>
      <c r="P587" s="1397"/>
      <c r="Q587" s="1397"/>
      <c r="R587" s="1397"/>
      <c r="T587" s="22"/>
      <c r="U587" t="s">
        <v>587</v>
      </c>
      <c r="Z587" s="1396" t="s">
        <v>2772</v>
      </c>
      <c r="AA587" s="1396"/>
      <c r="AB587" s="1396"/>
      <c r="AC587" s="1396"/>
      <c r="AD587" s="1396"/>
      <c r="AE587" s="1396"/>
      <c r="AF587" s="1396"/>
      <c r="AG587" s="1396"/>
      <c r="AH587" s="1396"/>
      <c r="AI587" s="1396"/>
      <c r="AJ587" s="1396"/>
      <c r="AK587" s="1396"/>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 customHeight="1">
      <c r="A588" s="22"/>
      <c r="B588" t="s">
        <v>17</v>
      </c>
      <c r="G588" s="1397" t="s">
        <v>2652</v>
      </c>
      <c r="H588" s="1397"/>
      <c r="I588" s="1397"/>
      <c r="J588" s="1397"/>
      <c r="K588" s="1397"/>
      <c r="L588" s="1397"/>
      <c r="M588" s="1397"/>
      <c r="N588" s="1397"/>
      <c r="O588" s="1397"/>
      <c r="P588" s="1397"/>
      <c r="Q588" s="1397"/>
      <c r="R588" s="1397"/>
      <c r="T588" s="22"/>
      <c r="U588" t="s">
        <v>17</v>
      </c>
      <c r="Z588" s="1396" t="s">
        <v>2652</v>
      </c>
      <c r="AA588" s="1396"/>
      <c r="AB588" s="1396"/>
      <c r="AC588" s="1396"/>
      <c r="AD588" s="1396"/>
      <c r="AE588" s="1396"/>
      <c r="AF588" s="1396"/>
      <c r="AG588" s="1396"/>
      <c r="AH588" s="1396"/>
      <c r="AI588" s="1396"/>
      <c r="AJ588" s="1396"/>
      <c r="AK588" s="1396"/>
    </row>
    <row r="589" spans="1:110" ht="12.9" customHeight="1">
      <c r="A589" s="22"/>
      <c r="B589" t="s">
        <v>316</v>
      </c>
      <c r="G589" s="1400" t="s">
        <v>2753</v>
      </c>
      <c r="H589" s="1400"/>
      <c r="I589" s="1400"/>
      <c r="J589" s="1400"/>
      <c r="K589" s="1400"/>
      <c r="L589" s="1400"/>
      <c r="O589" s="33" t="s">
        <v>206</v>
      </c>
      <c r="P589" s="1399"/>
      <c r="Q589" s="1399"/>
      <c r="R589" s="1399"/>
      <c r="T589" s="22"/>
      <c r="U589" t="s">
        <v>316</v>
      </c>
      <c r="Z589" s="1400" t="s">
        <v>2753</v>
      </c>
      <c r="AA589" s="1400"/>
      <c r="AB589" s="1400"/>
      <c r="AC589" s="1400"/>
      <c r="AD589" s="1400"/>
      <c r="AE589" s="1400"/>
      <c r="AH589" s="33" t="s">
        <v>206</v>
      </c>
      <c r="AI589" s="1399"/>
      <c r="AJ589" s="1399"/>
      <c r="AK589" s="139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 customHeight="1">
      <c r="A590" s="22"/>
      <c r="B590" t="s">
        <v>18</v>
      </c>
      <c r="H590" s="1397" t="s">
        <v>2776</v>
      </c>
      <c r="I590" s="1397"/>
      <c r="J590" s="1397"/>
      <c r="K590" s="1397"/>
      <c r="L590" s="1397"/>
      <c r="M590" s="1397"/>
      <c r="N590" s="1397"/>
      <c r="O590" s="1397"/>
      <c r="P590" s="1397"/>
      <c r="Q590" s="1397"/>
      <c r="R590" s="1397"/>
      <c r="T590" s="22"/>
      <c r="U590" t="s">
        <v>18</v>
      </c>
      <c r="AA590" s="1397" t="s">
        <v>1849</v>
      </c>
      <c r="AB590" s="1397"/>
      <c r="AC590" s="1397"/>
      <c r="AD590" s="1397"/>
      <c r="AE590" s="1397"/>
      <c r="AF590" s="1397"/>
      <c r="AG590" s="1397"/>
      <c r="AH590" s="1397"/>
      <c r="AI590" s="1397"/>
      <c r="AJ590" s="1397"/>
      <c r="AK590" s="139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 customHeight="1">
      <c r="A591" s="22"/>
      <c r="B591" t="s">
        <v>20</v>
      </c>
      <c r="N591" s="1415" t="s">
        <v>552</v>
      </c>
      <c r="O591" s="1415"/>
      <c r="T591" s="22"/>
      <c r="U591" t="s">
        <v>20</v>
      </c>
      <c r="AG591" s="1415" t="s">
        <v>552</v>
      </c>
      <c r="AH591" s="141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 customHeight="1">
      <c r="A593" s="55" t="s">
        <v>462</v>
      </c>
      <c r="B593" t="s">
        <v>470</v>
      </c>
      <c r="G593" s="1511" t="str">
        <f>C560</f>
        <v>Lease Up Income</v>
      </c>
      <c r="H593" s="1511"/>
      <c r="I593" s="1511"/>
      <c r="J593" s="1511"/>
      <c r="K593" s="1511"/>
      <c r="L593" s="1511"/>
      <c r="M593" s="1511"/>
      <c r="N593" s="1511"/>
      <c r="O593" s="1511"/>
      <c r="P593" s="1511"/>
      <c r="Q593" s="1511"/>
      <c r="R593" s="1511"/>
      <c r="T593" s="55" t="s">
        <v>463</v>
      </c>
      <c r="U593" t="s">
        <v>470</v>
      </c>
      <c r="Z593" s="1511" t="str">
        <f>C561</f>
        <v>Costs Deferred to Conversion</v>
      </c>
      <c r="AA593" s="1511"/>
      <c r="AB593" s="1511"/>
      <c r="AC593" s="1511"/>
      <c r="AD593" s="1511"/>
      <c r="AE593" s="1511"/>
      <c r="AF593" s="1511"/>
      <c r="AG593" s="1511"/>
      <c r="AH593" s="1511"/>
      <c r="AI593" s="1511"/>
      <c r="AJ593" s="1511"/>
      <c r="AK593" s="151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 customHeight="1">
      <c r="A594" s="22"/>
      <c r="B594" t="s">
        <v>85</v>
      </c>
      <c r="C594"/>
      <c r="D594"/>
      <c r="E594"/>
      <c r="F594"/>
      <c r="G594" s="1397" t="s">
        <v>2762</v>
      </c>
      <c r="H594" s="1397"/>
      <c r="I594" s="1397"/>
      <c r="J594" s="1397"/>
      <c r="K594" s="1397"/>
      <c r="L594" s="1397"/>
      <c r="M594" s="1397"/>
      <c r="N594" s="1397"/>
      <c r="O594" s="1397"/>
      <c r="P594" s="1397"/>
      <c r="Q594" s="1397"/>
      <c r="R594" s="1397"/>
      <c r="S594"/>
      <c r="T594" s="22"/>
      <c r="U594" t="s">
        <v>85</v>
      </c>
      <c r="V594"/>
      <c r="W594"/>
      <c r="X594"/>
      <c r="Y594"/>
      <c r="Z594" s="1397" t="s">
        <v>2762</v>
      </c>
      <c r="AA594" s="1397"/>
      <c r="AB594" s="1397"/>
      <c r="AC594" s="1397"/>
      <c r="AD594" s="1397"/>
      <c r="AE594" s="1397"/>
      <c r="AF594" s="1397"/>
      <c r="AG594" s="1397"/>
      <c r="AH594" s="1397"/>
      <c r="AI594" s="1397"/>
      <c r="AJ594" s="1397"/>
      <c r="AK594" s="139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 customHeight="1">
      <c r="A595" s="22"/>
      <c r="B595" t="s">
        <v>587</v>
      </c>
      <c r="C595"/>
      <c r="D595"/>
      <c r="E595"/>
      <c r="F595"/>
      <c r="G595" s="1397" t="s">
        <v>2772</v>
      </c>
      <c r="H595" s="1397"/>
      <c r="I595" s="1397"/>
      <c r="J595" s="1397"/>
      <c r="K595" s="1397"/>
      <c r="L595" s="1397"/>
      <c r="M595" s="1397"/>
      <c r="N595" s="1397"/>
      <c r="O595" s="1397"/>
      <c r="P595" s="1397"/>
      <c r="Q595" s="1397"/>
      <c r="R595" s="1397"/>
      <c r="S595"/>
      <c r="T595" s="22"/>
      <c r="U595" t="s">
        <v>587</v>
      </c>
      <c r="V595"/>
      <c r="W595"/>
      <c r="X595"/>
      <c r="Y595"/>
      <c r="Z595" s="1396" t="s">
        <v>2772</v>
      </c>
      <c r="AA595" s="1396"/>
      <c r="AB595" s="1396"/>
      <c r="AC595" s="1396"/>
      <c r="AD595" s="1396"/>
      <c r="AE595" s="1396"/>
      <c r="AF595" s="1396"/>
      <c r="AG595" s="1396"/>
      <c r="AH595" s="1396"/>
      <c r="AI595" s="1396"/>
      <c r="AJ595" s="1396"/>
      <c r="AK595" s="1396"/>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 customHeight="1">
      <c r="A596" s="22"/>
      <c r="B596" t="s">
        <v>17</v>
      </c>
      <c r="C596"/>
      <c r="D596"/>
      <c r="E596"/>
      <c r="F596"/>
      <c r="G596" s="1397" t="s">
        <v>2652</v>
      </c>
      <c r="H596" s="1397"/>
      <c r="I596" s="1397"/>
      <c r="J596" s="1397"/>
      <c r="K596" s="1397"/>
      <c r="L596" s="1397"/>
      <c r="M596" s="1397"/>
      <c r="N596" s="1397"/>
      <c r="O596" s="1397"/>
      <c r="P596" s="1397"/>
      <c r="Q596" s="1397"/>
      <c r="R596" s="1397"/>
      <c r="S596"/>
      <c r="T596" s="22"/>
      <c r="U596" t="s">
        <v>17</v>
      </c>
      <c r="V596"/>
      <c r="W596"/>
      <c r="X596"/>
      <c r="Y596"/>
      <c r="Z596" s="1396" t="s">
        <v>2652</v>
      </c>
      <c r="AA596" s="1396"/>
      <c r="AB596" s="1396"/>
      <c r="AC596" s="1396"/>
      <c r="AD596" s="1396"/>
      <c r="AE596" s="1396"/>
      <c r="AF596" s="1396"/>
      <c r="AG596" s="1396"/>
      <c r="AH596" s="1396"/>
      <c r="AI596" s="1396"/>
      <c r="AJ596" s="1396"/>
      <c r="AK596" s="1396"/>
      <c r="AL596"/>
      <c r="AM596"/>
      <c r="AN596"/>
      <c r="AO596"/>
      <c r="AP596"/>
      <c r="AQ596"/>
      <c r="AR596"/>
      <c r="AS596"/>
      <c r="AT596"/>
      <c r="AU596"/>
      <c r="AV596"/>
      <c r="AW596"/>
      <c r="AX596"/>
      <c r="AY596"/>
      <c r="BA596" s="4" t="s">
        <v>324</v>
      </c>
      <c r="BB596" s="3"/>
      <c r="BC596" s="3"/>
      <c r="BD596" s="3"/>
      <c r="BE596" s="121" t="s">
        <v>481</v>
      </c>
      <c r="BF596" s="122"/>
      <c r="BG596" s="1394"/>
      <c r="BH596" s="1395"/>
      <c r="BI596" s="121" t="s">
        <v>482</v>
      </c>
      <c r="BJ596" s="122"/>
      <c r="BK596" s="1394"/>
      <c r="BL596" s="1395"/>
      <c r="BM596" s="3"/>
      <c r="BN596" s="1722" t="s">
        <v>640</v>
      </c>
      <c r="BO596" s="1723"/>
      <c r="BP596" s="1723"/>
      <c r="BQ596" s="1723"/>
      <c r="BR596" s="1724"/>
      <c r="BS596" s="1516" t="s">
        <v>325</v>
      </c>
      <c r="BT596" s="1516"/>
      <c r="BU596" s="1516"/>
      <c r="BV596" s="1516"/>
      <c r="BW596" s="1516"/>
      <c r="BX596" s="1516" t="s">
        <v>163</v>
      </c>
      <c r="BY596" s="1516"/>
      <c r="BZ596" s="1516"/>
      <c r="CA596" s="1516"/>
      <c r="CB596" s="1516"/>
      <c r="CC596" s="1516" t="s">
        <v>164</v>
      </c>
      <c r="CD596" s="1516"/>
      <c r="CE596" s="1516"/>
      <c r="CF596" s="1516"/>
      <c r="CG596" s="1516"/>
      <c r="CH596" s="1516" t="s">
        <v>467</v>
      </c>
      <c r="CI596" s="1516"/>
      <c r="CJ596" s="1516"/>
      <c r="CK596" s="1516"/>
      <c r="CL596" s="1516"/>
      <c r="CM596" s="1516" t="s">
        <v>30</v>
      </c>
      <c r="CN596" s="1516"/>
      <c r="CO596" s="1516"/>
      <c r="CP596" s="1516"/>
      <c r="CQ596" s="1516"/>
      <c r="CR596" s="89"/>
      <c r="CS596" s="1516" t="s">
        <v>640</v>
      </c>
      <c r="CT596" s="1516"/>
      <c r="CU596" s="1516"/>
      <c r="CV596" s="1516"/>
      <c r="CW596" s="1516"/>
      <c r="CX596" s="1516" t="s">
        <v>325</v>
      </c>
      <c r="CY596" s="1516"/>
      <c r="CZ596" s="1516"/>
      <c r="DA596" s="1516"/>
      <c r="DB596" s="1516"/>
      <c r="DC596" s="1516" t="s">
        <v>163</v>
      </c>
      <c r="DD596" s="1516"/>
      <c r="DE596" s="1516"/>
      <c r="DF596" s="1516"/>
      <c r="DG596" s="1516"/>
      <c r="DH596" s="1516" t="s">
        <v>164</v>
      </c>
      <c r="DI596" s="1516"/>
      <c r="DJ596" s="1516"/>
      <c r="DK596" s="1516"/>
      <c r="DL596" s="1516"/>
      <c r="DM596" s="1516" t="s">
        <v>467</v>
      </c>
      <c r="DN596" s="1516"/>
      <c r="DO596" s="1516"/>
      <c r="DP596" s="1516"/>
      <c r="DQ596" s="1516"/>
      <c r="DR596" s="1516" t="s">
        <v>30</v>
      </c>
      <c r="DS596" s="1516"/>
      <c r="DT596" s="1516"/>
      <c r="DU596" s="1516"/>
      <c r="DV596" s="1516"/>
      <c r="DX596" s="1516" t="s">
        <v>640</v>
      </c>
      <c r="DY596" s="1516"/>
      <c r="DZ596" s="1516"/>
      <c r="EA596" s="1516"/>
      <c r="EB596" s="1516"/>
      <c r="EC596" s="1516" t="s">
        <v>325</v>
      </c>
      <c r="ED596" s="1516"/>
      <c r="EE596" s="1516"/>
      <c r="EF596" s="1516"/>
      <c r="EG596" s="1516"/>
      <c r="EH596" s="1516" t="s">
        <v>163</v>
      </c>
      <c r="EI596" s="1516"/>
      <c r="EJ596" s="1516"/>
      <c r="EK596" s="1516"/>
      <c r="EL596" s="1516"/>
      <c r="EM596" s="1516" t="s">
        <v>164</v>
      </c>
      <c r="EN596" s="1516"/>
      <c r="EO596" s="1516"/>
      <c r="EP596" s="1516"/>
      <c r="EQ596" s="1516"/>
      <c r="ER596" s="1516" t="s">
        <v>467</v>
      </c>
      <c r="ES596" s="1516"/>
      <c r="ET596" s="1516"/>
      <c r="EU596" s="1516"/>
      <c r="EV596" s="1516"/>
      <c r="EW596" s="1516" t="s">
        <v>30</v>
      </c>
      <c r="EX596" s="1516"/>
      <c r="EY596" s="1516"/>
      <c r="EZ596" s="1516"/>
      <c r="FA596" s="1516"/>
    </row>
    <row r="597" spans="1:157" s="4" customFormat="1" ht="12.9" customHeight="1">
      <c r="A597" s="22"/>
      <c r="B597" t="s">
        <v>316</v>
      </c>
      <c r="C597"/>
      <c r="D597"/>
      <c r="E597"/>
      <c r="F597"/>
      <c r="G597" s="1400" t="s">
        <v>2753</v>
      </c>
      <c r="H597" s="1400"/>
      <c r="I597" s="1400"/>
      <c r="J597" s="1400"/>
      <c r="K597" s="1400"/>
      <c r="L597" s="1400"/>
      <c r="M597"/>
      <c r="N597"/>
      <c r="O597" s="33" t="s">
        <v>206</v>
      </c>
      <c r="P597" s="1399"/>
      <c r="Q597" s="1399"/>
      <c r="R597" s="1399"/>
      <c r="S597"/>
      <c r="T597" s="22"/>
      <c r="U597" t="s">
        <v>316</v>
      </c>
      <c r="V597"/>
      <c r="W597"/>
      <c r="X597"/>
      <c r="Y597"/>
      <c r="Z597" s="1400" t="s">
        <v>2753</v>
      </c>
      <c r="AA597" s="1400"/>
      <c r="AB597" s="1400"/>
      <c r="AC597" s="1400"/>
      <c r="AD597" s="1400"/>
      <c r="AE597" s="1400"/>
      <c r="AF597"/>
      <c r="AG597"/>
      <c r="AH597" s="33" t="s">
        <v>206</v>
      </c>
      <c r="AI597" s="1399"/>
      <c r="AJ597" s="1399"/>
      <c r="AK597" s="1399"/>
      <c r="AL597"/>
      <c r="AM597"/>
      <c r="AN597"/>
      <c r="AO597"/>
      <c r="AP597"/>
      <c r="AQ597"/>
      <c r="AR597"/>
      <c r="AS597"/>
      <c r="AT597"/>
      <c r="AU597"/>
      <c r="AV597"/>
      <c r="AW597"/>
      <c r="AX597"/>
      <c r="AY597"/>
      <c r="BA597" s="4" t="s">
        <v>325</v>
      </c>
      <c r="BB597" s="3"/>
      <c r="BC597" s="3"/>
      <c r="BD597" s="3"/>
      <c r="BE597" s="1376">
        <f t="shared" ref="BE597:BE631" si="1">IF(AND(AC718&lt;=0.5,AC718&gt;=0.36),1,0)</f>
        <v>0</v>
      </c>
      <c r="BF597" s="1378"/>
      <c r="BG597" s="1394">
        <f t="shared" ref="BG597:BG631" si="2">IF(BE597=1,G718,0)</f>
        <v>0</v>
      </c>
      <c r="BH597" s="1395"/>
      <c r="BI597" s="1376">
        <f t="shared" ref="BI597:BI631" si="3">IF(AND(AC718&lt;=0.35,AC718&gt;0),1,0)</f>
        <v>1</v>
      </c>
      <c r="BJ597" s="1378"/>
      <c r="BK597" s="1394">
        <f t="shared" ref="BK597:BK631" si="4">IF(BI597=1,G718,0)</f>
        <v>58</v>
      </c>
      <c r="BL597" s="1395"/>
      <c r="BM597" s="3"/>
      <c r="BN597" s="1390">
        <f t="shared" ref="BN597:BN631" si="5">IF(B718="SRO/Studio",G718,0)</f>
        <v>58</v>
      </c>
      <c r="BO597" s="1391"/>
      <c r="BP597" s="1391"/>
      <c r="BQ597" s="1391"/>
      <c r="BR597" s="1392"/>
      <c r="BS597" s="1393">
        <f t="shared" ref="BS597:BS631" si="6">IF(B718="1 Bedroom",G718,0)</f>
        <v>0</v>
      </c>
      <c r="BT597" s="1393"/>
      <c r="BU597" s="1393"/>
      <c r="BV597" s="1393"/>
      <c r="BW597" s="1393"/>
      <c r="BX597" s="1393">
        <f t="shared" ref="BX597:BX631" si="7">IF(B718="2 Bedrooms",G718,0)</f>
        <v>0</v>
      </c>
      <c r="BY597" s="1393"/>
      <c r="BZ597" s="1393"/>
      <c r="CA597" s="1393"/>
      <c r="CB597" s="1393"/>
      <c r="CC597" s="1393">
        <f t="shared" ref="CC597:CC631" si="8">IF(B718="3 Bedrooms",G718,0)</f>
        <v>0</v>
      </c>
      <c r="CD597" s="1393"/>
      <c r="CE597" s="1393"/>
      <c r="CF597" s="1393"/>
      <c r="CG597" s="1393"/>
      <c r="CH597" s="1393">
        <f t="shared" ref="CH597:CH631" si="9">IF(B718="4 Bedrooms",G718,0)</f>
        <v>0</v>
      </c>
      <c r="CI597" s="1393"/>
      <c r="CJ597" s="1393"/>
      <c r="CK597" s="1393"/>
      <c r="CL597" s="1393"/>
      <c r="CM597" s="1393">
        <f t="shared" ref="CM597:CM631" si="10">IF(B718="5 Bedrooms",G718,0)</f>
        <v>0</v>
      </c>
      <c r="CN597" s="1393"/>
      <c r="CO597" s="1393"/>
      <c r="CP597" s="1393"/>
      <c r="CQ597" s="1393"/>
      <c r="CR597" s="6"/>
      <c r="CS597" s="1380">
        <f t="shared" ref="CS597:CS631" si="11">IF(AND(B718="SRO/Studio",AC718&lt;=0.3),G718,0)</f>
        <v>58</v>
      </c>
      <c r="CT597" s="1380"/>
      <c r="CU597" s="1380"/>
      <c r="CV597" s="1380"/>
      <c r="CW597" s="1380"/>
      <c r="CX597" s="1380">
        <f t="shared" ref="CX597:CX631" si="12">IF(AND(B718="1 Bedroom",AC718&lt;=0.3),G718,0)</f>
        <v>0</v>
      </c>
      <c r="CY597" s="1380"/>
      <c r="CZ597" s="1380"/>
      <c r="DA597" s="1380"/>
      <c r="DB597" s="1380"/>
      <c r="DC597" s="1380">
        <f t="shared" ref="DC597:DC631" si="13">IF(AND(B718="2 Bedrooms",AC718&lt;=0.3),G718,0)</f>
        <v>0</v>
      </c>
      <c r="DD597" s="1380"/>
      <c r="DE597" s="1380"/>
      <c r="DF597" s="1380"/>
      <c r="DG597" s="1380"/>
      <c r="DH597" s="1380">
        <f t="shared" ref="DH597:DH631" si="14">IF(AND(B718="3 Bedrooms",AC718&lt;=0.3),G718,0)</f>
        <v>0</v>
      </c>
      <c r="DI597" s="1380"/>
      <c r="DJ597" s="1380"/>
      <c r="DK597" s="1380"/>
      <c r="DL597" s="1380"/>
      <c r="DM597" s="1380">
        <f t="shared" ref="DM597:DM631" si="15">IF(AND(B718="4 Bedrooms",AC718&lt;=0.3),G718,0)</f>
        <v>0</v>
      </c>
      <c r="DN597" s="1380"/>
      <c r="DO597" s="1380"/>
      <c r="DP597" s="1380"/>
      <c r="DQ597" s="1380"/>
      <c r="DR597" s="1380">
        <f t="shared" ref="DR597:DR631" si="16">IF(AND(B718="5 Bedrooms",AC718&lt;=0.3),G718,0)</f>
        <v>0</v>
      </c>
      <c r="DS597" s="1380"/>
      <c r="DT597" s="1380"/>
      <c r="DU597" s="1380"/>
      <c r="DV597" s="1380"/>
      <c r="DX597" s="1376">
        <f t="shared" ref="DX597:DX631" si="17">IF(BN597&gt;0,O718,"")</f>
        <v>1028</v>
      </c>
      <c r="DY597" s="1377"/>
      <c r="DZ597" s="1377"/>
      <c r="EA597" s="1377"/>
      <c r="EB597" s="1378"/>
      <c r="EC597" s="1376" t="str">
        <f t="shared" ref="EC597:EC631" si="18">IF(BS597&gt;0,O718,"")</f>
        <v/>
      </c>
      <c r="ED597" s="1377"/>
      <c r="EE597" s="1377"/>
      <c r="EF597" s="1377"/>
      <c r="EG597" s="1378"/>
      <c r="EH597" s="1376" t="str">
        <f t="shared" ref="EH597:EH631" si="19">IF(BX597&gt;0,O718,"")</f>
        <v/>
      </c>
      <c r="EI597" s="1377"/>
      <c r="EJ597" s="1377"/>
      <c r="EK597" s="1377"/>
      <c r="EL597" s="1378"/>
      <c r="EM597" s="1376" t="str">
        <f t="shared" ref="EM597:EM631" si="20">IF(CC597&gt;0,O718,"")</f>
        <v/>
      </c>
      <c r="EN597" s="1377"/>
      <c r="EO597" s="1377"/>
      <c r="EP597" s="1377"/>
      <c r="EQ597" s="1378"/>
      <c r="ER597" s="1376" t="str">
        <f t="shared" ref="ER597:ER631" si="21">IF(CH597&gt;0,O718,"")</f>
        <v/>
      </c>
      <c r="ES597" s="1377"/>
      <c r="ET597" s="1377"/>
      <c r="EU597" s="1377"/>
      <c r="EV597" s="1378"/>
      <c r="EW597" s="1376" t="str">
        <f t="shared" ref="EW597:EW631" si="22">IF(CM597&gt;0,O718,"")</f>
        <v/>
      </c>
      <c r="EX597" s="1377"/>
      <c r="EY597" s="1377"/>
      <c r="EZ597" s="1377"/>
      <c r="FA597" s="1378"/>
    </row>
    <row r="598" spans="1:157" s="4" customFormat="1" ht="12.9" customHeight="1">
      <c r="A598" s="22"/>
      <c r="B598" t="s">
        <v>18</v>
      </c>
      <c r="C598"/>
      <c r="D598"/>
      <c r="E598"/>
      <c r="F598"/>
      <c r="G598"/>
      <c r="H598" s="1397" t="s">
        <v>2777</v>
      </c>
      <c r="I598" s="1397"/>
      <c r="J598" s="1397"/>
      <c r="K598" s="1397"/>
      <c r="L598" s="1397"/>
      <c r="M598" s="1397"/>
      <c r="N598" s="1397"/>
      <c r="O598" s="1397"/>
      <c r="P598" s="1397"/>
      <c r="Q598" s="1397"/>
      <c r="R598" s="1397"/>
      <c r="S598"/>
      <c r="T598" s="22"/>
      <c r="U598" t="s">
        <v>18</v>
      </c>
      <c r="V598"/>
      <c r="W598"/>
      <c r="X598"/>
      <c r="Y598"/>
      <c r="Z598"/>
      <c r="AA598" s="1397" t="s">
        <v>2778</v>
      </c>
      <c r="AB598" s="1397"/>
      <c r="AC598" s="1397"/>
      <c r="AD598" s="1397"/>
      <c r="AE598" s="1397"/>
      <c r="AF598" s="1397"/>
      <c r="AG598" s="1397"/>
      <c r="AH598" s="1397"/>
      <c r="AI598" s="1397"/>
      <c r="AJ598" s="1397"/>
      <c r="AK598" s="1397"/>
      <c r="AL598"/>
      <c r="AM598"/>
      <c r="AN598"/>
      <c r="AO598"/>
      <c r="AP598"/>
      <c r="AQ598"/>
      <c r="AR598"/>
      <c r="AS598"/>
      <c r="AT598"/>
      <c r="AU598"/>
      <c r="AV598"/>
      <c r="AW598"/>
      <c r="AX598"/>
      <c r="AY598"/>
      <c r="BA598" s="4" t="s">
        <v>163</v>
      </c>
      <c r="BB598" s="3"/>
      <c r="BC598" s="3"/>
      <c r="BD598" s="3"/>
      <c r="BE598" s="1376">
        <f t="shared" si="1"/>
        <v>1</v>
      </c>
      <c r="BF598" s="1378"/>
      <c r="BG598" s="1394">
        <f t="shared" si="2"/>
        <v>43</v>
      </c>
      <c r="BH598" s="1395"/>
      <c r="BI598" s="1376">
        <f t="shared" si="3"/>
        <v>0</v>
      </c>
      <c r="BJ598" s="1378"/>
      <c r="BK598" s="1394">
        <f t="shared" si="4"/>
        <v>0</v>
      </c>
      <c r="BL598" s="1395"/>
      <c r="BM598" s="3"/>
      <c r="BN598" s="1390">
        <f t="shared" si="5"/>
        <v>43</v>
      </c>
      <c r="BO598" s="1391"/>
      <c r="BP598" s="1391"/>
      <c r="BQ598" s="1391"/>
      <c r="BR598" s="1392"/>
      <c r="BS598" s="1393">
        <f t="shared" si="6"/>
        <v>0</v>
      </c>
      <c r="BT598" s="1393"/>
      <c r="BU598" s="1393"/>
      <c r="BV598" s="1393"/>
      <c r="BW598" s="1393"/>
      <c r="BX598" s="1393">
        <f t="shared" si="7"/>
        <v>0</v>
      </c>
      <c r="BY598" s="1393"/>
      <c r="BZ598" s="1393"/>
      <c r="CA598" s="1393"/>
      <c r="CB598" s="1393"/>
      <c r="CC598" s="1393">
        <f t="shared" si="8"/>
        <v>0</v>
      </c>
      <c r="CD598" s="1393"/>
      <c r="CE598" s="1393"/>
      <c r="CF598" s="1393"/>
      <c r="CG598" s="1393"/>
      <c r="CH598" s="1393">
        <f t="shared" si="9"/>
        <v>0</v>
      </c>
      <c r="CI598" s="1393"/>
      <c r="CJ598" s="1393"/>
      <c r="CK598" s="1393"/>
      <c r="CL598" s="1393"/>
      <c r="CM598" s="1393">
        <f t="shared" si="10"/>
        <v>0</v>
      </c>
      <c r="CN598" s="1393"/>
      <c r="CO598" s="1393"/>
      <c r="CP598" s="1393"/>
      <c r="CQ598" s="1393"/>
      <c r="CR598" s="6"/>
      <c r="CS598" s="1380">
        <f t="shared" si="11"/>
        <v>0</v>
      </c>
      <c r="CT598" s="1380"/>
      <c r="CU598" s="1380"/>
      <c r="CV598" s="1380"/>
      <c r="CW598" s="1380"/>
      <c r="CX598" s="1380">
        <f t="shared" si="12"/>
        <v>0</v>
      </c>
      <c r="CY598" s="1380"/>
      <c r="CZ598" s="1380"/>
      <c r="DA598" s="1380"/>
      <c r="DB598" s="1380"/>
      <c r="DC598" s="1380">
        <f t="shared" si="13"/>
        <v>0</v>
      </c>
      <c r="DD598" s="1380"/>
      <c r="DE598" s="1380"/>
      <c r="DF598" s="1380"/>
      <c r="DG598" s="1380"/>
      <c r="DH598" s="1380">
        <f t="shared" si="14"/>
        <v>0</v>
      </c>
      <c r="DI598" s="1380"/>
      <c r="DJ598" s="1380"/>
      <c r="DK598" s="1380"/>
      <c r="DL598" s="1380"/>
      <c r="DM598" s="1380">
        <f t="shared" si="15"/>
        <v>0</v>
      </c>
      <c r="DN598" s="1380"/>
      <c r="DO598" s="1380"/>
      <c r="DP598" s="1380"/>
      <c r="DQ598" s="1380"/>
      <c r="DR598" s="1380">
        <f t="shared" si="16"/>
        <v>0</v>
      </c>
      <c r="DS598" s="1380"/>
      <c r="DT598" s="1380"/>
      <c r="DU598" s="1380"/>
      <c r="DV598" s="1380"/>
      <c r="DX598" s="1376">
        <f t="shared" si="17"/>
        <v>1713</v>
      </c>
      <c r="DY598" s="1377"/>
      <c r="DZ598" s="1377"/>
      <c r="EA598" s="1377"/>
      <c r="EB598" s="1378"/>
      <c r="EC598" s="1376" t="str">
        <f t="shared" si="18"/>
        <v/>
      </c>
      <c r="ED598" s="1377"/>
      <c r="EE598" s="1377"/>
      <c r="EF598" s="1377"/>
      <c r="EG598" s="1378"/>
      <c r="EH598" s="1376" t="str">
        <f t="shared" si="19"/>
        <v/>
      </c>
      <c r="EI598" s="1377"/>
      <c r="EJ598" s="1377"/>
      <c r="EK598" s="1377"/>
      <c r="EL598" s="1378"/>
      <c r="EM598" s="1376" t="str">
        <f t="shared" si="20"/>
        <v/>
      </c>
      <c r="EN598" s="1377"/>
      <c r="EO598" s="1377"/>
      <c r="EP598" s="1377"/>
      <c r="EQ598" s="1378"/>
      <c r="ER598" s="1376" t="str">
        <f t="shared" si="21"/>
        <v/>
      </c>
      <c r="ES598" s="1377"/>
      <c r="ET598" s="1377"/>
      <c r="EU598" s="1377"/>
      <c r="EV598" s="1378"/>
      <c r="EW598" s="1376" t="str">
        <f t="shared" si="22"/>
        <v/>
      </c>
      <c r="EX598" s="1377"/>
      <c r="EY598" s="1377"/>
      <c r="EZ598" s="1377"/>
      <c r="FA598" s="1378"/>
    </row>
    <row r="599" spans="1:157" ht="12.9" customHeight="1">
      <c r="A599" s="22"/>
      <c r="B599" t="s">
        <v>20</v>
      </c>
      <c r="N599" s="1415" t="s">
        <v>552</v>
      </c>
      <c r="O599" s="1415"/>
      <c r="T599" s="22"/>
      <c r="U599" t="s">
        <v>20</v>
      </c>
      <c r="AG599" s="1415" t="s">
        <v>552</v>
      </c>
      <c r="AH599" s="1415"/>
      <c r="BA599" s="4" t="s">
        <v>164</v>
      </c>
      <c r="BB599" s="3"/>
      <c r="BC599" s="3"/>
      <c r="BD599" s="3"/>
      <c r="BE599" s="1376">
        <f t="shared" si="1"/>
        <v>0</v>
      </c>
      <c r="BF599" s="1378"/>
      <c r="BG599" s="1394">
        <f t="shared" si="2"/>
        <v>0</v>
      </c>
      <c r="BH599" s="1395"/>
      <c r="BI599" s="1376">
        <f t="shared" si="3"/>
        <v>0</v>
      </c>
      <c r="BJ599" s="1378"/>
      <c r="BK599" s="1394">
        <f t="shared" si="4"/>
        <v>0</v>
      </c>
      <c r="BL599" s="1395"/>
      <c r="BM599" s="3"/>
      <c r="BN599" s="1390">
        <f t="shared" si="5"/>
        <v>103</v>
      </c>
      <c r="BO599" s="1391"/>
      <c r="BP599" s="1391"/>
      <c r="BQ599" s="1391"/>
      <c r="BR599" s="1392"/>
      <c r="BS599" s="1393">
        <f t="shared" si="6"/>
        <v>0</v>
      </c>
      <c r="BT599" s="1393"/>
      <c r="BU599" s="1393"/>
      <c r="BV599" s="1393"/>
      <c r="BW599" s="1393"/>
      <c r="BX599" s="1393">
        <f t="shared" si="7"/>
        <v>0</v>
      </c>
      <c r="BY599" s="1393"/>
      <c r="BZ599" s="1393"/>
      <c r="CA599" s="1393"/>
      <c r="CB599" s="1393"/>
      <c r="CC599" s="1393">
        <f t="shared" si="8"/>
        <v>0</v>
      </c>
      <c r="CD599" s="1393"/>
      <c r="CE599" s="1393"/>
      <c r="CF599" s="1393"/>
      <c r="CG599" s="1393"/>
      <c r="CH599" s="1393">
        <f t="shared" si="9"/>
        <v>0</v>
      </c>
      <c r="CI599" s="1393"/>
      <c r="CJ599" s="1393"/>
      <c r="CK599" s="1393"/>
      <c r="CL599" s="1393"/>
      <c r="CM599" s="1393">
        <f t="shared" si="10"/>
        <v>0</v>
      </c>
      <c r="CN599" s="1393"/>
      <c r="CO599" s="1393"/>
      <c r="CP599" s="1393"/>
      <c r="CQ599" s="1393"/>
      <c r="CR599" s="6"/>
      <c r="CS599" s="1380">
        <f t="shared" si="11"/>
        <v>0</v>
      </c>
      <c r="CT599" s="1380"/>
      <c r="CU599" s="1380"/>
      <c r="CV599" s="1380"/>
      <c r="CW599" s="1380"/>
      <c r="CX599" s="1380">
        <f t="shared" si="12"/>
        <v>0</v>
      </c>
      <c r="CY599" s="1380"/>
      <c r="CZ599" s="1380"/>
      <c r="DA599" s="1380"/>
      <c r="DB599" s="1380"/>
      <c r="DC599" s="1380">
        <f t="shared" si="13"/>
        <v>0</v>
      </c>
      <c r="DD599" s="1380"/>
      <c r="DE599" s="1380"/>
      <c r="DF599" s="1380"/>
      <c r="DG599" s="1380"/>
      <c r="DH599" s="1380">
        <f t="shared" si="14"/>
        <v>0</v>
      </c>
      <c r="DI599" s="1380"/>
      <c r="DJ599" s="1380"/>
      <c r="DK599" s="1380"/>
      <c r="DL599" s="1380"/>
      <c r="DM599" s="1380">
        <f t="shared" si="15"/>
        <v>0</v>
      </c>
      <c r="DN599" s="1380"/>
      <c r="DO599" s="1380"/>
      <c r="DP599" s="1380"/>
      <c r="DQ599" s="1380"/>
      <c r="DR599" s="1380">
        <f t="shared" si="16"/>
        <v>0</v>
      </c>
      <c r="DS599" s="1380"/>
      <c r="DT599" s="1380"/>
      <c r="DU599" s="1380"/>
      <c r="DV599" s="1380"/>
      <c r="DX599" s="1376">
        <f t="shared" si="17"/>
        <v>2056</v>
      </c>
      <c r="DY599" s="1377"/>
      <c r="DZ599" s="1377"/>
      <c r="EA599" s="1377"/>
      <c r="EB599" s="1378"/>
      <c r="EC599" s="1376" t="str">
        <f t="shared" si="18"/>
        <v/>
      </c>
      <c r="ED599" s="1377"/>
      <c r="EE599" s="1377"/>
      <c r="EF599" s="1377"/>
      <c r="EG599" s="1378"/>
      <c r="EH599" s="1376" t="str">
        <f t="shared" si="19"/>
        <v/>
      </c>
      <c r="EI599" s="1377"/>
      <c r="EJ599" s="1377"/>
      <c r="EK599" s="1377"/>
      <c r="EL599" s="1378"/>
      <c r="EM599" s="1376" t="str">
        <f t="shared" si="20"/>
        <v/>
      </c>
      <c r="EN599" s="1377"/>
      <c r="EO599" s="1377"/>
      <c r="EP599" s="1377"/>
      <c r="EQ599" s="1378"/>
      <c r="ER599" s="1376" t="str">
        <f t="shared" si="21"/>
        <v/>
      </c>
      <c r="ES599" s="1377"/>
      <c r="ET599" s="1377"/>
      <c r="EU599" s="1377"/>
      <c r="EV599" s="1378"/>
      <c r="EW599" s="1376" t="str">
        <f t="shared" si="22"/>
        <v/>
      </c>
      <c r="EX599" s="1377"/>
      <c r="EY599" s="1377"/>
      <c r="EZ599" s="1377"/>
      <c r="FA599" s="1378"/>
    </row>
    <row r="600" spans="1:157" ht="12.9" customHeight="1">
      <c r="A600" s="22"/>
      <c r="T600" s="22"/>
      <c r="BA600" s="4" t="s">
        <v>165</v>
      </c>
      <c r="BB600" s="3"/>
      <c r="BC600" s="3"/>
      <c r="BD600" s="3"/>
      <c r="BE600" s="1376">
        <f t="shared" si="1"/>
        <v>0</v>
      </c>
      <c r="BF600" s="1378"/>
      <c r="BG600" s="1394">
        <f t="shared" si="2"/>
        <v>0</v>
      </c>
      <c r="BH600" s="1395"/>
      <c r="BI600" s="1376">
        <f t="shared" si="3"/>
        <v>0</v>
      </c>
      <c r="BJ600" s="1378"/>
      <c r="BK600" s="1394">
        <f t="shared" si="4"/>
        <v>0</v>
      </c>
      <c r="BL600" s="1395"/>
      <c r="BM600" s="3"/>
      <c r="BN600" s="1390">
        <f t="shared" si="5"/>
        <v>217</v>
      </c>
      <c r="BO600" s="1391"/>
      <c r="BP600" s="1391"/>
      <c r="BQ600" s="1391"/>
      <c r="BR600" s="1392"/>
      <c r="BS600" s="1393">
        <f t="shared" si="6"/>
        <v>0</v>
      </c>
      <c r="BT600" s="1393"/>
      <c r="BU600" s="1393"/>
      <c r="BV600" s="1393"/>
      <c r="BW600" s="1393"/>
      <c r="BX600" s="1393">
        <f t="shared" si="7"/>
        <v>0</v>
      </c>
      <c r="BY600" s="1393"/>
      <c r="BZ600" s="1393"/>
      <c r="CA600" s="1393"/>
      <c r="CB600" s="1393"/>
      <c r="CC600" s="1393">
        <f t="shared" si="8"/>
        <v>0</v>
      </c>
      <c r="CD600" s="1393"/>
      <c r="CE600" s="1393"/>
      <c r="CF600" s="1393"/>
      <c r="CG600" s="1393"/>
      <c r="CH600" s="1393">
        <f t="shared" si="9"/>
        <v>0</v>
      </c>
      <c r="CI600" s="1393"/>
      <c r="CJ600" s="1393"/>
      <c r="CK600" s="1393"/>
      <c r="CL600" s="1393"/>
      <c r="CM600" s="1393">
        <f t="shared" si="10"/>
        <v>0</v>
      </c>
      <c r="CN600" s="1393"/>
      <c r="CO600" s="1393"/>
      <c r="CP600" s="1393"/>
      <c r="CQ600" s="1393"/>
      <c r="CR600" s="6"/>
      <c r="CS600" s="1380">
        <f t="shared" si="11"/>
        <v>0</v>
      </c>
      <c r="CT600" s="1380"/>
      <c r="CU600" s="1380"/>
      <c r="CV600" s="1380"/>
      <c r="CW600" s="1380"/>
      <c r="CX600" s="1380">
        <f t="shared" si="12"/>
        <v>0</v>
      </c>
      <c r="CY600" s="1380"/>
      <c r="CZ600" s="1380"/>
      <c r="DA600" s="1380"/>
      <c r="DB600" s="1380"/>
      <c r="DC600" s="1380">
        <f t="shared" si="13"/>
        <v>0</v>
      </c>
      <c r="DD600" s="1380"/>
      <c r="DE600" s="1380"/>
      <c r="DF600" s="1380"/>
      <c r="DG600" s="1380"/>
      <c r="DH600" s="1380">
        <f t="shared" si="14"/>
        <v>0</v>
      </c>
      <c r="DI600" s="1380"/>
      <c r="DJ600" s="1380"/>
      <c r="DK600" s="1380"/>
      <c r="DL600" s="1380"/>
      <c r="DM600" s="1380">
        <f t="shared" si="15"/>
        <v>0</v>
      </c>
      <c r="DN600" s="1380"/>
      <c r="DO600" s="1380"/>
      <c r="DP600" s="1380"/>
      <c r="DQ600" s="1380"/>
      <c r="DR600" s="1380">
        <f t="shared" si="16"/>
        <v>0</v>
      </c>
      <c r="DS600" s="1380"/>
      <c r="DT600" s="1380"/>
      <c r="DU600" s="1380"/>
      <c r="DV600" s="1380"/>
      <c r="DX600" s="1376">
        <f t="shared" si="17"/>
        <v>2399</v>
      </c>
      <c r="DY600" s="1377"/>
      <c r="DZ600" s="1377"/>
      <c r="EA600" s="1377"/>
      <c r="EB600" s="1378"/>
      <c r="EC600" s="1376" t="str">
        <f t="shared" si="18"/>
        <v/>
      </c>
      <c r="ED600" s="1377"/>
      <c r="EE600" s="1377"/>
      <c r="EF600" s="1377"/>
      <c r="EG600" s="1378"/>
      <c r="EH600" s="1376" t="str">
        <f t="shared" si="19"/>
        <v/>
      </c>
      <c r="EI600" s="1377"/>
      <c r="EJ600" s="1377"/>
      <c r="EK600" s="1377"/>
      <c r="EL600" s="1378"/>
      <c r="EM600" s="1376" t="str">
        <f t="shared" si="20"/>
        <v/>
      </c>
      <c r="EN600" s="1377"/>
      <c r="EO600" s="1377"/>
      <c r="EP600" s="1377"/>
      <c r="EQ600" s="1378"/>
      <c r="ER600" s="1376" t="str">
        <f t="shared" si="21"/>
        <v/>
      </c>
      <c r="ES600" s="1377"/>
      <c r="ET600" s="1377"/>
      <c r="EU600" s="1377"/>
      <c r="EV600" s="1378"/>
      <c r="EW600" s="1376" t="str">
        <f t="shared" si="22"/>
        <v/>
      </c>
      <c r="EX600" s="1377"/>
      <c r="EY600" s="1377"/>
      <c r="EZ600" s="1377"/>
      <c r="FA600" s="1378"/>
    </row>
    <row r="601" spans="1:157" ht="12.9" customHeight="1">
      <c r="A601" s="55" t="s">
        <v>468</v>
      </c>
      <c r="B601" t="s">
        <v>470</v>
      </c>
      <c r="G601" s="1511">
        <f>C562</f>
        <v>0</v>
      </c>
      <c r="H601" s="1511"/>
      <c r="I601" s="1511"/>
      <c r="J601" s="1511"/>
      <c r="K601" s="1511"/>
      <c r="L601" s="1511"/>
      <c r="M601" s="1511"/>
      <c r="N601" s="1511"/>
      <c r="O601" s="1511"/>
      <c r="P601" s="1511"/>
      <c r="Q601" s="1511"/>
      <c r="R601" s="1511"/>
      <c r="T601" s="55" t="s">
        <v>653</v>
      </c>
      <c r="U601" t="s">
        <v>470</v>
      </c>
      <c r="Z601" s="1511">
        <f>C563</f>
        <v>0</v>
      </c>
      <c r="AA601" s="1511"/>
      <c r="AB601" s="1511"/>
      <c r="AC601" s="1511"/>
      <c r="AD601" s="1511"/>
      <c r="AE601" s="1511"/>
      <c r="AF601" s="1511"/>
      <c r="AG601" s="1511"/>
      <c r="AH601" s="1511"/>
      <c r="AI601" s="1511"/>
      <c r="AJ601" s="1511"/>
      <c r="AK601" s="1511"/>
      <c r="BA601" s="4" t="s">
        <v>30</v>
      </c>
      <c r="BB601" s="3"/>
      <c r="BC601" s="3"/>
      <c r="BD601" s="3"/>
      <c r="BE601" s="1376">
        <f t="shared" si="1"/>
        <v>0</v>
      </c>
      <c r="BF601" s="1378"/>
      <c r="BG601" s="1394">
        <f t="shared" si="2"/>
        <v>0</v>
      </c>
      <c r="BH601" s="1395"/>
      <c r="BI601" s="1376">
        <f t="shared" si="3"/>
        <v>0</v>
      </c>
      <c r="BJ601" s="1378"/>
      <c r="BK601" s="1394">
        <f t="shared" si="4"/>
        <v>0</v>
      </c>
      <c r="BL601" s="1395"/>
      <c r="BM601" s="3"/>
      <c r="BN601" s="1390">
        <f t="shared" si="5"/>
        <v>0</v>
      </c>
      <c r="BO601" s="1391"/>
      <c r="BP601" s="1391"/>
      <c r="BQ601" s="1391"/>
      <c r="BR601" s="1392"/>
      <c r="BS601" s="1393">
        <f t="shared" si="6"/>
        <v>0</v>
      </c>
      <c r="BT601" s="1393"/>
      <c r="BU601" s="1393"/>
      <c r="BV601" s="1393"/>
      <c r="BW601" s="1393"/>
      <c r="BX601" s="1393">
        <f t="shared" si="7"/>
        <v>0</v>
      </c>
      <c r="BY601" s="1393"/>
      <c r="BZ601" s="1393"/>
      <c r="CA601" s="1393"/>
      <c r="CB601" s="1393"/>
      <c r="CC601" s="1393">
        <f t="shared" si="8"/>
        <v>0</v>
      </c>
      <c r="CD601" s="1393"/>
      <c r="CE601" s="1393"/>
      <c r="CF601" s="1393"/>
      <c r="CG601" s="1393"/>
      <c r="CH601" s="1393">
        <f t="shared" si="9"/>
        <v>0</v>
      </c>
      <c r="CI601" s="1393"/>
      <c r="CJ601" s="1393"/>
      <c r="CK601" s="1393"/>
      <c r="CL601" s="1393"/>
      <c r="CM601" s="1393">
        <f t="shared" si="10"/>
        <v>0</v>
      </c>
      <c r="CN601" s="1393"/>
      <c r="CO601" s="1393"/>
      <c r="CP601" s="1393"/>
      <c r="CQ601" s="1393"/>
      <c r="CR601" s="6"/>
      <c r="CS601" s="1380">
        <f t="shared" si="11"/>
        <v>0</v>
      </c>
      <c r="CT601" s="1380"/>
      <c r="CU601" s="1380"/>
      <c r="CV601" s="1380"/>
      <c r="CW601" s="1380"/>
      <c r="CX601" s="1380">
        <f t="shared" si="12"/>
        <v>0</v>
      </c>
      <c r="CY601" s="1380"/>
      <c r="CZ601" s="1380"/>
      <c r="DA601" s="1380"/>
      <c r="DB601" s="1380"/>
      <c r="DC601" s="1380">
        <f t="shared" si="13"/>
        <v>0</v>
      </c>
      <c r="DD601" s="1380"/>
      <c r="DE601" s="1380"/>
      <c r="DF601" s="1380"/>
      <c r="DG601" s="1380"/>
      <c r="DH601" s="1380">
        <f t="shared" si="14"/>
        <v>0</v>
      </c>
      <c r="DI601" s="1380"/>
      <c r="DJ601" s="1380"/>
      <c r="DK601" s="1380"/>
      <c r="DL601" s="1380"/>
      <c r="DM601" s="1380">
        <f t="shared" si="15"/>
        <v>0</v>
      </c>
      <c r="DN601" s="1380"/>
      <c r="DO601" s="1380"/>
      <c r="DP601" s="1380"/>
      <c r="DQ601" s="1380"/>
      <c r="DR601" s="1380">
        <f t="shared" si="16"/>
        <v>0</v>
      </c>
      <c r="DS601" s="1380"/>
      <c r="DT601" s="1380"/>
      <c r="DU601" s="1380"/>
      <c r="DV601" s="1380"/>
      <c r="DX601" s="1376" t="str">
        <f t="shared" si="17"/>
        <v/>
      </c>
      <c r="DY601" s="1377"/>
      <c r="DZ601" s="1377"/>
      <c r="EA601" s="1377"/>
      <c r="EB601" s="1378"/>
      <c r="EC601" s="1376" t="str">
        <f t="shared" si="18"/>
        <v/>
      </c>
      <c r="ED601" s="1377"/>
      <c r="EE601" s="1377"/>
      <c r="EF601" s="1377"/>
      <c r="EG601" s="1378"/>
      <c r="EH601" s="1376" t="str">
        <f t="shared" si="19"/>
        <v/>
      </c>
      <c r="EI601" s="1377"/>
      <c r="EJ601" s="1377"/>
      <c r="EK601" s="1377"/>
      <c r="EL601" s="1378"/>
      <c r="EM601" s="1376" t="str">
        <f t="shared" si="20"/>
        <v/>
      </c>
      <c r="EN601" s="1377"/>
      <c r="EO601" s="1377"/>
      <c r="EP601" s="1377"/>
      <c r="EQ601" s="1378"/>
      <c r="ER601" s="1376" t="str">
        <f t="shared" si="21"/>
        <v/>
      </c>
      <c r="ES601" s="1377"/>
      <c r="ET601" s="1377"/>
      <c r="EU601" s="1377"/>
      <c r="EV601" s="1378"/>
      <c r="EW601" s="1376" t="str">
        <f t="shared" si="22"/>
        <v/>
      </c>
      <c r="EX601" s="1377"/>
      <c r="EY601" s="1377"/>
      <c r="EZ601" s="1377"/>
      <c r="FA601" s="1378"/>
    </row>
    <row r="602" spans="1:157" ht="12.9" customHeight="1">
      <c r="A602" s="22"/>
      <c r="B602" t="s">
        <v>85</v>
      </c>
      <c r="G602" s="1397"/>
      <c r="H602" s="1397"/>
      <c r="I602" s="1397"/>
      <c r="J602" s="1397"/>
      <c r="K602" s="1397"/>
      <c r="L602" s="1397"/>
      <c r="M602" s="1397"/>
      <c r="N602" s="1397"/>
      <c r="O602" s="1397"/>
      <c r="P602" s="1397"/>
      <c r="Q602" s="1397"/>
      <c r="R602" s="1397"/>
      <c r="T602" s="22"/>
      <c r="U602" t="s">
        <v>85</v>
      </c>
      <c r="Z602" s="1397"/>
      <c r="AA602" s="1397"/>
      <c r="AB602" s="1397"/>
      <c r="AC602" s="1397"/>
      <c r="AD602" s="1397"/>
      <c r="AE602" s="1397"/>
      <c r="AF602" s="1397"/>
      <c r="AG602" s="1397"/>
      <c r="AH602" s="1397"/>
      <c r="AI602" s="1397"/>
      <c r="AJ602" s="1397"/>
      <c r="AK602" s="1397"/>
      <c r="AZ602" s="3"/>
      <c r="BA602" s="3"/>
      <c r="BB602" s="3"/>
      <c r="BC602" s="3"/>
      <c r="BD602" s="3"/>
      <c r="BE602" s="1376">
        <f t="shared" si="1"/>
        <v>0</v>
      </c>
      <c r="BF602" s="1378"/>
      <c r="BG602" s="1394">
        <f t="shared" si="2"/>
        <v>0</v>
      </c>
      <c r="BH602" s="1395"/>
      <c r="BI602" s="1376">
        <f t="shared" si="3"/>
        <v>0</v>
      </c>
      <c r="BJ602" s="1378"/>
      <c r="BK602" s="1394">
        <f t="shared" si="4"/>
        <v>0</v>
      </c>
      <c r="BL602" s="1395"/>
      <c r="BM602" s="3"/>
      <c r="BN602" s="1390">
        <f t="shared" si="5"/>
        <v>0</v>
      </c>
      <c r="BO602" s="1391"/>
      <c r="BP602" s="1391"/>
      <c r="BQ602" s="1391"/>
      <c r="BR602" s="1392"/>
      <c r="BS602" s="1393">
        <f t="shared" si="6"/>
        <v>0</v>
      </c>
      <c r="BT602" s="1393"/>
      <c r="BU602" s="1393"/>
      <c r="BV602" s="1393"/>
      <c r="BW602" s="1393"/>
      <c r="BX602" s="1393">
        <f t="shared" si="7"/>
        <v>0</v>
      </c>
      <c r="BY602" s="1393"/>
      <c r="BZ602" s="1393"/>
      <c r="CA602" s="1393"/>
      <c r="CB602" s="1393"/>
      <c r="CC602" s="1393">
        <f t="shared" si="8"/>
        <v>0</v>
      </c>
      <c r="CD602" s="1393"/>
      <c r="CE602" s="1393"/>
      <c r="CF602" s="1393"/>
      <c r="CG602" s="1393"/>
      <c r="CH602" s="1393">
        <f t="shared" si="9"/>
        <v>0</v>
      </c>
      <c r="CI602" s="1393"/>
      <c r="CJ602" s="1393"/>
      <c r="CK602" s="1393"/>
      <c r="CL602" s="1393"/>
      <c r="CM602" s="1393">
        <f t="shared" si="10"/>
        <v>0</v>
      </c>
      <c r="CN602" s="1393"/>
      <c r="CO602" s="1393"/>
      <c r="CP602" s="1393"/>
      <c r="CQ602" s="1393"/>
      <c r="CR602" s="6"/>
      <c r="CS602" s="1380">
        <f t="shared" si="11"/>
        <v>0</v>
      </c>
      <c r="CT602" s="1380"/>
      <c r="CU602" s="1380"/>
      <c r="CV602" s="1380"/>
      <c r="CW602" s="1380"/>
      <c r="CX602" s="1380">
        <f t="shared" si="12"/>
        <v>0</v>
      </c>
      <c r="CY602" s="1380"/>
      <c r="CZ602" s="1380"/>
      <c r="DA602" s="1380"/>
      <c r="DB602" s="1380"/>
      <c r="DC602" s="1380">
        <f t="shared" si="13"/>
        <v>0</v>
      </c>
      <c r="DD602" s="1380"/>
      <c r="DE602" s="1380"/>
      <c r="DF602" s="1380"/>
      <c r="DG602" s="1380"/>
      <c r="DH602" s="1380">
        <f t="shared" si="14"/>
        <v>0</v>
      </c>
      <c r="DI602" s="1380"/>
      <c r="DJ602" s="1380"/>
      <c r="DK602" s="1380"/>
      <c r="DL602" s="1380"/>
      <c r="DM602" s="1380">
        <f t="shared" si="15"/>
        <v>0</v>
      </c>
      <c r="DN602" s="1380"/>
      <c r="DO602" s="1380"/>
      <c r="DP602" s="1380"/>
      <c r="DQ602" s="1380"/>
      <c r="DR602" s="1380">
        <f t="shared" si="16"/>
        <v>0</v>
      </c>
      <c r="DS602" s="1380"/>
      <c r="DT602" s="1380"/>
      <c r="DU602" s="1380"/>
      <c r="DV602" s="1380"/>
      <c r="DX602" s="1376" t="str">
        <f t="shared" si="17"/>
        <v/>
      </c>
      <c r="DY602" s="1377"/>
      <c r="DZ602" s="1377"/>
      <c r="EA602" s="1377"/>
      <c r="EB602" s="1378"/>
      <c r="EC602" s="1376" t="str">
        <f t="shared" si="18"/>
        <v/>
      </c>
      <c r="ED602" s="1377"/>
      <c r="EE602" s="1377"/>
      <c r="EF602" s="1377"/>
      <c r="EG602" s="1378"/>
      <c r="EH602" s="1376" t="str">
        <f t="shared" si="19"/>
        <v/>
      </c>
      <c r="EI602" s="1377"/>
      <c r="EJ602" s="1377"/>
      <c r="EK602" s="1377"/>
      <c r="EL602" s="1378"/>
      <c r="EM602" s="1376" t="str">
        <f t="shared" si="20"/>
        <v/>
      </c>
      <c r="EN602" s="1377"/>
      <c r="EO602" s="1377"/>
      <c r="EP602" s="1377"/>
      <c r="EQ602" s="1378"/>
      <c r="ER602" s="1376" t="str">
        <f t="shared" si="21"/>
        <v/>
      </c>
      <c r="ES602" s="1377"/>
      <c r="ET602" s="1377"/>
      <c r="EU602" s="1377"/>
      <c r="EV602" s="1378"/>
      <c r="EW602" s="1376" t="str">
        <f t="shared" si="22"/>
        <v/>
      </c>
      <c r="EX602" s="1377"/>
      <c r="EY602" s="1377"/>
      <c r="EZ602" s="1377"/>
      <c r="FA602" s="1378"/>
    </row>
    <row r="603" spans="1:157" ht="12.9" customHeight="1">
      <c r="A603" s="22"/>
      <c r="B603" t="s">
        <v>587</v>
      </c>
      <c r="G603" s="1397"/>
      <c r="H603" s="1397"/>
      <c r="I603" s="1397"/>
      <c r="J603" s="1397"/>
      <c r="K603" s="1397"/>
      <c r="L603" s="1397"/>
      <c r="M603" s="1397"/>
      <c r="N603" s="1397"/>
      <c r="O603" s="1397"/>
      <c r="P603" s="1397"/>
      <c r="Q603" s="1397"/>
      <c r="R603" s="1397"/>
      <c r="T603" s="22"/>
      <c r="U603" t="s">
        <v>587</v>
      </c>
      <c r="Z603" s="1396"/>
      <c r="AA603" s="1396"/>
      <c r="AB603" s="1396"/>
      <c r="AC603" s="1396"/>
      <c r="AD603" s="1396"/>
      <c r="AE603" s="1396"/>
      <c r="AF603" s="1396"/>
      <c r="AG603" s="1396"/>
      <c r="AH603" s="1396"/>
      <c r="AI603" s="1396"/>
      <c r="AJ603" s="1396"/>
      <c r="AK603" s="1396"/>
      <c r="AZ603" s="3"/>
      <c r="BA603" s="3"/>
      <c r="BB603" s="3"/>
      <c r="BC603" s="3"/>
      <c r="BD603" s="3"/>
      <c r="BE603" s="1376">
        <f t="shared" si="1"/>
        <v>0</v>
      </c>
      <c r="BF603" s="1378"/>
      <c r="BG603" s="1394">
        <f t="shared" si="2"/>
        <v>0</v>
      </c>
      <c r="BH603" s="1395"/>
      <c r="BI603" s="1376">
        <f t="shared" si="3"/>
        <v>0</v>
      </c>
      <c r="BJ603" s="1378"/>
      <c r="BK603" s="1394">
        <f t="shared" si="4"/>
        <v>0</v>
      </c>
      <c r="BL603" s="1395"/>
      <c r="BM603" s="3"/>
      <c r="BN603" s="1390">
        <f t="shared" si="5"/>
        <v>0</v>
      </c>
      <c r="BO603" s="1391"/>
      <c r="BP603" s="1391"/>
      <c r="BQ603" s="1391"/>
      <c r="BR603" s="1392"/>
      <c r="BS603" s="1393">
        <f t="shared" si="6"/>
        <v>0</v>
      </c>
      <c r="BT603" s="1393"/>
      <c r="BU603" s="1393"/>
      <c r="BV603" s="1393"/>
      <c r="BW603" s="1393"/>
      <c r="BX603" s="1393">
        <f t="shared" si="7"/>
        <v>0</v>
      </c>
      <c r="BY603" s="1393"/>
      <c r="BZ603" s="1393"/>
      <c r="CA603" s="1393"/>
      <c r="CB603" s="1393"/>
      <c r="CC603" s="1393">
        <f t="shared" si="8"/>
        <v>0</v>
      </c>
      <c r="CD603" s="1393"/>
      <c r="CE603" s="1393"/>
      <c r="CF603" s="1393"/>
      <c r="CG603" s="1393"/>
      <c r="CH603" s="1393">
        <f t="shared" si="9"/>
        <v>0</v>
      </c>
      <c r="CI603" s="1393"/>
      <c r="CJ603" s="1393"/>
      <c r="CK603" s="1393"/>
      <c r="CL603" s="1393"/>
      <c r="CM603" s="1393">
        <f t="shared" si="10"/>
        <v>0</v>
      </c>
      <c r="CN603" s="1393"/>
      <c r="CO603" s="1393"/>
      <c r="CP603" s="1393"/>
      <c r="CQ603" s="1393"/>
      <c r="CR603" s="6"/>
      <c r="CS603" s="1380">
        <f t="shared" si="11"/>
        <v>0</v>
      </c>
      <c r="CT603" s="1380"/>
      <c r="CU603" s="1380"/>
      <c r="CV603" s="1380"/>
      <c r="CW603" s="1380"/>
      <c r="CX603" s="1380">
        <f t="shared" si="12"/>
        <v>0</v>
      </c>
      <c r="CY603" s="1380"/>
      <c r="CZ603" s="1380"/>
      <c r="DA603" s="1380"/>
      <c r="DB603" s="1380"/>
      <c r="DC603" s="1380">
        <f t="shared" si="13"/>
        <v>0</v>
      </c>
      <c r="DD603" s="1380"/>
      <c r="DE603" s="1380"/>
      <c r="DF603" s="1380"/>
      <c r="DG603" s="1380"/>
      <c r="DH603" s="1380">
        <f t="shared" si="14"/>
        <v>0</v>
      </c>
      <c r="DI603" s="1380"/>
      <c r="DJ603" s="1380"/>
      <c r="DK603" s="1380"/>
      <c r="DL603" s="1380"/>
      <c r="DM603" s="1380">
        <f t="shared" si="15"/>
        <v>0</v>
      </c>
      <c r="DN603" s="1380"/>
      <c r="DO603" s="1380"/>
      <c r="DP603" s="1380"/>
      <c r="DQ603" s="1380"/>
      <c r="DR603" s="1380">
        <f t="shared" si="16"/>
        <v>0</v>
      </c>
      <c r="DS603" s="1380"/>
      <c r="DT603" s="1380"/>
      <c r="DU603" s="1380"/>
      <c r="DV603" s="1380"/>
      <c r="DX603" s="1376" t="str">
        <f t="shared" si="17"/>
        <v/>
      </c>
      <c r="DY603" s="1377"/>
      <c r="DZ603" s="1377"/>
      <c r="EA603" s="1377"/>
      <c r="EB603" s="1378"/>
      <c r="EC603" s="1376" t="str">
        <f t="shared" si="18"/>
        <v/>
      </c>
      <c r="ED603" s="1377"/>
      <c r="EE603" s="1377"/>
      <c r="EF603" s="1377"/>
      <c r="EG603" s="1378"/>
      <c r="EH603" s="1376" t="str">
        <f t="shared" si="19"/>
        <v/>
      </c>
      <c r="EI603" s="1377"/>
      <c r="EJ603" s="1377"/>
      <c r="EK603" s="1377"/>
      <c r="EL603" s="1378"/>
      <c r="EM603" s="1376" t="str">
        <f t="shared" si="20"/>
        <v/>
      </c>
      <c r="EN603" s="1377"/>
      <c r="EO603" s="1377"/>
      <c r="EP603" s="1377"/>
      <c r="EQ603" s="1378"/>
      <c r="ER603" s="1376" t="str">
        <f t="shared" si="21"/>
        <v/>
      </c>
      <c r="ES603" s="1377"/>
      <c r="ET603" s="1377"/>
      <c r="EU603" s="1377"/>
      <c r="EV603" s="1378"/>
      <c r="EW603" s="1376" t="str">
        <f t="shared" si="22"/>
        <v/>
      </c>
      <c r="EX603" s="1377"/>
      <c r="EY603" s="1377"/>
      <c r="EZ603" s="1377"/>
      <c r="FA603" s="1378"/>
    </row>
    <row r="604" spans="1:157" ht="12.9" customHeight="1">
      <c r="A604" s="22"/>
      <c r="B604" t="s">
        <v>17</v>
      </c>
      <c r="G604" s="1397"/>
      <c r="H604" s="1397"/>
      <c r="I604" s="1397"/>
      <c r="J604" s="1397"/>
      <c r="K604" s="1397"/>
      <c r="L604" s="1397"/>
      <c r="M604" s="1397"/>
      <c r="N604" s="1397"/>
      <c r="O604" s="1397"/>
      <c r="P604" s="1397"/>
      <c r="Q604" s="1397"/>
      <c r="R604" s="1397"/>
      <c r="T604" s="22"/>
      <c r="U604" t="s">
        <v>17</v>
      </c>
      <c r="Z604" s="1396"/>
      <c r="AA604" s="1396"/>
      <c r="AB604" s="1396"/>
      <c r="AC604" s="1396"/>
      <c r="AD604" s="1396"/>
      <c r="AE604" s="1396"/>
      <c r="AF604" s="1396"/>
      <c r="AG604" s="1396"/>
      <c r="AH604" s="1396"/>
      <c r="AI604" s="1396"/>
      <c r="AJ604" s="1396"/>
      <c r="AK604" s="1396"/>
      <c r="AZ604" s="3"/>
      <c r="BA604" s="3"/>
      <c r="BB604" s="3"/>
      <c r="BC604" s="3"/>
      <c r="BD604" s="3"/>
      <c r="BE604" s="1376">
        <f t="shared" si="1"/>
        <v>0</v>
      </c>
      <c r="BF604" s="1378"/>
      <c r="BG604" s="1394">
        <f t="shared" si="2"/>
        <v>0</v>
      </c>
      <c r="BH604" s="1395"/>
      <c r="BI604" s="1376">
        <f t="shared" si="3"/>
        <v>0</v>
      </c>
      <c r="BJ604" s="1378"/>
      <c r="BK604" s="1394">
        <f t="shared" si="4"/>
        <v>0</v>
      </c>
      <c r="BL604" s="1395"/>
      <c r="BM604" s="3"/>
      <c r="BN604" s="1390">
        <f t="shared" si="5"/>
        <v>0</v>
      </c>
      <c r="BO604" s="1391"/>
      <c r="BP604" s="1391"/>
      <c r="BQ604" s="1391"/>
      <c r="BR604" s="1392"/>
      <c r="BS604" s="1393">
        <f t="shared" si="6"/>
        <v>0</v>
      </c>
      <c r="BT604" s="1393"/>
      <c r="BU604" s="1393"/>
      <c r="BV604" s="1393"/>
      <c r="BW604" s="1393"/>
      <c r="BX604" s="1393">
        <f t="shared" si="7"/>
        <v>0</v>
      </c>
      <c r="BY604" s="1393"/>
      <c r="BZ604" s="1393"/>
      <c r="CA604" s="1393"/>
      <c r="CB604" s="1393"/>
      <c r="CC604" s="1393">
        <f t="shared" si="8"/>
        <v>0</v>
      </c>
      <c r="CD604" s="1393"/>
      <c r="CE604" s="1393"/>
      <c r="CF604" s="1393"/>
      <c r="CG604" s="1393"/>
      <c r="CH604" s="1393">
        <f t="shared" si="9"/>
        <v>0</v>
      </c>
      <c r="CI604" s="1393"/>
      <c r="CJ604" s="1393"/>
      <c r="CK604" s="1393"/>
      <c r="CL604" s="1393"/>
      <c r="CM604" s="1393">
        <f t="shared" si="10"/>
        <v>0</v>
      </c>
      <c r="CN604" s="1393"/>
      <c r="CO604" s="1393"/>
      <c r="CP604" s="1393"/>
      <c r="CQ604" s="1393"/>
      <c r="CR604" s="6"/>
      <c r="CS604" s="1380">
        <f t="shared" si="11"/>
        <v>0</v>
      </c>
      <c r="CT604" s="1380"/>
      <c r="CU604" s="1380"/>
      <c r="CV604" s="1380"/>
      <c r="CW604" s="1380"/>
      <c r="CX604" s="1380">
        <f t="shared" si="12"/>
        <v>0</v>
      </c>
      <c r="CY604" s="1380"/>
      <c r="CZ604" s="1380"/>
      <c r="DA604" s="1380"/>
      <c r="DB604" s="1380"/>
      <c r="DC604" s="1380">
        <f t="shared" si="13"/>
        <v>0</v>
      </c>
      <c r="DD604" s="1380"/>
      <c r="DE604" s="1380"/>
      <c r="DF604" s="1380"/>
      <c r="DG604" s="1380"/>
      <c r="DH604" s="1380">
        <f t="shared" si="14"/>
        <v>0</v>
      </c>
      <c r="DI604" s="1380"/>
      <c r="DJ604" s="1380"/>
      <c r="DK604" s="1380"/>
      <c r="DL604" s="1380"/>
      <c r="DM604" s="1380">
        <f t="shared" si="15"/>
        <v>0</v>
      </c>
      <c r="DN604" s="1380"/>
      <c r="DO604" s="1380"/>
      <c r="DP604" s="1380"/>
      <c r="DQ604" s="1380"/>
      <c r="DR604" s="1380">
        <f t="shared" si="16"/>
        <v>0</v>
      </c>
      <c r="DS604" s="1380"/>
      <c r="DT604" s="1380"/>
      <c r="DU604" s="1380"/>
      <c r="DV604" s="1380"/>
      <c r="DX604" s="1376" t="str">
        <f t="shared" si="17"/>
        <v/>
      </c>
      <c r="DY604" s="1377"/>
      <c r="DZ604" s="1377"/>
      <c r="EA604" s="1377"/>
      <c r="EB604" s="1378"/>
      <c r="EC604" s="1376" t="str">
        <f t="shared" si="18"/>
        <v/>
      </c>
      <c r="ED604" s="1377"/>
      <c r="EE604" s="1377"/>
      <c r="EF604" s="1377"/>
      <c r="EG604" s="1378"/>
      <c r="EH604" s="1376" t="str">
        <f t="shared" si="19"/>
        <v/>
      </c>
      <c r="EI604" s="1377"/>
      <c r="EJ604" s="1377"/>
      <c r="EK604" s="1377"/>
      <c r="EL604" s="1378"/>
      <c r="EM604" s="1376" t="str">
        <f t="shared" si="20"/>
        <v/>
      </c>
      <c r="EN604" s="1377"/>
      <c r="EO604" s="1377"/>
      <c r="EP604" s="1377"/>
      <c r="EQ604" s="1378"/>
      <c r="ER604" s="1376" t="str">
        <f t="shared" si="21"/>
        <v/>
      </c>
      <c r="ES604" s="1377"/>
      <c r="ET604" s="1377"/>
      <c r="EU604" s="1377"/>
      <c r="EV604" s="1378"/>
      <c r="EW604" s="1376" t="str">
        <f t="shared" si="22"/>
        <v/>
      </c>
      <c r="EX604" s="1377"/>
      <c r="EY604" s="1377"/>
      <c r="EZ604" s="1377"/>
      <c r="FA604" s="1378"/>
    </row>
    <row r="605" spans="1:157" s="4" customFormat="1" ht="12.9" customHeight="1">
      <c r="A605" s="22"/>
      <c r="B605" t="s">
        <v>316</v>
      </c>
      <c r="C605"/>
      <c r="D605"/>
      <c r="E605"/>
      <c r="F605"/>
      <c r="G605" s="1400"/>
      <c r="H605" s="1400"/>
      <c r="I605" s="1400"/>
      <c r="J605" s="1400"/>
      <c r="K605" s="1400"/>
      <c r="L605" s="1400"/>
      <c r="M605"/>
      <c r="N605"/>
      <c r="O605" s="33" t="s">
        <v>206</v>
      </c>
      <c r="P605" s="1399"/>
      <c r="Q605" s="1399"/>
      <c r="R605" s="1399"/>
      <c r="S605"/>
      <c r="T605" s="22"/>
      <c r="U605" t="s">
        <v>316</v>
      </c>
      <c r="V605"/>
      <c r="W605"/>
      <c r="X605"/>
      <c r="Y605"/>
      <c r="Z605" s="1400"/>
      <c r="AA605" s="1400"/>
      <c r="AB605" s="1400"/>
      <c r="AC605" s="1400"/>
      <c r="AD605" s="1400"/>
      <c r="AE605" s="1400"/>
      <c r="AF605"/>
      <c r="AG605"/>
      <c r="AH605" s="33" t="s">
        <v>206</v>
      </c>
      <c r="AI605" s="1399"/>
      <c r="AJ605" s="1399"/>
      <c r="AK605" s="1399"/>
      <c r="AL605"/>
      <c r="AM605"/>
      <c r="AN605"/>
      <c r="AO605"/>
      <c r="AP605"/>
      <c r="AQ605"/>
      <c r="AR605"/>
      <c r="AS605"/>
      <c r="AT605"/>
      <c r="AU605"/>
      <c r="AV605"/>
      <c r="AW605"/>
      <c r="AX605"/>
      <c r="AY605"/>
      <c r="AZ605" s="3"/>
      <c r="BA605" s="3"/>
      <c r="BB605" s="3"/>
      <c r="BC605" s="3"/>
      <c r="BD605" s="3"/>
      <c r="BE605" s="1376">
        <f t="shared" si="1"/>
        <v>0</v>
      </c>
      <c r="BF605" s="1378"/>
      <c r="BG605" s="1394">
        <f t="shared" si="2"/>
        <v>0</v>
      </c>
      <c r="BH605" s="1395"/>
      <c r="BI605" s="1376">
        <f t="shared" si="3"/>
        <v>0</v>
      </c>
      <c r="BJ605" s="1378"/>
      <c r="BK605" s="1394">
        <f t="shared" si="4"/>
        <v>0</v>
      </c>
      <c r="BL605" s="1395"/>
      <c r="BM605" s="3"/>
      <c r="BN605" s="1390">
        <f t="shared" si="5"/>
        <v>0</v>
      </c>
      <c r="BO605" s="1391"/>
      <c r="BP605" s="1391"/>
      <c r="BQ605" s="1391"/>
      <c r="BR605" s="1392"/>
      <c r="BS605" s="1393">
        <f t="shared" si="6"/>
        <v>0</v>
      </c>
      <c r="BT605" s="1393"/>
      <c r="BU605" s="1393"/>
      <c r="BV605" s="1393"/>
      <c r="BW605" s="1393"/>
      <c r="BX605" s="1393">
        <f t="shared" si="7"/>
        <v>0</v>
      </c>
      <c r="BY605" s="1393"/>
      <c r="BZ605" s="1393"/>
      <c r="CA605" s="1393"/>
      <c r="CB605" s="1393"/>
      <c r="CC605" s="1393">
        <f t="shared" si="8"/>
        <v>0</v>
      </c>
      <c r="CD605" s="1393"/>
      <c r="CE605" s="1393"/>
      <c r="CF605" s="1393"/>
      <c r="CG605" s="1393"/>
      <c r="CH605" s="1393">
        <f t="shared" si="9"/>
        <v>0</v>
      </c>
      <c r="CI605" s="1393"/>
      <c r="CJ605" s="1393"/>
      <c r="CK605" s="1393"/>
      <c r="CL605" s="1393"/>
      <c r="CM605" s="1393">
        <f t="shared" si="10"/>
        <v>0</v>
      </c>
      <c r="CN605" s="1393"/>
      <c r="CO605" s="1393"/>
      <c r="CP605" s="1393"/>
      <c r="CQ605" s="1393"/>
      <c r="CR605" s="6"/>
      <c r="CS605" s="1380">
        <f t="shared" si="11"/>
        <v>0</v>
      </c>
      <c r="CT605" s="1380"/>
      <c r="CU605" s="1380"/>
      <c r="CV605" s="1380"/>
      <c r="CW605" s="1380"/>
      <c r="CX605" s="1380">
        <f t="shared" si="12"/>
        <v>0</v>
      </c>
      <c r="CY605" s="1380"/>
      <c r="CZ605" s="1380"/>
      <c r="DA605" s="1380"/>
      <c r="DB605" s="1380"/>
      <c r="DC605" s="1380">
        <f t="shared" si="13"/>
        <v>0</v>
      </c>
      <c r="DD605" s="1380"/>
      <c r="DE605" s="1380"/>
      <c r="DF605" s="1380"/>
      <c r="DG605" s="1380"/>
      <c r="DH605" s="1380">
        <f t="shared" si="14"/>
        <v>0</v>
      </c>
      <c r="DI605" s="1380"/>
      <c r="DJ605" s="1380"/>
      <c r="DK605" s="1380"/>
      <c r="DL605" s="1380"/>
      <c r="DM605" s="1380">
        <f t="shared" si="15"/>
        <v>0</v>
      </c>
      <c r="DN605" s="1380"/>
      <c r="DO605" s="1380"/>
      <c r="DP605" s="1380"/>
      <c r="DQ605" s="1380"/>
      <c r="DR605" s="1380">
        <f t="shared" si="16"/>
        <v>0</v>
      </c>
      <c r="DS605" s="1380"/>
      <c r="DT605" s="1380"/>
      <c r="DU605" s="1380"/>
      <c r="DV605" s="1380"/>
      <c r="DX605" s="1376" t="str">
        <f t="shared" si="17"/>
        <v/>
      </c>
      <c r="DY605" s="1377"/>
      <c r="DZ605" s="1377"/>
      <c r="EA605" s="1377"/>
      <c r="EB605" s="1378"/>
      <c r="EC605" s="1376" t="str">
        <f t="shared" si="18"/>
        <v/>
      </c>
      <c r="ED605" s="1377"/>
      <c r="EE605" s="1377"/>
      <c r="EF605" s="1377"/>
      <c r="EG605" s="1378"/>
      <c r="EH605" s="1376" t="str">
        <f t="shared" si="19"/>
        <v/>
      </c>
      <c r="EI605" s="1377"/>
      <c r="EJ605" s="1377"/>
      <c r="EK605" s="1377"/>
      <c r="EL605" s="1378"/>
      <c r="EM605" s="1376" t="str">
        <f t="shared" si="20"/>
        <v/>
      </c>
      <c r="EN605" s="1377"/>
      <c r="EO605" s="1377"/>
      <c r="EP605" s="1377"/>
      <c r="EQ605" s="1378"/>
      <c r="ER605" s="1376" t="str">
        <f t="shared" si="21"/>
        <v/>
      </c>
      <c r="ES605" s="1377"/>
      <c r="ET605" s="1377"/>
      <c r="EU605" s="1377"/>
      <c r="EV605" s="1378"/>
      <c r="EW605" s="1376" t="str">
        <f t="shared" si="22"/>
        <v/>
      </c>
      <c r="EX605" s="1377"/>
      <c r="EY605" s="1377"/>
      <c r="EZ605" s="1377"/>
      <c r="FA605" s="1378"/>
    </row>
    <row r="606" spans="1:157" s="4" customFormat="1" ht="12.9" customHeight="1">
      <c r="A606" s="22"/>
      <c r="B606" t="s">
        <v>18</v>
      </c>
      <c r="C606"/>
      <c r="D606"/>
      <c r="E606"/>
      <c r="F606"/>
      <c r="G606"/>
      <c r="H606" s="1397"/>
      <c r="I606" s="1397"/>
      <c r="J606" s="1397"/>
      <c r="K606" s="1397"/>
      <c r="L606" s="1397"/>
      <c r="M606" s="1397"/>
      <c r="N606" s="1397"/>
      <c r="O606" s="1397"/>
      <c r="P606" s="1397"/>
      <c r="Q606" s="1397"/>
      <c r="R606" s="1397"/>
      <c r="S606"/>
      <c r="T606" s="22"/>
      <c r="U606" t="s">
        <v>18</v>
      </c>
      <c r="V606"/>
      <c r="W606"/>
      <c r="X606"/>
      <c r="Y606"/>
      <c r="Z606"/>
      <c r="AA606" s="1397"/>
      <c r="AB606" s="1397"/>
      <c r="AC606" s="1397"/>
      <c r="AD606" s="1397"/>
      <c r="AE606" s="1397"/>
      <c r="AF606" s="1397"/>
      <c r="AG606" s="1397"/>
      <c r="AH606" s="1397"/>
      <c r="AI606" s="1397"/>
      <c r="AJ606" s="1397"/>
      <c r="AK606" s="1397"/>
      <c r="AL606"/>
      <c r="AM606"/>
      <c r="AN606"/>
      <c r="AO606"/>
      <c r="AP606"/>
      <c r="AQ606"/>
      <c r="AR606"/>
      <c r="AS606"/>
      <c r="AT606"/>
      <c r="AU606"/>
      <c r="AV606"/>
      <c r="AW606"/>
      <c r="AX606"/>
      <c r="AY606"/>
      <c r="AZ606" s="3"/>
      <c r="BA606" s="3"/>
      <c r="BB606" s="3"/>
      <c r="BC606" s="3"/>
      <c r="BD606" s="3"/>
      <c r="BE606" s="1376">
        <f t="shared" si="1"/>
        <v>0</v>
      </c>
      <c r="BF606" s="1378"/>
      <c r="BG606" s="1394">
        <f t="shared" si="2"/>
        <v>0</v>
      </c>
      <c r="BH606" s="1395"/>
      <c r="BI606" s="1376">
        <f t="shared" si="3"/>
        <v>0</v>
      </c>
      <c r="BJ606" s="1378"/>
      <c r="BK606" s="1394">
        <f t="shared" si="4"/>
        <v>0</v>
      </c>
      <c r="BL606" s="1395"/>
      <c r="BM606" s="3"/>
      <c r="BN606" s="1390">
        <f t="shared" si="5"/>
        <v>0</v>
      </c>
      <c r="BO606" s="1391"/>
      <c r="BP606" s="1391"/>
      <c r="BQ606" s="1391"/>
      <c r="BR606" s="1392"/>
      <c r="BS606" s="1393">
        <f t="shared" si="6"/>
        <v>0</v>
      </c>
      <c r="BT606" s="1393"/>
      <c r="BU606" s="1393"/>
      <c r="BV606" s="1393"/>
      <c r="BW606" s="1393"/>
      <c r="BX606" s="1393">
        <f t="shared" si="7"/>
        <v>0</v>
      </c>
      <c r="BY606" s="1393"/>
      <c r="BZ606" s="1393"/>
      <c r="CA606" s="1393"/>
      <c r="CB606" s="1393"/>
      <c r="CC606" s="1393">
        <f t="shared" si="8"/>
        <v>0</v>
      </c>
      <c r="CD606" s="1393"/>
      <c r="CE606" s="1393"/>
      <c r="CF606" s="1393"/>
      <c r="CG606" s="1393"/>
      <c r="CH606" s="1393">
        <f t="shared" si="9"/>
        <v>0</v>
      </c>
      <c r="CI606" s="1393"/>
      <c r="CJ606" s="1393"/>
      <c r="CK606" s="1393"/>
      <c r="CL606" s="1393"/>
      <c r="CM606" s="1393">
        <f t="shared" si="10"/>
        <v>0</v>
      </c>
      <c r="CN606" s="1393"/>
      <c r="CO606" s="1393"/>
      <c r="CP606" s="1393"/>
      <c r="CQ606" s="1393"/>
      <c r="CR606" s="6"/>
      <c r="CS606" s="1380">
        <f t="shared" si="11"/>
        <v>0</v>
      </c>
      <c r="CT606" s="1380"/>
      <c r="CU606" s="1380"/>
      <c r="CV606" s="1380"/>
      <c r="CW606" s="1380"/>
      <c r="CX606" s="1380">
        <f t="shared" si="12"/>
        <v>0</v>
      </c>
      <c r="CY606" s="1380"/>
      <c r="CZ606" s="1380"/>
      <c r="DA606" s="1380"/>
      <c r="DB606" s="1380"/>
      <c r="DC606" s="1380">
        <f t="shared" si="13"/>
        <v>0</v>
      </c>
      <c r="DD606" s="1380"/>
      <c r="DE606" s="1380"/>
      <c r="DF606" s="1380"/>
      <c r="DG606" s="1380"/>
      <c r="DH606" s="1380">
        <f t="shared" si="14"/>
        <v>0</v>
      </c>
      <c r="DI606" s="1380"/>
      <c r="DJ606" s="1380"/>
      <c r="DK606" s="1380"/>
      <c r="DL606" s="1380"/>
      <c r="DM606" s="1380">
        <f t="shared" si="15"/>
        <v>0</v>
      </c>
      <c r="DN606" s="1380"/>
      <c r="DO606" s="1380"/>
      <c r="DP606" s="1380"/>
      <c r="DQ606" s="1380"/>
      <c r="DR606" s="1380">
        <f t="shared" si="16"/>
        <v>0</v>
      </c>
      <c r="DS606" s="1380"/>
      <c r="DT606" s="1380"/>
      <c r="DU606" s="1380"/>
      <c r="DV606" s="1380"/>
      <c r="DX606" s="1376" t="str">
        <f t="shared" si="17"/>
        <v/>
      </c>
      <c r="DY606" s="1377"/>
      <c r="DZ606" s="1377"/>
      <c r="EA606" s="1377"/>
      <c r="EB606" s="1378"/>
      <c r="EC606" s="1376" t="str">
        <f t="shared" si="18"/>
        <v/>
      </c>
      <c r="ED606" s="1377"/>
      <c r="EE606" s="1377"/>
      <c r="EF606" s="1377"/>
      <c r="EG606" s="1378"/>
      <c r="EH606" s="1376" t="str">
        <f t="shared" si="19"/>
        <v/>
      </c>
      <c r="EI606" s="1377"/>
      <c r="EJ606" s="1377"/>
      <c r="EK606" s="1377"/>
      <c r="EL606" s="1378"/>
      <c r="EM606" s="1376" t="str">
        <f t="shared" si="20"/>
        <v/>
      </c>
      <c r="EN606" s="1377"/>
      <c r="EO606" s="1377"/>
      <c r="EP606" s="1377"/>
      <c r="EQ606" s="1378"/>
      <c r="ER606" s="1376" t="str">
        <f t="shared" si="21"/>
        <v/>
      </c>
      <c r="ES606" s="1377"/>
      <c r="ET606" s="1377"/>
      <c r="EU606" s="1377"/>
      <c r="EV606" s="1378"/>
      <c r="EW606" s="1376" t="str">
        <f t="shared" si="22"/>
        <v/>
      </c>
      <c r="EX606" s="1377"/>
      <c r="EY606" s="1377"/>
      <c r="EZ606" s="1377"/>
      <c r="FA606" s="1378"/>
    </row>
    <row r="607" spans="1:157" s="4" customFormat="1" ht="12.9" customHeight="1">
      <c r="A607" s="22"/>
      <c r="B607" t="s">
        <v>20</v>
      </c>
      <c r="C607"/>
      <c r="D607"/>
      <c r="E607"/>
      <c r="F607"/>
      <c r="G607"/>
      <c r="H607"/>
      <c r="I607"/>
      <c r="J607"/>
      <c r="K607"/>
      <c r="L607"/>
      <c r="M607"/>
      <c r="N607" s="1415" t="s">
        <v>676</v>
      </c>
      <c r="O607" s="1415"/>
      <c r="P607"/>
      <c r="Q607"/>
      <c r="R607"/>
      <c r="S607"/>
      <c r="T607" s="22"/>
      <c r="U607" t="s">
        <v>20</v>
      </c>
      <c r="V607"/>
      <c r="W607"/>
      <c r="X607"/>
      <c r="Y607"/>
      <c r="Z607"/>
      <c r="AA607"/>
      <c r="AB607"/>
      <c r="AC607"/>
      <c r="AD607"/>
      <c r="AE607"/>
      <c r="AF607"/>
      <c r="AG607" s="1415" t="s">
        <v>676</v>
      </c>
      <c r="AH607" s="1415"/>
      <c r="AI607"/>
      <c r="AJ607"/>
      <c r="AK607"/>
      <c r="AL607"/>
      <c r="AM607"/>
      <c r="AN607"/>
      <c r="AO607"/>
      <c r="AP607"/>
      <c r="AQ607"/>
      <c r="AR607"/>
      <c r="AS607"/>
      <c r="AT607"/>
      <c r="AU607"/>
      <c r="AV607"/>
      <c r="AW607"/>
      <c r="AX607"/>
      <c r="AY607"/>
      <c r="AZ607" s="3"/>
      <c r="BA607" s="3"/>
      <c r="BB607" s="3"/>
      <c r="BC607" s="3"/>
      <c r="BD607" s="3"/>
      <c r="BE607" s="1376">
        <f t="shared" si="1"/>
        <v>0</v>
      </c>
      <c r="BF607" s="1378"/>
      <c r="BG607" s="1394">
        <f t="shared" si="2"/>
        <v>0</v>
      </c>
      <c r="BH607" s="1395"/>
      <c r="BI607" s="1376">
        <f t="shared" si="3"/>
        <v>0</v>
      </c>
      <c r="BJ607" s="1378"/>
      <c r="BK607" s="1394">
        <f t="shared" si="4"/>
        <v>0</v>
      </c>
      <c r="BL607" s="1395"/>
      <c r="BM607" s="3"/>
      <c r="BN607" s="1390">
        <f t="shared" si="5"/>
        <v>0</v>
      </c>
      <c r="BO607" s="1391"/>
      <c r="BP607" s="1391"/>
      <c r="BQ607" s="1391"/>
      <c r="BR607" s="1392"/>
      <c r="BS607" s="1393">
        <f t="shared" si="6"/>
        <v>0</v>
      </c>
      <c r="BT607" s="1393"/>
      <c r="BU607" s="1393"/>
      <c r="BV607" s="1393"/>
      <c r="BW607" s="1393"/>
      <c r="BX607" s="1393">
        <f t="shared" si="7"/>
        <v>0</v>
      </c>
      <c r="BY607" s="1393"/>
      <c r="BZ607" s="1393"/>
      <c r="CA607" s="1393"/>
      <c r="CB607" s="1393"/>
      <c r="CC607" s="1393">
        <f t="shared" si="8"/>
        <v>0</v>
      </c>
      <c r="CD607" s="1393"/>
      <c r="CE607" s="1393"/>
      <c r="CF607" s="1393"/>
      <c r="CG607" s="1393"/>
      <c r="CH607" s="1393">
        <f t="shared" si="9"/>
        <v>0</v>
      </c>
      <c r="CI607" s="1393"/>
      <c r="CJ607" s="1393"/>
      <c r="CK607" s="1393"/>
      <c r="CL607" s="1393"/>
      <c r="CM607" s="1393">
        <f t="shared" si="10"/>
        <v>0</v>
      </c>
      <c r="CN607" s="1393"/>
      <c r="CO607" s="1393"/>
      <c r="CP607" s="1393"/>
      <c r="CQ607" s="1393"/>
      <c r="CR607" s="6"/>
      <c r="CS607" s="1380">
        <f t="shared" si="11"/>
        <v>0</v>
      </c>
      <c r="CT607" s="1380"/>
      <c r="CU607" s="1380"/>
      <c r="CV607" s="1380"/>
      <c r="CW607" s="1380"/>
      <c r="CX607" s="1380">
        <f t="shared" si="12"/>
        <v>0</v>
      </c>
      <c r="CY607" s="1380"/>
      <c r="CZ607" s="1380"/>
      <c r="DA607" s="1380"/>
      <c r="DB607" s="1380"/>
      <c r="DC607" s="1380">
        <f t="shared" si="13"/>
        <v>0</v>
      </c>
      <c r="DD607" s="1380"/>
      <c r="DE607" s="1380"/>
      <c r="DF607" s="1380"/>
      <c r="DG607" s="1380"/>
      <c r="DH607" s="1380">
        <f t="shared" si="14"/>
        <v>0</v>
      </c>
      <c r="DI607" s="1380"/>
      <c r="DJ607" s="1380"/>
      <c r="DK607" s="1380"/>
      <c r="DL607" s="1380"/>
      <c r="DM607" s="1380">
        <f t="shared" si="15"/>
        <v>0</v>
      </c>
      <c r="DN607" s="1380"/>
      <c r="DO607" s="1380"/>
      <c r="DP607" s="1380"/>
      <c r="DQ607" s="1380"/>
      <c r="DR607" s="1380">
        <f t="shared" si="16"/>
        <v>0</v>
      </c>
      <c r="DS607" s="1380"/>
      <c r="DT607" s="1380"/>
      <c r="DU607" s="1380"/>
      <c r="DV607" s="1380"/>
      <c r="DX607" s="1376" t="str">
        <f t="shared" si="17"/>
        <v/>
      </c>
      <c r="DY607" s="1377"/>
      <c r="DZ607" s="1377"/>
      <c r="EA607" s="1377"/>
      <c r="EB607" s="1378"/>
      <c r="EC607" s="1376" t="str">
        <f t="shared" si="18"/>
        <v/>
      </c>
      <c r="ED607" s="1377"/>
      <c r="EE607" s="1377"/>
      <c r="EF607" s="1377"/>
      <c r="EG607" s="1378"/>
      <c r="EH607" s="1376" t="str">
        <f t="shared" si="19"/>
        <v/>
      </c>
      <c r="EI607" s="1377"/>
      <c r="EJ607" s="1377"/>
      <c r="EK607" s="1377"/>
      <c r="EL607" s="1378"/>
      <c r="EM607" s="1376" t="str">
        <f t="shared" si="20"/>
        <v/>
      </c>
      <c r="EN607" s="1377"/>
      <c r="EO607" s="1377"/>
      <c r="EP607" s="1377"/>
      <c r="EQ607" s="1378"/>
      <c r="ER607" s="1376" t="str">
        <f t="shared" si="21"/>
        <v/>
      </c>
      <c r="ES607" s="1377"/>
      <c r="ET607" s="1377"/>
      <c r="EU607" s="1377"/>
      <c r="EV607" s="1378"/>
      <c r="EW607" s="1376" t="str">
        <f t="shared" si="22"/>
        <v/>
      </c>
      <c r="EX607" s="1377"/>
      <c r="EY607" s="1377"/>
      <c r="EZ607" s="1377"/>
      <c r="FA607" s="1378"/>
    </row>
    <row r="608" spans="1:157" ht="12.9" customHeight="1">
      <c r="A608" s="22"/>
      <c r="T608" s="22"/>
      <c r="AZ608" s="3"/>
      <c r="BA608" s="3"/>
      <c r="BB608" s="3"/>
      <c r="BC608" s="3"/>
      <c r="BD608" s="3"/>
      <c r="BE608" s="1376">
        <f t="shared" si="1"/>
        <v>0</v>
      </c>
      <c r="BF608" s="1378"/>
      <c r="BG608" s="1394">
        <f t="shared" si="2"/>
        <v>0</v>
      </c>
      <c r="BH608" s="1395"/>
      <c r="BI608" s="1376">
        <f t="shared" si="3"/>
        <v>0</v>
      </c>
      <c r="BJ608" s="1378"/>
      <c r="BK608" s="1394">
        <f t="shared" si="4"/>
        <v>0</v>
      </c>
      <c r="BL608" s="1395"/>
      <c r="BM608" s="3"/>
      <c r="BN608" s="1390">
        <f t="shared" si="5"/>
        <v>0</v>
      </c>
      <c r="BO608" s="1391"/>
      <c r="BP608" s="1391"/>
      <c r="BQ608" s="1391"/>
      <c r="BR608" s="1392"/>
      <c r="BS608" s="1393">
        <f t="shared" si="6"/>
        <v>0</v>
      </c>
      <c r="BT608" s="1393"/>
      <c r="BU608" s="1393"/>
      <c r="BV608" s="1393"/>
      <c r="BW608" s="1393"/>
      <c r="BX608" s="1393">
        <f t="shared" si="7"/>
        <v>0</v>
      </c>
      <c r="BY608" s="1393"/>
      <c r="BZ608" s="1393"/>
      <c r="CA608" s="1393"/>
      <c r="CB608" s="1393"/>
      <c r="CC608" s="1393">
        <f t="shared" si="8"/>
        <v>0</v>
      </c>
      <c r="CD608" s="1393"/>
      <c r="CE608" s="1393"/>
      <c r="CF608" s="1393"/>
      <c r="CG608" s="1393"/>
      <c r="CH608" s="1393">
        <f t="shared" si="9"/>
        <v>0</v>
      </c>
      <c r="CI608" s="1393"/>
      <c r="CJ608" s="1393"/>
      <c r="CK608" s="1393"/>
      <c r="CL608" s="1393"/>
      <c r="CM608" s="1393">
        <f t="shared" si="10"/>
        <v>0</v>
      </c>
      <c r="CN608" s="1393"/>
      <c r="CO608" s="1393"/>
      <c r="CP608" s="1393"/>
      <c r="CQ608" s="1393"/>
      <c r="CR608" s="6"/>
      <c r="CS608" s="1380">
        <f t="shared" si="11"/>
        <v>0</v>
      </c>
      <c r="CT608" s="1380"/>
      <c r="CU608" s="1380"/>
      <c r="CV608" s="1380"/>
      <c r="CW608" s="1380"/>
      <c r="CX608" s="1380">
        <f t="shared" si="12"/>
        <v>0</v>
      </c>
      <c r="CY608" s="1380"/>
      <c r="CZ608" s="1380"/>
      <c r="DA608" s="1380"/>
      <c r="DB608" s="1380"/>
      <c r="DC608" s="1380">
        <f t="shared" si="13"/>
        <v>0</v>
      </c>
      <c r="DD608" s="1380"/>
      <c r="DE608" s="1380"/>
      <c r="DF608" s="1380"/>
      <c r="DG608" s="1380"/>
      <c r="DH608" s="1380">
        <f t="shared" si="14"/>
        <v>0</v>
      </c>
      <c r="DI608" s="1380"/>
      <c r="DJ608" s="1380"/>
      <c r="DK608" s="1380"/>
      <c r="DL608" s="1380"/>
      <c r="DM608" s="1380">
        <f t="shared" si="15"/>
        <v>0</v>
      </c>
      <c r="DN608" s="1380"/>
      <c r="DO608" s="1380"/>
      <c r="DP608" s="1380"/>
      <c r="DQ608" s="1380"/>
      <c r="DR608" s="1380">
        <f t="shared" si="16"/>
        <v>0</v>
      </c>
      <c r="DS608" s="1380"/>
      <c r="DT608" s="1380"/>
      <c r="DU608" s="1380"/>
      <c r="DV608" s="1380"/>
      <c r="DX608" s="1376" t="str">
        <f t="shared" si="17"/>
        <v/>
      </c>
      <c r="DY608" s="1377"/>
      <c r="DZ608" s="1377"/>
      <c r="EA608" s="1377"/>
      <c r="EB608" s="1378"/>
      <c r="EC608" s="1376" t="str">
        <f t="shared" si="18"/>
        <v/>
      </c>
      <c r="ED608" s="1377"/>
      <c r="EE608" s="1377"/>
      <c r="EF608" s="1377"/>
      <c r="EG608" s="1378"/>
      <c r="EH608" s="1376" t="str">
        <f t="shared" si="19"/>
        <v/>
      </c>
      <c r="EI608" s="1377"/>
      <c r="EJ608" s="1377"/>
      <c r="EK608" s="1377"/>
      <c r="EL608" s="1378"/>
      <c r="EM608" s="1376" t="str">
        <f t="shared" si="20"/>
        <v/>
      </c>
      <c r="EN608" s="1377"/>
      <c r="EO608" s="1377"/>
      <c r="EP608" s="1377"/>
      <c r="EQ608" s="1378"/>
      <c r="ER608" s="1376" t="str">
        <f t="shared" si="21"/>
        <v/>
      </c>
      <c r="ES608" s="1377"/>
      <c r="ET608" s="1377"/>
      <c r="EU608" s="1377"/>
      <c r="EV608" s="1378"/>
      <c r="EW608" s="1376" t="str">
        <f t="shared" si="22"/>
        <v/>
      </c>
      <c r="EX608" s="1377"/>
      <c r="EY608" s="1377"/>
      <c r="EZ608" s="1377"/>
      <c r="FA608" s="1378"/>
    </row>
    <row r="609" spans="1:157" ht="12.9" customHeight="1">
      <c r="A609" s="55" t="s">
        <v>362</v>
      </c>
      <c r="B609" t="s">
        <v>470</v>
      </c>
      <c r="G609" s="1511">
        <f>C564</f>
        <v>0</v>
      </c>
      <c r="H609" s="1511"/>
      <c r="I609" s="1511"/>
      <c r="J609" s="1511"/>
      <c r="K609" s="1511"/>
      <c r="L609" s="1511"/>
      <c r="M609" s="1511"/>
      <c r="N609" s="1511"/>
      <c r="O609" s="1511"/>
      <c r="P609" s="1511"/>
      <c r="Q609" s="1511"/>
      <c r="R609" s="1511"/>
      <c r="T609" s="55" t="s">
        <v>363</v>
      </c>
      <c r="U609" t="s">
        <v>470</v>
      </c>
      <c r="Z609" s="1511">
        <f>C565</f>
        <v>0</v>
      </c>
      <c r="AA609" s="1511"/>
      <c r="AB609" s="1511"/>
      <c r="AC609" s="1511"/>
      <c r="AD609" s="1511"/>
      <c r="AE609" s="1511"/>
      <c r="AF609" s="1511"/>
      <c r="AG609" s="1511"/>
      <c r="AH609" s="1511"/>
      <c r="AI609" s="1511"/>
      <c r="AJ609" s="1511"/>
      <c r="AK609" s="1511"/>
      <c r="AZ609" s="3"/>
      <c r="BA609" s="3"/>
      <c r="BB609" s="3"/>
      <c r="BC609" s="3"/>
      <c r="BD609" s="3"/>
      <c r="BE609" s="1376">
        <f t="shared" si="1"/>
        <v>0</v>
      </c>
      <c r="BF609" s="1378"/>
      <c r="BG609" s="1394">
        <f t="shared" si="2"/>
        <v>0</v>
      </c>
      <c r="BH609" s="1395"/>
      <c r="BI609" s="1376">
        <f t="shared" si="3"/>
        <v>0</v>
      </c>
      <c r="BJ609" s="1378"/>
      <c r="BK609" s="1394">
        <f t="shared" si="4"/>
        <v>0</v>
      </c>
      <c r="BL609" s="1395"/>
      <c r="BM609" s="3"/>
      <c r="BN609" s="1390">
        <f t="shared" si="5"/>
        <v>0</v>
      </c>
      <c r="BO609" s="1391"/>
      <c r="BP609" s="1391"/>
      <c r="BQ609" s="1391"/>
      <c r="BR609" s="1392"/>
      <c r="BS609" s="1393">
        <f t="shared" si="6"/>
        <v>0</v>
      </c>
      <c r="BT609" s="1393"/>
      <c r="BU609" s="1393"/>
      <c r="BV609" s="1393"/>
      <c r="BW609" s="1393"/>
      <c r="BX609" s="1393">
        <f t="shared" si="7"/>
        <v>0</v>
      </c>
      <c r="BY609" s="1393"/>
      <c r="BZ609" s="1393"/>
      <c r="CA609" s="1393"/>
      <c r="CB609" s="1393"/>
      <c r="CC609" s="1393">
        <f t="shared" si="8"/>
        <v>0</v>
      </c>
      <c r="CD609" s="1393"/>
      <c r="CE609" s="1393"/>
      <c r="CF609" s="1393"/>
      <c r="CG609" s="1393"/>
      <c r="CH609" s="1393">
        <f t="shared" si="9"/>
        <v>0</v>
      </c>
      <c r="CI609" s="1393"/>
      <c r="CJ609" s="1393"/>
      <c r="CK609" s="1393"/>
      <c r="CL609" s="1393"/>
      <c r="CM609" s="1393">
        <f t="shared" si="10"/>
        <v>0</v>
      </c>
      <c r="CN609" s="1393"/>
      <c r="CO609" s="1393"/>
      <c r="CP609" s="1393"/>
      <c r="CQ609" s="1393"/>
      <c r="CR609" s="6"/>
      <c r="CS609" s="1380">
        <f t="shared" si="11"/>
        <v>0</v>
      </c>
      <c r="CT609" s="1380"/>
      <c r="CU609" s="1380"/>
      <c r="CV609" s="1380"/>
      <c r="CW609" s="1380"/>
      <c r="CX609" s="1380">
        <f t="shared" si="12"/>
        <v>0</v>
      </c>
      <c r="CY609" s="1380"/>
      <c r="CZ609" s="1380"/>
      <c r="DA609" s="1380"/>
      <c r="DB609" s="1380"/>
      <c r="DC609" s="1380">
        <f t="shared" si="13"/>
        <v>0</v>
      </c>
      <c r="DD609" s="1380"/>
      <c r="DE609" s="1380"/>
      <c r="DF609" s="1380"/>
      <c r="DG609" s="1380"/>
      <c r="DH609" s="1380">
        <f t="shared" si="14"/>
        <v>0</v>
      </c>
      <c r="DI609" s="1380"/>
      <c r="DJ609" s="1380"/>
      <c r="DK609" s="1380"/>
      <c r="DL609" s="1380"/>
      <c r="DM609" s="1380">
        <f t="shared" si="15"/>
        <v>0</v>
      </c>
      <c r="DN609" s="1380"/>
      <c r="DO609" s="1380"/>
      <c r="DP609" s="1380"/>
      <c r="DQ609" s="1380"/>
      <c r="DR609" s="1380">
        <f t="shared" si="16"/>
        <v>0</v>
      </c>
      <c r="DS609" s="1380"/>
      <c r="DT609" s="1380"/>
      <c r="DU609" s="1380"/>
      <c r="DV609" s="1380"/>
      <c r="DX609" s="1376" t="str">
        <f t="shared" si="17"/>
        <v/>
      </c>
      <c r="DY609" s="1377"/>
      <c r="DZ609" s="1377"/>
      <c r="EA609" s="1377"/>
      <c r="EB609" s="1378"/>
      <c r="EC609" s="1376" t="str">
        <f t="shared" si="18"/>
        <v/>
      </c>
      <c r="ED609" s="1377"/>
      <c r="EE609" s="1377"/>
      <c r="EF609" s="1377"/>
      <c r="EG609" s="1378"/>
      <c r="EH609" s="1376" t="str">
        <f t="shared" si="19"/>
        <v/>
      </c>
      <c r="EI609" s="1377"/>
      <c r="EJ609" s="1377"/>
      <c r="EK609" s="1377"/>
      <c r="EL609" s="1378"/>
      <c r="EM609" s="1376" t="str">
        <f t="shared" si="20"/>
        <v/>
      </c>
      <c r="EN609" s="1377"/>
      <c r="EO609" s="1377"/>
      <c r="EP609" s="1377"/>
      <c r="EQ609" s="1378"/>
      <c r="ER609" s="1376" t="str">
        <f t="shared" si="21"/>
        <v/>
      </c>
      <c r="ES609" s="1377"/>
      <c r="ET609" s="1377"/>
      <c r="EU609" s="1377"/>
      <c r="EV609" s="1378"/>
      <c r="EW609" s="1376" t="str">
        <f t="shared" si="22"/>
        <v/>
      </c>
      <c r="EX609" s="1377"/>
      <c r="EY609" s="1377"/>
      <c r="EZ609" s="1377"/>
      <c r="FA609" s="1378"/>
    </row>
    <row r="610" spans="1:157" ht="12.9" customHeight="1">
      <c r="B610" t="s">
        <v>85</v>
      </c>
      <c r="G610" s="1397"/>
      <c r="H610" s="1397"/>
      <c r="I610" s="1397"/>
      <c r="J610" s="1397"/>
      <c r="K610" s="1397"/>
      <c r="L610" s="1397"/>
      <c r="M610" s="1397"/>
      <c r="N610" s="1397"/>
      <c r="O610" s="1397"/>
      <c r="P610" s="1397"/>
      <c r="Q610" s="1397"/>
      <c r="R610" s="1397"/>
      <c r="U610" t="s">
        <v>85</v>
      </c>
      <c r="Z610" s="1397"/>
      <c r="AA610" s="1397"/>
      <c r="AB610" s="1397"/>
      <c r="AC610" s="1397"/>
      <c r="AD610" s="1397"/>
      <c r="AE610" s="1397"/>
      <c r="AF610" s="1397"/>
      <c r="AG610" s="1397"/>
      <c r="AH610" s="1397"/>
      <c r="AI610" s="1397"/>
      <c r="AJ610" s="1397"/>
      <c r="AK610" s="1397"/>
      <c r="AZ610" s="3"/>
      <c r="BA610" s="3"/>
      <c r="BB610" s="3"/>
      <c r="BC610" s="3"/>
      <c r="BD610" s="3"/>
      <c r="BE610" s="1376">
        <f t="shared" si="1"/>
        <v>0</v>
      </c>
      <c r="BF610" s="1378"/>
      <c r="BG610" s="1394">
        <f t="shared" si="2"/>
        <v>0</v>
      </c>
      <c r="BH610" s="1395"/>
      <c r="BI610" s="1376">
        <f t="shared" si="3"/>
        <v>0</v>
      </c>
      <c r="BJ610" s="1378"/>
      <c r="BK610" s="1394">
        <f t="shared" si="4"/>
        <v>0</v>
      </c>
      <c r="BL610" s="1395"/>
      <c r="BM610" s="3"/>
      <c r="BN610" s="1390">
        <f t="shared" si="5"/>
        <v>0</v>
      </c>
      <c r="BO610" s="1391"/>
      <c r="BP610" s="1391"/>
      <c r="BQ610" s="1391"/>
      <c r="BR610" s="1392"/>
      <c r="BS610" s="1393">
        <f t="shared" si="6"/>
        <v>0</v>
      </c>
      <c r="BT610" s="1393"/>
      <c r="BU610" s="1393"/>
      <c r="BV610" s="1393"/>
      <c r="BW610" s="1393"/>
      <c r="BX610" s="1393">
        <f t="shared" si="7"/>
        <v>0</v>
      </c>
      <c r="BY610" s="1393"/>
      <c r="BZ610" s="1393"/>
      <c r="CA610" s="1393"/>
      <c r="CB610" s="1393"/>
      <c r="CC610" s="1393">
        <f t="shared" si="8"/>
        <v>0</v>
      </c>
      <c r="CD610" s="1393"/>
      <c r="CE610" s="1393"/>
      <c r="CF610" s="1393"/>
      <c r="CG610" s="1393"/>
      <c r="CH610" s="1393">
        <f t="shared" si="9"/>
        <v>0</v>
      </c>
      <c r="CI610" s="1393"/>
      <c r="CJ610" s="1393"/>
      <c r="CK610" s="1393"/>
      <c r="CL610" s="1393"/>
      <c r="CM610" s="1393">
        <f t="shared" si="10"/>
        <v>0</v>
      </c>
      <c r="CN610" s="1393"/>
      <c r="CO610" s="1393"/>
      <c r="CP610" s="1393"/>
      <c r="CQ610" s="1393"/>
      <c r="CR610" s="6"/>
      <c r="CS610" s="1380">
        <f t="shared" si="11"/>
        <v>0</v>
      </c>
      <c r="CT610" s="1380"/>
      <c r="CU610" s="1380"/>
      <c r="CV610" s="1380"/>
      <c r="CW610" s="1380"/>
      <c r="CX610" s="1380">
        <f t="shared" si="12"/>
        <v>0</v>
      </c>
      <c r="CY610" s="1380"/>
      <c r="CZ610" s="1380"/>
      <c r="DA610" s="1380"/>
      <c r="DB610" s="1380"/>
      <c r="DC610" s="1380">
        <f t="shared" si="13"/>
        <v>0</v>
      </c>
      <c r="DD610" s="1380"/>
      <c r="DE610" s="1380"/>
      <c r="DF610" s="1380"/>
      <c r="DG610" s="1380"/>
      <c r="DH610" s="1380">
        <f t="shared" si="14"/>
        <v>0</v>
      </c>
      <c r="DI610" s="1380"/>
      <c r="DJ610" s="1380"/>
      <c r="DK610" s="1380"/>
      <c r="DL610" s="1380"/>
      <c r="DM610" s="1380">
        <f t="shared" si="15"/>
        <v>0</v>
      </c>
      <c r="DN610" s="1380"/>
      <c r="DO610" s="1380"/>
      <c r="DP610" s="1380"/>
      <c r="DQ610" s="1380"/>
      <c r="DR610" s="1380">
        <f t="shared" si="16"/>
        <v>0</v>
      </c>
      <c r="DS610" s="1380"/>
      <c r="DT610" s="1380"/>
      <c r="DU610" s="1380"/>
      <c r="DV610" s="1380"/>
      <c r="DX610" s="1376" t="str">
        <f t="shared" si="17"/>
        <v/>
      </c>
      <c r="DY610" s="1377"/>
      <c r="DZ610" s="1377"/>
      <c r="EA610" s="1377"/>
      <c r="EB610" s="1378"/>
      <c r="EC610" s="1376" t="str">
        <f t="shared" si="18"/>
        <v/>
      </c>
      <c r="ED610" s="1377"/>
      <c r="EE610" s="1377"/>
      <c r="EF610" s="1377"/>
      <c r="EG610" s="1378"/>
      <c r="EH610" s="1376" t="str">
        <f t="shared" si="19"/>
        <v/>
      </c>
      <c r="EI610" s="1377"/>
      <c r="EJ610" s="1377"/>
      <c r="EK610" s="1377"/>
      <c r="EL610" s="1378"/>
      <c r="EM610" s="1376" t="str">
        <f t="shared" si="20"/>
        <v/>
      </c>
      <c r="EN610" s="1377"/>
      <c r="EO610" s="1377"/>
      <c r="EP610" s="1377"/>
      <c r="EQ610" s="1378"/>
      <c r="ER610" s="1376" t="str">
        <f t="shared" si="21"/>
        <v/>
      </c>
      <c r="ES610" s="1377"/>
      <c r="ET610" s="1377"/>
      <c r="EU610" s="1377"/>
      <c r="EV610" s="1378"/>
      <c r="EW610" s="1376" t="str">
        <f t="shared" si="22"/>
        <v/>
      </c>
      <c r="EX610" s="1377"/>
      <c r="EY610" s="1377"/>
      <c r="EZ610" s="1377"/>
      <c r="FA610" s="1378"/>
    </row>
    <row r="611" spans="1:157" ht="12.9" customHeight="1">
      <c r="B611" t="s">
        <v>587</v>
      </c>
      <c r="G611" s="1397"/>
      <c r="H611" s="1397"/>
      <c r="I611" s="1397"/>
      <c r="J611" s="1397"/>
      <c r="K611" s="1397"/>
      <c r="L611" s="1397"/>
      <c r="M611" s="1397"/>
      <c r="N611" s="1397"/>
      <c r="O611" s="1397"/>
      <c r="P611" s="1397"/>
      <c r="Q611" s="1397"/>
      <c r="R611" s="1397"/>
      <c r="U611" t="s">
        <v>587</v>
      </c>
      <c r="Z611" s="1396"/>
      <c r="AA611" s="1396"/>
      <c r="AB611" s="1396"/>
      <c r="AC611" s="1396"/>
      <c r="AD611" s="1396"/>
      <c r="AE611" s="1396"/>
      <c r="AF611" s="1396"/>
      <c r="AG611" s="1396"/>
      <c r="AH611" s="1396"/>
      <c r="AI611" s="1396"/>
      <c r="AJ611" s="1396"/>
      <c r="AK611" s="1396"/>
      <c r="AZ611" s="3"/>
      <c r="BA611" s="3"/>
      <c r="BB611" s="3"/>
      <c r="BC611" s="3"/>
      <c r="BD611" s="3"/>
      <c r="BE611" s="1376">
        <f t="shared" si="1"/>
        <v>0</v>
      </c>
      <c r="BF611" s="1378"/>
      <c r="BG611" s="1394">
        <f t="shared" si="2"/>
        <v>0</v>
      </c>
      <c r="BH611" s="1395"/>
      <c r="BI611" s="1376">
        <f t="shared" si="3"/>
        <v>0</v>
      </c>
      <c r="BJ611" s="1378"/>
      <c r="BK611" s="1394">
        <f t="shared" si="4"/>
        <v>0</v>
      </c>
      <c r="BL611" s="1395"/>
      <c r="BM611" s="3"/>
      <c r="BN611" s="1390">
        <f t="shared" si="5"/>
        <v>0</v>
      </c>
      <c r="BO611" s="1391"/>
      <c r="BP611" s="1391"/>
      <c r="BQ611" s="1391"/>
      <c r="BR611" s="1392"/>
      <c r="BS611" s="1393">
        <f t="shared" si="6"/>
        <v>0</v>
      </c>
      <c r="BT611" s="1393"/>
      <c r="BU611" s="1393"/>
      <c r="BV611" s="1393"/>
      <c r="BW611" s="1393"/>
      <c r="BX611" s="1393">
        <f t="shared" si="7"/>
        <v>0</v>
      </c>
      <c r="BY611" s="1393"/>
      <c r="BZ611" s="1393"/>
      <c r="CA611" s="1393"/>
      <c r="CB611" s="1393"/>
      <c r="CC611" s="1393">
        <f t="shared" si="8"/>
        <v>0</v>
      </c>
      <c r="CD611" s="1393"/>
      <c r="CE611" s="1393"/>
      <c r="CF611" s="1393"/>
      <c r="CG611" s="1393"/>
      <c r="CH611" s="1393">
        <f t="shared" si="9"/>
        <v>0</v>
      </c>
      <c r="CI611" s="1393"/>
      <c r="CJ611" s="1393"/>
      <c r="CK611" s="1393"/>
      <c r="CL611" s="1393"/>
      <c r="CM611" s="1393">
        <f t="shared" si="10"/>
        <v>0</v>
      </c>
      <c r="CN611" s="1393"/>
      <c r="CO611" s="1393"/>
      <c r="CP611" s="1393"/>
      <c r="CQ611" s="1393"/>
      <c r="CR611" s="6"/>
      <c r="CS611" s="1380">
        <f t="shared" si="11"/>
        <v>0</v>
      </c>
      <c r="CT611" s="1380"/>
      <c r="CU611" s="1380"/>
      <c r="CV611" s="1380"/>
      <c r="CW611" s="1380"/>
      <c r="CX611" s="1380">
        <f t="shared" si="12"/>
        <v>0</v>
      </c>
      <c r="CY611" s="1380"/>
      <c r="CZ611" s="1380"/>
      <c r="DA611" s="1380"/>
      <c r="DB611" s="1380"/>
      <c r="DC611" s="1380">
        <f t="shared" si="13"/>
        <v>0</v>
      </c>
      <c r="DD611" s="1380"/>
      <c r="DE611" s="1380"/>
      <c r="DF611" s="1380"/>
      <c r="DG611" s="1380"/>
      <c r="DH611" s="1380">
        <f t="shared" si="14"/>
        <v>0</v>
      </c>
      <c r="DI611" s="1380"/>
      <c r="DJ611" s="1380"/>
      <c r="DK611" s="1380"/>
      <c r="DL611" s="1380"/>
      <c r="DM611" s="1380">
        <f t="shared" si="15"/>
        <v>0</v>
      </c>
      <c r="DN611" s="1380"/>
      <c r="DO611" s="1380"/>
      <c r="DP611" s="1380"/>
      <c r="DQ611" s="1380"/>
      <c r="DR611" s="1380">
        <f t="shared" si="16"/>
        <v>0</v>
      </c>
      <c r="DS611" s="1380"/>
      <c r="DT611" s="1380"/>
      <c r="DU611" s="1380"/>
      <c r="DV611" s="1380"/>
      <c r="DX611" s="1376" t="str">
        <f t="shared" si="17"/>
        <v/>
      </c>
      <c r="DY611" s="1377"/>
      <c r="DZ611" s="1377"/>
      <c r="EA611" s="1377"/>
      <c r="EB611" s="1378"/>
      <c r="EC611" s="1376" t="str">
        <f t="shared" si="18"/>
        <v/>
      </c>
      <c r="ED611" s="1377"/>
      <c r="EE611" s="1377"/>
      <c r="EF611" s="1377"/>
      <c r="EG611" s="1378"/>
      <c r="EH611" s="1376" t="str">
        <f t="shared" si="19"/>
        <v/>
      </c>
      <c r="EI611" s="1377"/>
      <c r="EJ611" s="1377"/>
      <c r="EK611" s="1377"/>
      <c r="EL611" s="1378"/>
      <c r="EM611" s="1376" t="str">
        <f t="shared" si="20"/>
        <v/>
      </c>
      <c r="EN611" s="1377"/>
      <c r="EO611" s="1377"/>
      <c r="EP611" s="1377"/>
      <c r="EQ611" s="1378"/>
      <c r="ER611" s="1376" t="str">
        <f t="shared" si="21"/>
        <v/>
      </c>
      <c r="ES611" s="1377"/>
      <c r="ET611" s="1377"/>
      <c r="EU611" s="1377"/>
      <c r="EV611" s="1378"/>
      <c r="EW611" s="1376" t="str">
        <f t="shared" si="22"/>
        <v/>
      </c>
      <c r="EX611" s="1377"/>
      <c r="EY611" s="1377"/>
      <c r="EZ611" s="1377"/>
      <c r="FA611" s="1378"/>
    </row>
    <row r="612" spans="1:157" ht="12.9" customHeight="1">
      <c r="B612" t="s">
        <v>17</v>
      </c>
      <c r="G612" s="1397"/>
      <c r="H612" s="1397"/>
      <c r="I612" s="1397"/>
      <c r="J612" s="1397"/>
      <c r="K612" s="1397"/>
      <c r="L612" s="1397"/>
      <c r="M612" s="1397"/>
      <c r="N612" s="1397"/>
      <c r="O612" s="1397"/>
      <c r="P612" s="1397"/>
      <c r="Q612" s="1397"/>
      <c r="R612" s="1397"/>
      <c r="U612" t="s">
        <v>17</v>
      </c>
      <c r="Z612" s="1396"/>
      <c r="AA612" s="1396"/>
      <c r="AB612" s="1396"/>
      <c r="AC612" s="1396"/>
      <c r="AD612" s="1396"/>
      <c r="AE612" s="1396"/>
      <c r="AF612" s="1396"/>
      <c r="AG612" s="1396"/>
      <c r="AH612" s="1396"/>
      <c r="AI612" s="1396"/>
      <c r="AJ612" s="1396"/>
      <c r="AK612" s="1396"/>
      <c r="AZ612" s="3"/>
      <c r="BA612" s="3"/>
      <c r="BB612" s="3"/>
      <c r="BC612" s="3"/>
      <c r="BD612" s="3"/>
      <c r="BE612" s="1376">
        <f t="shared" si="1"/>
        <v>0</v>
      </c>
      <c r="BF612" s="1378"/>
      <c r="BG612" s="1394">
        <f t="shared" si="2"/>
        <v>0</v>
      </c>
      <c r="BH612" s="1395"/>
      <c r="BI612" s="1376">
        <f t="shared" si="3"/>
        <v>0</v>
      </c>
      <c r="BJ612" s="1378"/>
      <c r="BK612" s="1394">
        <f t="shared" si="4"/>
        <v>0</v>
      </c>
      <c r="BL612" s="1395"/>
      <c r="BM612" s="3"/>
      <c r="BN612" s="1390">
        <f t="shared" si="5"/>
        <v>0</v>
      </c>
      <c r="BO612" s="1391"/>
      <c r="BP612" s="1391"/>
      <c r="BQ612" s="1391"/>
      <c r="BR612" s="1392"/>
      <c r="BS612" s="1393">
        <f t="shared" si="6"/>
        <v>0</v>
      </c>
      <c r="BT612" s="1393"/>
      <c r="BU612" s="1393"/>
      <c r="BV612" s="1393"/>
      <c r="BW612" s="1393"/>
      <c r="BX612" s="1393">
        <f t="shared" si="7"/>
        <v>0</v>
      </c>
      <c r="BY612" s="1393"/>
      <c r="BZ612" s="1393"/>
      <c r="CA612" s="1393"/>
      <c r="CB612" s="1393"/>
      <c r="CC612" s="1393">
        <f t="shared" si="8"/>
        <v>0</v>
      </c>
      <c r="CD612" s="1393"/>
      <c r="CE612" s="1393"/>
      <c r="CF612" s="1393"/>
      <c r="CG612" s="1393"/>
      <c r="CH612" s="1393">
        <f t="shared" si="9"/>
        <v>0</v>
      </c>
      <c r="CI612" s="1393"/>
      <c r="CJ612" s="1393"/>
      <c r="CK612" s="1393"/>
      <c r="CL612" s="1393"/>
      <c r="CM612" s="1393">
        <f t="shared" si="10"/>
        <v>0</v>
      </c>
      <c r="CN612" s="1393"/>
      <c r="CO612" s="1393"/>
      <c r="CP612" s="1393"/>
      <c r="CQ612" s="1393"/>
      <c r="CR612" s="6"/>
      <c r="CS612" s="1380">
        <f t="shared" si="11"/>
        <v>0</v>
      </c>
      <c r="CT612" s="1380"/>
      <c r="CU612" s="1380"/>
      <c r="CV612" s="1380"/>
      <c r="CW612" s="1380"/>
      <c r="CX612" s="1380">
        <f t="shared" si="12"/>
        <v>0</v>
      </c>
      <c r="CY612" s="1380"/>
      <c r="CZ612" s="1380"/>
      <c r="DA612" s="1380"/>
      <c r="DB612" s="1380"/>
      <c r="DC612" s="1380">
        <f t="shared" si="13"/>
        <v>0</v>
      </c>
      <c r="DD612" s="1380"/>
      <c r="DE612" s="1380"/>
      <c r="DF612" s="1380"/>
      <c r="DG612" s="1380"/>
      <c r="DH612" s="1380">
        <f t="shared" si="14"/>
        <v>0</v>
      </c>
      <c r="DI612" s="1380"/>
      <c r="DJ612" s="1380"/>
      <c r="DK612" s="1380"/>
      <c r="DL612" s="1380"/>
      <c r="DM612" s="1380">
        <f t="shared" si="15"/>
        <v>0</v>
      </c>
      <c r="DN612" s="1380"/>
      <c r="DO612" s="1380"/>
      <c r="DP612" s="1380"/>
      <c r="DQ612" s="1380"/>
      <c r="DR612" s="1380">
        <f t="shared" si="16"/>
        <v>0</v>
      </c>
      <c r="DS612" s="1380"/>
      <c r="DT612" s="1380"/>
      <c r="DU612" s="1380"/>
      <c r="DV612" s="1380"/>
      <c r="DX612" s="1376" t="str">
        <f t="shared" si="17"/>
        <v/>
      </c>
      <c r="DY612" s="1377"/>
      <c r="DZ612" s="1377"/>
      <c r="EA612" s="1377"/>
      <c r="EB612" s="1378"/>
      <c r="EC612" s="1376" t="str">
        <f t="shared" si="18"/>
        <v/>
      </c>
      <c r="ED612" s="1377"/>
      <c r="EE612" s="1377"/>
      <c r="EF612" s="1377"/>
      <c r="EG612" s="1378"/>
      <c r="EH612" s="1376" t="str">
        <f t="shared" si="19"/>
        <v/>
      </c>
      <c r="EI612" s="1377"/>
      <c r="EJ612" s="1377"/>
      <c r="EK612" s="1377"/>
      <c r="EL612" s="1378"/>
      <c r="EM612" s="1376" t="str">
        <f t="shared" si="20"/>
        <v/>
      </c>
      <c r="EN612" s="1377"/>
      <c r="EO612" s="1377"/>
      <c r="EP612" s="1377"/>
      <c r="EQ612" s="1378"/>
      <c r="ER612" s="1376" t="str">
        <f t="shared" si="21"/>
        <v/>
      </c>
      <c r="ES612" s="1377"/>
      <c r="ET612" s="1377"/>
      <c r="EU612" s="1377"/>
      <c r="EV612" s="1378"/>
      <c r="EW612" s="1376" t="str">
        <f t="shared" si="22"/>
        <v/>
      </c>
      <c r="EX612" s="1377"/>
      <c r="EY612" s="1377"/>
      <c r="EZ612" s="1377"/>
      <c r="FA612" s="1378"/>
    </row>
    <row r="613" spans="1:157" ht="12.9" customHeight="1">
      <c r="B613" t="s">
        <v>316</v>
      </c>
      <c r="G613" s="1400"/>
      <c r="H613" s="1400"/>
      <c r="I613" s="1400"/>
      <c r="J613" s="1400"/>
      <c r="K613" s="1400"/>
      <c r="L613" s="1400"/>
      <c r="O613" s="33" t="s">
        <v>206</v>
      </c>
      <c r="P613" s="1399"/>
      <c r="Q613" s="1399"/>
      <c r="R613" s="1399"/>
      <c r="U613" t="s">
        <v>316</v>
      </c>
      <c r="Z613" s="1400"/>
      <c r="AA613" s="1400"/>
      <c r="AB613" s="1400"/>
      <c r="AC613" s="1400"/>
      <c r="AD613" s="1400"/>
      <c r="AE613" s="1400"/>
      <c r="AH613" s="33" t="s">
        <v>206</v>
      </c>
      <c r="AI613" s="1399"/>
      <c r="AJ613" s="1399"/>
      <c r="AK613" s="1399"/>
      <c r="AZ613" s="3"/>
      <c r="BA613" s="3"/>
      <c r="BB613" s="3"/>
      <c r="BC613" s="3"/>
      <c r="BD613" s="3"/>
      <c r="BE613" s="1376">
        <f t="shared" si="1"/>
        <v>0</v>
      </c>
      <c r="BF613" s="1378"/>
      <c r="BG613" s="1394">
        <f t="shared" si="2"/>
        <v>0</v>
      </c>
      <c r="BH613" s="1395"/>
      <c r="BI613" s="1376">
        <f t="shared" si="3"/>
        <v>0</v>
      </c>
      <c r="BJ613" s="1378"/>
      <c r="BK613" s="1394">
        <f t="shared" si="4"/>
        <v>0</v>
      </c>
      <c r="BL613" s="1395"/>
      <c r="BM613" s="3"/>
      <c r="BN613" s="1390">
        <f t="shared" si="5"/>
        <v>0</v>
      </c>
      <c r="BO613" s="1391"/>
      <c r="BP613" s="1391"/>
      <c r="BQ613" s="1391"/>
      <c r="BR613" s="1392"/>
      <c r="BS613" s="1393">
        <f t="shared" si="6"/>
        <v>0</v>
      </c>
      <c r="BT613" s="1393"/>
      <c r="BU613" s="1393"/>
      <c r="BV613" s="1393"/>
      <c r="BW613" s="1393"/>
      <c r="BX613" s="1393">
        <f t="shared" si="7"/>
        <v>0</v>
      </c>
      <c r="BY613" s="1393"/>
      <c r="BZ613" s="1393"/>
      <c r="CA613" s="1393"/>
      <c r="CB613" s="1393"/>
      <c r="CC613" s="1393">
        <f t="shared" si="8"/>
        <v>0</v>
      </c>
      <c r="CD613" s="1393"/>
      <c r="CE613" s="1393"/>
      <c r="CF613" s="1393"/>
      <c r="CG613" s="1393"/>
      <c r="CH613" s="1393">
        <f t="shared" si="9"/>
        <v>0</v>
      </c>
      <c r="CI613" s="1393"/>
      <c r="CJ613" s="1393"/>
      <c r="CK613" s="1393"/>
      <c r="CL613" s="1393"/>
      <c r="CM613" s="1393">
        <f t="shared" si="10"/>
        <v>0</v>
      </c>
      <c r="CN613" s="1393"/>
      <c r="CO613" s="1393"/>
      <c r="CP613" s="1393"/>
      <c r="CQ613" s="1393"/>
      <c r="CR613" s="6"/>
      <c r="CS613" s="1380">
        <f t="shared" si="11"/>
        <v>0</v>
      </c>
      <c r="CT613" s="1380"/>
      <c r="CU613" s="1380"/>
      <c r="CV613" s="1380"/>
      <c r="CW613" s="1380"/>
      <c r="CX613" s="1380">
        <f t="shared" si="12"/>
        <v>0</v>
      </c>
      <c r="CY613" s="1380"/>
      <c r="CZ613" s="1380"/>
      <c r="DA613" s="1380"/>
      <c r="DB613" s="1380"/>
      <c r="DC613" s="1380">
        <f t="shared" si="13"/>
        <v>0</v>
      </c>
      <c r="DD613" s="1380"/>
      <c r="DE613" s="1380"/>
      <c r="DF613" s="1380"/>
      <c r="DG613" s="1380"/>
      <c r="DH613" s="1380">
        <f t="shared" si="14"/>
        <v>0</v>
      </c>
      <c r="DI613" s="1380"/>
      <c r="DJ613" s="1380"/>
      <c r="DK613" s="1380"/>
      <c r="DL613" s="1380"/>
      <c r="DM613" s="1380">
        <f t="shared" si="15"/>
        <v>0</v>
      </c>
      <c r="DN613" s="1380"/>
      <c r="DO613" s="1380"/>
      <c r="DP613" s="1380"/>
      <c r="DQ613" s="1380"/>
      <c r="DR613" s="1380">
        <f t="shared" si="16"/>
        <v>0</v>
      </c>
      <c r="DS613" s="1380"/>
      <c r="DT613" s="1380"/>
      <c r="DU613" s="1380"/>
      <c r="DV613" s="1380"/>
      <c r="DX613" s="1376" t="str">
        <f t="shared" si="17"/>
        <v/>
      </c>
      <c r="DY613" s="1377"/>
      <c r="DZ613" s="1377"/>
      <c r="EA613" s="1377"/>
      <c r="EB613" s="1378"/>
      <c r="EC613" s="1376" t="str">
        <f t="shared" si="18"/>
        <v/>
      </c>
      <c r="ED613" s="1377"/>
      <c r="EE613" s="1377"/>
      <c r="EF613" s="1377"/>
      <c r="EG613" s="1378"/>
      <c r="EH613" s="1376" t="str">
        <f t="shared" si="19"/>
        <v/>
      </c>
      <c r="EI613" s="1377"/>
      <c r="EJ613" s="1377"/>
      <c r="EK613" s="1377"/>
      <c r="EL613" s="1378"/>
      <c r="EM613" s="1376" t="str">
        <f t="shared" si="20"/>
        <v/>
      </c>
      <c r="EN613" s="1377"/>
      <c r="EO613" s="1377"/>
      <c r="EP613" s="1377"/>
      <c r="EQ613" s="1378"/>
      <c r="ER613" s="1376" t="str">
        <f t="shared" si="21"/>
        <v/>
      </c>
      <c r="ES613" s="1377"/>
      <c r="ET613" s="1377"/>
      <c r="EU613" s="1377"/>
      <c r="EV613" s="1378"/>
      <c r="EW613" s="1376" t="str">
        <f t="shared" si="22"/>
        <v/>
      </c>
      <c r="EX613" s="1377"/>
      <c r="EY613" s="1377"/>
      <c r="EZ613" s="1377"/>
      <c r="FA613" s="1378"/>
    </row>
    <row r="614" spans="1:157" ht="12.9" customHeight="1">
      <c r="B614" t="s">
        <v>18</v>
      </c>
      <c r="H614" s="1397"/>
      <c r="I614" s="1397"/>
      <c r="J614" s="1397"/>
      <c r="K614" s="1397"/>
      <c r="L614" s="1397"/>
      <c r="M614" s="1397"/>
      <c r="N614" s="1397"/>
      <c r="O614" s="1397"/>
      <c r="P614" s="1397"/>
      <c r="Q614" s="1397"/>
      <c r="R614" s="1397"/>
      <c r="U614" t="s">
        <v>18</v>
      </c>
      <c r="AA614" s="1397"/>
      <c r="AB614" s="1397"/>
      <c r="AC614" s="1397"/>
      <c r="AD614" s="1397"/>
      <c r="AE614" s="1397"/>
      <c r="AF614" s="1397"/>
      <c r="AG614" s="1397"/>
      <c r="AH614" s="1397"/>
      <c r="AI614" s="1397"/>
      <c r="AJ614" s="1397"/>
      <c r="AK614" s="1397"/>
      <c r="AU614" s="934"/>
      <c r="AV614" s="934"/>
      <c r="AW614" s="934"/>
      <c r="AX614" s="934"/>
      <c r="AY614" s="934"/>
      <c r="AZ614" s="3"/>
      <c r="BA614" s="3"/>
      <c r="BB614" s="3"/>
      <c r="BC614" s="3"/>
      <c r="BD614" s="3"/>
      <c r="BE614" s="1376">
        <f t="shared" si="1"/>
        <v>0</v>
      </c>
      <c r="BF614" s="1378"/>
      <c r="BG614" s="1394">
        <f t="shared" si="2"/>
        <v>0</v>
      </c>
      <c r="BH614" s="1395"/>
      <c r="BI614" s="1376">
        <f t="shared" si="3"/>
        <v>0</v>
      </c>
      <c r="BJ614" s="1378"/>
      <c r="BK614" s="1394">
        <f t="shared" si="4"/>
        <v>0</v>
      </c>
      <c r="BL614" s="1395"/>
      <c r="BM614" s="3"/>
      <c r="BN614" s="1390">
        <f t="shared" si="5"/>
        <v>0</v>
      </c>
      <c r="BO614" s="1391"/>
      <c r="BP614" s="1391"/>
      <c r="BQ614" s="1391"/>
      <c r="BR614" s="1392"/>
      <c r="BS614" s="1393">
        <f t="shared" si="6"/>
        <v>0</v>
      </c>
      <c r="BT614" s="1393"/>
      <c r="BU614" s="1393"/>
      <c r="BV614" s="1393"/>
      <c r="BW614" s="1393"/>
      <c r="BX614" s="1393">
        <f t="shared" si="7"/>
        <v>0</v>
      </c>
      <c r="BY614" s="1393"/>
      <c r="BZ614" s="1393"/>
      <c r="CA614" s="1393"/>
      <c r="CB614" s="1393"/>
      <c r="CC614" s="1393">
        <f t="shared" si="8"/>
        <v>0</v>
      </c>
      <c r="CD614" s="1393"/>
      <c r="CE614" s="1393"/>
      <c r="CF614" s="1393"/>
      <c r="CG614" s="1393"/>
      <c r="CH614" s="1393">
        <f t="shared" si="9"/>
        <v>0</v>
      </c>
      <c r="CI614" s="1393"/>
      <c r="CJ614" s="1393"/>
      <c r="CK614" s="1393"/>
      <c r="CL614" s="1393"/>
      <c r="CM614" s="1393">
        <f t="shared" si="10"/>
        <v>0</v>
      </c>
      <c r="CN614" s="1393"/>
      <c r="CO614" s="1393"/>
      <c r="CP614" s="1393"/>
      <c r="CQ614" s="1393"/>
      <c r="CR614" s="6"/>
      <c r="CS614" s="1380">
        <f t="shared" si="11"/>
        <v>0</v>
      </c>
      <c r="CT614" s="1380"/>
      <c r="CU614" s="1380"/>
      <c r="CV614" s="1380"/>
      <c r="CW614" s="1380"/>
      <c r="CX614" s="1380">
        <f t="shared" si="12"/>
        <v>0</v>
      </c>
      <c r="CY614" s="1380"/>
      <c r="CZ614" s="1380"/>
      <c r="DA614" s="1380"/>
      <c r="DB614" s="1380"/>
      <c r="DC614" s="1380">
        <f t="shared" si="13"/>
        <v>0</v>
      </c>
      <c r="DD614" s="1380"/>
      <c r="DE614" s="1380"/>
      <c r="DF614" s="1380"/>
      <c r="DG614" s="1380"/>
      <c r="DH614" s="1380">
        <f t="shared" si="14"/>
        <v>0</v>
      </c>
      <c r="DI614" s="1380"/>
      <c r="DJ614" s="1380"/>
      <c r="DK614" s="1380"/>
      <c r="DL614" s="1380"/>
      <c r="DM614" s="1380">
        <f t="shared" si="15"/>
        <v>0</v>
      </c>
      <c r="DN614" s="1380"/>
      <c r="DO614" s="1380"/>
      <c r="DP614" s="1380"/>
      <c r="DQ614" s="1380"/>
      <c r="DR614" s="1380">
        <f t="shared" si="16"/>
        <v>0</v>
      </c>
      <c r="DS614" s="1380"/>
      <c r="DT614" s="1380"/>
      <c r="DU614" s="1380"/>
      <c r="DV614" s="1380"/>
      <c r="DX614" s="1376" t="str">
        <f t="shared" si="17"/>
        <v/>
      </c>
      <c r="DY614" s="1377"/>
      <c r="DZ614" s="1377"/>
      <c r="EA614" s="1377"/>
      <c r="EB614" s="1378"/>
      <c r="EC614" s="1376" t="str">
        <f t="shared" si="18"/>
        <v/>
      </c>
      <c r="ED614" s="1377"/>
      <c r="EE614" s="1377"/>
      <c r="EF614" s="1377"/>
      <c r="EG614" s="1378"/>
      <c r="EH614" s="1376" t="str">
        <f t="shared" si="19"/>
        <v/>
      </c>
      <c r="EI614" s="1377"/>
      <c r="EJ614" s="1377"/>
      <c r="EK614" s="1377"/>
      <c r="EL614" s="1378"/>
      <c r="EM614" s="1376" t="str">
        <f t="shared" si="20"/>
        <v/>
      </c>
      <c r="EN614" s="1377"/>
      <c r="EO614" s="1377"/>
      <c r="EP614" s="1377"/>
      <c r="EQ614" s="1378"/>
      <c r="ER614" s="1376" t="str">
        <f t="shared" si="21"/>
        <v/>
      </c>
      <c r="ES614" s="1377"/>
      <c r="ET614" s="1377"/>
      <c r="EU614" s="1377"/>
      <c r="EV614" s="1378"/>
      <c r="EW614" s="1376" t="str">
        <f t="shared" si="22"/>
        <v/>
      </c>
      <c r="EX614" s="1377"/>
      <c r="EY614" s="1377"/>
      <c r="EZ614" s="1377"/>
      <c r="FA614" s="1378"/>
    </row>
    <row r="615" spans="1:157" ht="12.9" customHeight="1">
      <c r="B615" t="s">
        <v>20</v>
      </c>
      <c r="N615" s="1415" t="s">
        <v>676</v>
      </c>
      <c r="O615" s="1415"/>
      <c r="U615" t="s">
        <v>20</v>
      </c>
      <c r="AG615" s="1415" t="s">
        <v>676</v>
      </c>
      <c r="AH615" s="1415"/>
      <c r="AU615" s="934"/>
      <c r="AV615" s="934"/>
      <c r="AW615" s="934"/>
      <c r="AX615" s="934"/>
      <c r="AY615" s="934"/>
      <c r="AZ615" s="3"/>
      <c r="BA615" s="3"/>
      <c r="BB615" s="3"/>
      <c r="BC615" s="3"/>
      <c r="BD615" s="3"/>
      <c r="BE615" s="1376">
        <f t="shared" si="1"/>
        <v>0</v>
      </c>
      <c r="BF615" s="1378"/>
      <c r="BG615" s="1394">
        <f t="shared" si="2"/>
        <v>0</v>
      </c>
      <c r="BH615" s="1395"/>
      <c r="BI615" s="1376">
        <f t="shared" si="3"/>
        <v>0</v>
      </c>
      <c r="BJ615" s="1378"/>
      <c r="BK615" s="1394">
        <f t="shared" si="4"/>
        <v>0</v>
      </c>
      <c r="BL615" s="1395"/>
      <c r="BM615" s="3"/>
      <c r="BN615" s="1390">
        <f t="shared" si="5"/>
        <v>0</v>
      </c>
      <c r="BO615" s="1391"/>
      <c r="BP615" s="1391"/>
      <c r="BQ615" s="1391"/>
      <c r="BR615" s="1392"/>
      <c r="BS615" s="1393">
        <f t="shared" si="6"/>
        <v>0</v>
      </c>
      <c r="BT615" s="1393"/>
      <c r="BU615" s="1393"/>
      <c r="BV615" s="1393"/>
      <c r="BW615" s="1393"/>
      <c r="BX615" s="1393">
        <f t="shared" si="7"/>
        <v>0</v>
      </c>
      <c r="BY615" s="1393"/>
      <c r="BZ615" s="1393"/>
      <c r="CA615" s="1393"/>
      <c r="CB615" s="1393"/>
      <c r="CC615" s="1393">
        <f t="shared" si="8"/>
        <v>0</v>
      </c>
      <c r="CD615" s="1393"/>
      <c r="CE615" s="1393"/>
      <c r="CF615" s="1393"/>
      <c r="CG615" s="1393"/>
      <c r="CH615" s="1393">
        <f t="shared" si="9"/>
        <v>0</v>
      </c>
      <c r="CI615" s="1393"/>
      <c r="CJ615" s="1393"/>
      <c r="CK615" s="1393"/>
      <c r="CL615" s="1393"/>
      <c r="CM615" s="1393">
        <f t="shared" si="10"/>
        <v>0</v>
      </c>
      <c r="CN615" s="1393"/>
      <c r="CO615" s="1393"/>
      <c r="CP615" s="1393"/>
      <c r="CQ615" s="1393"/>
      <c r="CR615" s="6"/>
      <c r="CS615" s="1380">
        <f t="shared" si="11"/>
        <v>0</v>
      </c>
      <c r="CT615" s="1380"/>
      <c r="CU615" s="1380"/>
      <c r="CV615" s="1380"/>
      <c r="CW615" s="1380"/>
      <c r="CX615" s="1380">
        <f t="shared" si="12"/>
        <v>0</v>
      </c>
      <c r="CY615" s="1380"/>
      <c r="CZ615" s="1380"/>
      <c r="DA615" s="1380"/>
      <c r="DB615" s="1380"/>
      <c r="DC615" s="1380">
        <f t="shared" si="13"/>
        <v>0</v>
      </c>
      <c r="DD615" s="1380"/>
      <c r="DE615" s="1380"/>
      <c r="DF615" s="1380"/>
      <c r="DG615" s="1380"/>
      <c r="DH615" s="1380">
        <f t="shared" si="14"/>
        <v>0</v>
      </c>
      <c r="DI615" s="1380"/>
      <c r="DJ615" s="1380"/>
      <c r="DK615" s="1380"/>
      <c r="DL615" s="1380"/>
      <c r="DM615" s="1380">
        <f t="shared" si="15"/>
        <v>0</v>
      </c>
      <c r="DN615" s="1380"/>
      <c r="DO615" s="1380"/>
      <c r="DP615" s="1380"/>
      <c r="DQ615" s="1380"/>
      <c r="DR615" s="1380">
        <f t="shared" si="16"/>
        <v>0</v>
      </c>
      <c r="DS615" s="1380"/>
      <c r="DT615" s="1380"/>
      <c r="DU615" s="1380"/>
      <c r="DV615" s="1380"/>
      <c r="DX615" s="1376" t="str">
        <f t="shared" si="17"/>
        <v/>
      </c>
      <c r="DY615" s="1377"/>
      <c r="DZ615" s="1377"/>
      <c r="EA615" s="1377"/>
      <c r="EB615" s="1378"/>
      <c r="EC615" s="1376" t="str">
        <f t="shared" si="18"/>
        <v/>
      </c>
      <c r="ED615" s="1377"/>
      <c r="EE615" s="1377"/>
      <c r="EF615" s="1377"/>
      <c r="EG615" s="1378"/>
      <c r="EH615" s="1376" t="str">
        <f t="shared" si="19"/>
        <v/>
      </c>
      <c r="EI615" s="1377"/>
      <c r="EJ615" s="1377"/>
      <c r="EK615" s="1377"/>
      <c r="EL615" s="1378"/>
      <c r="EM615" s="1376" t="str">
        <f t="shared" si="20"/>
        <v/>
      </c>
      <c r="EN615" s="1377"/>
      <c r="EO615" s="1377"/>
      <c r="EP615" s="1377"/>
      <c r="EQ615" s="1378"/>
      <c r="ER615" s="1376" t="str">
        <f t="shared" si="21"/>
        <v/>
      </c>
      <c r="ES615" s="1377"/>
      <c r="ET615" s="1377"/>
      <c r="EU615" s="1377"/>
      <c r="EV615" s="1378"/>
      <c r="EW615" s="1376" t="str">
        <f t="shared" si="22"/>
        <v/>
      </c>
      <c r="EX615" s="1377"/>
      <c r="EY615" s="1377"/>
      <c r="EZ615" s="1377"/>
      <c r="FA615" s="1378"/>
    </row>
    <row r="616" spans="1:157" ht="12.9" customHeight="1">
      <c r="AZ616" s="3"/>
      <c r="BA616" s="3"/>
      <c r="BB616" s="3"/>
      <c r="BC616" s="3"/>
      <c r="BD616" s="3"/>
      <c r="BE616" s="1376">
        <f t="shared" si="1"/>
        <v>0</v>
      </c>
      <c r="BF616" s="1378"/>
      <c r="BG616" s="1394">
        <f t="shared" si="2"/>
        <v>0</v>
      </c>
      <c r="BH616" s="1395"/>
      <c r="BI616" s="1376">
        <f t="shared" si="3"/>
        <v>0</v>
      </c>
      <c r="BJ616" s="1378"/>
      <c r="BK616" s="1394">
        <f t="shared" si="4"/>
        <v>0</v>
      </c>
      <c r="BL616" s="1395"/>
      <c r="BM616" s="3"/>
      <c r="BN616" s="1390">
        <f t="shared" si="5"/>
        <v>0</v>
      </c>
      <c r="BO616" s="1391"/>
      <c r="BP616" s="1391"/>
      <c r="BQ616" s="1391"/>
      <c r="BR616" s="1392"/>
      <c r="BS616" s="1393">
        <f t="shared" si="6"/>
        <v>0</v>
      </c>
      <c r="BT616" s="1393"/>
      <c r="BU616" s="1393"/>
      <c r="BV616" s="1393"/>
      <c r="BW616" s="1393"/>
      <c r="BX616" s="1393">
        <f t="shared" si="7"/>
        <v>0</v>
      </c>
      <c r="BY616" s="1393"/>
      <c r="BZ616" s="1393"/>
      <c r="CA616" s="1393"/>
      <c r="CB616" s="1393"/>
      <c r="CC616" s="1393">
        <f t="shared" si="8"/>
        <v>0</v>
      </c>
      <c r="CD616" s="1393"/>
      <c r="CE616" s="1393"/>
      <c r="CF616" s="1393"/>
      <c r="CG616" s="1393"/>
      <c r="CH616" s="1393">
        <f t="shared" si="9"/>
        <v>0</v>
      </c>
      <c r="CI616" s="1393"/>
      <c r="CJ616" s="1393"/>
      <c r="CK616" s="1393"/>
      <c r="CL616" s="1393"/>
      <c r="CM616" s="1393">
        <f t="shared" si="10"/>
        <v>0</v>
      </c>
      <c r="CN616" s="1393"/>
      <c r="CO616" s="1393"/>
      <c r="CP616" s="1393"/>
      <c r="CQ616" s="1393"/>
      <c r="CR616" s="6"/>
      <c r="CS616" s="1380">
        <f t="shared" si="11"/>
        <v>0</v>
      </c>
      <c r="CT616" s="1380"/>
      <c r="CU616" s="1380"/>
      <c r="CV616" s="1380"/>
      <c r="CW616" s="1380"/>
      <c r="CX616" s="1380">
        <f t="shared" si="12"/>
        <v>0</v>
      </c>
      <c r="CY616" s="1380"/>
      <c r="CZ616" s="1380"/>
      <c r="DA616" s="1380"/>
      <c r="DB616" s="1380"/>
      <c r="DC616" s="1380">
        <f t="shared" si="13"/>
        <v>0</v>
      </c>
      <c r="DD616" s="1380"/>
      <c r="DE616" s="1380"/>
      <c r="DF616" s="1380"/>
      <c r="DG616" s="1380"/>
      <c r="DH616" s="1380">
        <f t="shared" si="14"/>
        <v>0</v>
      </c>
      <c r="DI616" s="1380"/>
      <c r="DJ616" s="1380"/>
      <c r="DK616" s="1380"/>
      <c r="DL616" s="1380"/>
      <c r="DM616" s="1380">
        <f t="shared" si="15"/>
        <v>0</v>
      </c>
      <c r="DN616" s="1380"/>
      <c r="DO616" s="1380"/>
      <c r="DP616" s="1380"/>
      <c r="DQ616" s="1380"/>
      <c r="DR616" s="1380">
        <f t="shared" si="16"/>
        <v>0</v>
      </c>
      <c r="DS616" s="1380"/>
      <c r="DT616" s="1380"/>
      <c r="DU616" s="1380"/>
      <c r="DV616" s="1380"/>
      <c r="DX616" s="1376" t="str">
        <f t="shared" si="17"/>
        <v/>
      </c>
      <c r="DY616" s="1377"/>
      <c r="DZ616" s="1377"/>
      <c r="EA616" s="1377"/>
      <c r="EB616" s="1378"/>
      <c r="EC616" s="1376" t="str">
        <f t="shared" si="18"/>
        <v/>
      </c>
      <c r="ED616" s="1377"/>
      <c r="EE616" s="1377"/>
      <c r="EF616" s="1377"/>
      <c r="EG616" s="1378"/>
      <c r="EH616" s="1376" t="str">
        <f t="shared" si="19"/>
        <v/>
      </c>
      <c r="EI616" s="1377"/>
      <c r="EJ616" s="1377"/>
      <c r="EK616" s="1377"/>
      <c r="EL616" s="1378"/>
      <c r="EM616" s="1376" t="str">
        <f t="shared" si="20"/>
        <v/>
      </c>
      <c r="EN616" s="1377"/>
      <c r="EO616" s="1377"/>
      <c r="EP616" s="1377"/>
      <c r="EQ616" s="1378"/>
      <c r="ER616" s="1376" t="str">
        <f t="shared" si="21"/>
        <v/>
      </c>
      <c r="ES616" s="1377"/>
      <c r="ET616" s="1377"/>
      <c r="EU616" s="1377"/>
      <c r="EV616" s="1378"/>
      <c r="EW616" s="1376" t="str">
        <f t="shared" si="22"/>
        <v/>
      </c>
      <c r="EX616" s="1377"/>
      <c r="EY616" s="1377"/>
      <c r="EZ616" s="1377"/>
      <c r="FA616" s="1378"/>
    </row>
    <row r="617" spans="1:157" ht="12.9" customHeight="1">
      <c r="A617" s="1275" t="s">
        <v>551</v>
      </c>
      <c r="B617" s="1275"/>
      <c r="C617" s="1275"/>
      <c r="D617" s="1275"/>
      <c r="E617" s="1275"/>
      <c r="F617" s="1275"/>
      <c r="G617" s="1275"/>
      <c r="H617" s="1275"/>
      <c r="I617" s="1275"/>
      <c r="J617" s="1275"/>
      <c r="K617" s="1275"/>
      <c r="L617" s="1275"/>
      <c r="M617" s="1275"/>
      <c r="N617" s="1275"/>
      <c r="O617" s="1275"/>
      <c r="P617" s="1275"/>
      <c r="Q617" s="1275"/>
      <c r="R617" s="1275"/>
      <c r="S617" s="1275"/>
      <c r="T617" s="1275"/>
      <c r="U617" s="1275"/>
      <c r="V617" s="1275"/>
      <c r="W617" s="1275"/>
      <c r="X617" s="1275"/>
      <c r="Y617" s="1275"/>
      <c r="Z617" s="1275"/>
      <c r="AA617" s="1275"/>
      <c r="AB617" s="1275"/>
      <c r="AC617" s="1275"/>
      <c r="AD617" s="1275"/>
      <c r="AE617" s="1275"/>
      <c r="AF617" s="1275"/>
      <c r="AG617" s="1275"/>
      <c r="AH617" s="1275"/>
      <c r="AI617" s="1275"/>
      <c r="AJ617" s="1275"/>
      <c r="AK617" s="1275"/>
      <c r="AL617" s="1275"/>
      <c r="AM617" s="1275"/>
      <c r="AN617" s="1275"/>
      <c r="AO617" s="1275"/>
      <c r="AP617" s="1275"/>
      <c r="AQ617" s="1275"/>
      <c r="AR617" s="1275"/>
      <c r="AS617" s="1275"/>
      <c r="AT617" s="1275"/>
      <c r="AZ617" s="3"/>
      <c r="BA617" s="3"/>
      <c r="BB617" s="3"/>
      <c r="BC617" s="3"/>
      <c r="BD617" s="3"/>
      <c r="BE617" s="1376">
        <f t="shared" si="1"/>
        <v>0</v>
      </c>
      <c r="BF617" s="1378"/>
      <c r="BG617" s="1394">
        <f t="shared" si="2"/>
        <v>0</v>
      </c>
      <c r="BH617" s="1395"/>
      <c r="BI617" s="1376">
        <f t="shared" si="3"/>
        <v>0</v>
      </c>
      <c r="BJ617" s="1378"/>
      <c r="BK617" s="1394">
        <f t="shared" si="4"/>
        <v>0</v>
      </c>
      <c r="BL617" s="1395"/>
      <c r="BM617" s="3"/>
      <c r="BN617" s="1390">
        <f t="shared" si="5"/>
        <v>0</v>
      </c>
      <c r="BO617" s="1391"/>
      <c r="BP617" s="1391"/>
      <c r="BQ617" s="1391"/>
      <c r="BR617" s="1392"/>
      <c r="BS617" s="1393">
        <f t="shared" si="6"/>
        <v>0</v>
      </c>
      <c r="BT617" s="1393"/>
      <c r="BU617" s="1393"/>
      <c r="BV617" s="1393"/>
      <c r="BW617" s="1393"/>
      <c r="BX617" s="1393">
        <f t="shared" si="7"/>
        <v>0</v>
      </c>
      <c r="BY617" s="1393"/>
      <c r="BZ617" s="1393"/>
      <c r="CA617" s="1393"/>
      <c r="CB617" s="1393"/>
      <c r="CC617" s="1393">
        <f t="shared" si="8"/>
        <v>0</v>
      </c>
      <c r="CD617" s="1393"/>
      <c r="CE617" s="1393"/>
      <c r="CF617" s="1393"/>
      <c r="CG617" s="1393"/>
      <c r="CH617" s="1393">
        <f t="shared" si="9"/>
        <v>0</v>
      </c>
      <c r="CI617" s="1393"/>
      <c r="CJ617" s="1393"/>
      <c r="CK617" s="1393"/>
      <c r="CL617" s="1393"/>
      <c r="CM617" s="1393">
        <f t="shared" si="10"/>
        <v>0</v>
      </c>
      <c r="CN617" s="1393"/>
      <c r="CO617" s="1393"/>
      <c r="CP617" s="1393"/>
      <c r="CQ617" s="1393"/>
      <c r="CR617" s="6"/>
      <c r="CS617" s="1380">
        <f t="shared" si="11"/>
        <v>0</v>
      </c>
      <c r="CT617" s="1380"/>
      <c r="CU617" s="1380"/>
      <c r="CV617" s="1380"/>
      <c r="CW617" s="1380"/>
      <c r="CX617" s="1380">
        <f t="shared" si="12"/>
        <v>0</v>
      </c>
      <c r="CY617" s="1380"/>
      <c r="CZ617" s="1380"/>
      <c r="DA617" s="1380"/>
      <c r="DB617" s="1380"/>
      <c r="DC617" s="1380">
        <f t="shared" si="13"/>
        <v>0</v>
      </c>
      <c r="DD617" s="1380"/>
      <c r="DE617" s="1380"/>
      <c r="DF617" s="1380"/>
      <c r="DG617" s="1380"/>
      <c r="DH617" s="1380">
        <f t="shared" si="14"/>
        <v>0</v>
      </c>
      <c r="DI617" s="1380"/>
      <c r="DJ617" s="1380"/>
      <c r="DK617" s="1380"/>
      <c r="DL617" s="1380"/>
      <c r="DM617" s="1380">
        <f t="shared" si="15"/>
        <v>0</v>
      </c>
      <c r="DN617" s="1380"/>
      <c r="DO617" s="1380"/>
      <c r="DP617" s="1380"/>
      <c r="DQ617" s="1380"/>
      <c r="DR617" s="1380">
        <f t="shared" si="16"/>
        <v>0</v>
      </c>
      <c r="DS617" s="1380"/>
      <c r="DT617" s="1380"/>
      <c r="DU617" s="1380"/>
      <c r="DV617" s="1380"/>
      <c r="DX617" s="1376" t="str">
        <f t="shared" si="17"/>
        <v/>
      </c>
      <c r="DY617" s="1377"/>
      <c r="DZ617" s="1377"/>
      <c r="EA617" s="1377"/>
      <c r="EB617" s="1378"/>
      <c r="EC617" s="1376" t="str">
        <f t="shared" si="18"/>
        <v/>
      </c>
      <c r="ED617" s="1377"/>
      <c r="EE617" s="1377"/>
      <c r="EF617" s="1377"/>
      <c r="EG617" s="1378"/>
      <c r="EH617" s="1376" t="str">
        <f t="shared" si="19"/>
        <v/>
      </c>
      <c r="EI617" s="1377"/>
      <c r="EJ617" s="1377"/>
      <c r="EK617" s="1377"/>
      <c r="EL617" s="1378"/>
      <c r="EM617" s="1376" t="str">
        <f t="shared" si="20"/>
        <v/>
      </c>
      <c r="EN617" s="1377"/>
      <c r="EO617" s="1377"/>
      <c r="EP617" s="1377"/>
      <c r="EQ617" s="1378"/>
      <c r="ER617" s="1376" t="str">
        <f t="shared" si="21"/>
        <v/>
      </c>
      <c r="ES617" s="1377"/>
      <c r="ET617" s="1377"/>
      <c r="EU617" s="1377"/>
      <c r="EV617" s="1378"/>
      <c r="EW617" s="1376" t="str">
        <f t="shared" si="22"/>
        <v/>
      </c>
      <c r="EX617" s="1377"/>
      <c r="EY617" s="1377"/>
      <c r="EZ617" s="1377"/>
      <c r="FA617" s="1378"/>
    </row>
    <row r="618" spans="1:157" ht="12.9" customHeight="1">
      <c r="A618" s="1275"/>
      <c r="B618" s="1275"/>
      <c r="C618" s="1275"/>
      <c r="D618" s="1275"/>
      <c r="E618" s="1275"/>
      <c r="F618" s="1275"/>
      <c r="G618" s="1275"/>
      <c r="H618" s="1275"/>
      <c r="I618" s="1275"/>
      <c r="J618" s="1275"/>
      <c r="K618" s="1275"/>
      <c r="L618" s="1275"/>
      <c r="M618" s="1275"/>
      <c r="N618" s="1275"/>
      <c r="O618" s="1275"/>
      <c r="P618" s="1275"/>
      <c r="Q618" s="1275"/>
      <c r="R618" s="1275"/>
      <c r="S618" s="1275"/>
      <c r="T618" s="1275"/>
      <c r="U618" s="1275"/>
      <c r="V618" s="1275"/>
      <c r="W618" s="1275"/>
      <c r="X618" s="1275"/>
      <c r="Y618" s="1275"/>
      <c r="Z618" s="1275"/>
      <c r="AA618" s="1275"/>
      <c r="AB618" s="1275"/>
      <c r="AC618" s="1275"/>
      <c r="AD618" s="1275"/>
      <c r="AE618" s="1275"/>
      <c r="AF618" s="1275"/>
      <c r="AG618" s="1275"/>
      <c r="AH618" s="1275"/>
      <c r="AI618" s="1275"/>
      <c r="AJ618" s="1275"/>
      <c r="AK618" s="1275"/>
      <c r="AL618" s="1275"/>
      <c r="AM618" s="1275"/>
      <c r="AN618" s="1275"/>
      <c r="AO618" s="1275"/>
      <c r="AP618" s="1275"/>
      <c r="AQ618" s="1275"/>
      <c r="AR618" s="1275"/>
      <c r="AS618" s="1275"/>
      <c r="AT618" s="1275"/>
      <c r="AZ618" s="3"/>
      <c r="BA618" s="3"/>
      <c r="BB618" s="3"/>
      <c r="BC618" s="3"/>
      <c r="BD618" s="3"/>
      <c r="BE618" s="1376">
        <f t="shared" si="1"/>
        <v>0</v>
      </c>
      <c r="BF618" s="1378"/>
      <c r="BG618" s="1394">
        <f t="shared" si="2"/>
        <v>0</v>
      </c>
      <c r="BH618" s="1395"/>
      <c r="BI618" s="1376">
        <f t="shared" si="3"/>
        <v>0</v>
      </c>
      <c r="BJ618" s="1378"/>
      <c r="BK618" s="1394">
        <f t="shared" si="4"/>
        <v>0</v>
      </c>
      <c r="BL618" s="1395"/>
      <c r="BM618" s="3"/>
      <c r="BN618" s="1390">
        <f t="shared" si="5"/>
        <v>0</v>
      </c>
      <c r="BO618" s="1391"/>
      <c r="BP618" s="1391"/>
      <c r="BQ618" s="1391"/>
      <c r="BR618" s="1392"/>
      <c r="BS618" s="1393">
        <f t="shared" si="6"/>
        <v>0</v>
      </c>
      <c r="BT618" s="1393"/>
      <c r="BU618" s="1393"/>
      <c r="BV618" s="1393"/>
      <c r="BW618" s="1393"/>
      <c r="BX618" s="1393">
        <f t="shared" si="7"/>
        <v>0</v>
      </c>
      <c r="BY618" s="1393"/>
      <c r="BZ618" s="1393"/>
      <c r="CA618" s="1393"/>
      <c r="CB618" s="1393"/>
      <c r="CC618" s="1393">
        <f t="shared" si="8"/>
        <v>0</v>
      </c>
      <c r="CD618" s="1393"/>
      <c r="CE618" s="1393"/>
      <c r="CF618" s="1393"/>
      <c r="CG618" s="1393"/>
      <c r="CH618" s="1393">
        <f t="shared" si="9"/>
        <v>0</v>
      </c>
      <c r="CI618" s="1393"/>
      <c r="CJ618" s="1393"/>
      <c r="CK618" s="1393"/>
      <c r="CL618" s="1393"/>
      <c r="CM618" s="1393">
        <f t="shared" si="10"/>
        <v>0</v>
      </c>
      <c r="CN618" s="1393"/>
      <c r="CO618" s="1393"/>
      <c r="CP618" s="1393"/>
      <c r="CQ618" s="1393"/>
      <c r="CR618" s="6"/>
      <c r="CS618" s="1380">
        <f t="shared" si="11"/>
        <v>0</v>
      </c>
      <c r="CT618" s="1380"/>
      <c r="CU618" s="1380"/>
      <c r="CV618" s="1380"/>
      <c r="CW618" s="1380"/>
      <c r="CX618" s="1380">
        <f t="shared" si="12"/>
        <v>0</v>
      </c>
      <c r="CY618" s="1380"/>
      <c r="CZ618" s="1380"/>
      <c r="DA618" s="1380"/>
      <c r="DB618" s="1380"/>
      <c r="DC618" s="1380">
        <f t="shared" si="13"/>
        <v>0</v>
      </c>
      <c r="DD618" s="1380"/>
      <c r="DE618" s="1380"/>
      <c r="DF618" s="1380"/>
      <c r="DG618" s="1380"/>
      <c r="DH618" s="1380">
        <f t="shared" si="14"/>
        <v>0</v>
      </c>
      <c r="DI618" s="1380"/>
      <c r="DJ618" s="1380"/>
      <c r="DK618" s="1380"/>
      <c r="DL618" s="1380"/>
      <c r="DM618" s="1380">
        <f t="shared" si="15"/>
        <v>0</v>
      </c>
      <c r="DN618" s="1380"/>
      <c r="DO618" s="1380"/>
      <c r="DP618" s="1380"/>
      <c r="DQ618" s="1380"/>
      <c r="DR618" s="1380">
        <f t="shared" si="16"/>
        <v>0</v>
      </c>
      <c r="DS618" s="1380"/>
      <c r="DT618" s="1380"/>
      <c r="DU618" s="1380"/>
      <c r="DV618" s="1380"/>
      <c r="DX618" s="1376" t="str">
        <f t="shared" si="17"/>
        <v/>
      </c>
      <c r="DY618" s="1377"/>
      <c r="DZ618" s="1377"/>
      <c r="EA618" s="1377"/>
      <c r="EB618" s="1378"/>
      <c r="EC618" s="1376" t="str">
        <f t="shared" si="18"/>
        <v/>
      </c>
      <c r="ED618" s="1377"/>
      <c r="EE618" s="1377"/>
      <c r="EF618" s="1377"/>
      <c r="EG618" s="1378"/>
      <c r="EH618" s="1376" t="str">
        <f t="shared" si="19"/>
        <v/>
      </c>
      <c r="EI618" s="1377"/>
      <c r="EJ618" s="1377"/>
      <c r="EK618" s="1377"/>
      <c r="EL618" s="1378"/>
      <c r="EM618" s="1376" t="str">
        <f t="shared" si="20"/>
        <v/>
      </c>
      <c r="EN618" s="1377"/>
      <c r="EO618" s="1377"/>
      <c r="EP618" s="1377"/>
      <c r="EQ618" s="1378"/>
      <c r="ER618" s="1376" t="str">
        <f t="shared" si="21"/>
        <v/>
      </c>
      <c r="ES618" s="1377"/>
      <c r="ET618" s="1377"/>
      <c r="EU618" s="1377"/>
      <c r="EV618" s="1378"/>
      <c r="EW618" s="1376" t="str">
        <f t="shared" si="22"/>
        <v/>
      </c>
      <c r="EX618" s="1377"/>
      <c r="EY618" s="1377"/>
      <c r="EZ618" s="1377"/>
      <c r="FA618" s="1378"/>
    </row>
    <row r="619" spans="1:157" ht="12.9" customHeight="1">
      <c r="AZ619" s="3"/>
      <c r="BA619" s="3"/>
      <c r="BB619" s="3"/>
      <c r="BC619" s="3"/>
      <c r="BD619" s="3"/>
      <c r="BE619" s="1376">
        <f t="shared" si="1"/>
        <v>0</v>
      </c>
      <c r="BF619" s="1378"/>
      <c r="BG619" s="1394">
        <f t="shared" si="2"/>
        <v>0</v>
      </c>
      <c r="BH619" s="1395"/>
      <c r="BI619" s="1376">
        <f t="shared" si="3"/>
        <v>0</v>
      </c>
      <c r="BJ619" s="1378"/>
      <c r="BK619" s="1394">
        <f t="shared" si="4"/>
        <v>0</v>
      </c>
      <c r="BL619" s="1395"/>
      <c r="BM619" s="3"/>
      <c r="BN619" s="1390">
        <f t="shared" si="5"/>
        <v>0</v>
      </c>
      <c r="BO619" s="1391"/>
      <c r="BP619" s="1391"/>
      <c r="BQ619" s="1391"/>
      <c r="BR619" s="1392"/>
      <c r="BS619" s="1393">
        <f t="shared" si="6"/>
        <v>0</v>
      </c>
      <c r="BT619" s="1393"/>
      <c r="BU619" s="1393"/>
      <c r="BV619" s="1393"/>
      <c r="BW619" s="1393"/>
      <c r="BX619" s="1393">
        <f t="shared" si="7"/>
        <v>0</v>
      </c>
      <c r="BY619" s="1393"/>
      <c r="BZ619" s="1393"/>
      <c r="CA619" s="1393"/>
      <c r="CB619" s="1393"/>
      <c r="CC619" s="1393">
        <f t="shared" si="8"/>
        <v>0</v>
      </c>
      <c r="CD619" s="1393"/>
      <c r="CE619" s="1393"/>
      <c r="CF619" s="1393"/>
      <c r="CG619" s="1393"/>
      <c r="CH619" s="1393">
        <f t="shared" si="9"/>
        <v>0</v>
      </c>
      <c r="CI619" s="1393"/>
      <c r="CJ619" s="1393"/>
      <c r="CK619" s="1393"/>
      <c r="CL619" s="1393"/>
      <c r="CM619" s="1393">
        <f t="shared" si="10"/>
        <v>0</v>
      </c>
      <c r="CN619" s="1393"/>
      <c r="CO619" s="1393"/>
      <c r="CP619" s="1393"/>
      <c r="CQ619" s="1393"/>
      <c r="CR619" s="6"/>
      <c r="CS619" s="1380">
        <f t="shared" si="11"/>
        <v>0</v>
      </c>
      <c r="CT619" s="1380"/>
      <c r="CU619" s="1380"/>
      <c r="CV619" s="1380"/>
      <c r="CW619" s="1380"/>
      <c r="CX619" s="1380">
        <f t="shared" si="12"/>
        <v>0</v>
      </c>
      <c r="CY619" s="1380"/>
      <c r="CZ619" s="1380"/>
      <c r="DA619" s="1380"/>
      <c r="DB619" s="1380"/>
      <c r="DC619" s="1380">
        <f t="shared" si="13"/>
        <v>0</v>
      </c>
      <c r="DD619" s="1380"/>
      <c r="DE619" s="1380"/>
      <c r="DF619" s="1380"/>
      <c r="DG619" s="1380"/>
      <c r="DH619" s="1380">
        <f t="shared" si="14"/>
        <v>0</v>
      </c>
      <c r="DI619" s="1380"/>
      <c r="DJ619" s="1380"/>
      <c r="DK619" s="1380"/>
      <c r="DL619" s="1380"/>
      <c r="DM619" s="1380">
        <f t="shared" si="15"/>
        <v>0</v>
      </c>
      <c r="DN619" s="1380"/>
      <c r="DO619" s="1380"/>
      <c r="DP619" s="1380"/>
      <c r="DQ619" s="1380"/>
      <c r="DR619" s="1380">
        <f t="shared" si="16"/>
        <v>0</v>
      </c>
      <c r="DS619" s="1380"/>
      <c r="DT619" s="1380"/>
      <c r="DU619" s="1380"/>
      <c r="DV619" s="1380"/>
      <c r="DX619" s="1376" t="str">
        <f t="shared" si="17"/>
        <v/>
      </c>
      <c r="DY619" s="1377"/>
      <c r="DZ619" s="1377"/>
      <c r="EA619" s="1377"/>
      <c r="EB619" s="1378"/>
      <c r="EC619" s="1376" t="str">
        <f t="shared" si="18"/>
        <v/>
      </c>
      <c r="ED619" s="1377"/>
      <c r="EE619" s="1377"/>
      <c r="EF619" s="1377"/>
      <c r="EG619" s="1378"/>
      <c r="EH619" s="1376" t="str">
        <f t="shared" si="19"/>
        <v/>
      </c>
      <c r="EI619" s="1377"/>
      <c r="EJ619" s="1377"/>
      <c r="EK619" s="1377"/>
      <c r="EL619" s="1378"/>
      <c r="EM619" s="1376" t="str">
        <f t="shared" si="20"/>
        <v/>
      </c>
      <c r="EN619" s="1377"/>
      <c r="EO619" s="1377"/>
      <c r="EP619" s="1377"/>
      <c r="EQ619" s="1378"/>
      <c r="ER619" s="1376" t="str">
        <f t="shared" si="21"/>
        <v/>
      </c>
      <c r="ES619" s="1377"/>
      <c r="ET619" s="1377"/>
      <c r="EU619" s="1377"/>
      <c r="EV619" s="1378"/>
      <c r="EW619" s="1376" t="str">
        <f t="shared" si="22"/>
        <v/>
      </c>
      <c r="EX619" s="1377"/>
      <c r="EY619" s="1377"/>
      <c r="EZ619" s="1377"/>
      <c r="FA619" s="1378"/>
    </row>
    <row r="620" spans="1:157" ht="12.9" customHeight="1">
      <c r="A620" s="2" t="s">
        <v>319</v>
      </c>
      <c r="B620" s="2"/>
      <c r="C620" s="2" t="s">
        <v>21</v>
      </c>
      <c r="AZ620" s="3"/>
      <c r="BA620" s="3"/>
      <c r="BB620" s="3"/>
      <c r="BC620" s="3"/>
      <c r="BD620" s="3"/>
      <c r="BE620" s="1376">
        <f t="shared" si="1"/>
        <v>0</v>
      </c>
      <c r="BF620" s="1378"/>
      <c r="BG620" s="1394">
        <f t="shared" si="2"/>
        <v>0</v>
      </c>
      <c r="BH620" s="1395"/>
      <c r="BI620" s="1376">
        <f t="shared" si="3"/>
        <v>0</v>
      </c>
      <c r="BJ620" s="1378"/>
      <c r="BK620" s="1394">
        <f t="shared" si="4"/>
        <v>0</v>
      </c>
      <c r="BL620" s="1395"/>
      <c r="BM620" s="3"/>
      <c r="BN620" s="1390">
        <f t="shared" si="5"/>
        <v>0</v>
      </c>
      <c r="BO620" s="1391"/>
      <c r="BP620" s="1391"/>
      <c r="BQ620" s="1391"/>
      <c r="BR620" s="1392"/>
      <c r="BS620" s="1393">
        <f t="shared" si="6"/>
        <v>0</v>
      </c>
      <c r="BT620" s="1393"/>
      <c r="BU620" s="1393"/>
      <c r="BV620" s="1393"/>
      <c r="BW620" s="1393"/>
      <c r="BX620" s="1393">
        <f t="shared" si="7"/>
        <v>0</v>
      </c>
      <c r="BY620" s="1393"/>
      <c r="BZ620" s="1393"/>
      <c r="CA620" s="1393"/>
      <c r="CB620" s="1393"/>
      <c r="CC620" s="1393">
        <f t="shared" si="8"/>
        <v>0</v>
      </c>
      <c r="CD620" s="1393"/>
      <c r="CE620" s="1393"/>
      <c r="CF620" s="1393"/>
      <c r="CG620" s="1393"/>
      <c r="CH620" s="1393">
        <f t="shared" si="9"/>
        <v>0</v>
      </c>
      <c r="CI620" s="1393"/>
      <c r="CJ620" s="1393"/>
      <c r="CK620" s="1393"/>
      <c r="CL620" s="1393"/>
      <c r="CM620" s="1393">
        <f t="shared" si="10"/>
        <v>0</v>
      </c>
      <c r="CN620" s="1393"/>
      <c r="CO620" s="1393"/>
      <c r="CP620" s="1393"/>
      <c r="CQ620" s="1393"/>
      <c r="CR620" s="6"/>
      <c r="CS620" s="1380">
        <f t="shared" si="11"/>
        <v>0</v>
      </c>
      <c r="CT620" s="1380"/>
      <c r="CU620" s="1380"/>
      <c r="CV620" s="1380"/>
      <c r="CW620" s="1380"/>
      <c r="CX620" s="1380">
        <f t="shared" si="12"/>
        <v>0</v>
      </c>
      <c r="CY620" s="1380"/>
      <c r="CZ620" s="1380"/>
      <c r="DA620" s="1380"/>
      <c r="DB620" s="1380"/>
      <c r="DC620" s="1380">
        <f t="shared" si="13"/>
        <v>0</v>
      </c>
      <c r="DD620" s="1380"/>
      <c r="DE620" s="1380"/>
      <c r="DF620" s="1380"/>
      <c r="DG620" s="1380"/>
      <c r="DH620" s="1380">
        <f t="shared" si="14"/>
        <v>0</v>
      </c>
      <c r="DI620" s="1380"/>
      <c r="DJ620" s="1380"/>
      <c r="DK620" s="1380"/>
      <c r="DL620" s="1380"/>
      <c r="DM620" s="1380">
        <f t="shared" si="15"/>
        <v>0</v>
      </c>
      <c r="DN620" s="1380"/>
      <c r="DO620" s="1380"/>
      <c r="DP620" s="1380"/>
      <c r="DQ620" s="1380"/>
      <c r="DR620" s="1380">
        <f t="shared" si="16"/>
        <v>0</v>
      </c>
      <c r="DS620" s="1380"/>
      <c r="DT620" s="1380"/>
      <c r="DU620" s="1380"/>
      <c r="DV620" s="1380"/>
      <c r="DX620" s="1376" t="str">
        <f t="shared" si="17"/>
        <v/>
      </c>
      <c r="DY620" s="1377"/>
      <c r="DZ620" s="1377"/>
      <c r="EA620" s="1377"/>
      <c r="EB620" s="1378"/>
      <c r="EC620" s="1376" t="str">
        <f t="shared" si="18"/>
        <v/>
      </c>
      <c r="ED620" s="1377"/>
      <c r="EE620" s="1377"/>
      <c r="EF620" s="1377"/>
      <c r="EG620" s="1378"/>
      <c r="EH620" s="1376" t="str">
        <f t="shared" si="19"/>
        <v/>
      </c>
      <c r="EI620" s="1377"/>
      <c r="EJ620" s="1377"/>
      <c r="EK620" s="1377"/>
      <c r="EL620" s="1378"/>
      <c r="EM620" s="1376" t="str">
        <f t="shared" si="20"/>
        <v/>
      </c>
      <c r="EN620" s="1377"/>
      <c r="EO620" s="1377"/>
      <c r="EP620" s="1377"/>
      <c r="EQ620" s="1378"/>
      <c r="ER620" s="1376" t="str">
        <f t="shared" si="21"/>
        <v/>
      </c>
      <c r="ES620" s="1377"/>
      <c r="ET620" s="1377"/>
      <c r="EU620" s="1377"/>
      <c r="EV620" s="1378"/>
      <c r="EW620" s="1376" t="str">
        <f t="shared" si="22"/>
        <v/>
      </c>
      <c r="EX620" s="1377"/>
      <c r="EY620" s="1377"/>
      <c r="EZ620" s="1377"/>
      <c r="FA620" s="1378"/>
    </row>
    <row r="621" spans="1:157" ht="12.9" customHeight="1">
      <c r="A621" s="2"/>
      <c r="B621" s="2"/>
      <c r="C621" s="2"/>
      <c r="AZ621" s="3"/>
      <c r="BA621" s="3"/>
      <c r="BB621" s="3"/>
      <c r="BC621" s="3"/>
      <c r="BD621" s="3"/>
      <c r="BE621" s="1376">
        <f t="shared" si="1"/>
        <v>0</v>
      </c>
      <c r="BF621" s="1378"/>
      <c r="BG621" s="1394">
        <f t="shared" si="2"/>
        <v>0</v>
      </c>
      <c r="BH621" s="1395"/>
      <c r="BI621" s="1376">
        <f t="shared" si="3"/>
        <v>0</v>
      </c>
      <c r="BJ621" s="1378"/>
      <c r="BK621" s="1394">
        <f t="shared" si="4"/>
        <v>0</v>
      </c>
      <c r="BL621" s="1395"/>
      <c r="BM621" s="3"/>
      <c r="BN621" s="1390">
        <f t="shared" si="5"/>
        <v>0</v>
      </c>
      <c r="BO621" s="1391"/>
      <c r="BP621" s="1391"/>
      <c r="BQ621" s="1391"/>
      <c r="BR621" s="1392"/>
      <c r="BS621" s="1393">
        <f t="shared" si="6"/>
        <v>0</v>
      </c>
      <c r="BT621" s="1393"/>
      <c r="BU621" s="1393"/>
      <c r="BV621" s="1393"/>
      <c r="BW621" s="1393"/>
      <c r="BX621" s="1393">
        <f t="shared" si="7"/>
        <v>0</v>
      </c>
      <c r="BY621" s="1393"/>
      <c r="BZ621" s="1393"/>
      <c r="CA621" s="1393"/>
      <c r="CB621" s="1393"/>
      <c r="CC621" s="1393">
        <f t="shared" si="8"/>
        <v>0</v>
      </c>
      <c r="CD621" s="1393"/>
      <c r="CE621" s="1393"/>
      <c r="CF621" s="1393"/>
      <c r="CG621" s="1393"/>
      <c r="CH621" s="1393">
        <f t="shared" si="9"/>
        <v>0</v>
      </c>
      <c r="CI621" s="1393"/>
      <c r="CJ621" s="1393"/>
      <c r="CK621" s="1393"/>
      <c r="CL621" s="1393"/>
      <c r="CM621" s="1393">
        <f t="shared" si="10"/>
        <v>0</v>
      </c>
      <c r="CN621" s="1393"/>
      <c r="CO621" s="1393"/>
      <c r="CP621" s="1393"/>
      <c r="CQ621" s="1393"/>
      <c r="CR621" s="6"/>
      <c r="CS621" s="1380">
        <f t="shared" si="11"/>
        <v>0</v>
      </c>
      <c r="CT621" s="1380"/>
      <c r="CU621" s="1380"/>
      <c r="CV621" s="1380"/>
      <c r="CW621" s="1380"/>
      <c r="CX621" s="1380">
        <f t="shared" si="12"/>
        <v>0</v>
      </c>
      <c r="CY621" s="1380"/>
      <c r="CZ621" s="1380"/>
      <c r="DA621" s="1380"/>
      <c r="DB621" s="1380"/>
      <c r="DC621" s="1380">
        <f t="shared" si="13"/>
        <v>0</v>
      </c>
      <c r="DD621" s="1380"/>
      <c r="DE621" s="1380"/>
      <c r="DF621" s="1380"/>
      <c r="DG621" s="1380"/>
      <c r="DH621" s="1380">
        <f t="shared" si="14"/>
        <v>0</v>
      </c>
      <c r="DI621" s="1380"/>
      <c r="DJ621" s="1380"/>
      <c r="DK621" s="1380"/>
      <c r="DL621" s="1380"/>
      <c r="DM621" s="1380">
        <f t="shared" si="15"/>
        <v>0</v>
      </c>
      <c r="DN621" s="1380"/>
      <c r="DO621" s="1380"/>
      <c r="DP621" s="1380"/>
      <c r="DQ621" s="1380"/>
      <c r="DR621" s="1380">
        <f t="shared" si="16"/>
        <v>0</v>
      </c>
      <c r="DS621" s="1380"/>
      <c r="DT621" s="1380"/>
      <c r="DU621" s="1380"/>
      <c r="DV621" s="1380"/>
      <c r="DX621" s="1376" t="str">
        <f t="shared" si="17"/>
        <v/>
      </c>
      <c r="DY621" s="1377"/>
      <c r="DZ621" s="1377"/>
      <c r="EA621" s="1377"/>
      <c r="EB621" s="1378"/>
      <c r="EC621" s="1376" t="str">
        <f t="shared" si="18"/>
        <v/>
      </c>
      <c r="ED621" s="1377"/>
      <c r="EE621" s="1377"/>
      <c r="EF621" s="1377"/>
      <c r="EG621" s="1378"/>
      <c r="EH621" s="1376" t="str">
        <f t="shared" si="19"/>
        <v/>
      </c>
      <c r="EI621" s="1377"/>
      <c r="EJ621" s="1377"/>
      <c r="EK621" s="1377"/>
      <c r="EL621" s="1378"/>
      <c r="EM621" s="1376" t="str">
        <f t="shared" si="20"/>
        <v/>
      </c>
      <c r="EN621" s="1377"/>
      <c r="EO621" s="1377"/>
      <c r="EP621" s="1377"/>
      <c r="EQ621" s="1378"/>
      <c r="ER621" s="1376" t="str">
        <f t="shared" si="21"/>
        <v/>
      </c>
      <c r="ES621" s="1377"/>
      <c r="ET621" s="1377"/>
      <c r="EU621" s="1377"/>
      <c r="EV621" s="1378"/>
      <c r="EW621" s="1376" t="str">
        <f t="shared" si="22"/>
        <v/>
      </c>
      <c r="EX621" s="1377"/>
      <c r="EY621" s="1377"/>
      <c r="EZ621" s="1377"/>
      <c r="FA621" s="1378"/>
    </row>
    <row r="622" spans="1:157" ht="12.9" customHeight="1">
      <c r="C622" s="2" t="s">
        <v>2418</v>
      </c>
      <c r="AZ622" s="3"/>
      <c r="BA622" s="3"/>
      <c r="BB622" s="3"/>
      <c r="BC622" s="3"/>
      <c r="BD622" s="3"/>
      <c r="BE622" s="1376">
        <f t="shared" si="1"/>
        <v>0</v>
      </c>
      <c r="BF622" s="1378"/>
      <c r="BG622" s="1394">
        <f t="shared" si="2"/>
        <v>0</v>
      </c>
      <c r="BH622" s="1395"/>
      <c r="BI622" s="1376">
        <f t="shared" si="3"/>
        <v>0</v>
      </c>
      <c r="BJ622" s="1378"/>
      <c r="BK622" s="1394">
        <f t="shared" si="4"/>
        <v>0</v>
      </c>
      <c r="BL622" s="1395"/>
      <c r="BM622" s="3"/>
      <c r="BN622" s="1390">
        <f t="shared" si="5"/>
        <v>0</v>
      </c>
      <c r="BO622" s="1391"/>
      <c r="BP622" s="1391"/>
      <c r="BQ622" s="1391"/>
      <c r="BR622" s="1392"/>
      <c r="BS622" s="1393">
        <f t="shared" si="6"/>
        <v>0</v>
      </c>
      <c r="BT622" s="1393"/>
      <c r="BU622" s="1393"/>
      <c r="BV622" s="1393"/>
      <c r="BW622" s="1393"/>
      <c r="BX622" s="1393">
        <f t="shared" si="7"/>
        <v>0</v>
      </c>
      <c r="BY622" s="1393"/>
      <c r="BZ622" s="1393"/>
      <c r="CA622" s="1393"/>
      <c r="CB622" s="1393"/>
      <c r="CC622" s="1393">
        <f t="shared" si="8"/>
        <v>0</v>
      </c>
      <c r="CD622" s="1393"/>
      <c r="CE622" s="1393"/>
      <c r="CF622" s="1393"/>
      <c r="CG622" s="1393"/>
      <c r="CH622" s="1393">
        <f t="shared" si="9"/>
        <v>0</v>
      </c>
      <c r="CI622" s="1393"/>
      <c r="CJ622" s="1393"/>
      <c r="CK622" s="1393"/>
      <c r="CL622" s="1393"/>
      <c r="CM622" s="1393">
        <f t="shared" si="10"/>
        <v>0</v>
      </c>
      <c r="CN622" s="1393"/>
      <c r="CO622" s="1393"/>
      <c r="CP622" s="1393"/>
      <c r="CQ622" s="1393"/>
      <c r="CR622" s="6"/>
      <c r="CS622" s="1380">
        <f t="shared" si="11"/>
        <v>0</v>
      </c>
      <c r="CT622" s="1380"/>
      <c r="CU622" s="1380"/>
      <c r="CV622" s="1380"/>
      <c r="CW622" s="1380"/>
      <c r="CX622" s="1380">
        <f t="shared" si="12"/>
        <v>0</v>
      </c>
      <c r="CY622" s="1380"/>
      <c r="CZ622" s="1380"/>
      <c r="DA622" s="1380"/>
      <c r="DB622" s="1380"/>
      <c r="DC622" s="1380">
        <f t="shared" si="13"/>
        <v>0</v>
      </c>
      <c r="DD622" s="1380"/>
      <c r="DE622" s="1380"/>
      <c r="DF622" s="1380"/>
      <c r="DG622" s="1380"/>
      <c r="DH622" s="1380">
        <f t="shared" si="14"/>
        <v>0</v>
      </c>
      <c r="DI622" s="1380"/>
      <c r="DJ622" s="1380"/>
      <c r="DK622" s="1380"/>
      <c r="DL622" s="1380"/>
      <c r="DM622" s="1380">
        <f t="shared" si="15"/>
        <v>0</v>
      </c>
      <c r="DN622" s="1380"/>
      <c r="DO622" s="1380"/>
      <c r="DP622" s="1380"/>
      <c r="DQ622" s="1380"/>
      <c r="DR622" s="1380">
        <f t="shared" si="16"/>
        <v>0</v>
      </c>
      <c r="DS622" s="1380"/>
      <c r="DT622" s="1380"/>
      <c r="DU622" s="1380"/>
      <c r="DV622" s="1380"/>
      <c r="DX622" s="1376" t="str">
        <f t="shared" si="17"/>
        <v/>
      </c>
      <c r="DY622" s="1377"/>
      <c r="DZ622" s="1377"/>
      <c r="EA622" s="1377"/>
      <c r="EB622" s="1378"/>
      <c r="EC622" s="1376" t="str">
        <f t="shared" si="18"/>
        <v/>
      </c>
      <c r="ED622" s="1377"/>
      <c r="EE622" s="1377"/>
      <c r="EF622" s="1377"/>
      <c r="EG622" s="1378"/>
      <c r="EH622" s="1376" t="str">
        <f t="shared" si="19"/>
        <v/>
      </c>
      <c r="EI622" s="1377"/>
      <c r="EJ622" s="1377"/>
      <c r="EK622" s="1377"/>
      <c r="EL622" s="1378"/>
      <c r="EM622" s="1376" t="str">
        <f t="shared" si="20"/>
        <v/>
      </c>
      <c r="EN622" s="1377"/>
      <c r="EO622" s="1377"/>
      <c r="EP622" s="1377"/>
      <c r="EQ622" s="1378"/>
      <c r="ER622" s="1376" t="str">
        <f t="shared" si="21"/>
        <v/>
      </c>
      <c r="ES622" s="1377"/>
      <c r="ET622" s="1377"/>
      <c r="EU622" s="1377"/>
      <c r="EV622" s="1378"/>
      <c r="EW622" s="1376" t="str">
        <f t="shared" si="22"/>
        <v/>
      </c>
      <c r="EX622" s="1377"/>
      <c r="EY622" s="1377"/>
      <c r="EZ622" s="1377"/>
      <c r="FA622" s="1378"/>
    </row>
    <row r="623" spans="1:157" ht="12.9" customHeight="1">
      <c r="B623" s="546"/>
      <c r="C623" s="2"/>
      <c r="AU623" s="3"/>
      <c r="AZ623" s="3"/>
      <c r="BA623" s="3"/>
      <c r="BB623" s="3"/>
      <c r="BC623" s="3"/>
      <c r="BD623" s="3"/>
      <c r="BE623" s="1376">
        <f t="shared" si="1"/>
        <v>0</v>
      </c>
      <c r="BF623" s="1378"/>
      <c r="BG623" s="1394">
        <f t="shared" si="2"/>
        <v>0</v>
      </c>
      <c r="BH623" s="1395"/>
      <c r="BI623" s="1376">
        <f t="shared" si="3"/>
        <v>0</v>
      </c>
      <c r="BJ623" s="1378"/>
      <c r="BK623" s="1394">
        <f t="shared" si="4"/>
        <v>0</v>
      </c>
      <c r="BL623" s="1395"/>
      <c r="BM623" s="3"/>
      <c r="BN623" s="1390">
        <f t="shared" si="5"/>
        <v>0</v>
      </c>
      <c r="BO623" s="1391"/>
      <c r="BP623" s="1391"/>
      <c r="BQ623" s="1391"/>
      <c r="BR623" s="1392"/>
      <c r="BS623" s="1393">
        <f t="shared" si="6"/>
        <v>0</v>
      </c>
      <c r="BT623" s="1393"/>
      <c r="BU623" s="1393"/>
      <c r="BV623" s="1393"/>
      <c r="BW623" s="1393"/>
      <c r="BX623" s="1393">
        <f t="shared" si="7"/>
        <v>0</v>
      </c>
      <c r="BY623" s="1393"/>
      <c r="BZ623" s="1393"/>
      <c r="CA623" s="1393"/>
      <c r="CB623" s="1393"/>
      <c r="CC623" s="1393">
        <f t="shared" si="8"/>
        <v>0</v>
      </c>
      <c r="CD623" s="1393"/>
      <c r="CE623" s="1393"/>
      <c r="CF623" s="1393"/>
      <c r="CG623" s="1393"/>
      <c r="CH623" s="1393">
        <f t="shared" si="9"/>
        <v>0</v>
      </c>
      <c r="CI623" s="1393"/>
      <c r="CJ623" s="1393"/>
      <c r="CK623" s="1393"/>
      <c r="CL623" s="1393"/>
      <c r="CM623" s="1393">
        <f t="shared" si="10"/>
        <v>0</v>
      </c>
      <c r="CN623" s="1393"/>
      <c r="CO623" s="1393"/>
      <c r="CP623" s="1393"/>
      <c r="CQ623" s="1393"/>
      <c r="CR623" s="6"/>
      <c r="CS623" s="1380">
        <f t="shared" si="11"/>
        <v>0</v>
      </c>
      <c r="CT623" s="1380"/>
      <c r="CU623" s="1380"/>
      <c r="CV623" s="1380"/>
      <c r="CW623" s="1380"/>
      <c r="CX623" s="1380">
        <f t="shared" si="12"/>
        <v>0</v>
      </c>
      <c r="CY623" s="1380"/>
      <c r="CZ623" s="1380"/>
      <c r="DA623" s="1380"/>
      <c r="DB623" s="1380"/>
      <c r="DC623" s="1380">
        <f t="shared" si="13"/>
        <v>0</v>
      </c>
      <c r="DD623" s="1380"/>
      <c r="DE623" s="1380"/>
      <c r="DF623" s="1380"/>
      <c r="DG623" s="1380"/>
      <c r="DH623" s="1380">
        <f t="shared" si="14"/>
        <v>0</v>
      </c>
      <c r="DI623" s="1380"/>
      <c r="DJ623" s="1380"/>
      <c r="DK623" s="1380"/>
      <c r="DL623" s="1380"/>
      <c r="DM623" s="1380">
        <f t="shared" si="15"/>
        <v>0</v>
      </c>
      <c r="DN623" s="1380"/>
      <c r="DO623" s="1380"/>
      <c r="DP623" s="1380"/>
      <c r="DQ623" s="1380"/>
      <c r="DR623" s="1380">
        <f t="shared" si="16"/>
        <v>0</v>
      </c>
      <c r="DS623" s="1380"/>
      <c r="DT623" s="1380"/>
      <c r="DU623" s="1380"/>
      <c r="DV623" s="1380"/>
      <c r="DX623" s="1376" t="str">
        <f t="shared" si="17"/>
        <v/>
      </c>
      <c r="DY623" s="1377"/>
      <c r="DZ623" s="1377"/>
      <c r="EA623" s="1377"/>
      <c r="EB623" s="1378"/>
      <c r="EC623" s="1376" t="str">
        <f t="shared" si="18"/>
        <v/>
      </c>
      <c r="ED623" s="1377"/>
      <c r="EE623" s="1377"/>
      <c r="EF623" s="1377"/>
      <c r="EG623" s="1378"/>
      <c r="EH623" s="1376" t="str">
        <f t="shared" si="19"/>
        <v/>
      </c>
      <c r="EI623" s="1377"/>
      <c r="EJ623" s="1377"/>
      <c r="EK623" s="1377"/>
      <c r="EL623" s="1378"/>
      <c r="EM623" s="1376" t="str">
        <f t="shared" si="20"/>
        <v/>
      </c>
      <c r="EN623" s="1377"/>
      <c r="EO623" s="1377"/>
      <c r="EP623" s="1377"/>
      <c r="EQ623" s="1378"/>
      <c r="ER623" s="1376" t="str">
        <f t="shared" si="21"/>
        <v/>
      </c>
      <c r="ES623" s="1377"/>
      <c r="ET623" s="1377"/>
      <c r="EU623" s="1377"/>
      <c r="EV623" s="1378"/>
      <c r="EW623" s="1376" t="str">
        <f t="shared" si="22"/>
        <v/>
      </c>
      <c r="EX623" s="1377"/>
      <c r="EY623" s="1377"/>
      <c r="EZ623" s="1377"/>
      <c r="FA623" s="1378"/>
    </row>
    <row r="624" spans="1:157" ht="12.9" customHeight="1">
      <c r="B624" s="1700" t="s">
        <v>2420</v>
      </c>
      <c r="C624" s="1700"/>
      <c r="D624" s="1700"/>
      <c r="E624" s="1700"/>
      <c r="F624" s="1700"/>
      <c r="G624" s="1700"/>
      <c r="H624" s="1700"/>
      <c r="I624" s="1700"/>
      <c r="J624" s="1700"/>
      <c r="K624" s="1700"/>
      <c r="L624" s="1700"/>
      <c r="M624" s="1701" t="s">
        <v>2421</v>
      </c>
      <c r="N624" s="1701"/>
      <c r="O624" s="1701"/>
      <c r="P624" s="1701"/>
      <c r="Q624" s="1701" t="s">
        <v>2042</v>
      </c>
      <c r="R624" s="1701"/>
      <c r="S624" s="1701"/>
      <c r="T624" s="1701" t="s">
        <v>2040</v>
      </c>
      <c r="U624" s="1701"/>
      <c r="V624" s="1701"/>
      <c r="W624" s="1843" t="s">
        <v>460</v>
      </c>
      <c r="X624" s="1843"/>
      <c r="Y624" s="1843"/>
      <c r="Z624" s="1406" t="s">
        <v>2450</v>
      </c>
      <c r="AA624" s="1406"/>
      <c r="AB624" s="1407"/>
      <c r="AC624" s="1710" t="s">
        <v>1863</v>
      </c>
      <c r="AD624" s="1711"/>
      <c r="AE624" s="1712"/>
      <c r="AF624" s="1405" t="s">
        <v>2229</v>
      </c>
      <c r="AG624" s="1406"/>
      <c r="AH624" s="1406"/>
      <c r="AI624" s="1406"/>
      <c r="AJ624" s="1407"/>
      <c r="AK624" s="1832" t="s">
        <v>2230</v>
      </c>
      <c r="AL624" s="1833"/>
      <c r="AM624" s="1833"/>
      <c r="AN624" s="1834"/>
      <c r="AO624" s="1701" t="s">
        <v>461</v>
      </c>
      <c r="AP624" s="1701"/>
      <c r="AQ624" s="1701"/>
      <c r="AR624" s="1701"/>
      <c r="AS624" s="1701"/>
      <c r="AU624" s="3"/>
      <c r="AZ624" s="3"/>
      <c r="BA624" s="3"/>
      <c r="BB624" s="3"/>
      <c r="BC624" s="3"/>
      <c r="BD624" s="3"/>
      <c r="BE624" s="1376">
        <f t="shared" si="1"/>
        <v>0</v>
      </c>
      <c r="BF624" s="1378"/>
      <c r="BG624" s="1394">
        <f t="shared" si="2"/>
        <v>0</v>
      </c>
      <c r="BH624" s="1395"/>
      <c r="BI624" s="1376">
        <f t="shared" si="3"/>
        <v>0</v>
      </c>
      <c r="BJ624" s="1378"/>
      <c r="BK624" s="1394">
        <f t="shared" si="4"/>
        <v>0</v>
      </c>
      <c r="BL624" s="1395"/>
      <c r="BM624" s="3"/>
      <c r="BN624" s="1390">
        <f t="shared" si="5"/>
        <v>0</v>
      </c>
      <c r="BO624" s="1391"/>
      <c r="BP624" s="1391"/>
      <c r="BQ624" s="1391"/>
      <c r="BR624" s="1392"/>
      <c r="BS624" s="1393">
        <f t="shared" si="6"/>
        <v>0</v>
      </c>
      <c r="BT624" s="1393"/>
      <c r="BU624" s="1393"/>
      <c r="BV624" s="1393"/>
      <c r="BW624" s="1393"/>
      <c r="BX624" s="1393">
        <f t="shared" si="7"/>
        <v>0</v>
      </c>
      <c r="BY624" s="1393"/>
      <c r="BZ624" s="1393"/>
      <c r="CA624" s="1393"/>
      <c r="CB624" s="1393"/>
      <c r="CC624" s="1393">
        <f t="shared" si="8"/>
        <v>0</v>
      </c>
      <c r="CD624" s="1393"/>
      <c r="CE624" s="1393"/>
      <c r="CF624" s="1393"/>
      <c r="CG624" s="1393"/>
      <c r="CH624" s="1393">
        <f t="shared" si="9"/>
        <v>0</v>
      </c>
      <c r="CI624" s="1393"/>
      <c r="CJ624" s="1393"/>
      <c r="CK624" s="1393"/>
      <c r="CL624" s="1393"/>
      <c r="CM624" s="1393">
        <f t="shared" si="10"/>
        <v>0</v>
      </c>
      <c r="CN624" s="1393"/>
      <c r="CO624" s="1393"/>
      <c r="CP624" s="1393"/>
      <c r="CQ624" s="1393"/>
      <c r="CR624" s="6"/>
      <c r="CS624" s="1380">
        <f t="shared" si="11"/>
        <v>0</v>
      </c>
      <c r="CT624" s="1380"/>
      <c r="CU624" s="1380"/>
      <c r="CV624" s="1380"/>
      <c r="CW624" s="1380"/>
      <c r="CX624" s="1380">
        <f t="shared" si="12"/>
        <v>0</v>
      </c>
      <c r="CY624" s="1380"/>
      <c r="CZ624" s="1380"/>
      <c r="DA624" s="1380"/>
      <c r="DB624" s="1380"/>
      <c r="DC624" s="1380">
        <f t="shared" si="13"/>
        <v>0</v>
      </c>
      <c r="DD624" s="1380"/>
      <c r="DE624" s="1380"/>
      <c r="DF624" s="1380"/>
      <c r="DG624" s="1380"/>
      <c r="DH624" s="1380">
        <f t="shared" si="14"/>
        <v>0</v>
      </c>
      <c r="DI624" s="1380"/>
      <c r="DJ624" s="1380"/>
      <c r="DK624" s="1380"/>
      <c r="DL624" s="1380"/>
      <c r="DM624" s="1380">
        <f t="shared" si="15"/>
        <v>0</v>
      </c>
      <c r="DN624" s="1380"/>
      <c r="DO624" s="1380"/>
      <c r="DP624" s="1380"/>
      <c r="DQ624" s="1380"/>
      <c r="DR624" s="1380">
        <f t="shared" si="16"/>
        <v>0</v>
      </c>
      <c r="DS624" s="1380"/>
      <c r="DT624" s="1380"/>
      <c r="DU624" s="1380"/>
      <c r="DV624" s="1380"/>
      <c r="DX624" s="1376" t="str">
        <f t="shared" si="17"/>
        <v/>
      </c>
      <c r="DY624" s="1377"/>
      <c r="DZ624" s="1377"/>
      <c r="EA624" s="1377"/>
      <c r="EB624" s="1378"/>
      <c r="EC624" s="1376" t="str">
        <f t="shared" si="18"/>
        <v/>
      </c>
      <c r="ED624" s="1377"/>
      <c r="EE624" s="1377"/>
      <c r="EF624" s="1377"/>
      <c r="EG624" s="1378"/>
      <c r="EH624" s="1376" t="str">
        <f t="shared" si="19"/>
        <v/>
      </c>
      <c r="EI624" s="1377"/>
      <c r="EJ624" s="1377"/>
      <c r="EK624" s="1377"/>
      <c r="EL624" s="1378"/>
      <c r="EM624" s="1376" t="str">
        <f t="shared" si="20"/>
        <v/>
      </c>
      <c r="EN624" s="1377"/>
      <c r="EO624" s="1377"/>
      <c r="EP624" s="1377"/>
      <c r="EQ624" s="1378"/>
      <c r="ER624" s="1376" t="str">
        <f t="shared" si="21"/>
        <v/>
      </c>
      <c r="ES624" s="1377"/>
      <c r="ET624" s="1377"/>
      <c r="EU624" s="1377"/>
      <c r="EV624" s="1378"/>
      <c r="EW624" s="1376" t="str">
        <f t="shared" si="22"/>
        <v/>
      </c>
      <c r="EX624" s="1377"/>
      <c r="EY624" s="1377"/>
      <c r="EZ624" s="1377"/>
      <c r="FA624" s="1378"/>
    </row>
    <row r="625" spans="2:157" ht="12.9" customHeight="1">
      <c r="B625" s="1700"/>
      <c r="C625" s="1700"/>
      <c r="D625" s="1700"/>
      <c r="E625" s="1700"/>
      <c r="F625" s="1700"/>
      <c r="G625" s="1700"/>
      <c r="H625" s="1700"/>
      <c r="I625" s="1700"/>
      <c r="J625" s="1700"/>
      <c r="K625" s="1700"/>
      <c r="L625" s="1700"/>
      <c r="M625" s="1701"/>
      <c r="N625" s="1701"/>
      <c r="O625" s="1701"/>
      <c r="P625" s="1701"/>
      <c r="Q625" s="1701"/>
      <c r="R625" s="1701"/>
      <c r="S625" s="1701"/>
      <c r="T625" s="1701"/>
      <c r="U625" s="1701"/>
      <c r="V625" s="1701"/>
      <c r="W625" s="1843"/>
      <c r="X625" s="1843"/>
      <c r="Y625" s="1843"/>
      <c r="Z625" s="1409"/>
      <c r="AA625" s="1409"/>
      <c r="AB625" s="1410"/>
      <c r="AC625" s="1713"/>
      <c r="AD625" s="1714"/>
      <c r="AE625" s="1715"/>
      <c r="AF625" s="1408"/>
      <c r="AG625" s="1409"/>
      <c r="AH625" s="1409"/>
      <c r="AI625" s="1409"/>
      <c r="AJ625" s="1410"/>
      <c r="AK625" s="1835"/>
      <c r="AL625" s="1836"/>
      <c r="AM625" s="1836"/>
      <c r="AN625" s="1837"/>
      <c r="AO625" s="1701"/>
      <c r="AP625" s="1701"/>
      <c r="AQ625" s="1701"/>
      <c r="AR625" s="1701"/>
      <c r="AS625" s="1701"/>
      <c r="AU625" s="3"/>
      <c r="AZ625" s="3"/>
      <c r="BA625" s="3"/>
      <c r="BB625" s="3"/>
      <c r="BC625" s="3"/>
      <c r="BD625" s="3"/>
      <c r="BE625" s="1376">
        <f t="shared" si="1"/>
        <v>0</v>
      </c>
      <c r="BF625" s="1378"/>
      <c r="BG625" s="1394">
        <f t="shared" si="2"/>
        <v>0</v>
      </c>
      <c r="BH625" s="1395"/>
      <c r="BI625" s="1376">
        <f t="shared" si="3"/>
        <v>0</v>
      </c>
      <c r="BJ625" s="1378"/>
      <c r="BK625" s="1394">
        <f t="shared" si="4"/>
        <v>0</v>
      </c>
      <c r="BL625" s="1395"/>
      <c r="BM625" s="3"/>
      <c r="BN625" s="1390">
        <f t="shared" si="5"/>
        <v>0</v>
      </c>
      <c r="BO625" s="1391"/>
      <c r="BP625" s="1391"/>
      <c r="BQ625" s="1391"/>
      <c r="BR625" s="1392"/>
      <c r="BS625" s="1393">
        <f t="shared" si="6"/>
        <v>0</v>
      </c>
      <c r="BT625" s="1393"/>
      <c r="BU625" s="1393"/>
      <c r="BV625" s="1393"/>
      <c r="BW625" s="1393"/>
      <c r="BX625" s="1393">
        <f t="shared" si="7"/>
        <v>0</v>
      </c>
      <c r="BY625" s="1393"/>
      <c r="BZ625" s="1393"/>
      <c r="CA625" s="1393"/>
      <c r="CB625" s="1393"/>
      <c r="CC625" s="1393">
        <f t="shared" si="8"/>
        <v>0</v>
      </c>
      <c r="CD625" s="1393"/>
      <c r="CE625" s="1393"/>
      <c r="CF625" s="1393"/>
      <c r="CG625" s="1393"/>
      <c r="CH625" s="1393">
        <f t="shared" si="9"/>
        <v>0</v>
      </c>
      <c r="CI625" s="1393"/>
      <c r="CJ625" s="1393"/>
      <c r="CK625" s="1393"/>
      <c r="CL625" s="1393"/>
      <c r="CM625" s="1393">
        <f t="shared" si="10"/>
        <v>0</v>
      </c>
      <c r="CN625" s="1393"/>
      <c r="CO625" s="1393"/>
      <c r="CP625" s="1393"/>
      <c r="CQ625" s="1393"/>
      <c r="CR625" s="6"/>
      <c r="CS625" s="1380">
        <f t="shared" si="11"/>
        <v>0</v>
      </c>
      <c r="CT625" s="1380"/>
      <c r="CU625" s="1380"/>
      <c r="CV625" s="1380"/>
      <c r="CW625" s="1380"/>
      <c r="CX625" s="1380">
        <f t="shared" si="12"/>
        <v>0</v>
      </c>
      <c r="CY625" s="1380"/>
      <c r="CZ625" s="1380"/>
      <c r="DA625" s="1380"/>
      <c r="DB625" s="1380"/>
      <c r="DC625" s="1380">
        <f t="shared" si="13"/>
        <v>0</v>
      </c>
      <c r="DD625" s="1380"/>
      <c r="DE625" s="1380"/>
      <c r="DF625" s="1380"/>
      <c r="DG625" s="1380"/>
      <c r="DH625" s="1380">
        <f t="shared" si="14"/>
        <v>0</v>
      </c>
      <c r="DI625" s="1380"/>
      <c r="DJ625" s="1380"/>
      <c r="DK625" s="1380"/>
      <c r="DL625" s="1380"/>
      <c r="DM625" s="1380">
        <f t="shared" si="15"/>
        <v>0</v>
      </c>
      <c r="DN625" s="1380"/>
      <c r="DO625" s="1380"/>
      <c r="DP625" s="1380"/>
      <c r="DQ625" s="1380"/>
      <c r="DR625" s="1380">
        <f t="shared" si="16"/>
        <v>0</v>
      </c>
      <c r="DS625" s="1380"/>
      <c r="DT625" s="1380"/>
      <c r="DU625" s="1380"/>
      <c r="DV625" s="1380"/>
      <c r="DX625" s="1376" t="str">
        <f t="shared" si="17"/>
        <v/>
      </c>
      <c r="DY625" s="1377"/>
      <c r="DZ625" s="1377"/>
      <c r="EA625" s="1377"/>
      <c r="EB625" s="1378"/>
      <c r="EC625" s="1376" t="str">
        <f t="shared" si="18"/>
        <v/>
      </c>
      <c r="ED625" s="1377"/>
      <c r="EE625" s="1377"/>
      <c r="EF625" s="1377"/>
      <c r="EG625" s="1378"/>
      <c r="EH625" s="1376" t="str">
        <f t="shared" si="19"/>
        <v/>
      </c>
      <c r="EI625" s="1377"/>
      <c r="EJ625" s="1377"/>
      <c r="EK625" s="1377"/>
      <c r="EL625" s="1378"/>
      <c r="EM625" s="1376" t="str">
        <f t="shared" si="20"/>
        <v/>
      </c>
      <c r="EN625" s="1377"/>
      <c r="EO625" s="1377"/>
      <c r="EP625" s="1377"/>
      <c r="EQ625" s="1378"/>
      <c r="ER625" s="1376" t="str">
        <f t="shared" si="21"/>
        <v/>
      </c>
      <c r="ES625" s="1377"/>
      <c r="ET625" s="1377"/>
      <c r="EU625" s="1377"/>
      <c r="EV625" s="1378"/>
      <c r="EW625" s="1376" t="str">
        <f t="shared" si="22"/>
        <v/>
      </c>
      <c r="EX625" s="1377"/>
      <c r="EY625" s="1377"/>
      <c r="EZ625" s="1377"/>
      <c r="FA625" s="1378"/>
    </row>
    <row r="626" spans="2:157" ht="12.9" customHeight="1">
      <c r="B626" s="1700"/>
      <c r="C626" s="1700"/>
      <c r="D626" s="1700"/>
      <c r="E626" s="1700"/>
      <c r="F626" s="1700"/>
      <c r="G626" s="1700"/>
      <c r="H626" s="1700"/>
      <c r="I626" s="1700"/>
      <c r="J626" s="1700"/>
      <c r="K626" s="1700"/>
      <c r="L626" s="1700"/>
      <c r="M626" s="1701"/>
      <c r="N626" s="1701"/>
      <c r="O626" s="1701"/>
      <c r="P626" s="1701"/>
      <c r="Q626" s="1701"/>
      <c r="R626" s="1701"/>
      <c r="S626" s="1701"/>
      <c r="T626" s="1701"/>
      <c r="U626" s="1701"/>
      <c r="V626" s="1701"/>
      <c r="W626" s="1843"/>
      <c r="X626" s="1843"/>
      <c r="Y626" s="1843"/>
      <c r="Z626" s="1451"/>
      <c r="AA626" s="1451"/>
      <c r="AB626" s="1452"/>
      <c r="AC626" s="1716"/>
      <c r="AD626" s="1717"/>
      <c r="AE626" s="1718"/>
      <c r="AF626" s="1450"/>
      <c r="AG626" s="1451"/>
      <c r="AH626" s="1451"/>
      <c r="AI626" s="1451"/>
      <c r="AJ626" s="1452"/>
      <c r="AK626" s="1838"/>
      <c r="AL626" s="1839"/>
      <c r="AM626" s="1839"/>
      <c r="AN626" s="1840"/>
      <c r="AO626" s="1701"/>
      <c r="AP626" s="1701"/>
      <c r="AQ626" s="1701"/>
      <c r="AR626" s="1701"/>
      <c r="AS626" s="1701"/>
      <c r="AT626" s="3"/>
      <c r="AU626" s="3"/>
      <c r="AZ626" s="3"/>
      <c r="BA626" s="3"/>
      <c r="BB626" s="3"/>
      <c r="BC626" s="3"/>
      <c r="BD626" s="3"/>
      <c r="BE626" s="1376">
        <f t="shared" si="1"/>
        <v>0</v>
      </c>
      <c r="BF626" s="1378"/>
      <c r="BG626" s="1394">
        <f t="shared" si="2"/>
        <v>0</v>
      </c>
      <c r="BH626" s="1395"/>
      <c r="BI626" s="1376">
        <f t="shared" si="3"/>
        <v>0</v>
      </c>
      <c r="BJ626" s="1378"/>
      <c r="BK626" s="1394">
        <f t="shared" si="4"/>
        <v>0</v>
      </c>
      <c r="BL626" s="1395"/>
      <c r="BM626" s="3"/>
      <c r="BN626" s="1390">
        <f t="shared" si="5"/>
        <v>0</v>
      </c>
      <c r="BO626" s="1391"/>
      <c r="BP626" s="1391"/>
      <c r="BQ626" s="1391"/>
      <c r="BR626" s="1392"/>
      <c r="BS626" s="1393">
        <f t="shared" si="6"/>
        <v>0</v>
      </c>
      <c r="BT626" s="1393"/>
      <c r="BU626" s="1393"/>
      <c r="BV626" s="1393"/>
      <c r="BW626" s="1393"/>
      <c r="BX626" s="1393">
        <f t="shared" si="7"/>
        <v>0</v>
      </c>
      <c r="BY626" s="1393"/>
      <c r="BZ626" s="1393"/>
      <c r="CA626" s="1393"/>
      <c r="CB626" s="1393"/>
      <c r="CC626" s="1393">
        <f t="shared" si="8"/>
        <v>0</v>
      </c>
      <c r="CD626" s="1393"/>
      <c r="CE626" s="1393"/>
      <c r="CF626" s="1393"/>
      <c r="CG626" s="1393"/>
      <c r="CH626" s="1393">
        <f t="shared" si="9"/>
        <v>0</v>
      </c>
      <c r="CI626" s="1393"/>
      <c r="CJ626" s="1393"/>
      <c r="CK626" s="1393"/>
      <c r="CL626" s="1393"/>
      <c r="CM626" s="1393">
        <f t="shared" si="10"/>
        <v>0</v>
      </c>
      <c r="CN626" s="1393"/>
      <c r="CO626" s="1393"/>
      <c r="CP626" s="1393"/>
      <c r="CQ626" s="1393"/>
      <c r="CR626" s="6"/>
      <c r="CS626" s="1380">
        <f t="shared" si="11"/>
        <v>0</v>
      </c>
      <c r="CT626" s="1380"/>
      <c r="CU626" s="1380"/>
      <c r="CV626" s="1380"/>
      <c r="CW626" s="1380"/>
      <c r="CX626" s="1380">
        <f t="shared" si="12"/>
        <v>0</v>
      </c>
      <c r="CY626" s="1380"/>
      <c r="CZ626" s="1380"/>
      <c r="DA626" s="1380"/>
      <c r="DB626" s="1380"/>
      <c r="DC626" s="1380">
        <f t="shared" si="13"/>
        <v>0</v>
      </c>
      <c r="DD626" s="1380"/>
      <c r="DE626" s="1380"/>
      <c r="DF626" s="1380"/>
      <c r="DG626" s="1380"/>
      <c r="DH626" s="1380">
        <f t="shared" si="14"/>
        <v>0</v>
      </c>
      <c r="DI626" s="1380"/>
      <c r="DJ626" s="1380"/>
      <c r="DK626" s="1380"/>
      <c r="DL626" s="1380"/>
      <c r="DM626" s="1380">
        <f t="shared" si="15"/>
        <v>0</v>
      </c>
      <c r="DN626" s="1380"/>
      <c r="DO626" s="1380"/>
      <c r="DP626" s="1380"/>
      <c r="DQ626" s="1380"/>
      <c r="DR626" s="1380">
        <f t="shared" si="16"/>
        <v>0</v>
      </c>
      <c r="DS626" s="1380"/>
      <c r="DT626" s="1380"/>
      <c r="DU626" s="1380"/>
      <c r="DV626" s="1380"/>
      <c r="DX626" s="1376" t="str">
        <f t="shared" si="17"/>
        <v/>
      </c>
      <c r="DY626" s="1377"/>
      <c r="DZ626" s="1377"/>
      <c r="EA626" s="1377"/>
      <c r="EB626" s="1378"/>
      <c r="EC626" s="1376" t="str">
        <f t="shared" si="18"/>
        <v/>
      </c>
      <c r="ED626" s="1377"/>
      <c r="EE626" s="1377"/>
      <c r="EF626" s="1377"/>
      <c r="EG626" s="1378"/>
      <c r="EH626" s="1376" t="str">
        <f t="shared" si="19"/>
        <v/>
      </c>
      <c r="EI626" s="1377"/>
      <c r="EJ626" s="1377"/>
      <c r="EK626" s="1377"/>
      <c r="EL626" s="1378"/>
      <c r="EM626" s="1376" t="str">
        <f t="shared" si="20"/>
        <v/>
      </c>
      <c r="EN626" s="1377"/>
      <c r="EO626" s="1377"/>
      <c r="EP626" s="1377"/>
      <c r="EQ626" s="1378"/>
      <c r="ER626" s="1376" t="str">
        <f t="shared" si="21"/>
        <v/>
      </c>
      <c r="ES626" s="1377"/>
      <c r="ET626" s="1377"/>
      <c r="EU626" s="1377"/>
      <c r="EV626" s="1378"/>
      <c r="EW626" s="1376" t="str">
        <f t="shared" si="22"/>
        <v/>
      </c>
      <c r="EX626" s="1377"/>
      <c r="EY626" s="1377"/>
      <c r="EZ626" s="1377"/>
      <c r="FA626" s="1378"/>
    </row>
    <row r="627" spans="2:157" ht="12.9" customHeight="1">
      <c r="B627" s="51" t="s">
        <v>112</v>
      </c>
      <c r="C627" s="1698" t="s">
        <v>2781</v>
      </c>
      <c r="D627" s="1698"/>
      <c r="E627" s="1698"/>
      <c r="F627" s="1698"/>
      <c r="G627" s="1698"/>
      <c r="H627" s="1698"/>
      <c r="I627" s="1698"/>
      <c r="J627" s="1698"/>
      <c r="K627" s="1698"/>
      <c r="L627" s="1698"/>
      <c r="M627" s="1579" t="s">
        <v>2437</v>
      </c>
      <c r="N627" s="1579"/>
      <c r="O627" s="1579"/>
      <c r="P627" s="1579"/>
      <c r="Q627" s="1556">
        <v>180</v>
      </c>
      <c r="R627" s="1556"/>
      <c r="S627" s="1703"/>
      <c r="T627" s="1702">
        <v>480</v>
      </c>
      <c r="U627" s="1556"/>
      <c r="V627" s="1703"/>
      <c r="W627" s="1704">
        <v>5.7500000000000002E-2</v>
      </c>
      <c r="X627" s="1705"/>
      <c r="Y627" s="1706"/>
      <c r="Z627" s="1513" t="s">
        <v>2449</v>
      </c>
      <c r="AA627" s="1514"/>
      <c r="AB627" s="1515"/>
      <c r="AC627" s="1444">
        <v>1</v>
      </c>
      <c r="AD627" s="1445"/>
      <c r="AE627" s="1446"/>
      <c r="AF627" s="1592">
        <v>6016268</v>
      </c>
      <c r="AG627" s="1593"/>
      <c r="AH627" s="1593"/>
      <c r="AI627" s="1593"/>
      <c r="AJ627" s="1594"/>
      <c r="AK627" s="1707"/>
      <c r="AL627" s="1708"/>
      <c r="AM627" s="1708"/>
      <c r="AN627" s="1709"/>
      <c r="AO627" s="1612">
        <v>94082805</v>
      </c>
      <c r="AP627" s="1612"/>
      <c r="AQ627" s="1612"/>
      <c r="AR627" s="1612"/>
      <c r="AS627" s="1612"/>
      <c r="AT627" s="3"/>
      <c r="AU627" s="3"/>
      <c r="AZ627" s="3"/>
      <c r="BA627" s="3"/>
      <c r="BB627" s="3"/>
      <c r="BC627" s="3"/>
      <c r="BD627" s="3"/>
      <c r="BE627" s="1376">
        <f t="shared" si="1"/>
        <v>0</v>
      </c>
      <c r="BF627" s="1378"/>
      <c r="BG627" s="1394">
        <f t="shared" si="2"/>
        <v>0</v>
      </c>
      <c r="BH627" s="1395"/>
      <c r="BI627" s="1376">
        <f t="shared" si="3"/>
        <v>0</v>
      </c>
      <c r="BJ627" s="1378"/>
      <c r="BK627" s="1394">
        <f t="shared" si="4"/>
        <v>0</v>
      </c>
      <c r="BL627" s="1395"/>
      <c r="BM627" s="3"/>
      <c r="BN627" s="1390">
        <f t="shared" si="5"/>
        <v>0</v>
      </c>
      <c r="BO627" s="1391"/>
      <c r="BP627" s="1391"/>
      <c r="BQ627" s="1391"/>
      <c r="BR627" s="1392"/>
      <c r="BS627" s="1393">
        <f t="shared" si="6"/>
        <v>0</v>
      </c>
      <c r="BT627" s="1393"/>
      <c r="BU627" s="1393"/>
      <c r="BV627" s="1393"/>
      <c r="BW627" s="1393"/>
      <c r="BX627" s="1393">
        <f t="shared" si="7"/>
        <v>0</v>
      </c>
      <c r="BY627" s="1393"/>
      <c r="BZ627" s="1393"/>
      <c r="CA627" s="1393"/>
      <c r="CB627" s="1393"/>
      <c r="CC627" s="1393">
        <f t="shared" si="8"/>
        <v>0</v>
      </c>
      <c r="CD627" s="1393"/>
      <c r="CE627" s="1393"/>
      <c r="CF627" s="1393"/>
      <c r="CG627" s="1393"/>
      <c r="CH627" s="1393">
        <f t="shared" si="9"/>
        <v>0</v>
      </c>
      <c r="CI627" s="1393"/>
      <c r="CJ627" s="1393"/>
      <c r="CK627" s="1393"/>
      <c r="CL627" s="1393"/>
      <c r="CM627" s="1393">
        <f t="shared" si="10"/>
        <v>0</v>
      </c>
      <c r="CN627" s="1393"/>
      <c r="CO627" s="1393"/>
      <c r="CP627" s="1393"/>
      <c r="CQ627" s="1393"/>
      <c r="CR627" s="6"/>
      <c r="CS627" s="1380">
        <f t="shared" si="11"/>
        <v>0</v>
      </c>
      <c r="CT627" s="1380"/>
      <c r="CU627" s="1380"/>
      <c r="CV627" s="1380"/>
      <c r="CW627" s="1380"/>
      <c r="CX627" s="1380">
        <f t="shared" si="12"/>
        <v>0</v>
      </c>
      <c r="CY627" s="1380"/>
      <c r="CZ627" s="1380"/>
      <c r="DA627" s="1380"/>
      <c r="DB627" s="1380"/>
      <c r="DC627" s="1380">
        <f t="shared" si="13"/>
        <v>0</v>
      </c>
      <c r="DD627" s="1380"/>
      <c r="DE627" s="1380"/>
      <c r="DF627" s="1380"/>
      <c r="DG627" s="1380"/>
      <c r="DH627" s="1380">
        <f t="shared" si="14"/>
        <v>0</v>
      </c>
      <c r="DI627" s="1380"/>
      <c r="DJ627" s="1380"/>
      <c r="DK627" s="1380"/>
      <c r="DL627" s="1380"/>
      <c r="DM627" s="1380">
        <f t="shared" si="15"/>
        <v>0</v>
      </c>
      <c r="DN627" s="1380"/>
      <c r="DO627" s="1380"/>
      <c r="DP627" s="1380"/>
      <c r="DQ627" s="1380"/>
      <c r="DR627" s="1380">
        <f t="shared" si="16"/>
        <v>0</v>
      </c>
      <c r="DS627" s="1380"/>
      <c r="DT627" s="1380"/>
      <c r="DU627" s="1380"/>
      <c r="DV627" s="1380"/>
      <c r="DX627" s="1376" t="str">
        <f t="shared" si="17"/>
        <v/>
      </c>
      <c r="DY627" s="1377"/>
      <c r="DZ627" s="1377"/>
      <c r="EA627" s="1377"/>
      <c r="EB627" s="1378"/>
      <c r="EC627" s="1376" t="str">
        <f t="shared" si="18"/>
        <v/>
      </c>
      <c r="ED627" s="1377"/>
      <c r="EE627" s="1377"/>
      <c r="EF627" s="1377"/>
      <c r="EG627" s="1378"/>
      <c r="EH627" s="1376" t="str">
        <f t="shared" si="19"/>
        <v/>
      </c>
      <c r="EI627" s="1377"/>
      <c r="EJ627" s="1377"/>
      <c r="EK627" s="1377"/>
      <c r="EL627" s="1378"/>
      <c r="EM627" s="1376" t="str">
        <f t="shared" si="20"/>
        <v/>
      </c>
      <c r="EN627" s="1377"/>
      <c r="EO627" s="1377"/>
      <c r="EP627" s="1377"/>
      <c r="EQ627" s="1378"/>
      <c r="ER627" s="1376" t="str">
        <f t="shared" si="21"/>
        <v/>
      </c>
      <c r="ES627" s="1377"/>
      <c r="ET627" s="1377"/>
      <c r="EU627" s="1377"/>
      <c r="EV627" s="1378"/>
      <c r="EW627" s="1376" t="str">
        <f t="shared" si="22"/>
        <v/>
      </c>
      <c r="EX627" s="1377"/>
      <c r="EY627" s="1377"/>
      <c r="EZ627" s="1377"/>
      <c r="FA627" s="1378"/>
    </row>
    <row r="628" spans="2:157" ht="12.9" customHeight="1">
      <c r="B628" s="52" t="s">
        <v>113</v>
      </c>
      <c r="C628" s="1698" t="s">
        <v>2672</v>
      </c>
      <c r="D628" s="1698"/>
      <c r="E628" s="1698"/>
      <c r="F628" s="1698"/>
      <c r="G628" s="1698"/>
      <c r="H628" s="1698"/>
      <c r="I628" s="1698"/>
      <c r="J628" s="1698"/>
      <c r="K628" s="1698"/>
      <c r="L628" s="1698"/>
      <c r="M628" s="1579" t="s">
        <v>2435</v>
      </c>
      <c r="N628" s="1579"/>
      <c r="O628" s="1579"/>
      <c r="P628" s="1579"/>
      <c r="Q628" s="1702">
        <v>660</v>
      </c>
      <c r="R628" s="1556"/>
      <c r="S628" s="1703"/>
      <c r="T628" s="1702"/>
      <c r="U628" s="1556"/>
      <c r="V628" s="1703"/>
      <c r="W628" s="1704">
        <v>0.08</v>
      </c>
      <c r="X628" s="1705"/>
      <c r="Y628" s="1706"/>
      <c r="Z628" s="1513" t="s">
        <v>464</v>
      </c>
      <c r="AA628" s="1514"/>
      <c r="AB628" s="1515"/>
      <c r="AC628" s="1444">
        <v>2</v>
      </c>
      <c r="AD628" s="1445"/>
      <c r="AE628" s="1446"/>
      <c r="AF628" s="1592"/>
      <c r="AG628" s="1593"/>
      <c r="AH628" s="1593"/>
      <c r="AI628" s="1593"/>
      <c r="AJ628" s="1594"/>
      <c r="AK628" s="1707"/>
      <c r="AL628" s="1708"/>
      <c r="AM628" s="1708"/>
      <c r="AN628" s="1709"/>
      <c r="AO628" s="1599">
        <v>17200000</v>
      </c>
      <c r="AP628" s="1600"/>
      <c r="AQ628" s="1600"/>
      <c r="AR628" s="1600"/>
      <c r="AS628" s="1601"/>
      <c r="AT628" s="1192" t="str">
        <f>IF(AND(NOT(C627=""),C628="",NOT(C629="")),"!","")</f>
        <v/>
      </c>
      <c r="AU628" s="3"/>
      <c r="AZ628" s="3"/>
      <c r="BA628" s="3"/>
      <c r="BB628" s="3"/>
      <c r="BC628" s="3"/>
      <c r="BD628" s="3"/>
      <c r="BE628" s="1376">
        <f t="shared" si="1"/>
        <v>0</v>
      </c>
      <c r="BF628" s="1378"/>
      <c r="BG628" s="1394">
        <f t="shared" si="2"/>
        <v>0</v>
      </c>
      <c r="BH628" s="1395"/>
      <c r="BI628" s="1376">
        <f t="shared" si="3"/>
        <v>0</v>
      </c>
      <c r="BJ628" s="1378"/>
      <c r="BK628" s="1394">
        <f t="shared" si="4"/>
        <v>0</v>
      </c>
      <c r="BL628" s="1395"/>
      <c r="BM628" s="3"/>
      <c r="BN628" s="1390">
        <f t="shared" si="5"/>
        <v>0</v>
      </c>
      <c r="BO628" s="1391"/>
      <c r="BP628" s="1391"/>
      <c r="BQ628" s="1391"/>
      <c r="BR628" s="1392"/>
      <c r="BS628" s="1393">
        <f t="shared" si="6"/>
        <v>0</v>
      </c>
      <c r="BT628" s="1393"/>
      <c r="BU628" s="1393"/>
      <c r="BV628" s="1393"/>
      <c r="BW628" s="1393"/>
      <c r="BX628" s="1393">
        <f t="shared" si="7"/>
        <v>0</v>
      </c>
      <c r="BY628" s="1393"/>
      <c r="BZ628" s="1393"/>
      <c r="CA628" s="1393"/>
      <c r="CB628" s="1393"/>
      <c r="CC628" s="1393">
        <f t="shared" si="8"/>
        <v>0</v>
      </c>
      <c r="CD628" s="1393"/>
      <c r="CE628" s="1393"/>
      <c r="CF628" s="1393"/>
      <c r="CG628" s="1393"/>
      <c r="CH628" s="1393">
        <f t="shared" si="9"/>
        <v>0</v>
      </c>
      <c r="CI628" s="1393"/>
      <c r="CJ628" s="1393"/>
      <c r="CK628" s="1393"/>
      <c r="CL628" s="1393"/>
      <c r="CM628" s="1393">
        <f t="shared" si="10"/>
        <v>0</v>
      </c>
      <c r="CN628" s="1393"/>
      <c r="CO628" s="1393"/>
      <c r="CP628" s="1393"/>
      <c r="CQ628" s="1393"/>
      <c r="CR628" s="6"/>
      <c r="CS628" s="1380">
        <f t="shared" si="11"/>
        <v>0</v>
      </c>
      <c r="CT628" s="1380"/>
      <c r="CU628" s="1380"/>
      <c r="CV628" s="1380"/>
      <c r="CW628" s="1380"/>
      <c r="CX628" s="1380">
        <f t="shared" si="12"/>
        <v>0</v>
      </c>
      <c r="CY628" s="1380"/>
      <c r="CZ628" s="1380"/>
      <c r="DA628" s="1380"/>
      <c r="DB628" s="1380"/>
      <c r="DC628" s="1380">
        <f t="shared" si="13"/>
        <v>0</v>
      </c>
      <c r="DD628" s="1380"/>
      <c r="DE628" s="1380"/>
      <c r="DF628" s="1380"/>
      <c r="DG628" s="1380"/>
      <c r="DH628" s="1380">
        <f t="shared" si="14"/>
        <v>0</v>
      </c>
      <c r="DI628" s="1380"/>
      <c r="DJ628" s="1380"/>
      <c r="DK628" s="1380"/>
      <c r="DL628" s="1380"/>
      <c r="DM628" s="1380">
        <f t="shared" si="15"/>
        <v>0</v>
      </c>
      <c r="DN628" s="1380"/>
      <c r="DO628" s="1380"/>
      <c r="DP628" s="1380"/>
      <c r="DQ628" s="1380"/>
      <c r="DR628" s="1380">
        <f t="shared" si="16"/>
        <v>0</v>
      </c>
      <c r="DS628" s="1380"/>
      <c r="DT628" s="1380"/>
      <c r="DU628" s="1380"/>
      <c r="DV628" s="1380"/>
      <c r="DX628" s="1376" t="str">
        <f t="shared" si="17"/>
        <v/>
      </c>
      <c r="DY628" s="1377"/>
      <c r="DZ628" s="1377"/>
      <c r="EA628" s="1377"/>
      <c r="EB628" s="1378"/>
      <c r="EC628" s="1376" t="str">
        <f t="shared" si="18"/>
        <v/>
      </c>
      <c r="ED628" s="1377"/>
      <c r="EE628" s="1377"/>
      <c r="EF628" s="1377"/>
      <c r="EG628" s="1378"/>
      <c r="EH628" s="1376" t="str">
        <f t="shared" si="19"/>
        <v/>
      </c>
      <c r="EI628" s="1377"/>
      <c r="EJ628" s="1377"/>
      <c r="EK628" s="1377"/>
      <c r="EL628" s="1378"/>
      <c r="EM628" s="1376" t="str">
        <f t="shared" si="20"/>
        <v/>
      </c>
      <c r="EN628" s="1377"/>
      <c r="EO628" s="1377"/>
      <c r="EP628" s="1377"/>
      <c r="EQ628" s="1378"/>
      <c r="ER628" s="1376" t="str">
        <f t="shared" si="21"/>
        <v/>
      </c>
      <c r="ES628" s="1377"/>
      <c r="ET628" s="1377"/>
      <c r="EU628" s="1377"/>
      <c r="EV628" s="1378"/>
      <c r="EW628" s="1376" t="str">
        <f t="shared" si="22"/>
        <v/>
      </c>
      <c r="EX628" s="1377"/>
      <c r="EY628" s="1377"/>
      <c r="EZ628" s="1377"/>
      <c r="FA628" s="1378"/>
    </row>
    <row r="629" spans="2:157" ht="12.9" customHeight="1">
      <c r="B629" s="52" t="s">
        <v>119</v>
      </c>
      <c r="C629" s="1698" t="s">
        <v>2673</v>
      </c>
      <c r="D629" s="1698"/>
      <c r="E629" s="1698"/>
      <c r="F629" s="1698"/>
      <c r="G629" s="1698"/>
      <c r="H629" s="1698"/>
      <c r="I629" s="1698"/>
      <c r="J629" s="1698"/>
      <c r="K629" s="1698"/>
      <c r="L629" s="1698"/>
      <c r="M629" s="1579" t="s">
        <v>2439</v>
      </c>
      <c r="N629" s="1579"/>
      <c r="O629" s="1579"/>
      <c r="P629" s="1579"/>
      <c r="Q629" s="1702"/>
      <c r="R629" s="1556"/>
      <c r="S629" s="1703"/>
      <c r="T629" s="1702"/>
      <c r="U629" s="1556"/>
      <c r="V629" s="1703"/>
      <c r="W629" s="1704"/>
      <c r="X629" s="1705"/>
      <c r="Y629" s="1706"/>
      <c r="Z629" s="1513" t="s">
        <v>1289</v>
      </c>
      <c r="AA629" s="1514"/>
      <c r="AB629" s="1515"/>
      <c r="AC629" s="1444"/>
      <c r="AD629" s="1445"/>
      <c r="AE629" s="1446"/>
      <c r="AF629" s="1592"/>
      <c r="AG629" s="1593"/>
      <c r="AH629" s="1593"/>
      <c r="AI629" s="1593"/>
      <c r="AJ629" s="1594"/>
      <c r="AK629" s="1707"/>
      <c r="AL629" s="1708"/>
      <c r="AM629" s="1708"/>
      <c r="AN629" s="1709"/>
      <c r="AO629" s="1599">
        <v>2667061</v>
      </c>
      <c r="AP629" s="1600"/>
      <c r="AQ629" s="1600"/>
      <c r="AR629" s="1600"/>
      <c r="AS629" s="1601"/>
      <c r="AT629" s="1192" t="str">
        <f t="shared" ref="AT629:AT638" si="23">IF(AND(NOT(C628=""),C629="",NOT(C630="")),"!","")</f>
        <v/>
      </c>
      <c r="AU629" s="3"/>
      <c r="AZ629" s="3"/>
      <c r="BA629" s="3"/>
      <c r="BB629" s="3"/>
      <c r="BC629" s="3"/>
      <c r="BD629" s="3"/>
      <c r="BE629" s="1376">
        <f t="shared" si="1"/>
        <v>0</v>
      </c>
      <c r="BF629" s="1378"/>
      <c r="BG629" s="1394">
        <f t="shared" si="2"/>
        <v>0</v>
      </c>
      <c r="BH629" s="1395"/>
      <c r="BI629" s="1376">
        <f t="shared" si="3"/>
        <v>0</v>
      </c>
      <c r="BJ629" s="1378"/>
      <c r="BK629" s="1394">
        <f t="shared" si="4"/>
        <v>0</v>
      </c>
      <c r="BL629" s="1395"/>
      <c r="BM629" s="3"/>
      <c r="BN629" s="1390">
        <f t="shared" si="5"/>
        <v>0</v>
      </c>
      <c r="BO629" s="1391"/>
      <c r="BP629" s="1391"/>
      <c r="BQ629" s="1391"/>
      <c r="BR629" s="1392"/>
      <c r="BS629" s="1393">
        <f t="shared" si="6"/>
        <v>0</v>
      </c>
      <c r="BT629" s="1393"/>
      <c r="BU629" s="1393"/>
      <c r="BV629" s="1393"/>
      <c r="BW629" s="1393"/>
      <c r="BX629" s="1393">
        <f t="shared" si="7"/>
        <v>0</v>
      </c>
      <c r="BY629" s="1393"/>
      <c r="BZ629" s="1393"/>
      <c r="CA629" s="1393"/>
      <c r="CB629" s="1393"/>
      <c r="CC629" s="1393">
        <f t="shared" si="8"/>
        <v>0</v>
      </c>
      <c r="CD629" s="1393"/>
      <c r="CE629" s="1393"/>
      <c r="CF629" s="1393"/>
      <c r="CG629" s="1393"/>
      <c r="CH629" s="1393">
        <f t="shared" si="9"/>
        <v>0</v>
      </c>
      <c r="CI629" s="1393"/>
      <c r="CJ629" s="1393"/>
      <c r="CK629" s="1393"/>
      <c r="CL629" s="1393"/>
      <c r="CM629" s="1393">
        <f t="shared" si="10"/>
        <v>0</v>
      </c>
      <c r="CN629" s="1393"/>
      <c r="CO629" s="1393"/>
      <c r="CP629" s="1393"/>
      <c r="CQ629" s="1393"/>
      <c r="CR629" s="6"/>
      <c r="CS629" s="1380">
        <f t="shared" si="11"/>
        <v>0</v>
      </c>
      <c r="CT629" s="1380"/>
      <c r="CU629" s="1380"/>
      <c r="CV629" s="1380"/>
      <c r="CW629" s="1380"/>
      <c r="CX629" s="1380">
        <f t="shared" si="12"/>
        <v>0</v>
      </c>
      <c r="CY629" s="1380"/>
      <c r="CZ629" s="1380"/>
      <c r="DA629" s="1380"/>
      <c r="DB629" s="1380"/>
      <c r="DC629" s="1380">
        <f t="shared" si="13"/>
        <v>0</v>
      </c>
      <c r="DD629" s="1380"/>
      <c r="DE629" s="1380"/>
      <c r="DF629" s="1380"/>
      <c r="DG629" s="1380"/>
      <c r="DH629" s="1380">
        <f t="shared" si="14"/>
        <v>0</v>
      </c>
      <c r="DI629" s="1380"/>
      <c r="DJ629" s="1380"/>
      <c r="DK629" s="1380"/>
      <c r="DL629" s="1380"/>
      <c r="DM629" s="1380">
        <f t="shared" si="15"/>
        <v>0</v>
      </c>
      <c r="DN629" s="1380"/>
      <c r="DO629" s="1380"/>
      <c r="DP629" s="1380"/>
      <c r="DQ629" s="1380"/>
      <c r="DR629" s="1380">
        <f t="shared" si="16"/>
        <v>0</v>
      </c>
      <c r="DS629" s="1380"/>
      <c r="DT629" s="1380"/>
      <c r="DU629" s="1380"/>
      <c r="DV629" s="1380"/>
      <c r="DX629" s="1376" t="str">
        <f t="shared" si="17"/>
        <v/>
      </c>
      <c r="DY629" s="1377"/>
      <c r="DZ629" s="1377"/>
      <c r="EA629" s="1377"/>
      <c r="EB629" s="1378"/>
      <c r="EC629" s="1376" t="str">
        <f t="shared" si="18"/>
        <v/>
      </c>
      <c r="ED629" s="1377"/>
      <c r="EE629" s="1377"/>
      <c r="EF629" s="1377"/>
      <c r="EG629" s="1378"/>
      <c r="EH629" s="1376" t="str">
        <f t="shared" si="19"/>
        <v/>
      </c>
      <c r="EI629" s="1377"/>
      <c r="EJ629" s="1377"/>
      <c r="EK629" s="1377"/>
      <c r="EL629" s="1378"/>
      <c r="EM629" s="1376" t="str">
        <f t="shared" si="20"/>
        <v/>
      </c>
      <c r="EN629" s="1377"/>
      <c r="EO629" s="1377"/>
      <c r="EP629" s="1377"/>
      <c r="EQ629" s="1378"/>
      <c r="ER629" s="1376" t="str">
        <f t="shared" si="21"/>
        <v/>
      </c>
      <c r="ES629" s="1377"/>
      <c r="ET629" s="1377"/>
      <c r="EU629" s="1377"/>
      <c r="EV629" s="1378"/>
      <c r="EW629" s="1376" t="str">
        <f t="shared" si="22"/>
        <v/>
      </c>
      <c r="EX629" s="1377"/>
      <c r="EY629" s="1377"/>
      <c r="EZ629" s="1377"/>
      <c r="FA629" s="1378"/>
    </row>
    <row r="630" spans="2:157" ht="12.9" customHeight="1">
      <c r="B630" s="52" t="s">
        <v>588</v>
      </c>
      <c r="C630" s="1698" t="s">
        <v>1849</v>
      </c>
      <c r="D630" s="1699"/>
      <c r="E630" s="1699"/>
      <c r="F630" s="1699"/>
      <c r="G630" s="1699"/>
      <c r="H630" s="1699"/>
      <c r="I630" s="1699"/>
      <c r="J630" s="1699"/>
      <c r="K630" s="1699"/>
      <c r="L630" s="1699"/>
      <c r="M630" s="1579" t="s">
        <v>2424</v>
      </c>
      <c r="N630" s="1579"/>
      <c r="O630" s="1579"/>
      <c r="P630" s="1579"/>
      <c r="Q630" s="1702"/>
      <c r="R630" s="1556"/>
      <c r="S630" s="1703"/>
      <c r="T630" s="1702"/>
      <c r="U630" s="1556"/>
      <c r="V630" s="1703"/>
      <c r="W630" s="1704"/>
      <c r="X630" s="1705"/>
      <c r="Y630" s="1706"/>
      <c r="Z630" s="1513" t="s">
        <v>465</v>
      </c>
      <c r="AA630" s="1514"/>
      <c r="AB630" s="1515"/>
      <c r="AC630" s="1444"/>
      <c r="AD630" s="1445"/>
      <c r="AE630" s="1446"/>
      <c r="AF630" s="1592"/>
      <c r="AG630" s="1593"/>
      <c r="AH630" s="1593"/>
      <c r="AI630" s="1593"/>
      <c r="AJ630" s="1594"/>
      <c r="AK630" s="1707"/>
      <c r="AL630" s="1708"/>
      <c r="AM630" s="1708"/>
      <c r="AN630" s="1709"/>
      <c r="AO630" s="1599">
        <v>26696839</v>
      </c>
      <c r="AP630" s="1600"/>
      <c r="AQ630" s="1600"/>
      <c r="AR630" s="1600"/>
      <c r="AS630" s="1601"/>
      <c r="AT630" s="1192" t="str">
        <f t="shared" si="23"/>
        <v/>
      </c>
      <c r="AU630" s="3"/>
      <c r="AZ630" s="3"/>
      <c r="BA630" s="3"/>
      <c r="BB630" s="3"/>
      <c r="BC630" s="3"/>
      <c r="BD630" s="3"/>
      <c r="BE630" s="1376">
        <f t="shared" si="1"/>
        <v>0</v>
      </c>
      <c r="BF630" s="1378"/>
      <c r="BG630" s="1394">
        <f t="shared" si="2"/>
        <v>0</v>
      </c>
      <c r="BH630" s="1395"/>
      <c r="BI630" s="1376">
        <f t="shared" si="3"/>
        <v>0</v>
      </c>
      <c r="BJ630" s="1378"/>
      <c r="BK630" s="1394">
        <f t="shared" si="4"/>
        <v>0</v>
      </c>
      <c r="BL630" s="1395"/>
      <c r="BM630" s="3"/>
      <c r="BN630" s="1390">
        <f t="shared" si="5"/>
        <v>0</v>
      </c>
      <c r="BO630" s="1391"/>
      <c r="BP630" s="1391"/>
      <c r="BQ630" s="1391"/>
      <c r="BR630" s="1392"/>
      <c r="BS630" s="1393">
        <f t="shared" si="6"/>
        <v>0</v>
      </c>
      <c r="BT630" s="1393"/>
      <c r="BU630" s="1393"/>
      <c r="BV630" s="1393"/>
      <c r="BW630" s="1393"/>
      <c r="BX630" s="1393">
        <f t="shared" si="7"/>
        <v>0</v>
      </c>
      <c r="BY630" s="1393"/>
      <c r="BZ630" s="1393"/>
      <c r="CA630" s="1393"/>
      <c r="CB630" s="1393"/>
      <c r="CC630" s="1393">
        <f t="shared" si="8"/>
        <v>0</v>
      </c>
      <c r="CD630" s="1393"/>
      <c r="CE630" s="1393"/>
      <c r="CF630" s="1393"/>
      <c r="CG630" s="1393"/>
      <c r="CH630" s="1393">
        <f t="shared" si="9"/>
        <v>0</v>
      </c>
      <c r="CI630" s="1393"/>
      <c r="CJ630" s="1393"/>
      <c r="CK630" s="1393"/>
      <c r="CL630" s="1393"/>
      <c r="CM630" s="1393">
        <f t="shared" si="10"/>
        <v>0</v>
      </c>
      <c r="CN630" s="1393"/>
      <c r="CO630" s="1393"/>
      <c r="CP630" s="1393"/>
      <c r="CQ630" s="1393"/>
      <c r="CR630" s="6"/>
      <c r="CS630" s="1380">
        <f t="shared" si="11"/>
        <v>0</v>
      </c>
      <c r="CT630" s="1380"/>
      <c r="CU630" s="1380"/>
      <c r="CV630" s="1380"/>
      <c r="CW630" s="1380"/>
      <c r="CX630" s="1380">
        <f t="shared" si="12"/>
        <v>0</v>
      </c>
      <c r="CY630" s="1380"/>
      <c r="CZ630" s="1380"/>
      <c r="DA630" s="1380"/>
      <c r="DB630" s="1380"/>
      <c r="DC630" s="1380">
        <f t="shared" si="13"/>
        <v>0</v>
      </c>
      <c r="DD630" s="1380"/>
      <c r="DE630" s="1380"/>
      <c r="DF630" s="1380"/>
      <c r="DG630" s="1380"/>
      <c r="DH630" s="1380">
        <f t="shared" si="14"/>
        <v>0</v>
      </c>
      <c r="DI630" s="1380"/>
      <c r="DJ630" s="1380"/>
      <c r="DK630" s="1380"/>
      <c r="DL630" s="1380"/>
      <c r="DM630" s="1380">
        <f t="shared" si="15"/>
        <v>0</v>
      </c>
      <c r="DN630" s="1380"/>
      <c r="DO630" s="1380"/>
      <c r="DP630" s="1380"/>
      <c r="DQ630" s="1380"/>
      <c r="DR630" s="1380">
        <f t="shared" si="16"/>
        <v>0</v>
      </c>
      <c r="DS630" s="1380"/>
      <c r="DT630" s="1380"/>
      <c r="DU630" s="1380"/>
      <c r="DV630" s="1380"/>
      <c r="DX630" s="1376" t="str">
        <f t="shared" si="17"/>
        <v/>
      </c>
      <c r="DY630" s="1377"/>
      <c r="DZ630" s="1377"/>
      <c r="EA630" s="1377"/>
      <c r="EB630" s="1378"/>
      <c r="EC630" s="1376" t="str">
        <f t="shared" si="18"/>
        <v/>
      </c>
      <c r="ED630" s="1377"/>
      <c r="EE630" s="1377"/>
      <c r="EF630" s="1377"/>
      <c r="EG630" s="1378"/>
      <c r="EH630" s="1376" t="str">
        <f t="shared" si="19"/>
        <v/>
      </c>
      <c r="EI630" s="1377"/>
      <c r="EJ630" s="1377"/>
      <c r="EK630" s="1377"/>
      <c r="EL630" s="1378"/>
      <c r="EM630" s="1376" t="str">
        <f t="shared" si="20"/>
        <v/>
      </c>
      <c r="EN630" s="1377"/>
      <c r="EO630" s="1377"/>
      <c r="EP630" s="1377"/>
      <c r="EQ630" s="1378"/>
      <c r="ER630" s="1376" t="str">
        <f t="shared" si="21"/>
        <v/>
      </c>
      <c r="ES630" s="1377"/>
      <c r="ET630" s="1377"/>
      <c r="EU630" s="1377"/>
      <c r="EV630" s="1378"/>
      <c r="EW630" s="1376" t="str">
        <f t="shared" si="22"/>
        <v/>
      </c>
      <c r="EX630" s="1377"/>
      <c r="EY630" s="1377"/>
      <c r="EZ630" s="1377"/>
      <c r="FA630" s="1378"/>
    </row>
    <row r="631" spans="2:157" ht="12.9" customHeight="1">
      <c r="B631" s="52" t="s">
        <v>771</v>
      </c>
      <c r="C631" s="1699"/>
      <c r="D631" s="1699"/>
      <c r="E631" s="1699"/>
      <c r="F631" s="1699"/>
      <c r="G631" s="1699"/>
      <c r="H631" s="1699"/>
      <c r="I631" s="1699"/>
      <c r="J631" s="1699"/>
      <c r="K631" s="1699"/>
      <c r="L631" s="1699"/>
      <c r="M631" s="1579" t="s">
        <v>1289</v>
      </c>
      <c r="N631" s="1579"/>
      <c r="O631" s="1579"/>
      <c r="P631" s="1579"/>
      <c r="Q631" s="1702"/>
      <c r="R631" s="1556"/>
      <c r="S631" s="1703"/>
      <c r="T631" s="1702"/>
      <c r="U631" s="1556"/>
      <c r="V631" s="1703"/>
      <c r="W631" s="1704"/>
      <c r="X631" s="1705"/>
      <c r="Y631" s="1706"/>
      <c r="Z631" s="1513" t="s">
        <v>1289</v>
      </c>
      <c r="AA631" s="1514"/>
      <c r="AB631" s="1515"/>
      <c r="AC631" s="1444"/>
      <c r="AD631" s="1445"/>
      <c r="AE631" s="1446"/>
      <c r="AF631" s="1592"/>
      <c r="AG631" s="1593"/>
      <c r="AH631" s="1593"/>
      <c r="AI631" s="1593"/>
      <c r="AJ631" s="1594"/>
      <c r="AK631" s="1707"/>
      <c r="AL631" s="1708"/>
      <c r="AM631" s="1708"/>
      <c r="AN631" s="1709"/>
      <c r="AO631" s="1599"/>
      <c r="AP631" s="1600"/>
      <c r="AQ631" s="1600"/>
      <c r="AR631" s="1600"/>
      <c r="AS631" s="1601"/>
      <c r="AT631" s="1192" t="str">
        <f t="shared" si="23"/>
        <v/>
      </c>
      <c r="AU631" s="3"/>
      <c r="AZ631" s="3"/>
      <c r="BA631" s="3"/>
      <c r="BB631" s="3"/>
      <c r="BC631" s="3"/>
      <c r="BD631" s="3"/>
      <c r="BE631" s="1376">
        <f t="shared" si="1"/>
        <v>0</v>
      </c>
      <c r="BF631" s="1378"/>
      <c r="BG631" s="1394">
        <f t="shared" si="2"/>
        <v>0</v>
      </c>
      <c r="BH631" s="1395"/>
      <c r="BI631" s="1376">
        <f t="shared" si="3"/>
        <v>0</v>
      </c>
      <c r="BJ631" s="1378"/>
      <c r="BK631" s="1394">
        <f t="shared" si="4"/>
        <v>0</v>
      </c>
      <c r="BL631" s="1395"/>
      <c r="BM631" s="3"/>
      <c r="BN631" s="1390">
        <f t="shared" si="5"/>
        <v>0</v>
      </c>
      <c r="BO631" s="1391"/>
      <c r="BP631" s="1391"/>
      <c r="BQ631" s="1391"/>
      <c r="BR631" s="1392"/>
      <c r="BS631" s="1393">
        <f t="shared" si="6"/>
        <v>0</v>
      </c>
      <c r="BT631" s="1393"/>
      <c r="BU631" s="1393"/>
      <c r="BV631" s="1393"/>
      <c r="BW631" s="1393"/>
      <c r="BX631" s="1393">
        <f t="shared" si="7"/>
        <v>0</v>
      </c>
      <c r="BY631" s="1393"/>
      <c r="BZ631" s="1393"/>
      <c r="CA631" s="1393"/>
      <c r="CB631" s="1393"/>
      <c r="CC631" s="1393">
        <f t="shared" si="8"/>
        <v>0</v>
      </c>
      <c r="CD631" s="1393"/>
      <c r="CE631" s="1393"/>
      <c r="CF631" s="1393"/>
      <c r="CG631" s="1393"/>
      <c r="CH631" s="1393">
        <f t="shared" si="9"/>
        <v>0</v>
      </c>
      <c r="CI631" s="1393"/>
      <c r="CJ631" s="1393"/>
      <c r="CK631" s="1393"/>
      <c r="CL631" s="1393"/>
      <c r="CM631" s="1393">
        <f t="shared" si="10"/>
        <v>0</v>
      </c>
      <c r="CN631" s="1393"/>
      <c r="CO631" s="1393"/>
      <c r="CP631" s="1393"/>
      <c r="CQ631" s="1393"/>
      <c r="CR631" s="6"/>
      <c r="CS631" s="1380">
        <f t="shared" si="11"/>
        <v>0</v>
      </c>
      <c r="CT631" s="1380"/>
      <c r="CU631" s="1380"/>
      <c r="CV631" s="1380"/>
      <c r="CW631" s="1380"/>
      <c r="CX631" s="1380">
        <f t="shared" si="12"/>
        <v>0</v>
      </c>
      <c r="CY631" s="1380"/>
      <c r="CZ631" s="1380"/>
      <c r="DA631" s="1380"/>
      <c r="DB631" s="1380"/>
      <c r="DC631" s="1380">
        <f t="shared" si="13"/>
        <v>0</v>
      </c>
      <c r="DD631" s="1380"/>
      <c r="DE631" s="1380"/>
      <c r="DF631" s="1380"/>
      <c r="DG631" s="1380"/>
      <c r="DH631" s="1380">
        <f t="shared" si="14"/>
        <v>0</v>
      </c>
      <c r="DI631" s="1380"/>
      <c r="DJ631" s="1380"/>
      <c r="DK631" s="1380"/>
      <c r="DL631" s="1380"/>
      <c r="DM631" s="1380">
        <f t="shared" si="15"/>
        <v>0</v>
      </c>
      <c r="DN631" s="1380"/>
      <c r="DO631" s="1380"/>
      <c r="DP631" s="1380"/>
      <c r="DQ631" s="1380"/>
      <c r="DR631" s="1380">
        <f t="shared" si="16"/>
        <v>0</v>
      </c>
      <c r="DS631" s="1380"/>
      <c r="DT631" s="1380"/>
      <c r="DU631" s="1380"/>
      <c r="DV631" s="1380"/>
      <c r="DX631" s="1376" t="str">
        <f t="shared" si="17"/>
        <v/>
      </c>
      <c r="DY631" s="1377"/>
      <c r="DZ631" s="1377"/>
      <c r="EA631" s="1377"/>
      <c r="EB631" s="1378"/>
      <c r="EC631" s="1376" t="str">
        <f t="shared" si="18"/>
        <v/>
      </c>
      <c r="ED631" s="1377"/>
      <c r="EE631" s="1377"/>
      <c r="EF631" s="1377"/>
      <c r="EG631" s="1378"/>
      <c r="EH631" s="1376" t="str">
        <f t="shared" si="19"/>
        <v/>
      </c>
      <c r="EI631" s="1377"/>
      <c r="EJ631" s="1377"/>
      <c r="EK631" s="1377"/>
      <c r="EL631" s="1378"/>
      <c r="EM631" s="1376" t="str">
        <f t="shared" si="20"/>
        <v/>
      </c>
      <c r="EN631" s="1377"/>
      <c r="EO631" s="1377"/>
      <c r="EP631" s="1377"/>
      <c r="EQ631" s="1378"/>
      <c r="ER631" s="1376" t="str">
        <f t="shared" si="21"/>
        <v/>
      </c>
      <c r="ES631" s="1377"/>
      <c r="ET631" s="1377"/>
      <c r="EU631" s="1377"/>
      <c r="EV631" s="1378"/>
      <c r="EW631" s="1376" t="str">
        <f t="shared" si="22"/>
        <v/>
      </c>
      <c r="EX631" s="1377"/>
      <c r="EY631" s="1377"/>
      <c r="EZ631" s="1377"/>
      <c r="FA631" s="1378"/>
    </row>
    <row r="632" spans="2:157" ht="12.9" customHeight="1">
      <c r="B632" s="52" t="s">
        <v>591</v>
      </c>
      <c r="C632" s="1699"/>
      <c r="D632" s="1699"/>
      <c r="E632" s="1699"/>
      <c r="F632" s="1699"/>
      <c r="G632" s="1699"/>
      <c r="H632" s="1699"/>
      <c r="I632" s="1699"/>
      <c r="J632" s="1699"/>
      <c r="K632" s="1699"/>
      <c r="L632" s="1699"/>
      <c r="M632" s="1579" t="s">
        <v>1289</v>
      </c>
      <c r="N632" s="1579"/>
      <c r="O632" s="1579"/>
      <c r="P632" s="1579"/>
      <c r="Q632" s="1702"/>
      <c r="R632" s="1556"/>
      <c r="S632" s="1703"/>
      <c r="T632" s="1702"/>
      <c r="U632" s="1556"/>
      <c r="V632" s="1703"/>
      <c r="W632" s="1704"/>
      <c r="X632" s="1705"/>
      <c r="Y632" s="1706"/>
      <c r="Z632" s="1513" t="s">
        <v>1289</v>
      </c>
      <c r="AA632" s="1514"/>
      <c r="AB632" s="1515"/>
      <c r="AC632" s="1444"/>
      <c r="AD632" s="1445"/>
      <c r="AE632" s="1446"/>
      <c r="AF632" s="1592"/>
      <c r="AG632" s="1593"/>
      <c r="AH632" s="1593"/>
      <c r="AI632" s="1593"/>
      <c r="AJ632" s="1594"/>
      <c r="AK632" s="1707"/>
      <c r="AL632" s="1708"/>
      <c r="AM632" s="1708"/>
      <c r="AN632" s="1709"/>
      <c r="AO632" s="1599"/>
      <c r="AP632" s="1600"/>
      <c r="AQ632" s="1600"/>
      <c r="AR632" s="1600"/>
      <c r="AS632" s="1601"/>
      <c r="AT632" s="1192" t="str">
        <f t="shared" si="23"/>
        <v/>
      </c>
      <c r="AU632" s="3"/>
      <c r="AZ632" s="3"/>
      <c r="BA632" s="3"/>
      <c r="BB632" s="3"/>
      <c r="BC632" s="3"/>
      <c r="BD632" s="3"/>
      <c r="BE632" s="3"/>
      <c r="BF632" s="3"/>
      <c r="BG632" s="1376">
        <f>SUM(BG597:BH631)</f>
        <v>43</v>
      </c>
      <c r="BH632" s="1378"/>
      <c r="BI632" s="3"/>
      <c r="BJ632" s="3"/>
      <c r="BK632" s="1376">
        <f>SUM(BK597:BL631)</f>
        <v>58</v>
      </c>
      <c r="BL632" s="1378"/>
      <c r="BM632" s="3"/>
      <c r="BN632" s="1376">
        <f>SUM(BN597:BR631)</f>
        <v>421</v>
      </c>
      <c r="BO632" s="1377"/>
      <c r="BP632" s="1377"/>
      <c r="BQ632" s="1377"/>
      <c r="BR632" s="1378"/>
      <c r="BS632" s="1379">
        <f>SUM(BS597:BW631)</f>
        <v>0</v>
      </c>
      <c r="BT632" s="1379"/>
      <c r="BU632" s="1379"/>
      <c r="BV632" s="1379"/>
      <c r="BW632" s="1379"/>
      <c r="BX632" s="1379">
        <f>SUM(BX597:CB631)</f>
        <v>0</v>
      </c>
      <c r="BY632" s="1379"/>
      <c r="BZ632" s="1379"/>
      <c r="CA632" s="1379"/>
      <c r="CB632" s="1379"/>
      <c r="CC632" s="1379">
        <f>SUM(CC597:CG631)</f>
        <v>0</v>
      </c>
      <c r="CD632" s="1379"/>
      <c r="CE632" s="1379"/>
      <c r="CF632" s="1379"/>
      <c r="CG632" s="1379"/>
      <c r="CH632" s="1379">
        <f>SUM(CH597:CL631)</f>
        <v>0</v>
      </c>
      <c r="CI632" s="1379"/>
      <c r="CJ632" s="1379"/>
      <c r="CK632" s="1379"/>
      <c r="CL632" s="1379"/>
      <c r="CM632" s="1379">
        <f>SUM(CM597:CQ631)</f>
        <v>0</v>
      </c>
      <c r="CN632" s="1379"/>
      <c r="CO632" s="1379"/>
      <c r="CP632" s="1379"/>
      <c r="CQ632" s="1379"/>
      <c r="CR632" s="385"/>
      <c r="CS632" s="1379">
        <f>SUM(CS597:CW631)</f>
        <v>58</v>
      </c>
      <c r="CT632" s="1379"/>
      <c r="CU632" s="1379"/>
      <c r="CV632" s="1379"/>
      <c r="CW632" s="1379"/>
      <c r="CX632" s="1379">
        <f>SUM(CX597:DB631)</f>
        <v>0</v>
      </c>
      <c r="CY632" s="1379"/>
      <c r="CZ632" s="1379"/>
      <c r="DA632" s="1379"/>
      <c r="DB632" s="1379"/>
      <c r="DC632" s="1379">
        <f>SUM(DC597:DG631)</f>
        <v>0</v>
      </c>
      <c r="DD632" s="1379"/>
      <c r="DE632" s="1379"/>
      <c r="DF632" s="1379"/>
      <c r="DG632" s="1379"/>
      <c r="DH632" s="1379">
        <f>SUM(DH597:DL631)</f>
        <v>0</v>
      </c>
      <c r="DI632" s="1379"/>
      <c r="DJ632" s="1379"/>
      <c r="DK632" s="1379"/>
      <c r="DL632" s="1379"/>
      <c r="DM632" s="1379">
        <f>SUM(DM597:DQ631)</f>
        <v>0</v>
      </c>
      <c r="DN632" s="1379"/>
      <c r="DO632" s="1379"/>
      <c r="DP632" s="1379"/>
      <c r="DQ632" s="1379"/>
      <c r="DR632" s="1379">
        <f>SUM(DR597:DV631)</f>
        <v>0</v>
      </c>
      <c r="DS632" s="1379"/>
      <c r="DT632" s="1379"/>
      <c r="DU632" s="1379"/>
      <c r="DV632" s="1379"/>
      <c r="DX632" s="1379">
        <f>SUM(DX597:EB631)</f>
        <v>7196</v>
      </c>
      <c r="DY632" s="1379"/>
      <c r="DZ632" s="1379"/>
      <c r="EA632" s="1379"/>
      <c r="EB632" s="1379"/>
      <c r="EC632" s="1379">
        <f>SUM(EC597:EG631)</f>
        <v>0</v>
      </c>
      <c r="ED632" s="1379"/>
      <c r="EE632" s="1379"/>
      <c r="EF632" s="1379"/>
      <c r="EG632" s="1379"/>
      <c r="EH632" s="1379">
        <f>SUM(EH597:EL631)</f>
        <v>0</v>
      </c>
      <c r="EI632" s="1379"/>
      <c r="EJ632" s="1379"/>
      <c r="EK632" s="1379"/>
      <c r="EL632" s="1379"/>
      <c r="EM632" s="1379">
        <f>SUM(EM597:EQ631)</f>
        <v>0</v>
      </c>
      <c r="EN632" s="1379"/>
      <c r="EO632" s="1379"/>
      <c r="EP632" s="1379"/>
      <c r="EQ632" s="1379"/>
      <c r="ER632" s="1379">
        <f>SUM(ER597:EV631)</f>
        <v>0</v>
      </c>
      <c r="ES632" s="1379"/>
      <c r="ET632" s="1379"/>
      <c r="EU632" s="1379"/>
      <c r="EV632" s="1379"/>
      <c r="EW632" s="1379">
        <f>SUM(EW597:FA631)</f>
        <v>0</v>
      </c>
      <c r="EX632" s="1379"/>
      <c r="EY632" s="1379"/>
      <c r="EZ632" s="1379"/>
      <c r="FA632" s="1379"/>
    </row>
    <row r="633" spans="2:157" ht="12.9" customHeight="1">
      <c r="B633" s="52" t="s">
        <v>462</v>
      </c>
      <c r="C633" s="1699"/>
      <c r="D633" s="1699"/>
      <c r="E633" s="1699"/>
      <c r="F633" s="1699"/>
      <c r="G633" s="1699"/>
      <c r="H633" s="1699"/>
      <c r="I633" s="1699"/>
      <c r="J633" s="1699"/>
      <c r="K633" s="1699"/>
      <c r="L633" s="1699"/>
      <c r="M633" s="1579" t="s">
        <v>1289</v>
      </c>
      <c r="N633" s="1579"/>
      <c r="O633" s="1579"/>
      <c r="P633" s="1579"/>
      <c r="Q633" s="1702"/>
      <c r="R633" s="1556"/>
      <c r="S633" s="1703"/>
      <c r="T633" s="1702"/>
      <c r="U633" s="1556"/>
      <c r="V633" s="1703"/>
      <c r="W633" s="1704"/>
      <c r="X633" s="1705"/>
      <c r="Y633" s="1706"/>
      <c r="Z633" s="1513" t="s">
        <v>1289</v>
      </c>
      <c r="AA633" s="1514"/>
      <c r="AB633" s="1515"/>
      <c r="AC633" s="1444"/>
      <c r="AD633" s="1445"/>
      <c r="AE633" s="1446"/>
      <c r="AF633" s="1592"/>
      <c r="AG633" s="1593"/>
      <c r="AH633" s="1593"/>
      <c r="AI633" s="1593"/>
      <c r="AJ633" s="1594"/>
      <c r="AK633" s="1707"/>
      <c r="AL633" s="1708"/>
      <c r="AM633" s="1708"/>
      <c r="AN633" s="1709"/>
      <c r="AO633" s="1599"/>
      <c r="AP633" s="1600"/>
      <c r="AQ633" s="1600"/>
      <c r="AR633" s="1600"/>
      <c r="AS633" s="1601"/>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76">
        <f>BN632+BS632+BX632+CC632+CH632+CM632</f>
        <v>421</v>
      </c>
      <c r="CN633" s="1377"/>
      <c r="CO633" s="1377"/>
      <c r="CP633" s="1377"/>
      <c r="CQ633" s="1378"/>
      <c r="CR633" s="385"/>
      <c r="CS633" s="3"/>
      <c r="CT633" s="3"/>
      <c r="CU633" s="3"/>
      <c r="CV633" s="3"/>
      <c r="CW633" s="3"/>
      <c r="CX633" s="3"/>
      <c r="CY633" s="3"/>
      <c r="CZ633" s="3"/>
      <c r="DA633" s="3"/>
      <c r="DB633" s="3"/>
      <c r="DC633" s="3"/>
      <c r="DD633" s="3"/>
      <c r="DE633" s="3"/>
      <c r="DF633" s="3"/>
    </row>
    <row r="634" spans="2:157" ht="12.9" customHeight="1">
      <c r="B634" s="52" t="s">
        <v>463</v>
      </c>
      <c r="C634" s="1699"/>
      <c r="D634" s="1699"/>
      <c r="E634" s="1699"/>
      <c r="F634" s="1699"/>
      <c r="G634" s="1699"/>
      <c r="H634" s="1699"/>
      <c r="I634" s="1699"/>
      <c r="J634" s="1699"/>
      <c r="K634" s="1699"/>
      <c r="L634" s="1699"/>
      <c r="M634" s="1579" t="s">
        <v>1289</v>
      </c>
      <c r="N634" s="1579"/>
      <c r="O634" s="1579"/>
      <c r="P634" s="1579"/>
      <c r="Q634" s="1702"/>
      <c r="R634" s="1556"/>
      <c r="S634" s="1703"/>
      <c r="T634" s="1702"/>
      <c r="U634" s="1556"/>
      <c r="V634" s="1703"/>
      <c r="W634" s="1704"/>
      <c r="X634" s="1705"/>
      <c r="Y634" s="1706"/>
      <c r="Z634" s="1513" t="s">
        <v>1289</v>
      </c>
      <c r="AA634" s="1514"/>
      <c r="AB634" s="1515"/>
      <c r="AC634" s="1444"/>
      <c r="AD634" s="1445"/>
      <c r="AE634" s="1446"/>
      <c r="AF634" s="1592"/>
      <c r="AG634" s="1593"/>
      <c r="AH634" s="1593"/>
      <c r="AI634" s="1593"/>
      <c r="AJ634" s="1594"/>
      <c r="AK634" s="1707"/>
      <c r="AL634" s="1708"/>
      <c r="AM634" s="1708"/>
      <c r="AN634" s="1709"/>
      <c r="AO634" s="1599"/>
      <c r="AP634" s="1600"/>
      <c r="AQ634" s="1600"/>
      <c r="AR634" s="1600"/>
      <c r="AS634" s="1601"/>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421</v>
      </c>
      <c r="BS634" s="3"/>
      <c r="BT634" s="3"/>
      <c r="BU634" s="3"/>
      <c r="BV634" s="3"/>
      <c r="BW634" s="895">
        <f>BS632*1</f>
        <v>0</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421</v>
      </c>
      <c r="CT634" s="57" t="s">
        <v>2052</v>
      </c>
      <c r="CU634" s="3"/>
      <c r="CV634" s="3"/>
      <c r="CW634" s="3"/>
      <c r="CX634" s="3"/>
      <c r="CY634" s="3"/>
      <c r="CZ634" s="3"/>
      <c r="DA634" s="3"/>
      <c r="DB634" s="3"/>
      <c r="DC634" s="3"/>
      <c r="DD634" s="3"/>
      <c r="DE634" s="3"/>
      <c r="DF634" s="3"/>
    </row>
    <row r="635" spans="2:157" ht="12.9" customHeight="1">
      <c r="B635" s="52" t="s">
        <v>468</v>
      </c>
      <c r="C635" s="1699"/>
      <c r="D635" s="1699"/>
      <c r="E635" s="1699"/>
      <c r="F635" s="1699"/>
      <c r="G635" s="1699"/>
      <c r="H635" s="1699"/>
      <c r="I635" s="1699"/>
      <c r="J635" s="1699"/>
      <c r="K635" s="1699"/>
      <c r="L635" s="1699"/>
      <c r="M635" s="1579" t="s">
        <v>1289</v>
      </c>
      <c r="N635" s="1579"/>
      <c r="O635" s="1579"/>
      <c r="P635" s="1579"/>
      <c r="Q635" s="1702"/>
      <c r="R635" s="1556"/>
      <c r="S635" s="1703"/>
      <c r="T635" s="1702"/>
      <c r="U635" s="1556"/>
      <c r="V635" s="1703"/>
      <c r="W635" s="1704"/>
      <c r="X635" s="1705"/>
      <c r="Y635" s="1706"/>
      <c r="Z635" s="1513" t="s">
        <v>1289</v>
      </c>
      <c r="AA635" s="1514"/>
      <c r="AB635" s="1515"/>
      <c r="AC635" s="1444"/>
      <c r="AD635" s="1445"/>
      <c r="AE635" s="1446"/>
      <c r="AF635" s="1592"/>
      <c r="AG635" s="1593"/>
      <c r="AH635" s="1593"/>
      <c r="AI635" s="1593"/>
      <c r="AJ635" s="1594"/>
      <c r="AK635" s="1707"/>
      <c r="AL635" s="1708"/>
      <c r="AM635" s="1708"/>
      <c r="AN635" s="1709"/>
      <c r="AO635" s="1599"/>
      <c r="AP635" s="1600"/>
      <c r="AQ635" s="1600"/>
      <c r="AR635" s="1600"/>
      <c r="AS635" s="1601"/>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5">
        <f>DX597*(BN597/$BN$632)</f>
        <v>141.62470308788596</v>
      </c>
      <c r="DY635" s="1375"/>
      <c r="DZ635" s="1375"/>
      <c r="EA635" s="1375"/>
      <c r="EB635" s="1375"/>
      <c r="EC635" s="1375" t="e">
        <f t="shared" ref="EC635:EC657" si="24">EC597*(BS597/$BS$632)</f>
        <v>#VALUE!</v>
      </c>
      <c r="ED635" s="1375"/>
      <c r="EE635" s="1375"/>
      <c r="EF635" s="1375"/>
      <c r="EG635" s="1375"/>
      <c r="EH635" s="1375" t="e">
        <f t="shared" ref="EH635:EH657" si="25">EH597*(BX597/$BX$632)</f>
        <v>#VALUE!</v>
      </c>
      <c r="EI635" s="1375"/>
      <c r="EJ635" s="1375"/>
      <c r="EK635" s="1375"/>
      <c r="EL635" s="1375"/>
      <c r="EM635" s="1375" t="e">
        <f t="shared" ref="EM635:EM657" si="26">EM597*(CC597/$CC$632)</f>
        <v>#VALUE!</v>
      </c>
      <c r="EN635" s="1375"/>
      <c r="EO635" s="1375"/>
      <c r="EP635" s="1375"/>
      <c r="EQ635" s="1375"/>
      <c r="ER635" s="1375" t="e">
        <f t="shared" ref="ER635:ER657" si="27">ER597*(CH597/$CH$632)</f>
        <v>#VALUE!</v>
      </c>
      <c r="ES635" s="1375"/>
      <c r="ET635" s="1375"/>
      <c r="EU635" s="1375"/>
      <c r="EV635" s="1375"/>
      <c r="EW635" s="1375" t="e">
        <f t="shared" ref="EW635:EW657" si="28">EW597*(CM597/$CM$632)</f>
        <v>#VALUE!</v>
      </c>
      <c r="EX635" s="1375"/>
      <c r="EY635" s="1375"/>
      <c r="EZ635" s="1375"/>
      <c r="FA635" s="1375"/>
    </row>
    <row r="636" spans="2:157" ht="12.9" customHeight="1">
      <c r="B636" s="52" t="s">
        <v>653</v>
      </c>
      <c r="C636" s="1699"/>
      <c r="D636" s="1699"/>
      <c r="E636" s="1699"/>
      <c r="F636" s="1699"/>
      <c r="G636" s="1699"/>
      <c r="H636" s="1699"/>
      <c r="I636" s="1699"/>
      <c r="J636" s="1699"/>
      <c r="K636" s="1699"/>
      <c r="L636" s="1699"/>
      <c r="M636" s="1579" t="s">
        <v>1289</v>
      </c>
      <c r="N636" s="1579"/>
      <c r="O636" s="1579"/>
      <c r="P636" s="1579"/>
      <c r="Q636" s="1702"/>
      <c r="R636" s="1556"/>
      <c r="S636" s="1703"/>
      <c r="T636" s="1702"/>
      <c r="U636" s="1556"/>
      <c r="V636" s="1703"/>
      <c r="W636" s="1704"/>
      <c r="X636" s="1705"/>
      <c r="Y636" s="1706"/>
      <c r="Z636" s="1513" t="s">
        <v>1289</v>
      </c>
      <c r="AA636" s="1514"/>
      <c r="AB636" s="1515"/>
      <c r="AC636" s="1444"/>
      <c r="AD636" s="1445"/>
      <c r="AE636" s="1446"/>
      <c r="AF636" s="1592"/>
      <c r="AG636" s="1593"/>
      <c r="AH636" s="1593"/>
      <c r="AI636" s="1593"/>
      <c r="AJ636" s="1594"/>
      <c r="AK636" s="1707"/>
      <c r="AL636" s="1708"/>
      <c r="AM636" s="1708"/>
      <c r="AN636" s="1709"/>
      <c r="AO636" s="1599"/>
      <c r="AP636" s="1600"/>
      <c r="AQ636" s="1600"/>
      <c r="AR636" s="1600"/>
      <c r="AS636" s="1601"/>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75">
        <f t="shared" ref="DX636:DX657" si="29">DX598*(BN598/$BN$632)</f>
        <v>174.96199524940616</v>
      </c>
      <c r="DY636" s="1375"/>
      <c r="DZ636" s="1375"/>
      <c r="EA636" s="1375"/>
      <c r="EB636" s="1375"/>
      <c r="EC636" s="1375" t="e">
        <f t="shared" si="24"/>
        <v>#VALUE!</v>
      </c>
      <c r="ED636" s="1375"/>
      <c r="EE636" s="1375"/>
      <c r="EF636" s="1375"/>
      <c r="EG636" s="1375"/>
      <c r="EH636" s="1375" t="e">
        <f t="shared" si="25"/>
        <v>#VALUE!</v>
      </c>
      <c r="EI636" s="1375"/>
      <c r="EJ636" s="1375"/>
      <c r="EK636" s="1375"/>
      <c r="EL636" s="1375"/>
      <c r="EM636" s="1375" t="e">
        <f t="shared" si="26"/>
        <v>#VALUE!</v>
      </c>
      <c r="EN636" s="1375"/>
      <c r="EO636" s="1375"/>
      <c r="EP636" s="1375"/>
      <c r="EQ636" s="1375"/>
      <c r="ER636" s="1375" t="e">
        <f t="shared" si="27"/>
        <v>#VALUE!</v>
      </c>
      <c r="ES636" s="1375"/>
      <c r="ET636" s="1375"/>
      <c r="EU636" s="1375"/>
      <c r="EV636" s="1375"/>
      <c r="EW636" s="1375" t="e">
        <f t="shared" si="28"/>
        <v>#VALUE!</v>
      </c>
      <c r="EX636" s="1375"/>
      <c r="EY636" s="1375"/>
      <c r="EZ636" s="1375"/>
      <c r="FA636" s="1375"/>
    </row>
    <row r="637" spans="2:157" ht="12.9" customHeight="1">
      <c r="B637" s="52" t="s">
        <v>362</v>
      </c>
      <c r="C637" s="1699"/>
      <c r="D637" s="1699"/>
      <c r="E637" s="1699"/>
      <c r="F637" s="1699"/>
      <c r="G637" s="1699"/>
      <c r="H637" s="1699"/>
      <c r="I637" s="1699"/>
      <c r="J637" s="1699"/>
      <c r="K637" s="1699"/>
      <c r="L637" s="1699"/>
      <c r="M637" s="1579" t="s">
        <v>1289</v>
      </c>
      <c r="N637" s="1579"/>
      <c r="O637" s="1579"/>
      <c r="P637" s="1579"/>
      <c r="Q637" s="1702"/>
      <c r="R637" s="1556"/>
      <c r="S637" s="1703"/>
      <c r="T637" s="1702"/>
      <c r="U637" s="1556"/>
      <c r="V637" s="1703"/>
      <c r="W637" s="1704"/>
      <c r="X637" s="1705"/>
      <c r="Y637" s="1706"/>
      <c r="Z637" s="1513" t="s">
        <v>1289</v>
      </c>
      <c r="AA637" s="1514"/>
      <c r="AB637" s="1515"/>
      <c r="AC637" s="1444"/>
      <c r="AD637" s="1445"/>
      <c r="AE637" s="1446"/>
      <c r="AF637" s="1592"/>
      <c r="AG637" s="1593"/>
      <c r="AH637" s="1593"/>
      <c r="AI637" s="1593"/>
      <c r="AJ637" s="1594"/>
      <c r="AK637" s="1707"/>
      <c r="AL637" s="1708"/>
      <c r="AM637" s="1708"/>
      <c r="AN637" s="1709"/>
      <c r="AO637" s="1599"/>
      <c r="AP637" s="1600"/>
      <c r="AQ637" s="1600"/>
      <c r="AR637" s="1600"/>
      <c r="AS637" s="1601"/>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390">
        <f>IF(J773="SRO/Studio",O773,0)</f>
        <v>4</v>
      </c>
      <c r="BO637" s="1391"/>
      <c r="BP637" s="1391"/>
      <c r="BQ637" s="1391"/>
      <c r="BR637" s="1392"/>
      <c r="BS637" s="1393">
        <f>IF(J773="1 Bedroom",O773,0)</f>
        <v>0</v>
      </c>
      <c r="BT637" s="1393"/>
      <c r="BU637" s="1393"/>
      <c r="BV637" s="1393"/>
      <c r="BW637" s="1393"/>
      <c r="BX637" s="1393">
        <f>IF(J773="2 Bedrooms",O773,0)</f>
        <v>0</v>
      </c>
      <c r="BY637" s="1393"/>
      <c r="BZ637" s="1393"/>
      <c r="CA637" s="1393"/>
      <c r="CB637" s="1393"/>
      <c r="CC637" s="1393">
        <f>IF(J773="3 Bedrooms",O773,0)</f>
        <v>0</v>
      </c>
      <c r="CD637" s="1393"/>
      <c r="CE637" s="1393"/>
      <c r="CF637" s="1393"/>
      <c r="CG637" s="1393"/>
      <c r="CH637" s="1393">
        <f>IF(J773="4 Bedrooms",O773,0)</f>
        <v>0</v>
      </c>
      <c r="CI637" s="1393"/>
      <c r="CJ637" s="1393"/>
      <c r="CK637" s="1393"/>
      <c r="CL637" s="1393"/>
      <c r="CM637" s="1393">
        <f>IF(J773="5 Bedrooms",O773,0)</f>
        <v>0</v>
      </c>
      <c r="CN637" s="1393"/>
      <c r="CO637" s="1393"/>
      <c r="CP637" s="1393"/>
      <c r="CQ637" s="1393"/>
      <c r="CR637" s="6"/>
      <c r="CS637" s="3"/>
      <c r="CT637" s="3"/>
      <c r="CU637" s="3"/>
      <c r="CV637" s="3"/>
      <c r="CW637" s="3"/>
      <c r="CX637" s="3"/>
      <c r="CY637" s="3"/>
      <c r="CZ637" s="3"/>
      <c r="DA637" s="3"/>
      <c r="DB637" s="3"/>
      <c r="DC637" s="3"/>
      <c r="DD637" s="3"/>
      <c r="DE637" s="3"/>
      <c r="DF637" s="3"/>
      <c r="DX637" s="1375">
        <f t="shared" si="29"/>
        <v>503.01187648456062</v>
      </c>
      <c r="DY637" s="1375"/>
      <c r="DZ637" s="1375"/>
      <c r="EA637" s="1375"/>
      <c r="EB637" s="1375"/>
      <c r="EC637" s="1375" t="e">
        <f t="shared" si="24"/>
        <v>#VALUE!</v>
      </c>
      <c r="ED637" s="1375"/>
      <c r="EE637" s="1375"/>
      <c r="EF637" s="1375"/>
      <c r="EG637" s="1375"/>
      <c r="EH637" s="1375" t="e">
        <f t="shared" si="25"/>
        <v>#VALUE!</v>
      </c>
      <c r="EI637" s="1375"/>
      <c r="EJ637" s="1375"/>
      <c r="EK637" s="1375"/>
      <c r="EL637" s="1375"/>
      <c r="EM637" s="1375" t="e">
        <f t="shared" si="26"/>
        <v>#VALUE!</v>
      </c>
      <c r="EN637" s="1375"/>
      <c r="EO637" s="1375"/>
      <c r="EP637" s="1375"/>
      <c r="EQ637" s="1375"/>
      <c r="ER637" s="1375" t="e">
        <f t="shared" si="27"/>
        <v>#VALUE!</v>
      </c>
      <c r="ES637" s="1375"/>
      <c r="ET637" s="1375"/>
      <c r="EU637" s="1375"/>
      <c r="EV637" s="1375"/>
      <c r="EW637" s="1375" t="e">
        <f t="shared" si="28"/>
        <v>#VALUE!</v>
      </c>
      <c r="EX637" s="1375"/>
      <c r="EY637" s="1375"/>
      <c r="EZ637" s="1375"/>
      <c r="FA637" s="1375"/>
    </row>
    <row r="638" spans="2:157" ht="12.9" customHeight="1">
      <c r="B638" s="52" t="s">
        <v>363</v>
      </c>
      <c r="C638" s="1699"/>
      <c r="D638" s="1699"/>
      <c r="E638" s="1699"/>
      <c r="F638" s="1699"/>
      <c r="G638" s="1699"/>
      <c r="H638" s="1699"/>
      <c r="I638" s="1699"/>
      <c r="J638" s="1699"/>
      <c r="K638" s="1699"/>
      <c r="L638" s="1699"/>
      <c r="M638" s="1579" t="s">
        <v>1289</v>
      </c>
      <c r="N638" s="1579"/>
      <c r="O638" s="1579"/>
      <c r="P638" s="1579"/>
      <c r="Q638" s="1702"/>
      <c r="R638" s="1556"/>
      <c r="S638" s="1703"/>
      <c r="T638" s="1702"/>
      <c r="U638" s="1556"/>
      <c r="V638" s="1703"/>
      <c r="W638" s="1704"/>
      <c r="X638" s="1705"/>
      <c r="Y638" s="1706"/>
      <c r="Z638" s="1513" t="s">
        <v>1289</v>
      </c>
      <c r="AA638" s="1514"/>
      <c r="AB638" s="1515"/>
      <c r="AC638" s="1444"/>
      <c r="AD638" s="1445"/>
      <c r="AE638" s="1446"/>
      <c r="AF638" s="1592"/>
      <c r="AG638" s="1593"/>
      <c r="AH638" s="1593"/>
      <c r="AI638" s="1593"/>
      <c r="AJ638" s="1594"/>
      <c r="AK638" s="1707"/>
      <c r="AL638" s="1708"/>
      <c r="AM638" s="1708"/>
      <c r="AN638" s="1709"/>
      <c r="AO638" s="1599"/>
      <c r="AP638" s="1600"/>
      <c r="AQ638" s="1600"/>
      <c r="AR638" s="1600"/>
      <c r="AS638" s="1601"/>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0">
        <f>IF(J774="SRO/Studio",O774,0)</f>
        <v>0</v>
      </c>
      <c r="BO638" s="1391"/>
      <c r="BP638" s="1391"/>
      <c r="BQ638" s="1391"/>
      <c r="BR638" s="1392"/>
      <c r="BS638" s="1393">
        <f>IF(J774="1 Bedroom",O774,0)</f>
        <v>0</v>
      </c>
      <c r="BT638" s="1393"/>
      <c r="BU638" s="1393"/>
      <c r="BV638" s="1393"/>
      <c r="BW638" s="1393"/>
      <c r="BX638" s="1393">
        <f>IF(J774="2 Bedrooms",O774,0)</f>
        <v>0</v>
      </c>
      <c r="BY638" s="1393"/>
      <c r="BZ638" s="1393"/>
      <c r="CA638" s="1393"/>
      <c r="CB638" s="1393"/>
      <c r="CC638" s="1393">
        <f>IF(J774="3 Bedrooms",O774,0)</f>
        <v>0</v>
      </c>
      <c r="CD638" s="1393"/>
      <c r="CE638" s="1393"/>
      <c r="CF638" s="1393"/>
      <c r="CG638" s="1393"/>
      <c r="CH638" s="1393">
        <f>IF(J774="4 Bedrooms",O774,0)</f>
        <v>0</v>
      </c>
      <c r="CI638" s="1393"/>
      <c r="CJ638" s="1393"/>
      <c r="CK638" s="1393"/>
      <c r="CL638" s="1393"/>
      <c r="CM638" s="1393">
        <f>IF(J774="5 Bedrooms",O774,0)</f>
        <v>0</v>
      </c>
      <c r="CN638" s="1393"/>
      <c r="CO638" s="1393"/>
      <c r="CP638" s="1393"/>
      <c r="CQ638" s="1393"/>
      <c r="CR638" s="6"/>
      <c r="CS638" s="3"/>
      <c r="CT638" s="3"/>
      <c r="CU638" s="3"/>
      <c r="CV638" s="3"/>
      <c r="CW638" s="3"/>
      <c r="CX638" s="3"/>
      <c r="CY638" s="3"/>
      <c r="CZ638" s="3"/>
      <c r="DA638" s="3"/>
      <c r="DB638" s="3"/>
      <c r="DC638" s="3"/>
      <c r="DD638" s="3"/>
      <c r="DE638" s="3"/>
      <c r="DF638" s="3"/>
      <c r="DX638" s="1375">
        <f t="shared" si="29"/>
        <v>1236.5391923990501</v>
      </c>
      <c r="DY638" s="1375"/>
      <c r="DZ638" s="1375"/>
      <c r="EA638" s="1375"/>
      <c r="EB638" s="1375"/>
      <c r="EC638" s="1375" t="e">
        <f t="shared" si="24"/>
        <v>#VALUE!</v>
      </c>
      <c r="ED638" s="1375"/>
      <c r="EE638" s="1375"/>
      <c r="EF638" s="1375"/>
      <c r="EG638" s="1375"/>
      <c r="EH638" s="1375" t="e">
        <f t="shared" si="25"/>
        <v>#VALUE!</v>
      </c>
      <c r="EI638" s="1375"/>
      <c r="EJ638" s="1375"/>
      <c r="EK638" s="1375"/>
      <c r="EL638" s="1375"/>
      <c r="EM638" s="1375" t="e">
        <f t="shared" si="26"/>
        <v>#VALUE!</v>
      </c>
      <c r="EN638" s="1375"/>
      <c r="EO638" s="1375"/>
      <c r="EP638" s="1375"/>
      <c r="EQ638" s="1375"/>
      <c r="ER638" s="1375" t="e">
        <f t="shared" si="27"/>
        <v>#VALUE!</v>
      </c>
      <c r="ES638" s="1375"/>
      <c r="ET638" s="1375"/>
      <c r="EU638" s="1375"/>
      <c r="EV638" s="1375"/>
      <c r="EW638" s="1375" t="e">
        <f t="shared" si="28"/>
        <v>#VALUE!</v>
      </c>
      <c r="EX638" s="1375"/>
      <c r="EY638" s="1375"/>
      <c r="EZ638" s="1375"/>
      <c r="FA638" s="1375"/>
    </row>
    <row r="639" spans="2:157" ht="12.9" customHeight="1">
      <c r="B639" s="1607" t="s">
        <v>128</v>
      </c>
      <c r="C639" s="1608"/>
      <c r="D639" s="1608"/>
      <c r="E639" s="1608"/>
      <c r="F639" s="1608"/>
      <c r="G639" s="1608"/>
      <c r="H639" s="1608"/>
      <c r="I639" s="1608"/>
      <c r="J639" s="1608"/>
      <c r="K639" s="1608"/>
      <c r="L639" s="1608"/>
      <c r="M639" s="1608"/>
      <c r="N639" s="1608"/>
      <c r="O639" s="1608"/>
      <c r="P639" s="1608"/>
      <c r="Q639" s="1608"/>
      <c r="R639" s="1608"/>
      <c r="S639" s="1608"/>
      <c r="T639" s="1608"/>
      <c r="U639" s="1608"/>
      <c r="V639" s="1608"/>
      <c r="W639" s="1608"/>
      <c r="X639" s="1608"/>
      <c r="Y639" s="1608"/>
      <c r="Z639" s="1608"/>
      <c r="AA639" s="1608"/>
      <c r="AB639" s="1608"/>
      <c r="AC639" s="1608"/>
      <c r="AD639" s="1608"/>
      <c r="AE639" s="1608"/>
      <c r="AF639" s="1608"/>
      <c r="AG639" s="1608"/>
      <c r="AH639" s="1608"/>
      <c r="AI639" s="1608"/>
      <c r="AJ639" s="1608"/>
      <c r="AK639" s="1608"/>
      <c r="AL639" s="1608"/>
      <c r="AM639" s="1608"/>
      <c r="AN639" s="1609"/>
      <c r="AO639" s="1589">
        <f>SUM(AO627:AR638)</f>
        <v>140646705</v>
      </c>
      <c r="AP639" s="1590"/>
      <c r="AQ639" s="1590"/>
      <c r="AR639" s="1590"/>
      <c r="AS639" s="1591"/>
      <c r="AV639" s="3"/>
      <c r="AW639" s="3"/>
      <c r="AX639" s="3"/>
      <c r="AY639" s="3"/>
      <c r="AZ639" s="34"/>
      <c r="BA639" s="34"/>
      <c r="BB639" s="34"/>
      <c r="BC639" s="34"/>
      <c r="BD639" s="34"/>
      <c r="BE639" s="34"/>
      <c r="BF639" s="34"/>
      <c r="BG639" s="34"/>
      <c r="BH639" s="34"/>
      <c r="BI639" s="34"/>
      <c r="BJ639" s="34"/>
      <c r="BK639" s="34"/>
      <c r="BL639" s="34"/>
      <c r="BM639" s="34"/>
      <c r="BN639" s="1390">
        <f>IF(J775="SRO/Studio",O775,0)</f>
        <v>0</v>
      </c>
      <c r="BO639" s="1391"/>
      <c r="BP639" s="1391"/>
      <c r="BQ639" s="1391"/>
      <c r="BR639" s="1392"/>
      <c r="BS639" s="1393">
        <f>IF(J775="1 Bedroom",O775,0)</f>
        <v>0</v>
      </c>
      <c r="BT639" s="1393"/>
      <c r="BU639" s="1393"/>
      <c r="BV639" s="1393"/>
      <c r="BW639" s="1393"/>
      <c r="BX639" s="1393">
        <f>IF(J775="2 Bedrooms",O775,0)</f>
        <v>0</v>
      </c>
      <c r="BY639" s="1393"/>
      <c r="BZ639" s="1393"/>
      <c r="CA639" s="1393"/>
      <c r="CB639" s="1393"/>
      <c r="CC639" s="1393">
        <f>IF(J775="3 Bedrooms",O775,0)</f>
        <v>0</v>
      </c>
      <c r="CD639" s="1393"/>
      <c r="CE639" s="1393"/>
      <c r="CF639" s="1393"/>
      <c r="CG639" s="1393"/>
      <c r="CH639" s="1393">
        <f>IF(J775="4 Bedrooms",O775,0)</f>
        <v>0</v>
      </c>
      <c r="CI639" s="1393"/>
      <c r="CJ639" s="1393"/>
      <c r="CK639" s="1393"/>
      <c r="CL639" s="1393"/>
      <c r="CM639" s="1393">
        <f>IF(J775="5 Bedrooms",O775,0)</f>
        <v>0</v>
      </c>
      <c r="CN639" s="1393"/>
      <c r="CO639" s="1393"/>
      <c r="CP639" s="1393"/>
      <c r="CQ639" s="1393"/>
      <c r="CR639" s="1047"/>
      <c r="CV639" s="3"/>
      <c r="CW639" s="3"/>
      <c r="CX639" s="3"/>
      <c r="CY639" s="3"/>
      <c r="CZ639" s="3"/>
      <c r="DA639" s="3"/>
      <c r="DB639" s="3"/>
      <c r="DC639" s="3"/>
      <c r="DD639" s="3"/>
      <c r="DE639" s="3"/>
      <c r="DF639" s="3"/>
      <c r="DX639" s="1375" t="e">
        <f t="shared" si="29"/>
        <v>#VALUE!</v>
      </c>
      <c r="DY639" s="1375"/>
      <c r="DZ639" s="1375"/>
      <c r="EA639" s="1375"/>
      <c r="EB639" s="1375"/>
      <c r="EC639" s="1375" t="e">
        <f t="shared" si="24"/>
        <v>#VALUE!</v>
      </c>
      <c r="ED639" s="1375"/>
      <c r="EE639" s="1375"/>
      <c r="EF639" s="1375"/>
      <c r="EG639" s="1375"/>
      <c r="EH639" s="1375" t="e">
        <f t="shared" si="25"/>
        <v>#VALUE!</v>
      </c>
      <c r="EI639" s="1375"/>
      <c r="EJ639" s="1375"/>
      <c r="EK639" s="1375"/>
      <c r="EL639" s="1375"/>
      <c r="EM639" s="1375" t="e">
        <f t="shared" si="26"/>
        <v>#VALUE!</v>
      </c>
      <c r="EN639" s="1375"/>
      <c r="EO639" s="1375"/>
      <c r="EP639" s="1375"/>
      <c r="EQ639" s="1375"/>
      <c r="ER639" s="1375" t="e">
        <f t="shared" si="27"/>
        <v>#VALUE!</v>
      </c>
      <c r="ES639" s="1375"/>
      <c r="ET639" s="1375"/>
      <c r="EU639" s="1375"/>
      <c r="EV639" s="1375"/>
      <c r="EW639" s="1375" t="e">
        <f t="shared" si="28"/>
        <v>#VALUE!</v>
      </c>
      <c r="EX639" s="1375"/>
      <c r="EY639" s="1375"/>
      <c r="EZ639" s="1375"/>
      <c r="FA639" s="1375"/>
    </row>
    <row r="640" spans="2:157" ht="12.9" customHeight="1">
      <c r="B640" s="1607" t="s">
        <v>267</v>
      </c>
      <c r="C640" s="1608"/>
      <c r="D640" s="1608"/>
      <c r="E640" s="1608"/>
      <c r="F640" s="1608"/>
      <c r="G640" s="1608"/>
      <c r="H640" s="1608"/>
      <c r="I640" s="1608"/>
      <c r="J640" s="1608"/>
      <c r="K640" s="1608"/>
      <c r="L640" s="1608"/>
      <c r="M640" s="1608"/>
      <c r="N640" s="1608"/>
      <c r="O640" s="1608"/>
      <c r="P640" s="1608"/>
      <c r="Q640" s="1608"/>
      <c r="R640" s="1608"/>
      <c r="S640" s="1608"/>
      <c r="T640" s="1608"/>
      <c r="U640" s="1608"/>
      <c r="V640" s="1608"/>
      <c r="W640" s="1608"/>
      <c r="X640" s="1608"/>
      <c r="Y640" s="1608"/>
      <c r="Z640" s="1608"/>
      <c r="AA640" s="1608"/>
      <c r="AB640" s="1608"/>
      <c r="AC640" s="1608"/>
      <c r="AD640" s="1608"/>
      <c r="AE640" s="1608"/>
      <c r="AF640" s="1608"/>
      <c r="AG640" s="1608"/>
      <c r="AH640" s="1608"/>
      <c r="AI640" s="1608"/>
      <c r="AJ640" s="1608"/>
      <c r="AK640" s="1608"/>
      <c r="AL640" s="1608"/>
      <c r="AM640" s="1608"/>
      <c r="AN640" s="1609"/>
      <c r="AO640" s="1599">
        <f>63403410-50000</f>
        <v>63353410</v>
      </c>
      <c r="AP640" s="1600"/>
      <c r="AQ640" s="1600"/>
      <c r="AR640" s="1600"/>
      <c r="AS640" s="1601"/>
      <c r="AV640" s="3"/>
      <c r="AW640" s="3"/>
      <c r="AX640" s="3"/>
      <c r="AY640" s="3"/>
      <c r="AZ640" s="34"/>
      <c r="BA640" s="34"/>
      <c r="BB640" s="34"/>
      <c r="BC640" s="34"/>
      <c r="BD640" s="34"/>
      <c r="BE640" s="34"/>
      <c r="BF640" s="34"/>
      <c r="BG640" s="34"/>
      <c r="BH640" s="34"/>
      <c r="BI640" s="34"/>
      <c r="BJ640" s="34"/>
      <c r="BK640" s="34"/>
      <c r="BL640" s="34"/>
      <c r="BM640" s="34"/>
      <c r="BN640" s="1390">
        <f>IF(J776="SRO/Studio",O776,0)</f>
        <v>0</v>
      </c>
      <c r="BO640" s="1391"/>
      <c r="BP640" s="1391"/>
      <c r="BQ640" s="1391"/>
      <c r="BR640" s="1392"/>
      <c r="BS640" s="1393">
        <f>IF(J776="1 Bedroom",O776,0)</f>
        <v>0</v>
      </c>
      <c r="BT640" s="1393"/>
      <c r="BU640" s="1393"/>
      <c r="BV640" s="1393"/>
      <c r="BW640" s="1393"/>
      <c r="BX640" s="1393">
        <f>IF(J776="2 Bedrooms",O776,0)</f>
        <v>0</v>
      </c>
      <c r="BY640" s="1393"/>
      <c r="BZ640" s="1393"/>
      <c r="CA640" s="1393"/>
      <c r="CB640" s="1393"/>
      <c r="CC640" s="1393">
        <f>IF(J776="3 Bedrooms",O776,0)</f>
        <v>0</v>
      </c>
      <c r="CD640" s="1393"/>
      <c r="CE640" s="1393"/>
      <c r="CF640" s="1393"/>
      <c r="CG640" s="1393"/>
      <c r="CH640" s="1393">
        <f>IF(J776="4 Bedrooms",O776,0)</f>
        <v>0</v>
      </c>
      <c r="CI640" s="1393"/>
      <c r="CJ640" s="1393"/>
      <c r="CK640" s="1393"/>
      <c r="CL640" s="1393"/>
      <c r="CM640" s="1393">
        <f>IF(J776="5 Bedrooms",O776,0)</f>
        <v>0</v>
      </c>
      <c r="CN640" s="1393"/>
      <c r="CO640" s="1393"/>
      <c r="CP640" s="1393"/>
      <c r="CQ640" s="1393"/>
      <c r="CV640" s="3"/>
      <c r="CW640" s="3"/>
      <c r="CX640" s="3"/>
      <c r="CY640" s="3"/>
      <c r="CZ640" s="3"/>
      <c r="DA640" s="3"/>
      <c r="DB640" s="3"/>
      <c r="DC640" s="3"/>
      <c r="DD640" s="3"/>
      <c r="DE640" s="3"/>
      <c r="DF640" s="3"/>
      <c r="DX640" s="1375" t="e">
        <f t="shared" si="29"/>
        <v>#VALUE!</v>
      </c>
      <c r="DY640" s="1375"/>
      <c r="DZ640" s="1375"/>
      <c r="EA640" s="1375"/>
      <c r="EB640" s="1375"/>
      <c r="EC640" s="1375" t="e">
        <f t="shared" si="24"/>
        <v>#VALUE!</v>
      </c>
      <c r="ED640" s="1375"/>
      <c r="EE640" s="1375"/>
      <c r="EF640" s="1375"/>
      <c r="EG640" s="1375"/>
      <c r="EH640" s="1375" t="e">
        <f t="shared" si="25"/>
        <v>#VALUE!</v>
      </c>
      <c r="EI640" s="1375"/>
      <c r="EJ640" s="1375"/>
      <c r="EK640" s="1375"/>
      <c r="EL640" s="1375"/>
      <c r="EM640" s="1375" t="e">
        <f t="shared" si="26"/>
        <v>#VALUE!</v>
      </c>
      <c r="EN640" s="1375"/>
      <c r="EO640" s="1375"/>
      <c r="EP640" s="1375"/>
      <c r="EQ640" s="1375"/>
      <c r="ER640" s="1375" t="e">
        <f t="shared" si="27"/>
        <v>#VALUE!</v>
      </c>
      <c r="ES640" s="1375"/>
      <c r="ET640" s="1375"/>
      <c r="EU640" s="1375"/>
      <c r="EV640" s="1375"/>
      <c r="EW640" s="1375" t="e">
        <f t="shared" si="28"/>
        <v>#VALUE!</v>
      </c>
      <c r="EX640" s="1375"/>
      <c r="EY640" s="1375"/>
      <c r="EZ640" s="1375"/>
      <c r="FA640" s="1375"/>
    </row>
    <row r="641" spans="1:157" ht="12.9" customHeight="1">
      <c r="B641" s="1844" t="s">
        <v>268</v>
      </c>
      <c r="C641" s="1726"/>
      <c r="D641" s="1726"/>
      <c r="E641" s="1726"/>
      <c r="F641" s="1726"/>
      <c r="G641" s="1726"/>
      <c r="H641" s="1726"/>
      <c r="I641" s="1726"/>
      <c r="J641" s="1726"/>
      <c r="K641" s="1726"/>
      <c r="L641" s="1726"/>
      <c r="M641" s="1726"/>
      <c r="N641" s="1726"/>
      <c r="O641" s="1726"/>
      <c r="P641" s="1726"/>
      <c r="Q641" s="1726"/>
      <c r="R641" s="1726"/>
      <c r="S641" s="1726"/>
      <c r="T641" s="1726"/>
      <c r="U641" s="1726"/>
      <c r="V641" s="1726"/>
      <c r="W641" s="1726"/>
      <c r="X641" s="1726"/>
      <c r="Y641" s="1726"/>
      <c r="Z641" s="1726"/>
      <c r="AA641" s="1726"/>
      <c r="AB641" s="1726"/>
      <c r="AC641" s="1726"/>
      <c r="AD641" s="1726"/>
      <c r="AE641" s="1726"/>
      <c r="AF641" s="1726"/>
      <c r="AG641" s="1726"/>
      <c r="AH641" s="1726"/>
      <c r="AI641" s="1726"/>
      <c r="AJ641" s="1726"/>
      <c r="AK641" s="1726"/>
      <c r="AL641" s="1726"/>
      <c r="AM641" s="1726"/>
      <c r="AN641" s="1845"/>
      <c r="AO641" s="1589">
        <f>AO639+AO640</f>
        <v>204000115</v>
      </c>
      <c r="AP641" s="1590"/>
      <c r="AQ641" s="1590"/>
      <c r="AR641" s="1590"/>
      <c r="AS641" s="1591"/>
      <c r="AV641" s="3"/>
      <c r="AW641" s="3"/>
      <c r="AX641" s="3"/>
      <c r="AY641" s="3"/>
      <c r="AZ641" s="34"/>
      <c r="BA641" s="34"/>
      <c r="BB641" s="34"/>
      <c r="BC641" s="34"/>
      <c r="BD641" s="34"/>
      <c r="BE641" s="34"/>
      <c r="BF641" s="34"/>
      <c r="BG641" s="34"/>
      <c r="BH641" s="34"/>
      <c r="BI641" s="34"/>
      <c r="BJ641" s="34"/>
      <c r="BK641" s="34"/>
      <c r="BL641" s="34"/>
      <c r="BM641" s="34"/>
      <c r="BN641" s="1394">
        <f>SUM(BN637:BR640)</f>
        <v>4</v>
      </c>
      <c r="BO641" s="1512"/>
      <c r="BP641" s="1512"/>
      <c r="BQ641" s="1512"/>
      <c r="BR641" s="1395"/>
      <c r="BS641" s="1719">
        <f>SUM(BS637:BW640)</f>
        <v>0</v>
      </c>
      <c r="BT641" s="1720"/>
      <c r="BU641" s="1720"/>
      <c r="BV641" s="1720"/>
      <c r="BW641" s="1721"/>
      <c r="BX641" s="1719">
        <f>SUM(BX637:CB640)</f>
        <v>0</v>
      </c>
      <c r="BY641" s="1720"/>
      <c r="BZ641" s="1720"/>
      <c r="CA641" s="1720"/>
      <c r="CB641" s="1721"/>
      <c r="CC641" s="1719">
        <f>SUM(CC637:CG640)</f>
        <v>0</v>
      </c>
      <c r="CD641" s="1720"/>
      <c r="CE641" s="1720"/>
      <c r="CF641" s="1720"/>
      <c r="CG641" s="1721"/>
      <c r="CH641" s="1719">
        <f>SUM(CH637:CL640)</f>
        <v>0</v>
      </c>
      <c r="CI641" s="1720"/>
      <c r="CJ641" s="1720"/>
      <c r="CK641" s="1720"/>
      <c r="CL641" s="1721"/>
      <c r="CM641" s="1719">
        <f>SUM(CM637:CQ640)</f>
        <v>0</v>
      </c>
      <c r="CN641" s="1720"/>
      <c r="CO641" s="1720"/>
      <c r="CP641" s="1720"/>
      <c r="CQ641" s="1721"/>
      <c r="CS641" s="895">
        <f>BN641+BS641+BX641+CC641+CH641+CM641</f>
        <v>4</v>
      </c>
      <c r="CT641" s="57" t="s">
        <v>2049</v>
      </c>
      <c r="CU641" s="3"/>
      <c r="CV641" s="3"/>
      <c r="CW641" s="3"/>
      <c r="CX641" s="3"/>
      <c r="CY641" s="3"/>
      <c r="CZ641" s="3"/>
      <c r="DA641" s="3"/>
      <c r="DB641" s="3"/>
      <c r="DC641" s="3"/>
      <c r="DD641" s="3"/>
      <c r="DE641" s="3"/>
      <c r="DF641" s="3"/>
      <c r="DX641" s="1375" t="e">
        <f t="shared" si="29"/>
        <v>#VALUE!</v>
      </c>
      <c r="DY641" s="1375"/>
      <c r="DZ641" s="1375"/>
      <c r="EA641" s="1375"/>
      <c r="EB641" s="1375"/>
      <c r="EC641" s="1375" t="e">
        <f t="shared" si="24"/>
        <v>#VALUE!</v>
      </c>
      <c r="ED641" s="1375"/>
      <c r="EE641" s="1375"/>
      <c r="EF641" s="1375"/>
      <c r="EG641" s="1375"/>
      <c r="EH641" s="1375" t="e">
        <f t="shared" si="25"/>
        <v>#VALUE!</v>
      </c>
      <c r="EI641" s="1375"/>
      <c r="EJ641" s="1375"/>
      <c r="EK641" s="1375"/>
      <c r="EL641" s="1375"/>
      <c r="EM641" s="1375" t="e">
        <f t="shared" si="26"/>
        <v>#VALUE!</v>
      </c>
      <c r="EN641" s="1375"/>
      <c r="EO641" s="1375"/>
      <c r="EP641" s="1375"/>
      <c r="EQ641" s="1375"/>
      <c r="ER641" s="1375" t="e">
        <f t="shared" si="27"/>
        <v>#VALUE!</v>
      </c>
      <c r="ES641" s="1375"/>
      <c r="ET641" s="1375"/>
      <c r="EU641" s="1375"/>
      <c r="EV641" s="1375"/>
      <c r="EW641" s="1375" t="e">
        <f t="shared" si="28"/>
        <v>#VALUE!</v>
      </c>
      <c r="EX641" s="1375"/>
      <c r="EY641" s="1375"/>
      <c r="EZ641" s="1375"/>
      <c r="FA641" s="1375"/>
    </row>
    <row r="642" spans="1:157" ht="12.9"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4</v>
      </c>
      <c r="BS642" s="3"/>
      <c r="BT642" s="3"/>
      <c r="BU642" s="3"/>
      <c r="BV642" s="3"/>
      <c r="BW642" s="895">
        <f>BS641*1</f>
        <v>0</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2051</v>
      </c>
      <c r="CU642" s="3"/>
      <c r="CV642" s="3"/>
      <c r="CW642" s="3"/>
      <c r="CX642" s="3"/>
      <c r="CY642" s="3"/>
      <c r="CZ642" s="3"/>
      <c r="DA642" s="3"/>
      <c r="DB642" s="3"/>
      <c r="DC642" s="3"/>
      <c r="DD642" s="3"/>
      <c r="DE642" s="3"/>
      <c r="DF642" s="3"/>
      <c r="DX642" s="1375" t="e">
        <f t="shared" si="29"/>
        <v>#VALUE!</v>
      </c>
      <c r="DY642" s="1375"/>
      <c r="DZ642" s="1375"/>
      <c r="EA642" s="1375"/>
      <c r="EB642" s="1375"/>
      <c r="EC642" s="1375" t="e">
        <f t="shared" si="24"/>
        <v>#VALUE!</v>
      </c>
      <c r="ED642" s="1375"/>
      <c r="EE642" s="1375"/>
      <c r="EF642" s="1375"/>
      <c r="EG642" s="1375"/>
      <c r="EH642" s="1375" t="e">
        <f t="shared" si="25"/>
        <v>#VALUE!</v>
      </c>
      <c r="EI642" s="1375"/>
      <c r="EJ642" s="1375"/>
      <c r="EK642" s="1375"/>
      <c r="EL642" s="1375"/>
      <c r="EM642" s="1375" t="e">
        <f t="shared" si="26"/>
        <v>#VALUE!</v>
      </c>
      <c r="EN642" s="1375"/>
      <c r="EO642" s="1375"/>
      <c r="EP642" s="1375"/>
      <c r="EQ642" s="1375"/>
      <c r="ER642" s="1375" t="e">
        <f t="shared" si="27"/>
        <v>#VALUE!</v>
      </c>
      <c r="ES642" s="1375"/>
      <c r="ET642" s="1375"/>
      <c r="EU642" s="1375"/>
      <c r="EV642" s="1375"/>
      <c r="EW642" s="1375" t="e">
        <f t="shared" si="28"/>
        <v>#VALUE!</v>
      </c>
      <c r="EX642" s="1375"/>
      <c r="EY642" s="1375"/>
      <c r="EZ642" s="1375"/>
      <c r="FA642" s="1375"/>
    </row>
    <row r="643" spans="1:157" ht="12.9" customHeight="1">
      <c r="A643" s="55" t="s">
        <v>112</v>
      </c>
      <c r="B643" t="s">
        <v>470</v>
      </c>
      <c r="G643" s="1511" t="str">
        <f>C627</f>
        <v>Citibank Tax-Exempt Permanent Loan</v>
      </c>
      <c r="H643" s="1511"/>
      <c r="I643" s="1511"/>
      <c r="J643" s="1511"/>
      <c r="K643" s="1511"/>
      <c r="L643" s="1511"/>
      <c r="M643" s="1511"/>
      <c r="N643" s="1511"/>
      <c r="O643" s="1511"/>
      <c r="P643" s="1511"/>
      <c r="Q643" s="1511"/>
      <c r="R643" s="1511"/>
      <c r="S643" s="8"/>
      <c r="T643" s="55" t="s">
        <v>113</v>
      </c>
      <c r="U643" t="s">
        <v>470</v>
      </c>
      <c r="Z643" s="1511" t="str">
        <f>C628</f>
        <v>GP Loan</v>
      </c>
      <c r="AA643" s="1511"/>
      <c r="AB643" s="1511"/>
      <c r="AC643" s="1511"/>
      <c r="AD643" s="1511"/>
      <c r="AE643" s="1511"/>
      <c r="AF643" s="1511"/>
      <c r="AG643" s="1511"/>
      <c r="AH643" s="1511"/>
      <c r="AI643" s="1511"/>
      <c r="AJ643" s="1511"/>
      <c r="AK643" s="151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5" t="e">
        <f t="shared" si="29"/>
        <v>#VALUE!</v>
      </c>
      <c r="DY643" s="1375"/>
      <c r="DZ643" s="1375"/>
      <c r="EA643" s="1375"/>
      <c r="EB643" s="1375"/>
      <c r="EC643" s="1375" t="e">
        <f t="shared" si="24"/>
        <v>#VALUE!</v>
      </c>
      <c r="ED643" s="1375"/>
      <c r="EE643" s="1375"/>
      <c r="EF643" s="1375"/>
      <c r="EG643" s="1375"/>
      <c r="EH643" s="1375" t="e">
        <f t="shared" si="25"/>
        <v>#VALUE!</v>
      </c>
      <c r="EI643" s="1375"/>
      <c r="EJ643" s="1375"/>
      <c r="EK643" s="1375"/>
      <c r="EL643" s="1375"/>
      <c r="EM643" s="1375" t="e">
        <f t="shared" si="26"/>
        <v>#VALUE!</v>
      </c>
      <c r="EN643" s="1375"/>
      <c r="EO643" s="1375"/>
      <c r="EP643" s="1375"/>
      <c r="EQ643" s="1375"/>
      <c r="ER643" s="1375" t="e">
        <f t="shared" si="27"/>
        <v>#VALUE!</v>
      </c>
      <c r="ES643" s="1375"/>
      <c r="ET643" s="1375"/>
      <c r="EU643" s="1375"/>
      <c r="EV643" s="1375"/>
      <c r="EW643" s="1375" t="e">
        <f t="shared" si="28"/>
        <v>#VALUE!</v>
      </c>
      <c r="EX643" s="1375"/>
      <c r="EY643" s="1375"/>
      <c r="EZ643" s="1375"/>
      <c r="FA643" s="1375"/>
    </row>
    <row r="644" spans="1:157" ht="12.9" customHeight="1">
      <c r="A644" s="22"/>
      <c r="B644" t="s">
        <v>85</v>
      </c>
      <c r="G644" s="1397" t="s">
        <v>2721</v>
      </c>
      <c r="H644" s="1397"/>
      <c r="I644" s="1397"/>
      <c r="J644" s="1397"/>
      <c r="K644" s="1397"/>
      <c r="L644" s="1397"/>
      <c r="M644" s="1397"/>
      <c r="N644" s="1397"/>
      <c r="O644" s="1397"/>
      <c r="P644" s="1397"/>
      <c r="Q644" s="1397"/>
      <c r="R644" s="1397"/>
      <c r="S644" s="8"/>
      <c r="T644" s="22"/>
      <c r="U644" t="s">
        <v>85</v>
      </c>
      <c r="Z644" s="1474" t="s">
        <v>2762</v>
      </c>
      <c r="AA644" s="1397"/>
      <c r="AB644" s="1397"/>
      <c r="AC644" s="1397"/>
      <c r="AD644" s="1397"/>
      <c r="AE644" s="1397"/>
      <c r="AF644" s="1397"/>
      <c r="AG644" s="1397"/>
      <c r="AH644" s="1397"/>
      <c r="AI644" s="1397"/>
      <c r="AJ644" s="1397"/>
      <c r="AK644" s="1397"/>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75" t="e">
        <f t="shared" si="29"/>
        <v>#VALUE!</v>
      </c>
      <c r="DY644" s="1375"/>
      <c r="DZ644" s="1375"/>
      <c r="EA644" s="1375"/>
      <c r="EB644" s="1375"/>
      <c r="EC644" s="1375" t="e">
        <f t="shared" si="24"/>
        <v>#VALUE!</v>
      </c>
      <c r="ED644" s="1375"/>
      <c r="EE644" s="1375"/>
      <c r="EF644" s="1375"/>
      <c r="EG644" s="1375"/>
      <c r="EH644" s="1375" t="e">
        <f t="shared" si="25"/>
        <v>#VALUE!</v>
      </c>
      <c r="EI644" s="1375"/>
      <c r="EJ644" s="1375"/>
      <c r="EK644" s="1375"/>
      <c r="EL644" s="1375"/>
      <c r="EM644" s="1375" t="e">
        <f t="shared" si="26"/>
        <v>#VALUE!</v>
      </c>
      <c r="EN644" s="1375"/>
      <c r="EO644" s="1375"/>
      <c r="EP644" s="1375"/>
      <c r="EQ644" s="1375"/>
      <c r="ER644" s="1375" t="e">
        <f t="shared" si="27"/>
        <v>#VALUE!</v>
      </c>
      <c r="ES644" s="1375"/>
      <c r="ET644" s="1375"/>
      <c r="EU644" s="1375"/>
      <c r="EV644" s="1375"/>
      <c r="EW644" s="1375" t="e">
        <f t="shared" si="28"/>
        <v>#VALUE!</v>
      </c>
      <c r="EX644" s="1375"/>
      <c r="EY644" s="1375"/>
      <c r="EZ644" s="1375"/>
      <c r="FA644" s="1375"/>
    </row>
    <row r="645" spans="1:157" ht="12.9" customHeight="1">
      <c r="A645" s="22"/>
      <c r="B645" t="s">
        <v>587</v>
      </c>
      <c r="G645" s="1397" t="s">
        <v>2722</v>
      </c>
      <c r="H645" s="1397"/>
      <c r="I645" s="1397"/>
      <c r="J645" s="1397"/>
      <c r="K645" s="1397"/>
      <c r="L645" s="1397"/>
      <c r="M645" s="1397"/>
      <c r="N645" s="1397"/>
      <c r="O645" s="1397"/>
      <c r="P645" s="1397"/>
      <c r="Q645" s="1397"/>
      <c r="R645" s="1397"/>
      <c r="T645" s="22"/>
      <c r="U645" t="s">
        <v>587</v>
      </c>
      <c r="Z645" s="1453" t="s">
        <v>2772</v>
      </c>
      <c r="AA645" s="1396"/>
      <c r="AB645" s="1396"/>
      <c r="AC645" s="1396"/>
      <c r="AD645" s="1396"/>
      <c r="AE645" s="1396"/>
      <c r="AF645" s="1396"/>
      <c r="AG645" s="1396"/>
      <c r="AH645" s="1396"/>
      <c r="AI645" s="1396"/>
      <c r="AJ645" s="1396"/>
      <c r="AK645" s="1396"/>
      <c r="AV645" s="3"/>
      <c r="AW645" s="3"/>
      <c r="AX645" s="3"/>
      <c r="AY645" s="3"/>
      <c r="AZ645" s="3"/>
      <c r="BA645" s="3"/>
      <c r="BB645" s="3"/>
      <c r="BC645" s="3"/>
      <c r="BD645" s="3"/>
      <c r="BE645" s="3"/>
      <c r="BF645" s="3"/>
      <c r="BG645" s="3"/>
      <c r="BH645" s="3"/>
      <c r="BI645" s="3"/>
      <c r="BJ645" s="3"/>
      <c r="BK645" s="3"/>
      <c r="BL645" s="3"/>
      <c r="BM645" s="3"/>
      <c r="BN645" s="1390">
        <f t="shared" ref="BN645:BN654" si="30">IF(J787="SRO/Studio",O787,0)</f>
        <v>0</v>
      </c>
      <c r="BO645" s="1391"/>
      <c r="BP645" s="1391"/>
      <c r="BQ645" s="1391"/>
      <c r="BR645" s="1392"/>
      <c r="BS645" s="1393">
        <f t="shared" ref="BS645:BS654" si="31">IF(J787="1 Bedroom",O787,0)</f>
        <v>0</v>
      </c>
      <c r="BT645" s="1393"/>
      <c r="BU645" s="1393"/>
      <c r="BV645" s="1393"/>
      <c r="BW645" s="1393"/>
      <c r="BX645" s="1393">
        <f t="shared" ref="BX645:BX654" si="32">IF(J787="2 Bedrooms",O787,0)</f>
        <v>0</v>
      </c>
      <c r="BY645" s="1393"/>
      <c r="BZ645" s="1393"/>
      <c r="CA645" s="1393"/>
      <c r="CB645" s="1393"/>
      <c r="CC645" s="1393">
        <f t="shared" ref="CC645:CC654" si="33">IF(J787="3 Bedrooms",O787,0)</f>
        <v>0</v>
      </c>
      <c r="CD645" s="1393"/>
      <c r="CE645" s="1393"/>
      <c r="CF645" s="1393"/>
      <c r="CG645" s="1393"/>
      <c r="CH645" s="1393">
        <f t="shared" ref="CH645:CH654" si="34">IF(J787="4 Bedrooms",O787,0)</f>
        <v>0</v>
      </c>
      <c r="CI645" s="1393"/>
      <c r="CJ645" s="1393"/>
      <c r="CK645" s="1393"/>
      <c r="CL645" s="1393"/>
      <c r="CM645" s="1393">
        <f t="shared" ref="CM645:CM654" si="35">IF(J787="5 Bedrooms",O787,0)</f>
        <v>0</v>
      </c>
      <c r="CN645" s="1393"/>
      <c r="CO645" s="1393"/>
      <c r="CP645" s="1393"/>
      <c r="CQ645" s="1393"/>
      <c r="CR645" s="6"/>
      <c r="CS645" s="1390">
        <f t="shared" ref="CS645:CS654" si="36">IF(AND(BN645&gt;=1,AH787&gt;=0.1,AH787&lt;=1),O787,0)</f>
        <v>0</v>
      </c>
      <c r="CT645" s="1391"/>
      <c r="CU645" s="1391"/>
      <c r="CV645" s="1391"/>
      <c r="CW645" s="1392"/>
      <c r="CX645" s="1390">
        <f t="shared" ref="CX645:CX654" si="37">IF(AND(BS645&gt;=1,AH787&gt;=0.1,AH787&lt;=1),O787,0)</f>
        <v>0</v>
      </c>
      <c r="CY645" s="1391"/>
      <c r="CZ645" s="1391"/>
      <c r="DA645" s="1391"/>
      <c r="DB645" s="1392"/>
      <c r="DC645" s="1390">
        <f t="shared" ref="DC645:DC654" si="38">IF(AND(BX645&gt;=1,AH787&gt;=0.1,AH787&lt;=1),O787,0)</f>
        <v>0</v>
      </c>
      <c r="DD645" s="1391"/>
      <c r="DE645" s="1391"/>
      <c r="DF645" s="1391"/>
      <c r="DG645" s="1392"/>
      <c r="DH645" s="1390">
        <f t="shared" ref="DH645:DH654" si="39">IF(AND(CC645&gt;=1,AH787&gt;=0.1,AH787&lt;=1),O787,0)</f>
        <v>0</v>
      </c>
      <c r="DI645" s="1391"/>
      <c r="DJ645" s="1391"/>
      <c r="DK645" s="1391"/>
      <c r="DL645" s="1392"/>
      <c r="DM645" s="1390">
        <f t="shared" ref="DM645:DM654" si="40">IF(AND(CH645&gt;=1,AH787&gt;=0.1,AH787&lt;=1),O787,0)</f>
        <v>0</v>
      </c>
      <c r="DN645" s="1391"/>
      <c r="DO645" s="1391"/>
      <c r="DP645" s="1391"/>
      <c r="DQ645" s="1392"/>
      <c r="DR645" s="1390">
        <f t="shared" ref="DR645:DR654" si="41">IF(AND(CM645&gt;=1,AH787&gt;=0.1,AH787&lt;=1),O787,0)</f>
        <v>0</v>
      </c>
      <c r="DS645" s="1391"/>
      <c r="DT645" s="1391"/>
      <c r="DU645" s="1391"/>
      <c r="DV645" s="1392"/>
      <c r="DX645" s="1375" t="e">
        <f t="shared" si="29"/>
        <v>#VALUE!</v>
      </c>
      <c r="DY645" s="1375"/>
      <c r="DZ645" s="1375"/>
      <c r="EA645" s="1375"/>
      <c r="EB645" s="1375"/>
      <c r="EC645" s="1375" t="e">
        <f t="shared" si="24"/>
        <v>#VALUE!</v>
      </c>
      <c r="ED645" s="1375"/>
      <c r="EE645" s="1375"/>
      <c r="EF645" s="1375"/>
      <c r="EG645" s="1375"/>
      <c r="EH645" s="1375" t="e">
        <f t="shared" si="25"/>
        <v>#VALUE!</v>
      </c>
      <c r="EI645" s="1375"/>
      <c r="EJ645" s="1375"/>
      <c r="EK645" s="1375"/>
      <c r="EL645" s="1375"/>
      <c r="EM645" s="1375" t="e">
        <f t="shared" si="26"/>
        <v>#VALUE!</v>
      </c>
      <c r="EN645" s="1375"/>
      <c r="EO645" s="1375"/>
      <c r="EP645" s="1375"/>
      <c r="EQ645" s="1375"/>
      <c r="ER645" s="1375" t="e">
        <f t="shared" si="27"/>
        <v>#VALUE!</v>
      </c>
      <c r="ES645" s="1375"/>
      <c r="ET645" s="1375"/>
      <c r="EU645" s="1375"/>
      <c r="EV645" s="1375"/>
      <c r="EW645" s="1375" t="e">
        <f t="shared" si="28"/>
        <v>#VALUE!</v>
      </c>
      <c r="EX645" s="1375"/>
      <c r="EY645" s="1375"/>
      <c r="EZ645" s="1375"/>
      <c r="FA645" s="1375"/>
    </row>
    <row r="646" spans="1:157" ht="12.9" customHeight="1">
      <c r="A646" s="22"/>
      <c r="B646" t="s">
        <v>17</v>
      </c>
      <c r="G646" s="1397" t="s">
        <v>2723</v>
      </c>
      <c r="H646" s="1397"/>
      <c r="I646" s="1397"/>
      <c r="J646" s="1397"/>
      <c r="K646" s="1397"/>
      <c r="L646" s="1397"/>
      <c r="M646" s="1397"/>
      <c r="N646" s="1397"/>
      <c r="O646" s="1397"/>
      <c r="P646" s="1397"/>
      <c r="Q646" s="1397"/>
      <c r="R646" s="1397"/>
      <c r="S646" s="8"/>
      <c r="T646" s="22"/>
      <c r="U646" t="s">
        <v>17</v>
      </c>
      <c r="Z646" s="1453" t="s">
        <v>2652</v>
      </c>
      <c r="AA646" s="1396"/>
      <c r="AB646" s="1396"/>
      <c r="AC646" s="1396"/>
      <c r="AD646" s="1396"/>
      <c r="AE646" s="1396"/>
      <c r="AF646" s="1396"/>
      <c r="AG646" s="1396"/>
      <c r="AH646" s="1396"/>
      <c r="AI646" s="1396"/>
      <c r="AJ646" s="1396"/>
      <c r="AK646" s="1396"/>
      <c r="AZ646" s="3"/>
      <c r="BA646" s="3"/>
      <c r="BB646" s="3"/>
      <c r="BC646" s="3"/>
      <c r="BD646" s="3"/>
      <c r="BE646" s="3"/>
      <c r="BF646" s="3"/>
      <c r="BG646" s="3"/>
      <c r="BH646" s="3"/>
      <c r="BI646" s="3"/>
      <c r="BJ646" s="3"/>
      <c r="BK646" s="3"/>
      <c r="BL646" s="3"/>
      <c r="BM646" s="3"/>
      <c r="BN646" s="1390">
        <f t="shared" si="30"/>
        <v>0</v>
      </c>
      <c r="BO646" s="1391"/>
      <c r="BP646" s="1391"/>
      <c r="BQ646" s="1391"/>
      <c r="BR646" s="1392"/>
      <c r="BS646" s="1393">
        <f t="shared" si="31"/>
        <v>0</v>
      </c>
      <c r="BT646" s="1393"/>
      <c r="BU646" s="1393"/>
      <c r="BV646" s="1393"/>
      <c r="BW646" s="1393"/>
      <c r="BX646" s="1393">
        <f t="shared" si="32"/>
        <v>0</v>
      </c>
      <c r="BY646" s="1393"/>
      <c r="BZ646" s="1393"/>
      <c r="CA646" s="1393"/>
      <c r="CB646" s="1393"/>
      <c r="CC646" s="1393">
        <f t="shared" si="33"/>
        <v>0</v>
      </c>
      <c r="CD646" s="1393"/>
      <c r="CE646" s="1393"/>
      <c r="CF646" s="1393"/>
      <c r="CG646" s="1393"/>
      <c r="CH646" s="1393">
        <f t="shared" si="34"/>
        <v>0</v>
      </c>
      <c r="CI646" s="1393"/>
      <c r="CJ646" s="1393"/>
      <c r="CK646" s="1393"/>
      <c r="CL646" s="1393"/>
      <c r="CM646" s="1393">
        <f t="shared" si="35"/>
        <v>0</v>
      </c>
      <c r="CN646" s="1393"/>
      <c r="CO646" s="1393"/>
      <c r="CP646" s="1393"/>
      <c r="CQ646" s="1393"/>
      <c r="CR646" s="6"/>
      <c r="CS646" s="1390">
        <f t="shared" si="36"/>
        <v>0</v>
      </c>
      <c r="CT646" s="1391"/>
      <c r="CU646" s="1391"/>
      <c r="CV646" s="1391"/>
      <c r="CW646" s="1392"/>
      <c r="CX646" s="1390">
        <f t="shared" si="37"/>
        <v>0</v>
      </c>
      <c r="CY646" s="1391"/>
      <c r="CZ646" s="1391"/>
      <c r="DA646" s="1391"/>
      <c r="DB646" s="1392"/>
      <c r="DC646" s="1390">
        <f t="shared" si="38"/>
        <v>0</v>
      </c>
      <c r="DD646" s="1391"/>
      <c r="DE646" s="1391"/>
      <c r="DF646" s="1391"/>
      <c r="DG646" s="1392"/>
      <c r="DH646" s="1390">
        <f t="shared" si="39"/>
        <v>0</v>
      </c>
      <c r="DI646" s="1391"/>
      <c r="DJ646" s="1391"/>
      <c r="DK646" s="1391"/>
      <c r="DL646" s="1392"/>
      <c r="DM646" s="1390">
        <f t="shared" si="40"/>
        <v>0</v>
      </c>
      <c r="DN646" s="1391"/>
      <c r="DO646" s="1391"/>
      <c r="DP646" s="1391"/>
      <c r="DQ646" s="1392"/>
      <c r="DR646" s="1390">
        <f t="shared" si="41"/>
        <v>0</v>
      </c>
      <c r="DS646" s="1391"/>
      <c r="DT646" s="1391"/>
      <c r="DU646" s="1391"/>
      <c r="DV646" s="1392"/>
      <c r="DX646" s="1375" t="e">
        <f t="shared" si="29"/>
        <v>#VALUE!</v>
      </c>
      <c r="DY646" s="1375"/>
      <c r="DZ646" s="1375"/>
      <c r="EA646" s="1375"/>
      <c r="EB646" s="1375"/>
      <c r="EC646" s="1375" t="e">
        <f t="shared" si="24"/>
        <v>#VALUE!</v>
      </c>
      <c r="ED646" s="1375"/>
      <c r="EE646" s="1375"/>
      <c r="EF646" s="1375"/>
      <c r="EG646" s="1375"/>
      <c r="EH646" s="1375" t="e">
        <f t="shared" si="25"/>
        <v>#VALUE!</v>
      </c>
      <c r="EI646" s="1375"/>
      <c r="EJ646" s="1375"/>
      <c r="EK646" s="1375"/>
      <c r="EL646" s="1375"/>
      <c r="EM646" s="1375" t="e">
        <f t="shared" si="26"/>
        <v>#VALUE!</v>
      </c>
      <c r="EN646" s="1375"/>
      <c r="EO646" s="1375"/>
      <c r="EP646" s="1375"/>
      <c r="EQ646" s="1375"/>
      <c r="ER646" s="1375" t="e">
        <f t="shared" si="27"/>
        <v>#VALUE!</v>
      </c>
      <c r="ES646" s="1375"/>
      <c r="ET646" s="1375"/>
      <c r="EU646" s="1375"/>
      <c r="EV646" s="1375"/>
      <c r="EW646" s="1375" t="e">
        <f t="shared" si="28"/>
        <v>#VALUE!</v>
      </c>
      <c r="EX646" s="1375"/>
      <c r="EY646" s="1375"/>
      <c r="EZ646" s="1375"/>
      <c r="FA646" s="1375"/>
    </row>
    <row r="647" spans="1:157" ht="12.9" customHeight="1">
      <c r="A647" s="22"/>
      <c r="B647" t="s">
        <v>316</v>
      </c>
      <c r="G647" s="1400" t="s">
        <v>2724</v>
      </c>
      <c r="H647" s="1400"/>
      <c r="I647" s="1400"/>
      <c r="J647" s="1400"/>
      <c r="K647" s="1400"/>
      <c r="L647" s="1400"/>
      <c r="O647" s="33" t="s">
        <v>206</v>
      </c>
      <c r="P647" s="1399"/>
      <c r="Q647" s="1399"/>
      <c r="R647" s="1399"/>
      <c r="S647" s="10"/>
      <c r="T647" s="22"/>
      <c r="U647" t="s">
        <v>316</v>
      </c>
      <c r="Z647" s="1400" t="s">
        <v>2753</v>
      </c>
      <c r="AA647" s="1400"/>
      <c r="AB647" s="1400"/>
      <c r="AC647" s="1400"/>
      <c r="AD647" s="1400"/>
      <c r="AE647" s="1400"/>
      <c r="AH647" s="33" t="s">
        <v>206</v>
      </c>
      <c r="AI647" s="1399"/>
      <c r="AJ647" s="1399"/>
      <c r="AK647" s="1399"/>
      <c r="AZ647" s="34"/>
      <c r="BA647" s="34"/>
      <c r="BB647" s="34"/>
      <c r="BC647" s="34"/>
      <c r="BD647" s="34"/>
      <c r="BE647" s="34"/>
      <c r="BF647" s="34"/>
      <c r="BG647" s="34"/>
      <c r="BH647" s="34"/>
      <c r="BI647" s="34"/>
      <c r="BJ647" s="34"/>
      <c r="BK647" s="34"/>
      <c r="BL647" s="34"/>
      <c r="BM647" s="34"/>
      <c r="BN647" s="1390">
        <f t="shared" si="30"/>
        <v>0</v>
      </c>
      <c r="BO647" s="1391"/>
      <c r="BP647" s="1391"/>
      <c r="BQ647" s="1391"/>
      <c r="BR647" s="1392"/>
      <c r="BS647" s="1393">
        <f t="shared" si="31"/>
        <v>0</v>
      </c>
      <c r="BT647" s="1393"/>
      <c r="BU647" s="1393"/>
      <c r="BV647" s="1393"/>
      <c r="BW647" s="1393"/>
      <c r="BX647" s="1393">
        <f t="shared" si="32"/>
        <v>0</v>
      </c>
      <c r="BY647" s="1393"/>
      <c r="BZ647" s="1393"/>
      <c r="CA647" s="1393"/>
      <c r="CB647" s="1393"/>
      <c r="CC647" s="1393">
        <f t="shared" si="33"/>
        <v>0</v>
      </c>
      <c r="CD647" s="1393"/>
      <c r="CE647" s="1393"/>
      <c r="CF647" s="1393"/>
      <c r="CG647" s="1393"/>
      <c r="CH647" s="1393">
        <f t="shared" si="34"/>
        <v>0</v>
      </c>
      <c r="CI647" s="1393"/>
      <c r="CJ647" s="1393"/>
      <c r="CK647" s="1393"/>
      <c r="CL647" s="1393"/>
      <c r="CM647" s="1393">
        <f t="shared" si="35"/>
        <v>0</v>
      </c>
      <c r="CN647" s="1393"/>
      <c r="CO647" s="1393"/>
      <c r="CP647" s="1393"/>
      <c r="CQ647" s="1393"/>
      <c r="CR647" s="6"/>
      <c r="CS647" s="1390">
        <f t="shared" si="36"/>
        <v>0</v>
      </c>
      <c r="CT647" s="1391"/>
      <c r="CU647" s="1391"/>
      <c r="CV647" s="1391"/>
      <c r="CW647" s="1392"/>
      <c r="CX647" s="1390">
        <f t="shared" si="37"/>
        <v>0</v>
      </c>
      <c r="CY647" s="1391"/>
      <c r="CZ647" s="1391"/>
      <c r="DA647" s="1391"/>
      <c r="DB647" s="1392"/>
      <c r="DC647" s="1390">
        <f t="shared" si="38"/>
        <v>0</v>
      </c>
      <c r="DD647" s="1391"/>
      <c r="DE647" s="1391"/>
      <c r="DF647" s="1391"/>
      <c r="DG647" s="1392"/>
      <c r="DH647" s="1390">
        <f t="shared" si="39"/>
        <v>0</v>
      </c>
      <c r="DI647" s="1391"/>
      <c r="DJ647" s="1391"/>
      <c r="DK647" s="1391"/>
      <c r="DL647" s="1392"/>
      <c r="DM647" s="1390">
        <f t="shared" si="40"/>
        <v>0</v>
      </c>
      <c r="DN647" s="1391"/>
      <c r="DO647" s="1391"/>
      <c r="DP647" s="1391"/>
      <c r="DQ647" s="1392"/>
      <c r="DR647" s="1390">
        <f t="shared" si="41"/>
        <v>0</v>
      </c>
      <c r="DS647" s="1391"/>
      <c r="DT647" s="1391"/>
      <c r="DU647" s="1391"/>
      <c r="DV647" s="1392"/>
      <c r="DX647" s="1375" t="e">
        <f t="shared" si="29"/>
        <v>#VALUE!</v>
      </c>
      <c r="DY647" s="1375"/>
      <c r="DZ647" s="1375"/>
      <c r="EA647" s="1375"/>
      <c r="EB647" s="1375"/>
      <c r="EC647" s="1375" t="e">
        <f t="shared" si="24"/>
        <v>#VALUE!</v>
      </c>
      <c r="ED647" s="1375"/>
      <c r="EE647" s="1375"/>
      <c r="EF647" s="1375"/>
      <c r="EG647" s="1375"/>
      <c r="EH647" s="1375" t="e">
        <f t="shared" si="25"/>
        <v>#VALUE!</v>
      </c>
      <c r="EI647" s="1375"/>
      <c r="EJ647" s="1375"/>
      <c r="EK647" s="1375"/>
      <c r="EL647" s="1375"/>
      <c r="EM647" s="1375" t="e">
        <f t="shared" si="26"/>
        <v>#VALUE!</v>
      </c>
      <c r="EN647" s="1375"/>
      <c r="EO647" s="1375"/>
      <c r="EP647" s="1375"/>
      <c r="EQ647" s="1375"/>
      <c r="ER647" s="1375" t="e">
        <f t="shared" si="27"/>
        <v>#VALUE!</v>
      </c>
      <c r="ES647" s="1375"/>
      <c r="ET647" s="1375"/>
      <c r="EU647" s="1375"/>
      <c r="EV647" s="1375"/>
      <c r="EW647" s="1375" t="e">
        <f t="shared" si="28"/>
        <v>#VALUE!</v>
      </c>
      <c r="EX647" s="1375"/>
      <c r="EY647" s="1375"/>
      <c r="EZ647" s="1375"/>
      <c r="FA647" s="1375"/>
    </row>
    <row r="648" spans="1:157" ht="12.9" customHeight="1">
      <c r="A648" s="22"/>
      <c r="B648" t="s">
        <v>18</v>
      </c>
      <c r="H648" s="1474" t="s">
        <v>2734</v>
      </c>
      <c r="I648" s="1397"/>
      <c r="J648" s="1397"/>
      <c r="K648" s="1397"/>
      <c r="L648" s="1397"/>
      <c r="M648" s="1397"/>
      <c r="N648" s="1397"/>
      <c r="O648" s="1397"/>
      <c r="P648" s="1397"/>
      <c r="Q648" s="1397"/>
      <c r="R648" s="1397"/>
      <c r="S648" s="8"/>
      <c r="T648" s="22"/>
      <c r="U648" t="s">
        <v>18</v>
      </c>
      <c r="AA648" s="1474" t="s">
        <v>2779</v>
      </c>
      <c r="AB648" s="1397"/>
      <c r="AC648" s="1397"/>
      <c r="AD648" s="1397"/>
      <c r="AE648" s="1397"/>
      <c r="AF648" s="1397"/>
      <c r="AG648" s="1397"/>
      <c r="AH648" s="1397"/>
      <c r="AI648" s="1397"/>
      <c r="AJ648" s="1397"/>
      <c r="AK648" s="1397"/>
      <c r="AZ648" s="34"/>
      <c r="BA648" s="34"/>
      <c r="BB648" s="34"/>
      <c r="BC648" s="34"/>
      <c r="BD648" s="34"/>
      <c r="BE648" s="34"/>
      <c r="BF648" s="34"/>
      <c r="BG648" s="34"/>
      <c r="BH648" s="34"/>
      <c r="BI648" s="34"/>
      <c r="BJ648" s="34"/>
      <c r="BK648" s="34"/>
      <c r="BL648" s="34"/>
      <c r="BM648" s="34"/>
      <c r="BN648" s="1390">
        <f t="shared" si="30"/>
        <v>0</v>
      </c>
      <c r="BO648" s="1391"/>
      <c r="BP648" s="1391"/>
      <c r="BQ648" s="1391"/>
      <c r="BR648" s="1392"/>
      <c r="BS648" s="1393">
        <f t="shared" si="31"/>
        <v>0</v>
      </c>
      <c r="BT648" s="1393"/>
      <c r="BU648" s="1393"/>
      <c r="BV648" s="1393"/>
      <c r="BW648" s="1393"/>
      <c r="BX648" s="1393">
        <f t="shared" si="32"/>
        <v>0</v>
      </c>
      <c r="BY648" s="1393"/>
      <c r="BZ648" s="1393"/>
      <c r="CA648" s="1393"/>
      <c r="CB648" s="1393"/>
      <c r="CC648" s="1393">
        <f t="shared" si="33"/>
        <v>0</v>
      </c>
      <c r="CD648" s="1393"/>
      <c r="CE648" s="1393"/>
      <c r="CF648" s="1393"/>
      <c r="CG648" s="1393"/>
      <c r="CH648" s="1393">
        <f t="shared" si="34"/>
        <v>0</v>
      </c>
      <c r="CI648" s="1393"/>
      <c r="CJ648" s="1393"/>
      <c r="CK648" s="1393"/>
      <c r="CL648" s="1393"/>
      <c r="CM648" s="1393">
        <f t="shared" si="35"/>
        <v>0</v>
      </c>
      <c r="CN648" s="1393"/>
      <c r="CO648" s="1393"/>
      <c r="CP648" s="1393"/>
      <c r="CQ648" s="1393"/>
      <c r="CR648" s="6"/>
      <c r="CS648" s="1390">
        <f t="shared" si="36"/>
        <v>0</v>
      </c>
      <c r="CT648" s="1391"/>
      <c r="CU648" s="1391"/>
      <c r="CV648" s="1391"/>
      <c r="CW648" s="1392"/>
      <c r="CX648" s="1390">
        <f t="shared" si="37"/>
        <v>0</v>
      </c>
      <c r="CY648" s="1391"/>
      <c r="CZ648" s="1391"/>
      <c r="DA648" s="1391"/>
      <c r="DB648" s="1392"/>
      <c r="DC648" s="1390">
        <f t="shared" si="38"/>
        <v>0</v>
      </c>
      <c r="DD648" s="1391"/>
      <c r="DE648" s="1391"/>
      <c r="DF648" s="1391"/>
      <c r="DG648" s="1392"/>
      <c r="DH648" s="1390">
        <f t="shared" si="39"/>
        <v>0</v>
      </c>
      <c r="DI648" s="1391"/>
      <c r="DJ648" s="1391"/>
      <c r="DK648" s="1391"/>
      <c r="DL648" s="1392"/>
      <c r="DM648" s="1390">
        <f t="shared" si="40"/>
        <v>0</v>
      </c>
      <c r="DN648" s="1391"/>
      <c r="DO648" s="1391"/>
      <c r="DP648" s="1391"/>
      <c r="DQ648" s="1392"/>
      <c r="DR648" s="1390">
        <f t="shared" si="41"/>
        <v>0</v>
      </c>
      <c r="DS648" s="1391"/>
      <c r="DT648" s="1391"/>
      <c r="DU648" s="1391"/>
      <c r="DV648" s="1392"/>
      <c r="DX648" s="1375" t="e">
        <f t="shared" si="29"/>
        <v>#VALUE!</v>
      </c>
      <c r="DY648" s="1375"/>
      <c r="DZ648" s="1375"/>
      <c r="EA648" s="1375"/>
      <c r="EB648" s="1375"/>
      <c r="EC648" s="1375" t="e">
        <f t="shared" si="24"/>
        <v>#VALUE!</v>
      </c>
      <c r="ED648" s="1375"/>
      <c r="EE648" s="1375"/>
      <c r="EF648" s="1375"/>
      <c r="EG648" s="1375"/>
      <c r="EH648" s="1375" t="e">
        <f t="shared" si="25"/>
        <v>#VALUE!</v>
      </c>
      <c r="EI648" s="1375"/>
      <c r="EJ648" s="1375"/>
      <c r="EK648" s="1375"/>
      <c r="EL648" s="1375"/>
      <c r="EM648" s="1375" t="e">
        <f t="shared" si="26"/>
        <v>#VALUE!</v>
      </c>
      <c r="EN648" s="1375"/>
      <c r="EO648" s="1375"/>
      <c r="EP648" s="1375"/>
      <c r="EQ648" s="1375"/>
      <c r="ER648" s="1375" t="e">
        <f t="shared" si="27"/>
        <v>#VALUE!</v>
      </c>
      <c r="ES648" s="1375"/>
      <c r="ET648" s="1375"/>
      <c r="EU648" s="1375"/>
      <c r="EV648" s="1375"/>
      <c r="EW648" s="1375" t="e">
        <f t="shared" si="28"/>
        <v>#VALUE!</v>
      </c>
      <c r="EX648" s="1375"/>
      <c r="EY648" s="1375"/>
      <c r="EZ648" s="1375"/>
      <c r="FA648" s="1375"/>
    </row>
    <row r="649" spans="1:157" ht="12.9" customHeight="1">
      <c r="A649" s="22"/>
      <c r="B649" t="s">
        <v>20</v>
      </c>
      <c r="N649" s="1415" t="s">
        <v>552</v>
      </c>
      <c r="O649" s="1415"/>
      <c r="T649" s="22"/>
      <c r="U649" t="s">
        <v>20</v>
      </c>
      <c r="AG649" s="1415" t="s">
        <v>552</v>
      </c>
      <c r="AH649" s="1415"/>
      <c r="AZ649" s="34"/>
      <c r="BA649" s="34"/>
      <c r="BB649" s="34"/>
      <c r="BC649" s="34"/>
      <c r="BD649" s="34"/>
      <c r="BE649" s="34"/>
      <c r="BF649" s="34"/>
      <c r="BG649" s="34"/>
      <c r="BH649" s="34"/>
      <c r="BI649" s="34"/>
      <c r="BJ649" s="34"/>
      <c r="BK649" s="34"/>
      <c r="BL649" s="34"/>
      <c r="BM649" s="34"/>
      <c r="BN649" s="1390">
        <f t="shared" si="30"/>
        <v>0</v>
      </c>
      <c r="BO649" s="1391"/>
      <c r="BP649" s="1391"/>
      <c r="BQ649" s="1391"/>
      <c r="BR649" s="1392"/>
      <c r="BS649" s="1393">
        <f t="shared" si="31"/>
        <v>0</v>
      </c>
      <c r="BT649" s="1393"/>
      <c r="BU649" s="1393"/>
      <c r="BV649" s="1393"/>
      <c r="BW649" s="1393"/>
      <c r="BX649" s="1393">
        <f t="shared" si="32"/>
        <v>0</v>
      </c>
      <c r="BY649" s="1393"/>
      <c r="BZ649" s="1393"/>
      <c r="CA649" s="1393"/>
      <c r="CB649" s="1393"/>
      <c r="CC649" s="1393">
        <f t="shared" si="33"/>
        <v>0</v>
      </c>
      <c r="CD649" s="1393"/>
      <c r="CE649" s="1393"/>
      <c r="CF649" s="1393"/>
      <c r="CG649" s="1393"/>
      <c r="CH649" s="1393">
        <f t="shared" si="34"/>
        <v>0</v>
      </c>
      <c r="CI649" s="1393"/>
      <c r="CJ649" s="1393"/>
      <c r="CK649" s="1393"/>
      <c r="CL649" s="1393"/>
      <c r="CM649" s="1393">
        <f t="shared" si="35"/>
        <v>0</v>
      </c>
      <c r="CN649" s="1393"/>
      <c r="CO649" s="1393"/>
      <c r="CP649" s="1393"/>
      <c r="CQ649" s="1393"/>
      <c r="CR649" s="6"/>
      <c r="CS649" s="1390">
        <f t="shared" si="36"/>
        <v>0</v>
      </c>
      <c r="CT649" s="1391"/>
      <c r="CU649" s="1391"/>
      <c r="CV649" s="1391"/>
      <c r="CW649" s="1392"/>
      <c r="CX649" s="1390">
        <f t="shared" si="37"/>
        <v>0</v>
      </c>
      <c r="CY649" s="1391"/>
      <c r="CZ649" s="1391"/>
      <c r="DA649" s="1391"/>
      <c r="DB649" s="1392"/>
      <c r="DC649" s="1390">
        <f t="shared" si="38"/>
        <v>0</v>
      </c>
      <c r="DD649" s="1391"/>
      <c r="DE649" s="1391"/>
      <c r="DF649" s="1391"/>
      <c r="DG649" s="1392"/>
      <c r="DH649" s="1390">
        <f t="shared" si="39"/>
        <v>0</v>
      </c>
      <c r="DI649" s="1391"/>
      <c r="DJ649" s="1391"/>
      <c r="DK649" s="1391"/>
      <c r="DL649" s="1392"/>
      <c r="DM649" s="1390">
        <f t="shared" si="40"/>
        <v>0</v>
      </c>
      <c r="DN649" s="1391"/>
      <c r="DO649" s="1391"/>
      <c r="DP649" s="1391"/>
      <c r="DQ649" s="1392"/>
      <c r="DR649" s="1390">
        <f t="shared" si="41"/>
        <v>0</v>
      </c>
      <c r="DS649" s="1391"/>
      <c r="DT649" s="1391"/>
      <c r="DU649" s="1391"/>
      <c r="DV649" s="1392"/>
      <c r="DX649" s="1375" t="e">
        <f t="shared" si="29"/>
        <v>#VALUE!</v>
      </c>
      <c r="DY649" s="1375"/>
      <c r="DZ649" s="1375"/>
      <c r="EA649" s="1375"/>
      <c r="EB649" s="1375"/>
      <c r="EC649" s="1375" t="e">
        <f t="shared" si="24"/>
        <v>#VALUE!</v>
      </c>
      <c r="ED649" s="1375"/>
      <c r="EE649" s="1375"/>
      <c r="EF649" s="1375"/>
      <c r="EG649" s="1375"/>
      <c r="EH649" s="1375" t="e">
        <f t="shared" si="25"/>
        <v>#VALUE!</v>
      </c>
      <c r="EI649" s="1375"/>
      <c r="EJ649" s="1375"/>
      <c r="EK649" s="1375"/>
      <c r="EL649" s="1375"/>
      <c r="EM649" s="1375" t="e">
        <f t="shared" si="26"/>
        <v>#VALUE!</v>
      </c>
      <c r="EN649" s="1375"/>
      <c r="EO649" s="1375"/>
      <c r="EP649" s="1375"/>
      <c r="EQ649" s="1375"/>
      <c r="ER649" s="1375" t="e">
        <f t="shared" si="27"/>
        <v>#VALUE!</v>
      </c>
      <c r="ES649" s="1375"/>
      <c r="ET649" s="1375"/>
      <c r="EU649" s="1375"/>
      <c r="EV649" s="1375"/>
      <c r="EW649" s="1375" t="e">
        <f t="shared" si="28"/>
        <v>#VALUE!</v>
      </c>
      <c r="EX649" s="1375"/>
      <c r="EY649" s="1375"/>
      <c r="EZ649" s="1375"/>
      <c r="FA649" s="1375"/>
    </row>
    <row r="650" spans="1:157" ht="12.9" customHeight="1">
      <c r="A650" s="22"/>
      <c r="T650" s="22"/>
      <c r="AZ650" s="34"/>
      <c r="BA650" s="34"/>
      <c r="BB650" s="34"/>
      <c r="BC650" s="34"/>
      <c r="BD650" s="34"/>
      <c r="BE650" s="34"/>
      <c r="BF650" s="34"/>
      <c r="BG650" s="34"/>
      <c r="BH650" s="34"/>
      <c r="BI650" s="34"/>
      <c r="BJ650" s="34"/>
      <c r="BK650" s="34"/>
      <c r="BL650" s="34"/>
      <c r="BM650" s="34"/>
      <c r="BN650" s="1390">
        <f t="shared" si="30"/>
        <v>0</v>
      </c>
      <c r="BO650" s="1391"/>
      <c r="BP650" s="1391"/>
      <c r="BQ650" s="1391"/>
      <c r="BR650" s="1392"/>
      <c r="BS650" s="1393">
        <f t="shared" si="31"/>
        <v>0</v>
      </c>
      <c r="BT650" s="1393"/>
      <c r="BU650" s="1393"/>
      <c r="BV650" s="1393"/>
      <c r="BW650" s="1393"/>
      <c r="BX650" s="1393">
        <f t="shared" si="32"/>
        <v>0</v>
      </c>
      <c r="BY650" s="1393"/>
      <c r="BZ650" s="1393"/>
      <c r="CA650" s="1393"/>
      <c r="CB650" s="1393"/>
      <c r="CC650" s="1393">
        <f t="shared" si="33"/>
        <v>0</v>
      </c>
      <c r="CD650" s="1393"/>
      <c r="CE650" s="1393"/>
      <c r="CF650" s="1393"/>
      <c r="CG650" s="1393"/>
      <c r="CH650" s="1393">
        <f t="shared" si="34"/>
        <v>0</v>
      </c>
      <c r="CI650" s="1393"/>
      <c r="CJ650" s="1393"/>
      <c r="CK650" s="1393"/>
      <c r="CL650" s="1393"/>
      <c r="CM650" s="1393">
        <f t="shared" si="35"/>
        <v>0</v>
      </c>
      <c r="CN650" s="1393"/>
      <c r="CO650" s="1393"/>
      <c r="CP650" s="1393"/>
      <c r="CQ650" s="1393"/>
      <c r="CR650" s="6"/>
      <c r="CS650" s="1390">
        <f t="shared" si="36"/>
        <v>0</v>
      </c>
      <c r="CT650" s="1391"/>
      <c r="CU650" s="1391"/>
      <c r="CV650" s="1391"/>
      <c r="CW650" s="1392"/>
      <c r="CX650" s="1390">
        <f t="shared" si="37"/>
        <v>0</v>
      </c>
      <c r="CY650" s="1391"/>
      <c r="CZ650" s="1391"/>
      <c r="DA650" s="1391"/>
      <c r="DB650" s="1392"/>
      <c r="DC650" s="1390">
        <f t="shared" si="38"/>
        <v>0</v>
      </c>
      <c r="DD650" s="1391"/>
      <c r="DE650" s="1391"/>
      <c r="DF650" s="1391"/>
      <c r="DG650" s="1392"/>
      <c r="DH650" s="1390">
        <f t="shared" si="39"/>
        <v>0</v>
      </c>
      <c r="DI650" s="1391"/>
      <c r="DJ650" s="1391"/>
      <c r="DK650" s="1391"/>
      <c r="DL650" s="1392"/>
      <c r="DM650" s="1390">
        <f t="shared" si="40"/>
        <v>0</v>
      </c>
      <c r="DN650" s="1391"/>
      <c r="DO650" s="1391"/>
      <c r="DP650" s="1391"/>
      <c r="DQ650" s="1392"/>
      <c r="DR650" s="1390">
        <f t="shared" si="41"/>
        <v>0</v>
      </c>
      <c r="DS650" s="1391"/>
      <c r="DT650" s="1391"/>
      <c r="DU650" s="1391"/>
      <c r="DV650" s="1392"/>
      <c r="DX650" s="1375" t="e">
        <f t="shared" si="29"/>
        <v>#VALUE!</v>
      </c>
      <c r="DY650" s="1375"/>
      <c r="DZ650" s="1375"/>
      <c r="EA650" s="1375"/>
      <c r="EB650" s="1375"/>
      <c r="EC650" s="1375" t="e">
        <f t="shared" si="24"/>
        <v>#VALUE!</v>
      </c>
      <c r="ED650" s="1375"/>
      <c r="EE650" s="1375"/>
      <c r="EF650" s="1375"/>
      <c r="EG650" s="1375"/>
      <c r="EH650" s="1375" t="e">
        <f t="shared" si="25"/>
        <v>#VALUE!</v>
      </c>
      <c r="EI650" s="1375"/>
      <c r="EJ650" s="1375"/>
      <c r="EK650" s="1375"/>
      <c r="EL650" s="1375"/>
      <c r="EM650" s="1375" t="e">
        <f t="shared" si="26"/>
        <v>#VALUE!</v>
      </c>
      <c r="EN650" s="1375"/>
      <c r="EO650" s="1375"/>
      <c r="EP650" s="1375"/>
      <c r="EQ650" s="1375"/>
      <c r="ER650" s="1375" t="e">
        <f t="shared" si="27"/>
        <v>#VALUE!</v>
      </c>
      <c r="ES650" s="1375"/>
      <c r="ET650" s="1375"/>
      <c r="EU650" s="1375"/>
      <c r="EV650" s="1375"/>
      <c r="EW650" s="1375" t="e">
        <f t="shared" si="28"/>
        <v>#VALUE!</v>
      </c>
      <c r="EX650" s="1375"/>
      <c r="EY650" s="1375"/>
      <c r="EZ650" s="1375"/>
      <c r="FA650" s="1375"/>
    </row>
    <row r="651" spans="1:157" ht="12.9" customHeight="1">
      <c r="A651" s="55" t="s">
        <v>119</v>
      </c>
      <c r="B651" t="s">
        <v>470</v>
      </c>
      <c r="G651" s="1511" t="str">
        <f>C629</f>
        <v>Lease Up Income</v>
      </c>
      <c r="H651" s="1511"/>
      <c r="I651" s="1511"/>
      <c r="J651" s="1511"/>
      <c r="K651" s="1511"/>
      <c r="L651" s="1511"/>
      <c r="M651" s="1511"/>
      <c r="N651" s="1511"/>
      <c r="O651" s="1511"/>
      <c r="P651" s="1511"/>
      <c r="Q651" s="1511"/>
      <c r="R651" s="1511"/>
      <c r="T651" s="55" t="s">
        <v>588</v>
      </c>
      <c r="U651" t="s">
        <v>470</v>
      </c>
      <c r="Z651" s="1511" t="str">
        <f>C630</f>
        <v>Deferred Developer Fee</v>
      </c>
      <c r="AA651" s="1511"/>
      <c r="AB651" s="1511"/>
      <c r="AC651" s="1511"/>
      <c r="AD651" s="1511"/>
      <c r="AE651" s="1511"/>
      <c r="AF651" s="1511"/>
      <c r="AG651" s="1511"/>
      <c r="AH651" s="1511"/>
      <c r="AI651" s="1511"/>
      <c r="AJ651" s="1511"/>
      <c r="AK651" s="1511"/>
      <c r="AZ651" s="34"/>
      <c r="BA651" s="34"/>
      <c r="BB651" s="34"/>
      <c r="BC651" s="34"/>
      <c r="BD651" s="34"/>
      <c r="BE651" s="34"/>
      <c r="BF651" s="34"/>
      <c r="BG651" s="34"/>
      <c r="BH651" s="34"/>
      <c r="BI651" s="34"/>
      <c r="BJ651" s="34"/>
      <c r="BK651" s="34"/>
      <c r="BL651" s="34"/>
      <c r="BM651" s="34"/>
      <c r="BN651" s="1390">
        <f t="shared" si="30"/>
        <v>0</v>
      </c>
      <c r="BO651" s="1391"/>
      <c r="BP651" s="1391"/>
      <c r="BQ651" s="1391"/>
      <c r="BR651" s="1392"/>
      <c r="BS651" s="1393">
        <f t="shared" si="31"/>
        <v>0</v>
      </c>
      <c r="BT651" s="1393"/>
      <c r="BU651" s="1393"/>
      <c r="BV651" s="1393"/>
      <c r="BW651" s="1393"/>
      <c r="BX651" s="1393">
        <f t="shared" si="32"/>
        <v>0</v>
      </c>
      <c r="BY651" s="1393"/>
      <c r="BZ651" s="1393"/>
      <c r="CA651" s="1393"/>
      <c r="CB651" s="1393"/>
      <c r="CC651" s="1393">
        <f t="shared" si="33"/>
        <v>0</v>
      </c>
      <c r="CD651" s="1393"/>
      <c r="CE651" s="1393"/>
      <c r="CF651" s="1393"/>
      <c r="CG651" s="1393"/>
      <c r="CH651" s="1393">
        <f t="shared" si="34"/>
        <v>0</v>
      </c>
      <c r="CI651" s="1393"/>
      <c r="CJ651" s="1393"/>
      <c r="CK651" s="1393"/>
      <c r="CL651" s="1393"/>
      <c r="CM651" s="1393">
        <f t="shared" si="35"/>
        <v>0</v>
      </c>
      <c r="CN651" s="1393"/>
      <c r="CO651" s="1393"/>
      <c r="CP651" s="1393"/>
      <c r="CQ651" s="1393"/>
      <c r="CR651" s="6"/>
      <c r="CS651" s="1390">
        <f t="shared" si="36"/>
        <v>0</v>
      </c>
      <c r="CT651" s="1391"/>
      <c r="CU651" s="1391"/>
      <c r="CV651" s="1391"/>
      <c r="CW651" s="1392"/>
      <c r="CX651" s="1390">
        <f t="shared" si="37"/>
        <v>0</v>
      </c>
      <c r="CY651" s="1391"/>
      <c r="CZ651" s="1391"/>
      <c r="DA651" s="1391"/>
      <c r="DB651" s="1392"/>
      <c r="DC651" s="1390">
        <f t="shared" si="38"/>
        <v>0</v>
      </c>
      <c r="DD651" s="1391"/>
      <c r="DE651" s="1391"/>
      <c r="DF651" s="1391"/>
      <c r="DG651" s="1392"/>
      <c r="DH651" s="1390">
        <f t="shared" si="39"/>
        <v>0</v>
      </c>
      <c r="DI651" s="1391"/>
      <c r="DJ651" s="1391"/>
      <c r="DK651" s="1391"/>
      <c r="DL651" s="1392"/>
      <c r="DM651" s="1390">
        <f t="shared" si="40"/>
        <v>0</v>
      </c>
      <c r="DN651" s="1391"/>
      <c r="DO651" s="1391"/>
      <c r="DP651" s="1391"/>
      <c r="DQ651" s="1392"/>
      <c r="DR651" s="1390">
        <f t="shared" si="41"/>
        <v>0</v>
      </c>
      <c r="DS651" s="1391"/>
      <c r="DT651" s="1391"/>
      <c r="DU651" s="1391"/>
      <c r="DV651" s="1392"/>
      <c r="DX651" s="1375" t="e">
        <f t="shared" si="29"/>
        <v>#VALUE!</v>
      </c>
      <c r="DY651" s="1375"/>
      <c r="DZ651" s="1375"/>
      <c r="EA651" s="1375"/>
      <c r="EB651" s="1375"/>
      <c r="EC651" s="1375" t="e">
        <f t="shared" si="24"/>
        <v>#VALUE!</v>
      </c>
      <c r="ED651" s="1375"/>
      <c r="EE651" s="1375"/>
      <c r="EF651" s="1375"/>
      <c r="EG651" s="1375"/>
      <c r="EH651" s="1375" t="e">
        <f t="shared" si="25"/>
        <v>#VALUE!</v>
      </c>
      <c r="EI651" s="1375"/>
      <c r="EJ651" s="1375"/>
      <c r="EK651" s="1375"/>
      <c r="EL651" s="1375"/>
      <c r="EM651" s="1375" t="e">
        <f t="shared" si="26"/>
        <v>#VALUE!</v>
      </c>
      <c r="EN651" s="1375"/>
      <c r="EO651" s="1375"/>
      <c r="EP651" s="1375"/>
      <c r="EQ651" s="1375"/>
      <c r="ER651" s="1375" t="e">
        <f t="shared" si="27"/>
        <v>#VALUE!</v>
      </c>
      <c r="ES651" s="1375"/>
      <c r="ET651" s="1375"/>
      <c r="EU651" s="1375"/>
      <c r="EV651" s="1375"/>
      <c r="EW651" s="1375" t="e">
        <f t="shared" si="28"/>
        <v>#VALUE!</v>
      </c>
      <c r="EX651" s="1375"/>
      <c r="EY651" s="1375"/>
      <c r="EZ651" s="1375"/>
      <c r="FA651" s="1375"/>
    </row>
    <row r="652" spans="1:157" ht="12.9" customHeight="1">
      <c r="A652" s="22"/>
      <c r="B652" t="s">
        <v>85</v>
      </c>
      <c r="G652" s="1397" t="s">
        <v>2762</v>
      </c>
      <c r="H652" s="1397"/>
      <c r="I652" s="1397"/>
      <c r="J652" s="1397"/>
      <c r="K652" s="1397"/>
      <c r="L652" s="1397"/>
      <c r="M652" s="1397"/>
      <c r="N652" s="1397"/>
      <c r="O652" s="1397"/>
      <c r="P652" s="1397"/>
      <c r="Q652" s="1397"/>
      <c r="R652" s="1397"/>
      <c r="T652" s="22"/>
      <c r="U652" t="s">
        <v>85</v>
      </c>
      <c r="Z652" s="1397" t="s">
        <v>2762</v>
      </c>
      <c r="AA652" s="1397"/>
      <c r="AB652" s="1397"/>
      <c r="AC652" s="1397"/>
      <c r="AD652" s="1397"/>
      <c r="AE652" s="1397"/>
      <c r="AF652" s="1397"/>
      <c r="AG652" s="1397"/>
      <c r="AH652" s="1397"/>
      <c r="AI652" s="1397"/>
      <c r="AJ652" s="1397"/>
      <c r="AK652" s="1397"/>
      <c r="AZ652" s="34"/>
      <c r="BA652" s="34"/>
      <c r="BB652" s="34"/>
      <c r="BC652" s="34"/>
      <c r="BD652" s="34"/>
      <c r="BE652" s="34"/>
      <c r="BF652" s="34"/>
      <c r="BG652" s="34"/>
      <c r="BH652" s="34"/>
      <c r="BI652" s="34"/>
      <c r="BJ652" s="34"/>
      <c r="BK652" s="34"/>
      <c r="BL652" s="34"/>
      <c r="BM652" s="34"/>
      <c r="BN652" s="1390">
        <f t="shared" si="30"/>
        <v>0</v>
      </c>
      <c r="BO652" s="1391"/>
      <c r="BP652" s="1391"/>
      <c r="BQ652" s="1391"/>
      <c r="BR652" s="1392"/>
      <c r="BS652" s="1393">
        <f t="shared" si="31"/>
        <v>0</v>
      </c>
      <c r="BT652" s="1393"/>
      <c r="BU652" s="1393"/>
      <c r="BV652" s="1393"/>
      <c r="BW652" s="1393"/>
      <c r="BX652" s="1393">
        <f t="shared" si="32"/>
        <v>0</v>
      </c>
      <c r="BY652" s="1393"/>
      <c r="BZ652" s="1393"/>
      <c r="CA652" s="1393"/>
      <c r="CB652" s="1393"/>
      <c r="CC652" s="1393">
        <f t="shared" si="33"/>
        <v>0</v>
      </c>
      <c r="CD652" s="1393"/>
      <c r="CE652" s="1393"/>
      <c r="CF652" s="1393"/>
      <c r="CG652" s="1393"/>
      <c r="CH652" s="1393">
        <f t="shared" si="34"/>
        <v>0</v>
      </c>
      <c r="CI652" s="1393"/>
      <c r="CJ652" s="1393"/>
      <c r="CK652" s="1393"/>
      <c r="CL652" s="1393"/>
      <c r="CM652" s="1393">
        <f t="shared" si="35"/>
        <v>0</v>
      </c>
      <c r="CN652" s="1393"/>
      <c r="CO652" s="1393"/>
      <c r="CP652" s="1393"/>
      <c r="CQ652" s="1393"/>
      <c r="CR652" s="6"/>
      <c r="CS652" s="1390">
        <f t="shared" si="36"/>
        <v>0</v>
      </c>
      <c r="CT652" s="1391"/>
      <c r="CU652" s="1391"/>
      <c r="CV652" s="1391"/>
      <c r="CW652" s="1392"/>
      <c r="CX652" s="1390">
        <f t="shared" si="37"/>
        <v>0</v>
      </c>
      <c r="CY652" s="1391"/>
      <c r="CZ652" s="1391"/>
      <c r="DA652" s="1391"/>
      <c r="DB652" s="1392"/>
      <c r="DC652" s="1390">
        <f t="shared" si="38"/>
        <v>0</v>
      </c>
      <c r="DD652" s="1391"/>
      <c r="DE652" s="1391"/>
      <c r="DF652" s="1391"/>
      <c r="DG652" s="1392"/>
      <c r="DH652" s="1390">
        <f t="shared" si="39"/>
        <v>0</v>
      </c>
      <c r="DI652" s="1391"/>
      <c r="DJ652" s="1391"/>
      <c r="DK652" s="1391"/>
      <c r="DL652" s="1392"/>
      <c r="DM652" s="1390">
        <f t="shared" si="40"/>
        <v>0</v>
      </c>
      <c r="DN652" s="1391"/>
      <c r="DO652" s="1391"/>
      <c r="DP652" s="1391"/>
      <c r="DQ652" s="1392"/>
      <c r="DR652" s="1390">
        <f t="shared" si="41"/>
        <v>0</v>
      </c>
      <c r="DS652" s="1391"/>
      <c r="DT652" s="1391"/>
      <c r="DU652" s="1391"/>
      <c r="DV652" s="1392"/>
      <c r="DX652" s="1375" t="e">
        <f t="shared" si="29"/>
        <v>#VALUE!</v>
      </c>
      <c r="DY652" s="1375"/>
      <c r="DZ652" s="1375"/>
      <c r="EA652" s="1375"/>
      <c r="EB652" s="1375"/>
      <c r="EC652" s="1375" t="e">
        <f t="shared" si="24"/>
        <v>#VALUE!</v>
      </c>
      <c r="ED652" s="1375"/>
      <c r="EE652" s="1375"/>
      <c r="EF652" s="1375"/>
      <c r="EG652" s="1375"/>
      <c r="EH652" s="1375" t="e">
        <f t="shared" si="25"/>
        <v>#VALUE!</v>
      </c>
      <c r="EI652" s="1375"/>
      <c r="EJ652" s="1375"/>
      <c r="EK652" s="1375"/>
      <c r="EL652" s="1375"/>
      <c r="EM652" s="1375" t="e">
        <f t="shared" si="26"/>
        <v>#VALUE!</v>
      </c>
      <c r="EN652" s="1375"/>
      <c r="EO652" s="1375"/>
      <c r="EP652" s="1375"/>
      <c r="EQ652" s="1375"/>
      <c r="ER652" s="1375" t="e">
        <f t="shared" si="27"/>
        <v>#VALUE!</v>
      </c>
      <c r="ES652" s="1375"/>
      <c r="ET652" s="1375"/>
      <c r="EU652" s="1375"/>
      <c r="EV652" s="1375"/>
      <c r="EW652" s="1375" t="e">
        <f t="shared" si="28"/>
        <v>#VALUE!</v>
      </c>
      <c r="EX652" s="1375"/>
      <c r="EY652" s="1375"/>
      <c r="EZ652" s="1375"/>
      <c r="FA652" s="1375"/>
    </row>
    <row r="653" spans="1:157" ht="12.9" customHeight="1">
      <c r="A653" s="22"/>
      <c r="B653" t="s">
        <v>587</v>
      </c>
      <c r="G653" s="1396" t="s">
        <v>2772</v>
      </c>
      <c r="H653" s="1396"/>
      <c r="I653" s="1396"/>
      <c r="J653" s="1396"/>
      <c r="K653" s="1396"/>
      <c r="L653" s="1396"/>
      <c r="M653" s="1396"/>
      <c r="N653" s="1396"/>
      <c r="O653" s="1396"/>
      <c r="P653" s="1396"/>
      <c r="Q653" s="1396"/>
      <c r="R653" s="1396"/>
      <c r="T653" s="22"/>
      <c r="U653" t="s">
        <v>587</v>
      </c>
      <c r="Z653" s="1396" t="s">
        <v>2772</v>
      </c>
      <c r="AA653" s="1396"/>
      <c r="AB653" s="1396"/>
      <c r="AC653" s="1396"/>
      <c r="AD653" s="1396"/>
      <c r="AE653" s="1396"/>
      <c r="AF653" s="1396"/>
      <c r="AG653" s="1396"/>
      <c r="AH653" s="1396"/>
      <c r="AI653" s="1396"/>
      <c r="AJ653" s="1396"/>
      <c r="AK653" s="1396"/>
      <c r="AZ653" s="34"/>
      <c r="BA653" s="34"/>
      <c r="BB653" s="34"/>
      <c r="BC653" s="34"/>
      <c r="BD653" s="34"/>
      <c r="BE653" s="34"/>
      <c r="BF653" s="34"/>
      <c r="BG653" s="34"/>
      <c r="BH653" s="34"/>
      <c r="BI653" s="34"/>
      <c r="BJ653" s="34"/>
      <c r="BK653" s="34"/>
      <c r="BL653" s="34"/>
      <c r="BM653" s="34"/>
      <c r="BN653" s="1390">
        <f t="shared" si="30"/>
        <v>0</v>
      </c>
      <c r="BO653" s="1391"/>
      <c r="BP653" s="1391"/>
      <c r="BQ653" s="1391"/>
      <c r="BR653" s="1392"/>
      <c r="BS653" s="1393">
        <f t="shared" si="31"/>
        <v>0</v>
      </c>
      <c r="BT653" s="1393"/>
      <c r="BU653" s="1393"/>
      <c r="BV653" s="1393"/>
      <c r="BW653" s="1393"/>
      <c r="BX653" s="1393">
        <f t="shared" si="32"/>
        <v>0</v>
      </c>
      <c r="BY653" s="1393"/>
      <c r="BZ653" s="1393"/>
      <c r="CA653" s="1393"/>
      <c r="CB653" s="1393"/>
      <c r="CC653" s="1393">
        <f t="shared" si="33"/>
        <v>0</v>
      </c>
      <c r="CD653" s="1393"/>
      <c r="CE653" s="1393"/>
      <c r="CF653" s="1393"/>
      <c r="CG653" s="1393"/>
      <c r="CH653" s="1393">
        <f t="shared" si="34"/>
        <v>0</v>
      </c>
      <c r="CI653" s="1393"/>
      <c r="CJ653" s="1393"/>
      <c r="CK653" s="1393"/>
      <c r="CL653" s="1393"/>
      <c r="CM653" s="1393">
        <f t="shared" si="35"/>
        <v>0</v>
      </c>
      <c r="CN653" s="1393"/>
      <c r="CO653" s="1393"/>
      <c r="CP653" s="1393"/>
      <c r="CQ653" s="1393"/>
      <c r="CR653" s="6"/>
      <c r="CS653" s="1390">
        <f t="shared" si="36"/>
        <v>0</v>
      </c>
      <c r="CT653" s="1391"/>
      <c r="CU653" s="1391"/>
      <c r="CV653" s="1391"/>
      <c r="CW653" s="1392"/>
      <c r="CX653" s="1390">
        <f t="shared" si="37"/>
        <v>0</v>
      </c>
      <c r="CY653" s="1391"/>
      <c r="CZ653" s="1391"/>
      <c r="DA653" s="1391"/>
      <c r="DB653" s="1392"/>
      <c r="DC653" s="1390">
        <f t="shared" si="38"/>
        <v>0</v>
      </c>
      <c r="DD653" s="1391"/>
      <c r="DE653" s="1391"/>
      <c r="DF653" s="1391"/>
      <c r="DG653" s="1392"/>
      <c r="DH653" s="1390">
        <f t="shared" si="39"/>
        <v>0</v>
      </c>
      <c r="DI653" s="1391"/>
      <c r="DJ653" s="1391"/>
      <c r="DK653" s="1391"/>
      <c r="DL653" s="1392"/>
      <c r="DM653" s="1390">
        <f t="shared" si="40"/>
        <v>0</v>
      </c>
      <c r="DN653" s="1391"/>
      <c r="DO653" s="1391"/>
      <c r="DP653" s="1391"/>
      <c r="DQ653" s="1392"/>
      <c r="DR653" s="1390">
        <f t="shared" si="41"/>
        <v>0</v>
      </c>
      <c r="DS653" s="1391"/>
      <c r="DT653" s="1391"/>
      <c r="DU653" s="1391"/>
      <c r="DV653" s="1392"/>
      <c r="DX653" s="1375" t="e">
        <f t="shared" si="29"/>
        <v>#VALUE!</v>
      </c>
      <c r="DY653" s="1375"/>
      <c r="DZ653" s="1375"/>
      <c r="EA653" s="1375"/>
      <c r="EB653" s="1375"/>
      <c r="EC653" s="1375" t="e">
        <f t="shared" si="24"/>
        <v>#VALUE!</v>
      </c>
      <c r="ED653" s="1375"/>
      <c r="EE653" s="1375"/>
      <c r="EF653" s="1375"/>
      <c r="EG653" s="1375"/>
      <c r="EH653" s="1375" t="e">
        <f t="shared" si="25"/>
        <v>#VALUE!</v>
      </c>
      <c r="EI653" s="1375"/>
      <c r="EJ653" s="1375"/>
      <c r="EK653" s="1375"/>
      <c r="EL653" s="1375"/>
      <c r="EM653" s="1375" t="e">
        <f t="shared" si="26"/>
        <v>#VALUE!</v>
      </c>
      <c r="EN653" s="1375"/>
      <c r="EO653" s="1375"/>
      <c r="EP653" s="1375"/>
      <c r="EQ653" s="1375"/>
      <c r="ER653" s="1375" t="e">
        <f t="shared" si="27"/>
        <v>#VALUE!</v>
      </c>
      <c r="ES653" s="1375"/>
      <c r="ET653" s="1375"/>
      <c r="EU653" s="1375"/>
      <c r="EV653" s="1375"/>
      <c r="EW653" s="1375" t="e">
        <f t="shared" si="28"/>
        <v>#VALUE!</v>
      </c>
      <c r="EX653" s="1375"/>
      <c r="EY653" s="1375"/>
      <c r="EZ653" s="1375"/>
      <c r="FA653" s="1375"/>
    </row>
    <row r="654" spans="1:157" ht="12.9" customHeight="1">
      <c r="A654" s="22"/>
      <c r="B654" t="s">
        <v>17</v>
      </c>
      <c r="G654" s="1396" t="s">
        <v>2652</v>
      </c>
      <c r="H654" s="1396"/>
      <c r="I654" s="1396"/>
      <c r="J654" s="1396"/>
      <c r="K654" s="1396"/>
      <c r="L654" s="1396"/>
      <c r="M654" s="1396"/>
      <c r="N654" s="1396"/>
      <c r="O654" s="1396"/>
      <c r="P654" s="1396"/>
      <c r="Q654" s="1396"/>
      <c r="R654" s="1396"/>
      <c r="T654" s="22"/>
      <c r="U654" t="s">
        <v>17</v>
      </c>
      <c r="Z654" s="1396" t="s">
        <v>2652</v>
      </c>
      <c r="AA654" s="1396"/>
      <c r="AB654" s="1396"/>
      <c r="AC654" s="1396"/>
      <c r="AD654" s="1396"/>
      <c r="AE654" s="1396"/>
      <c r="AF654" s="1396"/>
      <c r="AG654" s="1396"/>
      <c r="AH654" s="1396"/>
      <c r="AI654" s="1396"/>
      <c r="AJ654" s="1396"/>
      <c r="AK654" s="1396"/>
      <c r="AZ654" s="34"/>
      <c r="BA654" s="34"/>
      <c r="BB654" s="34"/>
      <c r="BC654" s="34"/>
      <c r="BD654" s="34"/>
      <c r="BE654" s="34"/>
      <c r="BF654" s="34"/>
      <c r="BG654" s="34"/>
      <c r="BH654" s="34"/>
      <c r="BI654" s="34"/>
      <c r="BJ654" s="34"/>
      <c r="BK654" s="34"/>
      <c r="BL654" s="34"/>
      <c r="BM654" s="34"/>
      <c r="BN654" s="1390">
        <f t="shared" si="30"/>
        <v>0</v>
      </c>
      <c r="BO654" s="1391"/>
      <c r="BP654" s="1391"/>
      <c r="BQ654" s="1391"/>
      <c r="BR654" s="1392"/>
      <c r="BS654" s="1393">
        <f t="shared" si="31"/>
        <v>0</v>
      </c>
      <c r="BT654" s="1393"/>
      <c r="BU654" s="1393"/>
      <c r="BV654" s="1393"/>
      <c r="BW654" s="1393"/>
      <c r="BX654" s="1393">
        <f t="shared" si="32"/>
        <v>0</v>
      </c>
      <c r="BY654" s="1393"/>
      <c r="BZ654" s="1393"/>
      <c r="CA654" s="1393"/>
      <c r="CB654" s="1393"/>
      <c r="CC654" s="1393">
        <f t="shared" si="33"/>
        <v>0</v>
      </c>
      <c r="CD654" s="1393"/>
      <c r="CE654" s="1393"/>
      <c r="CF654" s="1393"/>
      <c r="CG654" s="1393"/>
      <c r="CH654" s="1393">
        <f t="shared" si="34"/>
        <v>0</v>
      </c>
      <c r="CI654" s="1393"/>
      <c r="CJ654" s="1393"/>
      <c r="CK654" s="1393"/>
      <c r="CL654" s="1393"/>
      <c r="CM654" s="1393">
        <f t="shared" si="35"/>
        <v>0</v>
      </c>
      <c r="CN654" s="1393"/>
      <c r="CO654" s="1393"/>
      <c r="CP654" s="1393"/>
      <c r="CQ654" s="1393"/>
      <c r="CR654" s="6"/>
      <c r="CS654" s="1390">
        <f t="shared" si="36"/>
        <v>0</v>
      </c>
      <c r="CT654" s="1391"/>
      <c r="CU654" s="1391"/>
      <c r="CV654" s="1391"/>
      <c r="CW654" s="1392"/>
      <c r="CX654" s="1390">
        <f t="shared" si="37"/>
        <v>0</v>
      </c>
      <c r="CY654" s="1391"/>
      <c r="CZ654" s="1391"/>
      <c r="DA654" s="1391"/>
      <c r="DB654" s="1392"/>
      <c r="DC654" s="1390">
        <f t="shared" si="38"/>
        <v>0</v>
      </c>
      <c r="DD654" s="1391"/>
      <c r="DE654" s="1391"/>
      <c r="DF654" s="1391"/>
      <c r="DG654" s="1392"/>
      <c r="DH654" s="1390">
        <f t="shared" si="39"/>
        <v>0</v>
      </c>
      <c r="DI654" s="1391"/>
      <c r="DJ654" s="1391"/>
      <c r="DK654" s="1391"/>
      <c r="DL654" s="1392"/>
      <c r="DM654" s="1390">
        <f t="shared" si="40"/>
        <v>0</v>
      </c>
      <c r="DN654" s="1391"/>
      <c r="DO654" s="1391"/>
      <c r="DP654" s="1391"/>
      <c r="DQ654" s="1392"/>
      <c r="DR654" s="1390">
        <f t="shared" si="41"/>
        <v>0</v>
      </c>
      <c r="DS654" s="1391"/>
      <c r="DT654" s="1391"/>
      <c r="DU654" s="1391"/>
      <c r="DV654" s="1392"/>
      <c r="DX654" s="1375" t="e">
        <f t="shared" si="29"/>
        <v>#VALUE!</v>
      </c>
      <c r="DY654" s="1375"/>
      <c r="DZ654" s="1375"/>
      <c r="EA654" s="1375"/>
      <c r="EB654" s="1375"/>
      <c r="EC654" s="1375" t="e">
        <f t="shared" si="24"/>
        <v>#VALUE!</v>
      </c>
      <c r="ED654" s="1375"/>
      <c r="EE654" s="1375"/>
      <c r="EF654" s="1375"/>
      <c r="EG654" s="1375"/>
      <c r="EH654" s="1375" t="e">
        <f t="shared" si="25"/>
        <v>#VALUE!</v>
      </c>
      <c r="EI654" s="1375"/>
      <c r="EJ654" s="1375"/>
      <c r="EK654" s="1375"/>
      <c r="EL654" s="1375"/>
      <c r="EM654" s="1375" t="e">
        <f t="shared" si="26"/>
        <v>#VALUE!</v>
      </c>
      <c r="EN654" s="1375"/>
      <c r="EO654" s="1375"/>
      <c r="EP654" s="1375"/>
      <c r="EQ654" s="1375"/>
      <c r="ER654" s="1375" t="e">
        <f t="shared" si="27"/>
        <v>#VALUE!</v>
      </c>
      <c r="ES654" s="1375"/>
      <c r="ET654" s="1375"/>
      <c r="EU654" s="1375"/>
      <c r="EV654" s="1375"/>
      <c r="EW654" s="1375" t="e">
        <f t="shared" si="28"/>
        <v>#VALUE!</v>
      </c>
      <c r="EX654" s="1375"/>
      <c r="EY654" s="1375"/>
      <c r="EZ654" s="1375"/>
      <c r="FA654" s="1375"/>
    </row>
    <row r="655" spans="1:157" ht="12.9" customHeight="1">
      <c r="A655" s="22"/>
      <c r="B655" t="s">
        <v>316</v>
      </c>
      <c r="G655" s="1550" t="s">
        <v>2753</v>
      </c>
      <c r="H655" s="1400"/>
      <c r="I655" s="1400"/>
      <c r="J655" s="1400"/>
      <c r="K655" s="1400"/>
      <c r="L655" s="1400"/>
      <c r="O655" s="33" t="s">
        <v>206</v>
      </c>
      <c r="P655" s="1399"/>
      <c r="Q655" s="1399"/>
      <c r="R655" s="1399"/>
      <c r="T655" s="22"/>
      <c r="U655" t="s">
        <v>316</v>
      </c>
      <c r="Z655" s="1400" t="s">
        <v>2753</v>
      </c>
      <c r="AA655" s="1400"/>
      <c r="AB655" s="1400"/>
      <c r="AC655" s="1400"/>
      <c r="AD655" s="1400"/>
      <c r="AE655" s="1400"/>
      <c r="AH655" s="33" t="s">
        <v>206</v>
      </c>
      <c r="AI655" s="1399"/>
      <c r="AJ655" s="1399"/>
      <c r="AK655" s="1399"/>
      <c r="AZ655" s="34"/>
      <c r="BA655" s="34"/>
      <c r="BB655" s="34"/>
      <c r="BC655" s="34"/>
      <c r="BD655" s="34"/>
      <c r="BE655" s="34"/>
      <c r="BF655" s="34"/>
      <c r="BG655" s="34"/>
      <c r="BH655" s="34"/>
      <c r="BI655" s="34"/>
      <c r="BJ655" s="34"/>
      <c r="BK655" s="34"/>
      <c r="BL655" s="34"/>
      <c r="BM655" s="34"/>
      <c r="BN655" s="1394">
        <f>SUM(BN645:BR654)</f>
        <v>0</v>
      </c>
      <c r="BO655" s="1512"/>
      <c r="BP655" s="1512"/>
      <c r="BQ655" s="1512"/>
      <c r="BR655" s="1395"/>
      <c r="BS655" s="1719">
        <f>SUM(BS645:BW654)</f>
        <v>0</v>
      </c>
      <c r="BT655" s="1720"/>
      <c r="BU655" s="1720"/>
      <c r="BV655" s="1720"/>
      <c r="BW655" s="1721"/>
      <c r="BX655" s="1719">
        <f>SUM(BX645:CB654)</f>
        <v>0</v>
      </c>
      <c r="BY655" s="1720"/>
      <c r="BZ655" s="1720"/>
      <c r="CA655" s="1720"/>
      <c r="CB655" s="1721"/>
      <c r="CC655" s="1719">
        <f>SUM(CC645:CG654)</f>
        <v>0</v>
      </c>
      <c r="CD655" s="1720"/>
      <c r="CE655" s="1720"/>
      <c r="CF655" s="1720"/>
      <c r="CG655" s="1721"/>
      <c r="CH655" s="1719">
        <f>SUM(CH645:CL654)</f>
        <v>0</v>
      </c>
      <c r="CI655" s="1720"/>
      <c r="CJ655" s="1720"/>
      <c r="CK655" s="1720"/>
      <c r="CL655" s="1721"/>
      <c r="CM655" s="1719">
        <f>SUM(CM645:CQ654)</f>
        <v>0</v>
      </c>
      <c r="CN655" s="1720"/>
      <c r="CO655" s="1720"/>
      <c r="CP655" s="1720"/>
      <c r="CQ655" s="1721"/>
      <c r="CR655" s="1047"/>
      <c r="CS655" s="1620">
        <f>SUM(CS645:CW654)</f>
        <v>0</v>
      </c>
      <c r="CT655" s="1620"/>
      <c r="CU655" s="1620"/>
      <c r="CV655" s="1620"/>
      <c r="CW655" s="1620"/>
      <c r="CX655" s="1620">
        <f>SUM(CX645:DB654)</f>
        <v>0</v>
      </c>
      <c r="CY655" s="1620"/>
      <c r="CZ655" s="1620"/>
      <c r="DA655" s="1620"/>
      <c r="DB655" s="1620"/>
      <c r="DC655" s="1620">
        <f>SUM(DC645:DG654)</f>
        <v>0</v>
      </c>
      <c r="DD655" s="1620"/>
      <c r="DE655" s="1620"/>
      <c r="DF655" s="1620"/>
      <c r="DG655" s="1620"/>
      <c r="DH655" s="1620">
        <f>SUM(DH645:DL654)</f>
        <v>0</v>
      </c>
      <c r="DI655" s="1620"/>
      <c r="DJ655" s="1620"/>
      <c r="DK655" s="1620"/>
      <c r="DL655" s="1620"/>
      <c r="DM655" s="1620">
        <f>SUM(DM645:DQ654)</f>
        <v>0</v>
      </c>
      <c r="DN655" s="1620"/>
      <c r="DO655" s="1620"/>
      <c r="DP655" s="1620"/>
      <c r="DQ655" s="1620"/>
      <c r="DR655" s="1620">
        <f>SUM(DR645:DV654)</f>
        <v>0</v>
      </c>
      <c r="DS655" s="1620"/>
      <c r="DT655" s="1620"/>
      <c r="DU655" s="1620"/>
      <c r="DV655" s="1620"/>
      <c r="DX655" s="1375" t="e">
        <f t="shared" si="29"/>
        <v>#VALUE!</v>
      </c>
      <c r="DY655" s="1375"/>
      <c r="DZ655" s="1375"/>
      <c r="EA655" s="1375"/>
      <c r="EB655" s="1375"/>
      <c r="EC655" s="1375" t="e">
        <f t="shared" si="24"/>
        <v>#VALUE!</v>
      </c>
      <c r="ED655" s="1375"/>
      <c r="EE655" s="1375"/>
      <c r="EF655" s="1375"/>
      <c r="EG655" s="1375"/>
      <c r="EH655" s="1375" t="e">
        <f t="shared" si="25"/>
        <v>#VALUE!</v>
      </c>
      <c r="EI655" s="1375"/>
      <c r="EJ655" s="1375"/>
      <c r="EK655" s="1375"/>
      <c r="EL655" s="1375"/>
      <c r="EM655" s="1375" t="e">
        <f t="shared" si="26"/>
        <v>#VALUE!</v>
      </c>
      <c r="EN655" s="1375"/>
      <c r="EO655" s="1375"/>
      <c r="EP655" s="1375"/>
      <c r="EQ655" s="1375"/>
      <c r="ER655" s="1375" t="e">
        <f t="shared" si="27"/>
        <v>#VALUE!</v>
      </c>
      <c r="ES655" s="1375"/>
      <c r="ET655" s="1375"/>
      <c r="EU655" s="1375"/>
      <c r="EV655" s="1375"/>
      <c r="EW655" s="1375" t="e">
        <f t="shared" si="28"/>
        <v>#VALUE!</v>
      </c>
      <c r="EX655" s="1375"/>
      <c r="EY655" s="1375"/>
      <c r="EZ655" s="1375"/>
      <c r="FA655" s="1375"/>
    </row>
    <row r="656" spans="1:157" ht="12.9" customHeight="1">
      <c r="A656" s="22"/>
      <c r="B656" t="s">
        <v>18</v>
      </c>
      <c r="H656" s="1474" t="s">
        <v>2773</v>
      </c>
      <c r="I656" s="1397"/>
      <c r="J656" s="1397"/>
      <c r="K656" s="1397"/>
      <c r="L656" s="1397"/>
      <c r="M656" s="1397"/>
      <c r="N656" s="1397"/>
      <c r="O656" s="1397"/>
      <c r="P656" s="1397"/>
      <c r="Q656" s="1397"/>
      <c r="R656" s="1397"/>
      <c r="T656" s="22"/>
      <c r="U656" t="s">
        <v>18</v>
      </c>
      <c r="AA656" s="1474" t="s">
        <v>1849</v>
      </c>
      <c r="AB656" s="1397"/>
      <c r="AC656" s="1397"/>
      <c r="AD656" s="1397"/>
      <c r="AE656" s="1397"/>
      <c r="AF656" s="1397"/>
      <c r="AG656" s="1397"/>
      <c r="AH656" s="1397"/>
      <c r="AI656" s="1397"/>
      <c r="AJ656" s="1397"/>
      <c r="AK656" s="1397"/>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75" t="e">
        <f t="shared" si="29"/>
        <v>#VALUE!</v>
      </c>
      <c r="DY656" s="1375"/>
      <c r="DZ656" s="1375"/>
      <c r="EA656" s="1375"/>
      <c r="EB656" s="1375"/>
      <c r="EC656" s="1375" t="e">
        <f t="shared" si="24"/>
        <v>#VALUE!</v>
      </c>
      <c r="ED656" s="1375"/>
      <c r="EE656" s="1375"/>
      <c r="EF656" s="1375"/>
      <c r="EG656" s="1375"/>
      <c r="EH656" s="1375" t="e">
        <f t="shared" si="25"/>
        <v>#VALUE!</v>
      </c>
      <c r="EI656" s="1375"/>
      <c r="EJ656" s="1375"/>
      <c r="EK656" s="1375"/>
      <c r="EL656" s="1375"/>
      <c r="EM656" s="1375" t="e">
        <f t="shared" si="26"/>
        <v>#VALUE!</v>
      </c>
      <c r="EN656" s="1375"/>
      <c r="EO656" s="1375"/>
      <c r="EP656" s="1375"/>
      <c r="EQ656" s="1375"/>
      <c r="ER656" s="1375" t="e">
        <f t="shared" si="27"/>
        <v>#VALUE!</v>
      </c>
      <c r="ES656" s="1375"/>
      <c r="ET656" s="1375"/>
      <c r="EU656" s="1375"/>
      <c r="EV656" s="1375"/>
      <c r="EW656" s="1375" t="e">
        <f t="shared" si="28"/>
        <v>#VALUE!</v>
      </c>
      <c r="EX656" s="1375"/>
      <c r="EY656" s="1375"/>
      <c r="EZ656" s="1375"/>
      <c r="FA656" s="1375"/>
    </row>
    <row r="657" spans="1:157" ht="12.9" customHeight="1">
      <c r="A657" s="22"/>
      <c r="B657" t="s">
        <v>20</v>
      </c>
      <c r="N657" s="1415" t="s">
        <v>552</v>
      </c>
      <c r="O657" s="1415"/>
      <c r="T657" s="22"/>
      <c r="U657" t="s">
        <v>20</v>
      </c>
      <c r="AG657" s="1415" t="s">
        <v>552</v>
      </c>
      <c r="AH657" s="1415"/>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75">
        <f>SUM(CS655:DV655)</f>
        <v>0</v>
      </c>
      <c r="DS657" s="1375"/>
      <c r="DT657" s="1375"/>
      <c r="DU657" s="1375"/>
      <c r="DV657" s="1375"/>
      <c r="DX657" s="1375" t="e">
        <f t="shared" si="29"/>
        <v>#VALUE!</v>
      </c>
      <c r="DY657" s="1375"/>
      <c r="DZ657" s="1375"/>
      <c r="EA657" s="1375"/>
      <c r="EB657" s="1375"/>
      <c r="EC657" s="1375" t="e">
        <f t="shared" si="24"/>
        <v>#VALUE!</v>
      </c>
      <c r="ED657" s="1375"/>
      <c r="EE657" s="1375"/>
      <c r="EF657" s="1375"/>
      <c r="EG657" s="1375"/>
      <c r="EH657" s="1375" t="e">
        <f t="shared" si="25"/>
        <v>#VALUE!</v>
      </c>
      <c r="EI657" s="1375"/>
      <c r="EJ657" s="1375"/>
      <c r="EK657" s="1375"/>
      <c r="EL657" s="1375"/>
      <c r="EM657" s="1375" t="e">
        <f t="shared" si="26"/>
        <v>#VALUE!</v>
      </c>
      <c r="EN657" s="1375"/>
      <c r="EO657" s="1375"/>
      <c r="EP657" s="1375"/>
      <c r="EQ657" s="1375"/>
      <c r="ER657" s="1375" t="e">
        <f t="shared" si="27"/>
        <v>#VALUE!</v>
      </c>
      <c r="ES657" s="1375"/>
      <c r="ET657" s="1375"/>
      <c r="EU657" s="1375"/>
      <c r="EV657" s="1375"/>
      <c r="EW657" s="1375" t="e">
        <f t="shared" si="28"/>
        <v>#VALUE!</v>
      </c>
      <c r="EX657" s="1375"/>
      <c r="EY657" s="1375"/>
      <c r="EZ657" s="1375"/>
      <c r="FA657" s="1375"/>
    </row>
    <row r="658" spans="1:157" ht="12.9"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75" t="e">
        <f t="shared" ref="DX658:DX667" si="42">DX620*(BN620/$BN$632)</f>
        <v>#VALUE!</v>
      </c>
      <c r="DY658" s="1375"/>
      <c r="DZ658" s="1375"/>
      <c r="EA658" s="1375"/>
      <c r="EB658" s="1375"/>
      <c r="EC658" s="1375" t="e">
        <f t="shared" ref="EC658:EC667" si="43">EC620*(BS620/$BS$632)</f>
        <v>#VALUE!</v>
      </c>
      <c r="ED658" s="1375"/>
      <c r="EE658" s="1375"/>
      <c r="EF658" s="1375"/>
      <c r="EG658" s="1375"/>
      <c r="EH658" s="1375" t="e">
        <f t="shared" ref="EH658:EH667" si="44">EH620*(BX620/$BX$632)</f>
        <v>#VALUE!</v>
      </c>
      <c r="EI658" s="1375"/>
      <c r="EJ658" s="1375"/>
      <c r="EK658" s="1375"/>
      <c r="EL658" s="1375"/>
      <c r="EM658" s="1375" t="e">
        <f t="shared" ref="EM658:EM667" si="45">EM620*(CC620/$CC$632)</f>
        <v>#VALUE!</v>
      </c>
      <c r="EN658" s="1375"/>
      <c r="EO658" s="1375"/>
      <c r="EP658" s="1375"/>
      <c r="EQ658" s="1375"/>
      <c r="ER658" s="1375" t="e">
        <f t="shared" ref="ER658:ER667" si="46">ER620*(CH620/$CH$632)</f>
        <v>#VALUE!</v>
      </c>
      <c r="ES658" s="1375"/>
      <c r="ET658" s="1375"/>
      <c r="EU658" s="1375"/>
      <c r="EV658" s="1375"/>
      <c r="EW658" s="1375" t="e">
        <f t="shared" ref="EW658:EW667" si="47">EW620*(CM620/$CM$632)</f>
        <v>#VALUE!</v>
      </c>
      <c r="EX658" s="1375"/>
      <c r="EY658" s="1375"/>
      <c r="EZ658" s="1375"/>
      <c r="FA658" s="1375"/>
    </row>
    <row r="659" spans="1:157" ht="12.9" customHeight="1">
      <c r="A659" s="55" t="s">
        <v>771</v>
      </c>
      <c r="B659" t="s">
        <v>470</v>
      </c>
      <c r="G659" s="1511">
        <f>C631</f>
        <v>0</v>
      </c>
      <c r="H659" s="1511"/>
      <c r="I659" s="1511"/>
      <c r="J659" s="1511"/>
      <c r="K659" s="1511"/>
      <c r="L659" s="1511"/>
      <c r="M659" s="1511"/>
      <c r="N659" s="1511"/>
      <c r="O659" s="1511"/>
      <c r="P659" s="1511"/>
      <c r="Q659" s="1511"/>
      <c r="R659" s="1511"/>
      <c r="T659" s="55" t="s">
        <v>591</v>
      </c>
      <c r="U659" t="s">
        <v>470</v>
      </c>
      <c r="Z659" s="1511">
        <f>C632</f>
        <v>0</v>
      </c>
      <c r="AA659" s="1511"/>
      <c r="AB659" s="1511"/>
      <c r="AC659" s="1511"/>
      <c r="AD659" s="1511"/>
      <c r="AE659" s="1511"/>
      <c r="AF659" s="1511"/>
      <c r="AG659" s="1511"/>
      <c r="AH659" s="1511"/>
      <c r="AI659" s="1511"/>
      <c r="AJ659" s="1511"/>
      <c r="AK659" s="151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75" t="e">
        <f t="shared" si="42"/>
        <v>#VALUE!</v>
      </c>
      <c r="DY659" s="1375"/>
      <c r="DZ659" s="1375"/>
      <c r="EA659" s="1375"/>
      <c r="EB659" s="1375"/>
      <c r="EC659" s="1375" t="e">
        <f t="shared" si="43"/>
        <v>#VALUE!</v>
      </c>
      <c r="ED659" s="1375"/>
      <c r="EE659" s="1375"/>
      <c r="EF659" s="1375"/>
      <c r="EG659" s="1375"/>
      <c r="EH659" s="1375" t="e">
        <f t="shared" si="44"/>
        <v>#VALUE!</v>
      </c>
      <c r="EI659" s="1375"/>
      <c r="EJ659" s="1375"/>
      <c r="EK659" s="1375"/>
      <c r="EL659" s="1375"/>
      <c r="EM659" s="1375" t="e">
        <f t="shared" si="45"/>
        <v>#VALUE!</v>
      </c>
      <c r="EN659" s="1375"/>
      <c r="EO659" s="1375"/>
      <c r="EP659" s="1375"/>
      <c r="EQ659" s="1375"/>
      <c r="ER659" s="1375" t="e">
        <f t="shared" si="46"/>
        <v>#VALUE!</v>
      </c>
      <c r="ES659" s="1375"/>
      <c r="ET659" s="1375"/>
      <c r="EU659" s="1375"/>
      <c r="EV659" s="1375"/>
      <c r="EW659" s="1375" t="e">
        <f t="shared" si="47"/>
        <v>#VALUE!</v>
      </c>
      <c r="EX659" s="1375"/>
      <c r="EY659" s="1375"/>
      <c r="EZ659" s="1375"/>
      <c r="FA659" s="1375"/>
    </row>
    <row r="660" spans="1:157" ht="12.9" customHeight="1">
      <c r="A660" s="22"/>
      <c r="B660" t="s">
        <v>85</v>
      </c>
      <c r="G660" s="1397"/>
      <c r="H660" s="1397"/>
      <c r="I660" s="1397"/>
      <c r="J660" s="1397"/>
      <c r="K660" s="1397"/>
      <c r="L660" s="1397"/>
      <c r="M660" s="1397"/>
      <c r="N660" s="1397"/>
      <c r="O660" s="1397"/>
      <c r="P660" s="1397"/>
      <c r="Q660" s="1397"/>
      <c r="R660" s="1397"/>
      <c r="T660" s="22"/>
      <c r="U660" t="s">
        <v>85</v>
      </c>
      <c r="Z660" s="1397"/>
      <c r="AA660" s="1397"/>
      <c r="AB660" s="1397"/>
      <c r="AC660" s="1397"/>
      <c r="AD660" s="1397"/>
      <c r="AE660" s="1397"/>
      <c r="AF660" s="1397"/>
      <c r="AG660" s="1397"/>
      <c r="AH660" s="1397"/>
      <c r="AI660" s="1397"/>
      <c r="AJ660" s="1397"/>
      <c r="AK660" s="1397"/>
      <c r="AZ660" s="34"/>
      <c r="BA660" s="34"/>
      <c r="BB660" s="34"/>
      <c r="BC660" s="34"/>
      <c r="BD660" s="34"/>
      <c r="BE660" s="34"/>
      <c r="BF660" s="34"/>
      <c r="BG660" s="34"/>
      <c r="BH660" s="34"/>
      <c r="BI660" s="34"/>
      <c r="BJ660" s="34"/>
      <c r="BK660" s="34"/>
      <c r="BL660" s="34"/>
      <c r="BM660" s="34"/>
      <c r="BN660" s="1719">
        <f>BN632+BN641+BN655</f>
        <v>425</v>
      </c>
      <c r="BO660" s="1720"/>
      <c r="BP660" s="1720"/>
      <c r="BQ660" s="1720"/>
      <c r="BR660" s="1721"/>
      <c r="BS660" s="1719">
        <f>BS632+BS641+BS655</f>
        <v>0</v>
      </c>
      <c r="BT660" s="1720"/>
      <c r="BU660" s="1720"/>
      <c r="BV660" s="1720"/>
      <c r="BW660" s="1721"/>
      <c r="BX660" s="1719">
        <f>BX632+BX641+BX655</f>
        <v>0</v>
      </c>
      <c r="BY660" s="1720"/>
      <c r="BZ660" s="1720"/>
      <c r="CA660" s="1720"/>
      <c r="CB660" s="1721"/>
      <c r="CC660" s="1719">
        <f>CC632+CC641+CC655</f>
        <v>0</v>
      </c>
      <c r="CD660" s="1720"/>
      <c r="CE660" s="1720"/>
      <c r="CF660" s="1720"/>
      <c r="CG660" s="1721"/>
      <c r="CH660" s="1719">
        <f>CH632+CH641+CH655</f>
        <v>0</v>
      </c>
      <c r="CI660" s="1720"/>
      <c r="CJ660" s="1720"/>
      <c r="CK660" s="1720"/>
      <c r="CL660" s="1721"/>
      <c r="CM660" s="1376">
        <f>CM655+CM641+CM632</f>
        <v>0</v>
      </c>
      <c r="CN660" s="1377"/>
      <c r="CO660" s="1377"/>
      <c r="CP660" s="1377"/>
      <c r="CQ660" s="1378"/>
      <c r="CR660" s="3"/>
      <c r="CS660" s="895">
        <f>CS634+CS658</f>
        <v>421</v>
      </c>
      <c r="CT660" s="57" t="s">
        <v>2053</v>
      </c>
      <c r="CU660" s="3"/>
      <c r="CV660" s="3"/>
      <c r="CW660" s="3"/>
      <c r="CX660" s="3"/>
      <c r="CY660" s="3"/>
      <c r="CZ660" s="3"/>
      <c r="DA660" s="3"/>
      <c r="DB660" s="3"/>
      <c r="DC660" s="3"/>
      <c r="DD660" s="3"/>
      <c r="DE660" s="3"/>
      <c r="DF660" s="3"/>
      <c r="DX660" s="1375" t="e">
        <f t="shared" si="42"/>
        <v>#VALUE!</v>
      </c>
      <c r="DY660" s="1375"/>
      <c r="DZ660" s="1375"/>
      <c r="EA660" s="1375"/>
      <c r="EB660" s="1375"/>
      <c r="EC660" s="1375" t="e">
        <f t="shared" si="43"/>
        <v>#VALUE!</v>
      </c>
      <c r="ED660" s="1375"/>
      <c r="EE660" s="1375"/>
      <c r="EF660" s="1375"/>
      <c r="EG660" s="1375"/>
      <c r="EH660" s="1375" t="e">
        <f t="shared" si="44"/>
        <v>#VALUE!</v>
      </c>
      <c r="EI660" s="1375"/>
      <c r="EJ660" s="1375"/>
      <c r="EK660" s="1375"/>
      <c r="EL660" s="1375"/>
      <c r="EM660" s="1375" t="e">
        <f t="shared" si="45"/>
        <v>#VALUE!</v>
      </c>
      <c r="EN660" s="1375"/>
      <c r="EO660" s="1375"/>
      <c r="EP660" s="1375"/>
      <c r="EQ660" s="1375"/>
      <c r="ER660" s="1375" t="e">
        <f t="shared" si="46"/>
        <v>#VALUE!</v>
      </c>
      <c r="ES660" s="1375"/>
      <c r="ET660" s="1375"/>
      <c r="EU660" s="1375"/>
      <c r="EV660" s="1375"/>
      <c r="EW660" s="1375" t="e">
        <f t="shared" si="47"/>
        <v>#VALUE!</v>
      </c>
      <c r="EX660" s="1375"/>
      <c r="EY660" s="1375"/>
      <c r="EZ660" s="1375"/>
      <c r="FA660" s="1375"/>
    </row>
    <row r="661" spans="1:157" ht="12.9" customHeight="1">
      <c r="A661" s="22"/>
      <c r="B661" t="s">
        <v>587</v>
      </c>
      <c r="G661" s="1397"/>
      <c r="H661" s="1397"/>
      <c r="I661" s="1397"/>
      <c r="J661" s="1397"/>
      <c r="K661" s="1397"/>
      <c r="L661" s="1397"/>
      <c r="M661" s="1397"/>
      <c r="N661" s="1397"/>
      <c r="O661" s="1397"/>
      <c r="P661" s="1397"/>
      <c r="Q661" s="1397"/>
      <c r="R661" s="1397"/>
      <c r="T661" s="22"/>
      <c r="U661" t="s">
        <v>587</v>
      </c>
      <c r="Z661" s="1396"/>
      <c r="AA661" s="1396"/>
      <c r="AB661" s="1396"/>
      <c r="AC661" s="1396"/>
      <c r="AD661" s="1396"/>
      <c r="AE661" s="1396"/>
      <c r="AF661" s="1396"/>
      <c r="AG661" s="1396"/>
      <c r="AH661" s="1396"/>
      <c r="AI661" s="1396"/>
      <c r="AJ661" s="1396"/>
      <c r="AK661" s="1396"/>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75" t="e">
        <f t="shared" si="42"/>
        <v>#VALUE!</v>
      </c>
      <c r="DY661" s="1375"/>
      <c r="DZ661" s="1375"/>
      <c r="EA661" s="1375"/>
      <c r="EB661" s="1375"/>
      <c r="EC661" s="1375" t="e">
        <f t="shared" si="43"/>
        <v>#VALUE!</v>
      </c>
      <c r="ED661" s="1375"/>
      <c r="EE661" s="1375"/>
      <c r="EF661" s="1375"/>
      <c r="EG661" s="1375"/>
      <c r="EH661" s="1375" t="e">
        <f t="shared" si="44"/>
        <v>#VALUE!</v>
      </c>
      <c r="EI661" s="1375"/>
      <c r="EJ661" s="1375"/>
      <c r="EK661" s="1375"/>
      <c r="EL661" s="1375"/>
      <c r="EM661" s="1375" t="e">
        <f t="shared" si="45"/>
        <v>#VALUE!</v>
      </c>
      <c r="EN661" s="1375"/>
      <c r="EO661" s="1375"/>
      <c r="EP661" s="1375"/>
      <c r="EQ661" s="1375"/>
      <c r="ER661" s="1375" t="e">
        <f t="shared" si="46"/>
        <v>#VALUE!</v>
      </c>
      <c r="ES661" s="1375"/>
      <c r="ET661" s="1375"/>
      <c r="EU661" s="1375"/>
      <c r="EV661" s="1375"/>
      <c r="EW661" s="1375" t="e">
        <f t="shared" si="47"/>
        <v>#VALUE!</v>
      </c>
      <c r="EX661" s="1375"/>
      <c r="EY661" s="1375"/>
      <c r="EZ661" s="1375"/>
      <c r="FA661" s="1375"/>
    </row>
    <row r="662" spans="1:157" ht="12.9" customHeight="1">
      <c r="A662" s="22"/>
      <c r="B662" t="s">
        <v>17</v>
      </c>
      <c r="G662" s="1397"/>
      <c r="H662" s="1397"/>
      <c r="I662" s="1397"/>
      <c r="J662" s="1397"/>
      <c r="K662" s="1397"/>
      <c r="L662" s="1397"/>
      <c r="M662" s="1397"/>
      <c r="N662" s="1397"/>
      <c r="O662" s="1397"/>
      <c r="P662" s="1397"/>
      <c r="Q662" s="1397"/>
      <c r="R662" s="1397"/>
      <c r="T662" s="22"/>
      <c r="U662" t="s">
        <v>17</v>
      </c>
      <c r="Z662" s="1396"/>
      <c r="AA662" s="1396"/>
      <c r="AB662" s="1396"/>
      <c r="AC662" s="1396"/>
      <c r="AD662" s="1396"/>
      <c r="AE662" s="1396"/>
      <c r="AF662" s="1396"/>
      <c r="AG662" s="1396"/>
      <c r="AH662" s="1396"/>
      <c r="AI662" s="1396"/>
      <c r="AJ662" s="1396"/>
      <c r="AK662" s="1396"/>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5" t="e">
        <f t="shared" si="42"/>
        <v>#VALUE!</v>
      </c>
      <c r="DY662" s="1375"/>
      <c r="DZ662" s="1375"/>
      <c r="EA662" s="1375"/>
      <c r="EB662" s="1375"/>
      <c r="EC662" s="1375" t="e">
        <f t="shared" si="43"/>
        <v>#VALUE!</v>
      </c>
      <c r="ED662" s="1375"/>
      <c r="EE662" s="1375"/>
      <c r="EF662" s="1375"/>
      <c r="EG662" s="1375"/>
      <c r="EH662" s="1375" t="e">
        <f t="shared" si="44"/>
        <v>#VALUE!</v>
      </c>
      <c r="EI662" s="1375"/>
      <c r="EJ662" s="1375"/>
      <c r="EK662" s="1375"/>
      <c r="EL662" s="1375"/>
      <c r="EM662" s="1375" t="e">
        <f t="shared" si="45"/>
        <v>#VALUE!</v>
      </c>
      <c r="EN662" s="1375"/>
      <c r="EO662" s="1375"/>
      <c r="EP662" s="1375"/>
      <c r="EQ662" s="1375"/>
      <c r="ER662" s="1375" t="e">
        <f t="shared" si="46"/>
        <v>#VALUE!</v>
      </c>
      <c r="ES662" s="1375"/>
      <c r="ET662" s="1375"/>
      <c r="EU662" s="1375"/>
      <c r="EV662" s="1375"/>
      <c r="EW662" s="1375" t="e">
        <f t="shared" si="47"/>
        <v>#VALUE!</v>
      </c>
      <c r="EX662" s="1375"/>
      <c r="EY662" s="1375"/>
      <c r="EZ662" s="1375"/>
      <c r="FA662" s="1375"/>
    </row>
    <row r="663" spans="1:157" ht="12.9" customHeight="1">
      <c r="A663" s="22"/>
      <c r="B663" t="s">
        <v>316</v>
      </c>
      <c r="G663" s="1400"/>
      <c r="H663" s="1400"/>
      <c r="I663" s="1400"/>
      <c r="J663" s="1400"/>
      <c r="K663" s="1400"/>
      <c r="L663" s="1400"/>
      <c r="O663" s="33" t="s">
        <v>206</v>
      </c>
      <c r="P663" s="1399"/>
      <c r="Q663" s="1399"/>
      <c r="R663" s="1399"/>
      <c r="T663" s="22"/>
      <c r="U663" t="s">
        <v>316</v>
      </c>
      <c r="Z663" s="1400"/>
      <c r="AA663" s="1400"/>
      <c r="AB663" s="1400"/>
      <c r="AC663" s="1400"/>
      <c r="AD663" s="1400"/>
      <c r="AE663" s="1400"/>
      <c r="AH663" s="33" t="s">
        <v>206</v>
      </c>
      <c r="AI663" s="1399"/>
      <c r="AJ663" s="1399"/>
      <c r="AK663" s="139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5" t="e">
        <f t="shared" si="42"/>
        <v>#VALUE!</v>
      </c>
      <c r="DY663" s="1375"/>
      <c r="DZ663" s="1375"/>
      <c r="EA663" s="1375"/>
      <c r="EB663" s="1375"/>
      <c r="EC663" s="1375" t="e">
        <f t="shared" si="43"/>
        <v>#VALUE!</v>
      </c>
      <c r="ED663" s="1375"/>
      <c r="EE663" s="1375"/>
      <c r="EF663" s="1375"/>
      <c r="EG663" s="1375"/>
      <c r="EH663" s="1375" t="e">
        <f t="shared" si="44"/>
        <v>#VALUE!</v>
      </c>
      <c r="EI663" s="1375"/>
      <c r="EJ663" s="1375"/>
      <c r="EK663" s="1375"/>
      <c r="EL663" s="1375"/>
      <c r="EM663" s="1375" t="e">
        <f t="shared" si="45"/>
        <v>#VALUE!</v>
      </c>
      <c r="EN663" s="1375"/>
      <c r="EO663" s="1375"/>
      <c r="EP663" s="1375"/>
      <c r="EQ663" s="1375"/>
      <c r="ER663" s="1375" t="e">
        <f t="shared" si="46"/>
        <v>#VALUE!</v>
      </c>
      <c r="ES663" s="1375"/>
      <c r="ET663" s="1375"/>
      <c r="EU663" s="1375"/>
      <c r="EV663" s="1375"/>
      <c r="EW663" s="1375" t="e">
        <f t="shared" si="47"/>
        <v>#VALUE!</v>
      </c>
      <c r="EX663" s="1375"/>
      <c r="EY663" s="1375"/>
      <c r="EZ663" s="1375"/>
      <c r="FA663" s="1375"/>
    </row>
    <row r="664" spans="1:157" ht="12.9" customHeight="1">
      <c r="A664" s="22"/>
      <c r="B664" t="s">
        <v>18</v>
      </c>
      <c r="H664" s="1397"/>
      <c r="I664" s="1397"/>
      <c r="J664" s="1397"/>
      <c r="K664" s="1397"/>
      <c r="L664" s="1397"/>
      <c r="M664" s="1397"/>
      <c r="N664" s="1397"/>
      <c r="O664" s="1397"/>
      <c r="P664" s="1397"/>
      <c r="Q664" s="1397"/>
      <c r="R664" s="1397"/>
      <c r="T664" s="22"/>
      <c r="U664" t="s">
        <v>18</v>
      </c>
      <c r="AA664" s="1397"/>
      <c r="AB664" s="1397"/>
      <c r="AC664" s="1397"/>
      <c r="AD664" s="1397"/>
      <c r="AE664" s="1397"/>
      <c r="AF664" s="1397"/>
      <c r="AG664" s="1397"/>
      <c r="AH664" s="1397"/>
      <c r="AI664" s="1397"/>
      <c r="AJ664" s="1397"/>
      <c r="AK664" s="139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5" t="e">
        <f t="shared" si="42"/>
        <v>#VALUE!</v>
      </c>
      <c r="DY664" s="1375"/>
      <c r="DZ664" s="1375"/>
      <c r="EA664" s="1375"/>
      <c r="EB664" s="1375"/>
      <c r="EC664" s="1375" t="e">
        <f t="shared" si="43"/>
        <v>#VALUE!</v>
      </c>
      <c r="ED664" s="1375"/>
      <c r="EE664" s="1375"/>
      <c r="EF664" s="1375"/>
      <c r="EG664" s="1375"/>
      <c r="EH664" s="1375" t="e">
        <f t="shared" si="44"/>
        <v>#VALUE!</v>
      </c>
      <c r="EI664" s="1375"/>
      <c r="EJ664" s="1375"/>
      <c r="EK664" s="1375"/>
      <c r="EL664" s="1375"/>
      <c r="EM664" s="1375" t="e">
        <f t="shared" si="45"/>
        <v>#VALUE!</v>
      </c>
      <c r="EN664" s="1375"/>
      <c r="EO664" s="1375"/>
      <c r="EP664" s="1375"/>
      <c r="EQ664" s="1375"/>
      <c r="ER664" s="1375" t="e">
        <f t="shared" si="46"/>
        <v>#VALUE!</v>
      </c>
      <c r="ES664" s="1375"/>
      <c r="ET664" s="1375"/>
      <c r="EU664" s="1375"/>
      <c r="EV664" s="1375"/>
      <c r="EW664" s="1375" t="e">
        <f t="shared" si="47"/>
        <v>#VALUE!</v>
      </c>
      <c r="EX664" s="1375"/>
      <c r="EY664" s="1375"/>
      <c r="EZ664" s="1375"/>
      <c r="FA664" s="1375"/>
    </row>
    <row r="665" spans="1:157" ht="12.9" customHeight="1">
      <c r="A665" s="22"/>
      <c r="B665" t="s">
        <v>20</v>
      </c>
      <c r="N665" s="1415" t="s">
        <v>676</v>
      </c>
      <c r="O665" s="1415"/>
      <c r="T665" s="22"/>
      <c r="U665" t="s">
        <v>20</v>
      </c>
      <c r="AG665" s="1415" t="s">
        <v>676</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5" t="e">
        <f t="shared" si="42"/>
        <v>#VALUE!</v>
      </c>
      <c r="DY665" s="1375"/>
      <c r="DZ665" s="1375"/>
      <c r="EA665" s="1375"/>
      <c r="EB665" s="1375"/>
      <c r="EC665" s="1375" t="e">
        <f t="shared" si="43"/>
        <v>#VALUE!</v>
      </c>
      <c r="ED665" s="1375"/>
      <c r="EE665" s="1375"/>
      <c r="EF665" s="1375"/>
      <c r="EG665" s="1375"/>
      <c r="EH665" s="1375" t="e">
        <f t="shared" si="44"/>
        <v>#VALUE!</v>
      </c>
      <c r="EI665" s="1375"/>
      <c r="EJ665" s="1375"/>
      <c r="EK665" s="1375"/>
      <c r="EL665" s="1375"/>
      <c r="EM665" s="1375" t="e">
        <f t="shared" si="45"/>
        <v>#VALUE!</v>
      </c>
      <c r="EN665" s="1375"/>
      <c r="EO665" s="1375"/>
      <c r="EP665" s="1375"/>
      <c r="EQ665" s="1375"/>
      <c r="ER665" s="1375" t="e">
        <f t="shared" si="46"/>
        <v>#VALUE!</v>
      </c>
      <c r="ES665" s="1375"/>
      <c r="ET665" s="1375"/>
      <c r="EU665" s="1375"/>
      <c r="EV665" s="1375"/>
      <c r="EW665" s="1375" t="e">
        <f t="shared" si="47"/>
        <v>#VALUE!</v>
      </c>
      <c r="EX665" s="1375"/>
      <c r="EY665" s="1375"/>
      <c r="EZ665" s="1375"/>
      <c r="FA665" s="1375"/>
    </row>
    <row r="666" spans="1:157" ht="12.9"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5" t="e">
        <f t="shared" si="42"/>
        <v>#VALUE!</v>
      </c>
      <c r="DY666" s="1375"/>
      <c r="DZ666" s="1375"/>
      <c r="EA666" s="1375"/>
      <c r="EB666" s="1375"/>
      <c r="EC666" s="1375" t="e">
        <f t="shared" si="43"/>
        <v>#VALUE!</v>
      </c>
      <c r="ED666" s="1375"/>
      <c r="EE666" s="1375"/>
      <c r="EF666" s="1375"/>
      <c r="EG666" s="1375"/>
      <c r="EH666" s="1375" t="e">
        <f t="shared" si="44"/>
        <v>#VALUE!</v>
      </c>
      <c r="EI666" s="1375"/>
      <c r="EJ666" s="1375"/>
      <c r="EK666" s="1375"/>
      <c r="EL666" s="1375"/>
      <c r="EM666" s="1375" t="e">
        <f t="shared" si="45"/>
        <v>#VALUE!</v>
      </c>
      <c r="EN666" s="1375"/>
      <c r="EO666" s="1375"/>
      <c r="EP666" s="1375"/>
      <c r="EQ666" s="1375"/>
      <c r="ER666" s="1375" t="e">
        <f t="shared" si="46"/>
        <v>#VALUE!</v>
      </c>
      <c r="ES666" s="1375"/>
      <c r="ET666" s="1375"/>
      <c r="EU666" s="1375"/>
      <c r="EV666" s="1375"/>
      <c r="EW666" s="1375" t="e">
        <f t="shared" si="47"/>
        <v>#VALUE!</v>
      </c>
      <c r="EX666" s="1375"/>
      <c r="EY666" s="1375"/>
      <c r="EZ666" s="1375"/>
      <c r="FA666" s="1375"/>
    </row>
    <row r="667" spans="1:157" ht="12.9" customHeight="1">
      <c r="A667" s="55" t="s">
        <v>462</v>
      </c>
      <c r="B667" t="s">
        <v>470</v>
      </c>
      <c r="G667" s="1511">
        <f>C633</f>
        <v>0</v>
      </c>
      <c r="H667" s="1511"/>
      <c r="I667" s="1511"/>
      <c r="J667" s="1511"/>
      <c r="K667" s="1511"/>
      <c r="L667" s="1511"/>
      <c r="M667" s="1511"/>
      <c r="N667" s="1511"/>
      <c r="O667" s="1511"/>
      <c r="P667" s="1511"/>
      <c r="Q667" s="1511"/>
      <c r="R667" s="1511"/>
      <c r="T667" s="55" t="s">
        <v>463</v>
      </c>
      <c r="U667" t="s">
        <v>470</v>
      </c>
      <c r="Z667" s="1511">
        <f>C634</f>
        <v>0</v>
      </c>
      <c r="AA667" s="1511"/>
      <c r="AB667" s="1511"/>
      <c r="AC667" s="1511"/>
      <c r="AD667" s="1511"/>
      <c r="AE667" s="1511"/>
      <c r="AF667" s="1511"/>
      <c r="AG667" s="1511"/>
      <c r="AH667" s="1511"/>
      <c r="AI667" s="1511"/>
      <c r="AJ667" s="1511"/>
      <c r="AK667" s="1511"/>
      <c r="AZ667" s="3"/>
      <c r="BA667" s="118">
        <f t="shared" ref="BA667:BA699" si="48">IF($G718=0,"N/A",VLOOKUP($T$189,TC_Rent,(MATCH($B718,bedrooms,FALSE))))</f>
        <v>3426</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5" t="e">
        <f t="shared" si="42"/>
        <v>#VALUE!</v>
      </c>
      <c r="DY667" s="1375"/>
      <c r="DZ667" s="1375"/>
      <c r="EA667" s="1375"/>
      <c r="EB667" s="1375"/>
      <c r="EC667" s="1375" t="e">
        <f t="shared" si="43"/>
        <v>#VALUE!</v>
      </c>
      <c r="ED667" s="1375"/>
      <c r="EE667" s="1375"/>
      <c r="EF667" s="1375"/>
      <c r="EG667" s="1375"/>
      <c r="EH667" s="1375" t="e">
        <f t="shared" si="44"/>
        <v>#VALUE!</v>
      </c>
      <c r="EI667" s="1375"/>
      <c r="EJ667" s="1375"/>
      <c r="EK667" s="1375"/>
      <c r="EL667" s="1375"/>
      <c r="EM667" s="1375" t="e">
        <f t="shared" si="45"/>
        <v>#VALUE!</v>
      </c>
      <c r="EN667" s="1375"/>
      <c r="EO667" s="1375"/>
      <c r="EP667" s="1375"/>
      <c r="EQ667" s="1375"/>
      <c r="ER667" s="1375" t="e">
        <f t="shared" si="46"/>
        <v>#VALUE!</v>
      </c>
      <c r="ES667" s="1375"/>
      <c r="ET667" s="1375"/>
      <c r="EU667" s="1375"/>
      <c r="EV667" s="1375"/>
      <c r="EW667" s="1375" t="e">
        <f t="shared" si="47"/>
        <v>#VALUE!</v>
      </c>
      <c r="EX667" s="1375"/>
      <c r="EY667" s="1375"/>
      <c r="EZ667" s="1375"/>
      <c r="FA667" s="1375"/>
    </row>
    <row r="668" spans="1:157" ht="12.9" customHeight="1">
      <c r="A668" s="22"/>
      <c r="B668" t="s">
        <v>85</v>
      </c>
      <c r="G668" s="1397"/>
      <c r="H668" s="1397"/>
      <c r="I668" s="1397"/>
      <c r="J668" s="1397"/>
      <c r="K668" s="1397"/>
      <c r="L668" s="1397"/>
      <c r="M668" s="1397"/>
      <c r="N668" s="1397"/>
      <c r="O668" s="1397"/>
      <c r="P668" s="1397"/>
      <c r="Q668" s="1397"/>
      <c r="R668" s="1397"/>
      <c r="T668" s="22"/>
      <c r="U668" t="s">
        <v>85</v>
      </c>
      <c r="Z668" s="1397"/>
      <c r="AA668" s="1397"/>
      <c r="AB668" s="1397"/>
      <c r="AC668" s="1397"/>
      <c r="AD668" s="1397"/>
      <c r="AE668" s="1397"/>
      <c r="AF668" s="1397"/>
      <c r="AG668" s="1397"/>
      <c r="AH668" s="1397"/>
      <c r="AI668" s="1397"/>
      <c r="AJ668" s="1397"/>
      <c r="AK668" s="1397"/>
      <c r="AZ668" s="3"/>
      <c r="BA668" s="118">
        <f t="shared" si="48"/>
        <v>3426</v>
      </c>
      <c r="BB668" s="3"/>
      <c r="BC668" s="3"/>
      <c r="BD668" s="3"/>
      <c r="BE668" s="3"/>
      <c r="BF668" s="218"/>
      <c r="BG668" s="315">
        <f t="shared" ref="BG668:BG700" si="49">G718</f>
        <v>58</v>
      </c>
      <c r="BH668" s="319">
        <f t="shared" ref="BH668:BH702" si="50">IF($BG$703=0,0,BG668/$BG$703)</f>
        <v>0.13776722090261281</v>
      </c>
      <c r="BI668" s="320">
        <f t="shared" ref="BI668:BI691" si="51">IF(BH668=0,"",BH668*AC718)</f>
        <v>4.1330166270783841E-2</v>
      </c>
      <c r="BJ668" s="3"/>
      <c r="BK668" s="3"/>
      <c r="BL668" s="3"/>
      <c r="BM668" s="3"/>
      <c r="BN668" s="3"/>
      <c r="BO668" s="3"/>
      <c r="BT668" s="315">
        <f t="shared" ref="BT668:BT700" si="52">G718</f>
        <v>58</v>
      </c>
      <c r="BU668" s="319">
        <f t="shared" ref="BU668:BU702" si="53">IF($BT$703=0,0,BT668/$BT$703)</f>
        <v>0.13776722090261281</v>
      </c>
      <c r="BV668" s="320">
        <f t="shared" ref="BV668:BV700" si="54">IF(BU668=0,"",BU668*AH718)</f>
        <v>4.1338208723842959E-2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5" t="e">
        <f>DX630*(BN630/$BN$632)</f>
        <v>#VALUE!</v>
      </c>
      <c r="DY668" s="1375"/>
      <c r="DZ668" s="1375"/>
      <c r="EA668" s="1375"/>
      <c r="EB668" s="1375"/>
      <c r="EC668" s="1375" t="e">
        <f>EC630*(BS630/$BS$632)</f>
        <v>#VALUE!</v>
      </c>
      <c r="ED668" s="1375"/>
      <c r="EE668" s="1375"/>
      <c r="EF668" s="1375"/>
      <c r="EG668" s="1375"/>
      <c r="EH668" s="1375" t="e">
        <f>EH630*(BX630/$BX$632)</f>
        <v>#VALUE!</v>
      </c>
      <c r="EI668" s="1375"/>
      <c r="EJ668" s="1375"/>
      <c r="EK668" s="1375"/>
      <c r="EL668" s="1375"/>
      <c r="EM668" s="1375" t="e">
        <f>EM630*(CC630/$CC$632)</f>
        <v>#VALUE!</v>
      </c>
      <c r="EN668" s="1375"/>
      <c r="EO668" s="1375"/>
      <c r="EP668" s="1375"/>
      <c r="EQ668" s="1375"/>
      <c r="ER668" s="1375" t="e">
        <f>ER630*(CH630/$CH$632)</f>
        <v>#VALUE!</v>
      </c>
      <c r="ES668" s="1375"/>
      <c r="ET668" s="1375"/>
      <c r="EU668" s="1375"/>
      <c r="EV668" s="1375"/>
      <c r="EW668" s="1375" t="e">
        <f>EW630*(CM630/$CM$632)</f>
        <v>#VALUE!</v>
      </c>
      <c r="EX668" s="1375"/>
      <c r="EY668" s="1375"/>
      <c r="EZ668" s="1375"/>
      <c r="FA668" s="1375"/>
    </row>
    <row r="669" spans="1:157" ht="12.9" customHeight="1">
      <c r="A669" s="22"/>
      <c r="B669" t="s">
        <v>587</v>
      </c>
      <c r="G669" s="1397"/>
      <c r="H669" s="1397"/>
      <c r="I669" s="1397"/>
      <c r="J669" s="1397"/>
      <c r="K669" s="1397"/>
      <c r="L669" s="1397"/>
      <c r="M669" s="1397"/>
      <c r="N669" s="1397"/>
      <c r="O669" s="1397"/>
      <c r="P669" s="1397"/>
      <c r="Q669" s="1397"/>
      <c r="R669" s="1397"/>
      <c r="T669" s="22"/>
      <c r="U669" t="s">
        <v>587</v>
      </c>
      <c r="Z669" s="1396"/>
      <c r="AA669" s="1396"/>
      <c r="AB669" s="1396"/>
      <c r="AC669" s="1396"/>
      <c r="AD669" s="1396"/>
      <c r="AE669" s="1396"/>
      <c r="AF669" s="1396"/>
      <c r="AG669" s="1396"/>
      <c r="AH669" s="1396"/>
      <c r="AI669" s="1396"/>
      <c r="AJ669" s="1396"/>
      <c r="AK669" s="1396"/>
      <c r="AZ669" s="3"/>
      <c r="BA669" s="118">
        <f t="shared" si="48"/>
        <v>3426</v>
      </c>
      <c r="BB669" s="3"/>
      <c r="BC669" s="3"/>
      <c r="BD669" s="3"/>
      <c r="BE669" s="3"/>
      <c r="BF669" s="218"/>
      <c r="BG669" s="316">
        <f t="shared" si="49"/>
        <v>43</v>
      </c>
      <c r="BH669" s="319">
        <f t="shared" si="50"/>
        <v>0.10213776722090261</v>
      </c>
      <c r="BI669" s="320">
        <f t="shared" si="51"/>
        <v>5.1068883610451303E-2</v>
      </c>
      <c r="BJ669" s="3"/>
      <c r="BK669" s="3"/>
      <c r="BL669" s="3"/>
      <c r="BM669" s="3"/>
      <c r="BN669" s="3"/>
      <c r="BO669" s="3"/>
      <c r="BT669" s="316">
        <f t="shared" si="52"/>
        <v>43</v>
      </c>
      <c r="BU669" s="319">
        <f t="shared" si="53"/>
        <v>0.10213776722090261</v>
      </c>
      <c r="BV669" s="320">
        <f t="shared" si="54"/>
        <v>5.1068883610451303E-2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5" t="e">
        <f>DX631*(BN631/$BN$632)</f>
        <v>#VALUE!</v>
      </c>
      <c r="DY669" s="1375"/>
      <c r="DZ669" s="1375"/>
      <c r="EA669" s="1375"/>
      <c r="EB669" s="1375"/>
      <c r="EC669" s="1375" t="e">
        <f>EC631*(BS631/$BS$632)</f>
        <v>#VALUE!</v>
      </c>
      <c r="ED669" s="1375"/>
      <c r="EE669" s="1375"/>
      <c r="EF669" s="1375"/>
      <c r="EG669" s="1375"/>
      <c r="EH669" s="1375" t="e">
        <f>EH631*(BX631/$BX$632)</f>
        <v>#VALUE!</v>
      </c>
      <c r="EI669" s="1375"/>
      <c r="EJ669" s="1375"/>
      <c r="EK669" s="1375"/>
      <c r="EL669" s="1375"/>
      <c r="EM669" s="1375" t="e">
        <f>EM631*(CC631/$CC$632)</f>
        <v>#VALUE!</v>
      </c>
      <c r="EN669" s="1375"/>
      <c r="EO669" s="1375"/>
      <c r="EP669" s="1375"/>
      <c r="EQ669" s="1375"/>
      <c r="ER669" s="1375" t="e">
        <f>ER631*(CH631/$CH$632)</f>
        <v>#VALUE!</v>
      </c>
      <c r="ES669" s="1375"/>
      <c r="ET669" s="1375"/>
      <c r="EU669" s="1375"/>
      <c r="EV669" s="1375"/>
      <c r="EW669" s="1375" t="e">
        <f>EW631*(CM631/$CM$632)</f>
        <v>#VALUE!</v>
      </c>
      <c r="EX669" s="1375"/>
      <c r="EY669" s="1375"/>
      <c r="EZ669" s="1375"/>
      <c r="FA669" s="1375"/>
    </row>
    <row r="670" spans="1:157" ht="12.9" customHeight="1">
      <c r="A670" s="22"/>
      <c r="B670" t="s">
        <v>17</v>
      </c>
      <c r="G670" s="1397"/>
      <c r="H670" s="1397"/>
      <c r="I670" s="1397"/>
      <c r="J670" s="1397"/>
      <c r="K670" s="1397"/>
      <c r="L670" s="1397"/>
      <c r="M670" s="1397"/>
      <c r="N670" s="1397"/>
      <c r="O670" s="1397"/>
      <c r="P670" s="1397"/>
      <c r="Q670" s="1397"/>
      <c r="R670" s="1397"/>
      <c r="T670" s="22"/>
      <c r="U670" t="s">
        <v>17</v>
      </c>
      <c r="Z670" s="1396"/>
      <c r="AA670" s="1396"/>
      <c r="AB670" s="1396"/>
      <c r="AC670" s="1396"/>
      <c r="AD670" s="1396"/>
      <c r="AE670" s="1396"/>
      <c r="AF670" s="1396"/>
      <c r="AG670" s="1396"/>
      <c r="AH670" s="1396"/>
      <c r="AI670" s="1396"/>
      <c r="AJ670" s="1396"/>
      <c r="AK670" s="1396"/>
      <c r="AZ670" s="3"/>
      <c r="BA670" s="118">
        <f t="shared" si="48"/>
        <v>3426</v>
      </c>
      <c r="BB670" s="3"/>
      <c r="BC670" s="3"/>
      <c r="BD670" s="3"/>
      <c r="BE670" s="3"/>
      <c r="BF670" s="218"/>
      <c r="BG670" s="316">
        <f t="shared" si="49"/>
        <v>103</v>
      </c>
      <c r="BH670" s="319">
        <f t="shared" si="50"/>
        <v>0.24465558194774348</v>
      </c>
      <c r="BI670" s="320">
        <f t="shared" si="51"/>
        <v>0.14679334916864609</v>
      </c>
      <c r="BJ670" s="3"/>
      <c r="BK670" s="3"/>
      <c r="BL670" s="3"/>
      <c r="BM670" s="3"/>
      <c r="BN670" s="3"/>
      <c r="BO670" s="3"/>
      <c r="BT670" s="316">
        <f t="shared" si="52"/>
        <v>103</v>
      </c>
      <c r="BU670" s="319">
        <f t="shared" si="53"/>
        <v>0.24465558194774348</v>
      </c>
      <c r="BV670" s="320">
        <f t="shared" si="54"/>
        <v>0.14682191374330431</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5">
        <f>SUMIF(DX635:EB669,"&gt;0")</f>
        <v>2056.1377672209028</v>
      </c>
      <c r="DY670" s="1375"/>
      <c r="DZ670" s="1375"/>
      <c r="EA670" s="1375"/>
      <c r="EB670" s="1375"/>
      <c r="EC670" s="1375">
        <f>SUMIF(EC635:EG669,"&gt;0")</f>
        <v>0</v>
      </c>
      <c r="ED670" s="1375"/>
      <c r="EE670" s="1375"/>
      <c r="EF670" s="1375"/>
      <c r="EG670" s="1375"/>
      <c r="EH670" s="1375">
        <f>SUMIF(EH635:EL669,"&gt;0")</f>
        <v>0</v>
      </c>
      <c r="EI670" s="1375"/>
      <c r="EJ670" s="1375"/>
      <c r="EK670" s="1375"/>
      <c r="EL670" s="1375"/>
      <c r="EM670" s="1375">
        <f>SUMIF(EM635:EQ669,"&gt;0")</f>
        <v>0</v>
      </c>
      <c r="EN670" s="1375"/>
      <c r="EO670" s="1375"/>
      <c r="EP670" s="1375"/>
      <c r="EQ670" s="1375"/>
      <c r="ER670" s="1375">
        <f>SUMIF(ER635:EV669,"&gt;0")</f>
        <v>0</v>
      </c>
      <c r="ES670" s="1375"/>
      <c r="ET670" s="1375"/>
      <c r="EU670" s="1375"/>
      <c r="EV670" s="1375"/>
      <c r="EW670" s="1375">
        <f>SUMIF(EW635:FA669,"&gt;0")</f>
        <v>0</v>
      </c>
      <c r="EX670" s="1375"/>
      <c r="EY670" s="1375"/>
      <c r="EZ670" s="1375"/>
      <c r="FA670" s="1375"/>
    </row>
    <row r="671" spans="1:157" ht="12.9" customHeight="1">
      <c r="A671" s="22"/>
      <c r="B671" t="s">
        <v>316</v>
      </c>
      <c r="G671" s="1400"/>
      <c r="H671" s="1400"/>
      <c r="I671" s="1400"/>
      <c r="J671" s="1400"/>
      <c r="K671" s="1400"/>
      <c r="L671" s="1400"/>
      <c r="O671" s="33" t="s">
        <v>206</v>
      </c>
      <c r="P671" s="1399"/>
      <c r="Q671" s="1399"/>
      <c r="R671" s="1399"/>
      <c r="T671" s="22"/>
      <c r="U671" t="s">
        <v>316</v>
      </c>
      <c r="Z671" s="1400"/>
      <c r="AA671" s="1400"/>
      <c r="AB671" s="1400"/>
      <c r="AC671" s="1400"/>
      <c r="AD671" s="1400"/>
      <c r="AE671" s="1400"/>
      <c r="AH671" s="33" t="s">
        <v>206</v>
      </c>
      <c r="AI671" s="1399"/>
      <c r="AJ671" s="1399"/>
      <c r="AK671" s="1399"/>
      <c r="AZ671" s="3"/>
      <c r="BA671" s="118" t="str">
        <f t="shared" si="48"/>
        <v>N/A</v>
      </c>
      <c r="BB671" s="3"/>
      <c r="BC671" s="3"/>
      <c r="BD671" s="3"/>
      <c r="BE671" s="3"/>
      <c r="BF671" s="218"/>
      <c r="BG671" s="316">
        <f t="shared" si="49"/>
        <v>217</v>
      </c>
      <c r="BH671" s="319">
        <f t="shared" si="50"/>
        <v>0.51543942992874114</v>
      </c>
      <c r="BI671" s="320">
        <f t="shared" si="51"/>
        <v>0.36080760095011877</v>
      </c>
      <c r="BJ671" s="3"/>
      <c r="BK671" s="3"/>
      <c r="BL671" s="3"/>
      <c r="BM671" s="3"/>
      <c r="BN671" s="3"/>
      <c r="BO671" s="3"/>
      <c r="BT671" s="316">
        <f t="shared" si="52"/>
        <v>217</v>
      </c>
      <c r="BU671" s="319">
        <f t="shared" si="53"/>
        <v>0.51543942992874114</v>
      </c>
      <c r="BV671" s="320">
        <f t="shared" si="54"/>
        <v>0.36092796042003794</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397"/>
      <c r="I672" s="1397"/>
      <c r="J672" s="1397"/>
      <c r="K672" s="1397"/>
      <c r="L672" s="1397"/>
      <c r="M672" s="1397"/>
      <c r="N672" s="1397"/>
      <c r="O672" s="1397"/>
      <c r="P672" s="1397"/>
      <c r="Q672" s="1397"/>
      <c r="R672" s="1397"/>
      <c r="T672" s="22"/>
      <c r="U672" t="s">
        <v>18</v>
      </c>
      <c r="AA672" s="1397"/>
      <c r="AB672" s="1397"/>
      <c r="AC672" s="1397"/>
      <c r="AD672" s="1397"/>
      <c r="AE672" s="1397"/>
      <c r="AF672" s="1397"/>
      <c r="AG672" s="1397"/>
      <c r="AH672" s="1397"/>
      <c r="AI672" s="1397"/>
      <c r="AJ672" s="1397"/>
      <c r="AK672" s="1397"/>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 customHeight="1">
      <c r="A673" s="22"/>
      <c r="B673" t="s">
        <v>20</v>
      </c>
      <c r="N673" s="1415" t="s">
        <v>676</v>
      </c>
      <c r="O673" s="1415"/>
      <c r="T673" s="22"/>
      <c r="U673" t="s">
        <v>20</v>
      </c>
      <c r="AG673" s="1415" t="s">
        <v>676</v>
      </c>
      <c r="AH673" s="1415"/>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 customHeight="1">
      <c r="A675" s="55" t="s">
        <v>468</v>
      </c>
      <c r="B675" t="s">
        <v>470</v>
      </c>
      <c r="G675" s="1511">
        <f>C635</f>
        <v>0</v>
      </c>
      <c r="H675" s="1511"/>
      <c r="I675" s="1511"/>
      <c r="J675" s="1511"/>
      <c r="K675" s="1511"/>
      <c r="L675" s="1511"/>
      <c r="M675" s="1511"/>
      <c r="N675" s="1511"/>
      <c r="O675" s="1511"/>
      <c r="P675" s="1511"/>
      <c r="Q675" s="1511"/>
      <c r="R675" s="1511"/>
      <c r="T675" s="55" t="s">
        <v>653</v>
      </c>
      <c r="U675" t="s">
        <v>470</v>
      </c>
      <c r="Z675" s="1511">
        <f>C636</f>
        <v>0</v>
      </c>
      <c r="AA675" s="1511"/>
      <c r="AB675" s="1511"/>
      <c r="AC675" s="1511"/>
      <c r="AD675" s="1511"/>
      <c r="AE675" s="1511"/>
      <c r="AF675" s="1511"/>
      <c r="AG675" s="1511"/>
      <c r="AH675" s="1511"/>
      <c r="AI675" s="1511"/>
      <c r="AJ675" s="1511"/>
      <c r="AK675" s="1511"/>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 customHeight="1">
      <c r="A676" s="22"/>
      <c r="B676" t="s">
        <v>85</v>
      </c>
      <c r="G676" s="1397"/>
      <c r="H676" s="1397"/>
      <c r="I676" s="1397"/>
      <c r="J676" s="1397"/>
      <c r="K676" s="1397"/>
      <c r="L676" s="1397"/>
      <c r="M676" s="1397"/>
      <c r="N676" s="1397"/>
      <c r="O676" s="1397"/>
      <c r="P676" s="1397"/>
      <c r="Q676" s="1397"/>
      <c r="R676" s="1397"/>
      <c r="T676" s="22"/>
      <c r="U676" t="s">
        <v>85</v>
      </c>
      <c r="Z676" s="1397"/>
      <c r="AA676" s="1397"/>
      <c r="AB676" s="1397"/>
      <c r="AC676" s="1397"/>
      <c r="AD676" s="1397"/>
      <c r="AE676" s="1397"/>
      <c r="AF676" s="1397"/>
      <c r="AG676" s="1397"/>
      <c r="AH676" s="1397"/>
      <c r="AI676" s="1397"/>
      <c r="AJ676" s="1397"/>
      <c r="AK676" s="1397"/>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 customHeight="1">
      <c r="A677" s="22"/>
      <c r="B677" t="s">
        <v>587</v>
      </c>
      <c r="G677" s="1397"/>
      <c r="H677" s="1397"/>
      <c r="I677" s="1397"/>
      <c r="J677" s="1397"/>
      <c r="K677" s="1397"/>
      <c r="L677" s="1397"/>
      <c r="M677" s="1397"/>
      <c r="N677" s="1397"/>
      <c r="O677" s="1397"/>
      <c r="P677" s="1397"/>
      <c r="Q677" s="1397"/>
      <c r="R677" s="1397"/>
      <c r="T677" s="22"/>
      <c r="U677" t="s">
        <v>587</v>
      </c>
      <c r="Z677" s="1396"/>
      <c r="AA677" s="1396"/>
      <c r="AB677" s="1396"/>
      <c r="AC677" s="1396"/>
      <c r="AD677" s="1396"/>
      <c r="AE677" s="1396"/>
      <c r="AF677" s="1396"/>
      <c r="AG677" s="1396"/>
      <c r="AH677" s="1396"/>
      <c r="AI677" s="1396"/>
      <c r="AJ677" s="1396"/>
      <c r="AK677" s="1396"/>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 customHeight="1">
      <c r="A678" s="22"/>
      <c r="B678" t="s">
        <v>17</v>
      </c>
      <c r="G678" s="1397"/>
      <c r="H678" s="1397"/>
      <c r="I678" s="1397"/>
      <c r="J678" s="1397"/>
      <c r="K678" s="1397"/>
      <c r="L678" s="1397"/>
      <c r="M678" s="1397"/>
      <c r="N678" s="1397"/>
      <c r="O678" s="1397"/>
      <c r="P678" s="1397"/>
      <c r="Q678" s="1397"/>
      <c r="R678" s="1397"/>
      <c r="T678" s="22"/>
      <c r="U678" t="s">
        <v>17</v>
      </c>
      <c r="Z678" s="1396"/>
      <c r="AA678" s="1396"/>
      <c r="AB678" s="1396"/>
      <c r="AC678" s="1396"/>
      <c r="AD678" s="1396"/>
      <c r="AE678" s="1396"/>
      <c r="AF678" s="1396"/>
      <c r="AG678" s="1396"/>
      <c r="AH678" s="1396"/>
      <c r="AI678" s="1396"/>
      <c r="AJ678" s="1396"/>
      <c r="AK678" s="1396"/>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 customHeight="1">
      <c r="A679" s="22"/>
      <c r="B679" t="s">
        <v>316</v>
      </c>
      <c r="G679" s="1400"/>
      <c r="H679" s="1400"/>
      <c r="I679" s="1400"/>
      <c r="J679" s="1400"/>
      <c r="K679" s="1400"/>
      <c r="L679" s="1400"/>
      <c r="O679" s="33" t="s">
        <v>206</v>
      </c>
      <c r="P679" s="1399"/>
      <c r="Q679" s="1399"/>
      <c r="R679" s="1399"/>
      <c r="T679" s="22"/>
      <c r="U679" t="s">
        <v>316</v>
      </c>
      <c r="Z679" s="1400"/>
      <c r="AA679" s="1400"/>
      <c r="AB679" s="1400"/>
      <c r="AC679" s="1400"/>
      <c r="AD679" s="1400"/>
      <c r="AE679" s="1400"/>
      <c r="AH679" s="33" t="s">
        <v>206</v>
      </c>
      <c r="AI679" s="1399"/>
      <c r="AJ679" s="1399"/>
      <c r="AK679" s="1399"/>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 customHeight="1">
      <c r="A680" s="22"/>
      <c r="B680" t="s">
        <v>18</v>
      </c>
      <c r="H680" s="1397"/>
      <c r="I680" s="1397"/>
      <c r="J680" s="1397"/>
      <c r="K680" s="1397"/>
      <c r="L680" s="1397"/>
      <c r="M680" s="1397"/>
      <c r="N680" s="1397"/>
      <c r="O680" s="1397"/>
      <c r="P680" s="1397"/>
      <c r="Q680" s="1397"/>
      <c r="R680" s="1397"/>
      <c r="T680" s="22"/>
      <c r="U680" t="s">
        <v>18</v>
      </c>
      <c r="AA680" s="1397"/>
      <c r="AB680" s="1397"/>
      <c r="AC680" s="1397"/>
      <c r="AD680" s="1397"/>
      <c r="AE680" s="1397"/>
      <c r="AF680" s="1397"/>
      <c r="AG680" s="1397"/>
      <c r="AH680" s="1397"/>
      <c r="AI680" s="1397"/>
      <c r="AJ680" s="1397"/>
      <c r="AK680" s="1397"/>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 customHeight="1">
      <c r="A681" s="22"/>
      <c r="B681" t="s">
        <v>20</v>
      </c>
      <c r="N681" s="1415" t="s">
        <v>676</v>
      </c>
      <c r="O681" s="1415"/>
      <c r="T681" s="22"/>
      <c r="U681" t="s">
        <v>20</v>
      </c>
      <c r="AG681" s="1415" t="s">
        <v>676</v>
      </c>
      <c r="AH681" s="1415"/>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 customHeight="1">
      <c r="A683" s="55" t="s">
        <v>362</v>
      </c>
      <c r="B683" t="s">
        <v>470</v>
      </c>
      <c r="G683" s="1511">
        <f>C637</f>
        <v>0</v>
      </c>
      <c r="H683" s="1511"/>
      <c r="I683" s="1511"/>
      <c r="J683" s="1511"/>
      <c r="K683" s="1511"/>
      <c r="L683" s="1511"/>
      <c r="M683" s="1511"/>
      <c r="N683" s="1511"/>
      <c r="O683" s="1511"/>
      <c r="P683" s="1511"/>
      <c r="Q683" s="1511"/>
      <c r="R683" s="1511"/>
      <c r="T683" s="55" t="s">
        <v>363</v>
      </c>
      <c r="U683" t="s">
        <v>470</v>
      </c>
      <c r="Z683" s="1511">
        <f>C638</f>
        <v>0</v>
      </c>
      <c r="AA683" s="1511"/>
      <c r="AB683" s="1511"/>
      <c r="AC683" s="1511"/>
      <c r="AD683" s="1511"/>
      <c r="AE683" s="1511"/>
      <c r="AF683" s="1511"/>
      <c r="AG683" s="1511"/>
      <c r="AH683" s="1511"/>
      <c r="AI683" s="1511"/>
      <c r="AJ683" s="1511"/>
      <c r="AK683" s="151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 customHeight="1">
      <c r="B684" t="s">
        <v>85</v>
      </c>
      <c r="G684" s="1397"/>
      <c r="H684" s="1397"/>
      <c r="I684" s="1397"/>
      <c r="J684" s="1397"/>
      <c r="K684" s="1397"/>
      <c r="L684" s="1397"/>
      <c r="M684" s="1397"/>
      <c r="N684" s="1397"/>
      <c r="O684" s="1397"/>
      <c r="P684" s="1397"/>
      <c r="Q684" s="1397"/>
      <c r="R684" s="1397"/>
      <c r="T684" s="22"/>
      <c r="U684" t="s">
        <v>85</v>
      </c>
      <c r="Z684" s="1397"/>
      <c r="AA684" s="1397"/>
      <c r="AB684" s="1397"/>
      <c r="AC684" s="1397"/>
      <c r="AD684" s="1397"/>
      <c r="AE684" s="1397"/>
      <c r="AF684" s="1397"/>
      <c r="AG684" s="1397"/>
      <c r="AH684" s="1397"/>
      <c r="AI684" s="1397"/>
      <c r="AJ684" s="1397"/>
      <c r="AK684" s="1397"/>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 customHeight="1">
      <c r="B685" t="s">
        <v>587</v>
      </c>
      <c r="G685" s="1397"/>
      <c r="H685" s="1397"/>
      <c r="I685" s="1397"/>
      <c r="J685" s="1397"/>
      <c r="K685" s="1397"/>
      <c r="L685" s="1397"/>
      <c r="M685" s="1397"/>
      <c r="N685" s="1397"/>
      <c r="O685" s="1397"/>
      <c r="P685" s="1397"/>
      <c r="Q685" s="1397"/>
      <c r="R685" s="1397"/>
      <c r="U685" t="s">
        <v>587</v>
      </c>
      <c r="Z685" s="1396"/>
      <c r="AA685" s="1396"/>
      <c r="AB685" s="1396"/>
      <c r="AC685" s="1396"/>
      <c r="AD685" s="1396"/>
      <c r="AE685" s="1396"/>
      <c r="AF685" s="1396"/>
      <c r="AG685" s="1396"/>
      <c r="AH685" s="1396"/>
      <c r="AI685" s="1396"/>
      <c r="AJ685" s="1396"/>
      <c r="AK685" s="1396"/>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 customHeight="1">
      <c r="B686" t="s">
        <v>17</v>
      </c>
      <c r="G686" s="1397"/>
      <c r="H686" s="1397"/>
      <c r="I686" s="1397"/>
      <c r="J686" s="1397"/>
      <c r="K686" s="1397"/>
      <c r="L686" s="1397"/>
      <c r="M686" s="1397"/>
      <c r="N686" s="1397"/>
      <c r="O686" s="1397"/>
      <c r="P686" s="1397"/>
      <c r="Q686" s="1397"/>
      <c r="R686" s="1397"/>
      <c r="U686" t="s">
        <v>17</v>
      </c>
      <c r="Z686" s="1396"/>
      <c r="AA686" s="1396"/>
      <c r="AB686" s="1396"/>
      <c r="AC686" s="1396"/>
      <c r="AD686" s="1396"/>
      <c r="AE686" s="1396"/>
      <c r="AF686" s="1396"/>
      <c r="AG686" s="1396"/>
      <c r="AH686" s="1396"/>
      <c r="AI686" s="1396"/>
      <c r="AJ686" s="1396"/>
      <c r="AK686" s="1396"/>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 customHeight="1">
      <c r="B687" t="s">
        <v>316</v>
      </c>
      <c r="G687" s="1400"/>
      <c r="H687" s="1400"/>
      <c r="I687" s="1400"/>
      <c r="J687" s="1400"/>
      <c r="K687" s="1400"/>
      <c r="L687" s="1400"/>
      <c r="O687" s="33" t="s">
        <v>206</v>
      </c>
      <c r="P687" s="1399"/>
      <c r="Q687" s="1399"/>
      <c r="R687" s="1399"/>
      <c r="U687" t="s">
        <v>316</v>
      </c>
      <c r="Z687" s="1400"/>
      <c r="AA687" s="1400"/>
      <c r="AB687" s="1400"/>
      <c r="AC687" s="1400"/>
      <c r="AD687" s="1400"/>
      <c r="AE687" s="1400"/>
      <c r="AH687" s="33" t="s">
        <v>206</v>
      </c>
      <c r="AI687" s="1399"/>
      <c r="AJ687" s="1399"/>
      <c r="AK687" s="139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 customHeight="1">
      <c r="B688" t="s">
        <v>18</v>
      </c>
      <c r="H688" s="1397"/>
      <c r="I688" s="1397"/>
      <c r="J688" s="1397"/>
      <c r="K688" s="1397"/>
      <c r="L688" s="1397"/>
      <c r="M688" s="1397"/>
      <c r="N688" s="1397"/>
      <c r="O688" s="1397"/>
      <c r="P688" s="1397"/>
      <c r="Q688" s="1397"/>
      <c r="R688" s="1397"/>
      <c r="U688" t="s">
        <v>18</v>
      </c>
      <c r="AA688" s="1397"/>
      <c r="AB688" s="1397"/>
      <c r="AC688" s="1397"/>
      <c r="AD688" s="1397"/>
      <c r="AE688" s="1397"/>
      <c r="AF688" s="1397"/>
      <c r="AG688" s="1397"/>
      <c r="AH688" s="1397"/>
      <c r="AI688" s="1397"/>
      <c r="AJ688" s="1397"/>
      <c r="AK688" s="1397"/>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 customHeight="1">
      <c r="B689" t="s">
        <v>20</v>
      </c>
      <c r="N689" s="1415" t="s">
        <v>676</v>
      </c>
      <c r="O689" s="1415"/>
      <c r="U689" t="s">
        <v>20</v>
      </c>
      <c r="AG689" s="1415" t="s">
        <v>676</v>
      </c>
      <c r="AH689" s="141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 customHeight="1">
      <c r="B693" s="135"/>
      <c r="C693" s="135"/>
      <c r="E693" s="136" t="s">
        <v>436</v>
      </c>
      <c r="F693" s="135"/>
      <c r="G693" s="135"/>
      <c r="H693" s="135"/>
      <c r="AE693" s="1415" t="s">
        <v>552</v>
      </c>
      <c r="AF693" s="141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 customHeight="1">
      <c r="B694" s="135"/>
      <c r="C694" s="135"/>
      <c r="D694" s="136" t="s">
        <v>439</v>
      </c>
      <c r="E694" s="135"/>
      <c r="F694" s="135"/>
      <c r="G694" s="135"/>
      <c r="H694" s="135"/>
      <c r="AE694" s="1415" t="s">
        <v>676</v>
      </c>
      <c r="AF694" s="141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 customHeight="1">
      <c r="B695" s="135"/>
      <c r="C695" s="135"/>
      <c r="D695" s="136" t="s">
        <v>938</v>
      </c>
      <c r="E695" s="135"/>
      <c r="F695" s="135"/>
      <c r="G695" s="135"/>
      <c r="H695" s="135"/>
      <c r="AE695" s="1538">
        <v>45531</v>
      </c>
      <c r="AF695" s="1538"/>
      <c r="AG695" s="1538"/>
      <c r="AH695" s="1538"/>
      <c r="AI695" s="1538"/>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 customHeight="1">
      <c r="B696" s="135"/>
      <c r="C696" s="135"/>
      <c r="D696" s="343" t="s">
        <v>1001</v>
      </c>
      <c r="E696" s="135"/>
      <c r="F696" s="135"/>
      <c r="G696" s="135"/>
      <c r="H696" s="135"/>
      <c r="AE696" s="1841">
        <v>45637</v>
      </c>
      <c r="AF696" s="1841"/>
      <c r="AG696" s="1841"/>
      <c r="AH696" s="1841"/>
      <c r="AI696" s="1841"/>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 customHeight="1">
      <c r="B698" s="135"/>
      <c r="C698" s="135"/>
      <c r="D698" s="136" t="s">
        <v>824</v>
      </c>
      <c r="E698" s="135"/>
      <c r="F698" s="135"/>
      <c r="G698" s="135"/>
      <c r="H698" s="135"/>
      <c r="AE698" s="1538">
        <v>45778</v>
      </c>
      <c r="AF698" s="1538"/>
      <c r="AG698" s="1538"/>
      <c r="AH698" s="1538"/>
      <c r="AI698" s="1538"/>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 customHeight="1">
      <c r="B699" s="135"/>
      <c r="C699" s="135"/>
      <c r="D699" s="136" t="s">
        <v>437</v>
      </c>
      <c r="E699" s="135"/>
      <c r="F699" s="135"/>
      <c r="G699" s="135"/>
      <c r="H699" s="135"/>
      <c r="AE699" s="1580">
        <f>AM554/('Sources and Uses Budget'!S107+'Sources and Uses Budget'!B4)</f>
        <v>0.55000000108112224</v>
      </c>
      <c r="AF699" s="1580"/>
      <c r="AG699" s="1580"/>
      <c r="AH699" s="1580"/>
      <c r="AI699" s="158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 customHeight="1">
      <c r="B700" s="135"/>
      <c r="C700" s="135"/>
      <c r="D700" s="136" t="s">
        <v>438</v>
      </c>
      <c r="E700" s="135"/>
      <c r="F700" s="135"/>
      <c r="G700" s="135"/>
      <c r="H700" s="135"/>
      <c r="W700" s="1511" t="str">
        <f>H335</f>
        <v>California Housing Finance Agency</v>
      </c>
      <c r="X700" s="1511"/>
      <c r="Y700" s="1511"/>
      <c r="Z700" s="1511"/>
      <c r="AA700" s="1511"/>
      <c r="AB700" s="1511"/>
      <c r="AC700" s="1511"/>
      <c r="AD700" s="1511"/>
      <c r="AE700" s="1511"/>
      <c r="AF700" s="1511"/>
      <c r="AG700" s="1511"/>
      <c r="AH700" s="1511"/>
      <c r="AI700" s="1511"/>
      <c r="AJ700" s="1511"/>
      <c r="AK700" s="151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 customHeight="1">
      <c r="B702" s="135"/>
      <c r="C702" s="135"/>
      <c r="D702" s="136" t="s">
        <v>440</v>
      </c>
      <c r="E702" s="135"/>
      <c r="F702" s="135"/>
      <c r="G702" s="135"/>
      <c r="H702" s="135"/>
      <c r="AE702" s="1415" t="s">
        <v>676</v>
      </c>
      <c r="AF702" s="141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 customHeight="1">
      <c r="B703" s="135"/>
      <c r="C703" s="135"/>
      <c r="D703" s="136" t="s">
        <v>443</v>
      </c>
      <c r="E703" s="135"/>
      <c r="F703" s="135"/>
      <c r="G703" s="135"/>
      <c r="H703" s="135"/>
      <c r="W703" s="1397"/>
      <c r="X703" s="1397"/>
      <c r="Y703" s="1397"/>
      <c r="Z703" s="1397"/>
      <c r="AA703" s="1397"/>
      <c r="AB703" s="1397"/>
      <c r="AC703" s="1397"/>
      <c r="AD703" s="1397"/>
      <c r="AE703" s="1397"/>
      <c r="AF703" s="1397"/>
      <c r="AG703" s="1397"/>
      <c r="AH703" s="1397"/>
      <c r="AI703" s="1397"/>
      <c r="AJ703" s="1397"/>
      <c r="AK703" s="1397"/>
      <c r="AZ703" s="34"/>
      <c r="BA703" s="34"/>
      <c r="BB703" s="34"/>
      <c r="BC703" s="34"/>
      <c r="BD703" s="34"/>
      <c r="BE703" s="3"/>
      <c r="BF703" s="312" t="s">
        <v>913</v>
      </c>
      <c r="BG703" s="321">
        <f>SUM(BG668:BG702)</f>
        <v>421</v>
      </c>
      <c r="BH703" s="322">
        <f>SUM(BH668:BH702)</f>
        <v>1</v>
      </c>
      <c r="BI703" s="322">
        <f>SUM(BI668:BI702)</f>
        <v>0.6</v>
      </c>
      <c r="BN703" s="3"/>
      <c r="BO703" s="3"/>
      <c r="BT703" s="893">
        <f>SUM(BT668:BT702)</f>
        <v>421</v>
      </c>
      <c r="BU703" s="322">
        <f>SUM(BU668:BU702)</f>
        <v>1</v>
      </c>
      <c r="BV703" s="322">
        <f>SUM(BV668:BV702)</f>
        <v>0.6001569664976365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 customHeight="1">
      <c r="B704" s="135"/>
      <c r="C704" s="135"/>
      <c r="D704" s="136" t="s">
        <v>87</v>
      </c>
      <c r="E704" s="135"/>
      <c r="F704" s="135"/>
      <c r="G704" s="135"/>
      <c r="H704" s="135"/>
      <c r="J704" s="1397"/>
      <c r="K704" s="1397"/>
      <c r="L704" s="1397"/>
      <c r="M704" s="1397"/>
      <c r="N704" s="1397"/>
      <c r="O704" s="1397"/>
      <c r="P704" s="1397"/>
      <c r="Q704" s="1397"/>
      <c r="R704" s="1397"/>
      <c r="S704" s="1397"/>
      <c r="T704" s="1397"/>
      <c r="U704" s="1397"/>
      <c r="V704" s="1397"/>
      <c r="W704" s="1397"/>
      <c r="X704" s="1397"/>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 customHeight="1">
      <c r="B705" s="135"/>
      <c r="C705" s="135"/>
      <c r="D705" s="136" t="s">
        <v>88</v>
      </c>
      <c r="J705" s="1400"/>
      <c r="K705" s="1400"/>
      <c r="L705" s="1400"/>
      <c r="M705" s="1400"/>
      <c r="N705" s="1400"/>
      <c r="O705" s="1400"/>
      <c r="P705" s="4" t="s">
        <v>206</v>
      </c>
      <c r="Q705" s="4"/>
      <c r="R705" s="1399"/>
      <c r="S705" s="1399"/>
      <c r="T705" s="139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 customHeight="1">
      <c r="B706" s="135"/>
      <c r="C706" s="135"/>
      <c r="D706" s="136" t="s">
        <v>444</v>
      </c>
      <c r="W706" s="1397" t="s">
        <v>307</v>
      </c>
      <c r="X706" s="1397"/>
      <c r="Y706" s="1397"/>
      <c r="Z706" s="1397"/>
      <c r="AA706" s="1397"/>
      <c r="AB706" s="1397"/>
      <c r="AC706" s="1397"/>
      <c r="AD706" s="1397"/>
      <c r="AE706" s="1397"/>
      <c r="AF706" s="1397"/>
      <c r="AG706" s="1397"/>
      <c r="AH706" s="1397"/>
      <c r="AI706" s="1397"/>
      <c r="AJ706" s="1397"/>
      <c r="AK706" s="139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 customHeight="1">
      <c r="B707" s="135"/>
      <c r="C707" s="135"/>
      <c r="D707" s="136"/>
      <c r="E707" s="1397" t="s">
        <v>334</v>
      </c>
      <c r="F707" s="1397"/>
      <c r="G707" s="1397"/>
      <c r="H707" s="1397"/>
      <c r="I707" s="1397"/>
      <c r="J707" s="1397"/>
      <c r="K707" s="1397"/>
      <c r="L707" s="1397"/>
      <c r="M707" s="1397"/>
      <c r="N707" s="1397"/>
      <c r="O707" s="1397"/>
      <c r="P707" s="1397"/>
      <c r="Q707" s="1397"/>
      <c r="R707" s="1397"/>
      <c r="S707" s="1397"/>
      <c r="T707" s="1397"/>
      <c r="U707" s="1397"/>
      <c r="V707" s="1397"/>
      <c r="W707" s="1397"/>
      <c r="X707" s="1397"/>
      <c r="Y707" s="1397"/>
      <c r="Z707" s="1397"/>
      <c r="AA707" s="1397"/>
      <c r="AB707" s="1397"/>
      <c r="AC707" s="1397"/>
      <c r="AD707" s="1397"/>
      <c r="AE707" s="1397"/>
      <c r="AF707" s="1397"/>
      <c r="AG707" s="1397"/>
      <c r="AH707" s="1397"/>
      <c r="AI707" s="1397"/>
      <c r="AJ707" s="1397"/>
      <c r="AK707" s="139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 customHeight="1">
      <c r="A709" s="1275" t="s">
        <v>95</v>
      </c>
      <c r="B709" s="1275"/>
      <c r="C709" s="1275"/>
      <c r="D709" s="1275"/>
      <c r="E709" s="1275"/>
      <c r="F709" s="1275"/>
      <c r="G709" s="1275"/>
      <c r="H709" s="1275"/>
      <c r="I709" s="1275"/>
      <c r="J709" s="1275"/>
      <c r="K709" s="1275"/>
      <c r="L709" s="1275"/>
      <c r="M709" s="1275"/>
      <c r="N709" s="1275"/>
      <c r="O709" s="1275"/>
      <c r="P709" s="1275"/>
      <c r="Q709" s="1275"/>
      <c r="R709" s="1275"/>
      <c r="S709" s="1275"/>
      <c r="T709" s="1275"/>
      <c r="U709" s="1275"/>
      <c r="V709" s="1275"/>
      <c r="W709" s="1275"/>
      <c r="X709" s="1275"/>
      <c r="Y709" s="1275"/>
      <c r="Z709" s="1275"/>
      <c r="AA709" s="1275"/>
      <c r="AB709" s="1275"/>
      <c r="AC709" s="1275"/>
      <c r="AD709" s="1275"/>
      <c r="AE709" s="1275"/>
      <c r="AF709" s="1275"/>
      <c r="AG709" s="1275"/>
      <c r="AH709" s="1275"/>
      <c r="AI709" s="1275"/>
      <c r="AJ709" s="1275"/>
      <c r="AK709" s="1275"/>
      <c r="AL709" s="1275"/>
      <c r="AM709" s="1275"/>
      <c r="AN709" s="1275"/>
      <c r="AO709" s="1275"/>
      <c r="AP709" s="1275"/>
      <c r="AQ709" s="1275"/>
      <c r="AR709" s="1275"/>
      <c r="AS709" s="1275"/>
      <c r="AT709" s="127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 customHeight="1">
      <c r="A710" s="1275"/>
      <c r="B710" s="1275"/>
      <c r="C710" s="1275"/>
      <c r="D710" s="1275"/>
      <c r="E710" s="1275"/>
      <c r="F710" s="1275"/>
      <c r="G710" s="1275"/>
      <c r="H710" s="1275"/>
      <c r="I710" s="1275"/>
      <c r="J710" s="1275"/>
      <c r="K710" s="1275"/>
      <c r="L710" s="1275"/>
      <c r="M710" s="1275"/>
      <c r="N710" s="1275"/>
      <c r="O710" s="1275"/>
      <c r="P710" s="1275"/>
      <c r="Q710" s="1275"/>
      <c r="R710" s="1275"/>
      <c r="S710" s="1275"/>
      <c r="T710" s="1275"/>
      <c r="U710" s="1275"/>
      <c r="V710" s="1275"/>
      <c r="W710" s="1275"/>
      <c r="X710" s="1275"/>
      <c r="Y710" s="1275"/>
      <c r="Z710" s="1275"/>
      <c r="AA710" s="1275"/>
      <c r="AB710" s="1275"/>
      <c r="AC710" s="1275"/>
      <c r="AD710" s="1275"/>
      <c r="AE710" s="1275"/>
      <c r="AF710" s="1275"/>
      <c r="AG710" s="1275"/>
      <c r="AH710" s="1275"/>
      <c r="AI710" s="1275"/>
      <c r="AJ710" s="1275"/>
      <c r="AK710" s="1275"/>
      <c r="AL710" s="1275"/>
      <c r="AM710" s="1275"/>
      <c r="AN710" s="1275"/>
      <c r="AO710" s="1275"/>
      <c r="AP710" s="1275"/>
      <c r="AQ710" s="1275"/>
      <c r="AR710" s="1275"/>
      <c r="AS710" s="1275"/>
      <c r="AT710" s="127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 customHeight="1">
      <c r="A711" s="1275"/>
      <c r="B711" s="1275"/>
      <c r="C711" s="1275"/>
      <c r="D711" s="1275"/>
      <c r="E711" s="1275"/>
      <c r="F711" s="1275"/>
      <c r="G711" s="1275"/>
      <c r="H711" s="1275"/>
      <c r="I711" s="1275"/>
      <c r="J711" s="1275"/>
      <c r="K711" s="1275"/>
      <c r="L711" s="1275"/>
      <c r="M711" s="1275"/>
      <c r="N711" s="1275"/>
      <c r="O711" s="1275"/>
      <c r="P711" s="1275"/>
      <c r="Q711" s="1275"/>
      <c r="R711" s="1275"/>
      <c r="S711" s="1275"/>
      <c r="T711" s="1275"/>
      <c r="U711" s="1275"/>
      <c r="V711" s="1275"/>
      <c r="W711" s="1275"/>
      <c r="X711" s="1275"/>
      <c r="Y711" s="1275"/>
      <c r="Z711" s="1275"/>
      <c r="AA711" s="1275"/>
      <c r="AB711" s="1275"/>
      <c r="AC711" s="1275"/>
      <c r="AD711" s="1275"/>
      <c r="AE711" s="1275"/>
      <c r="AF711" s="1275"/>
      <c r="AG711" s="1275"/>
      <c r="AH711" s="1275"/>
      <c r="AI711" s="1275"/>
      <c r="AJ711" s="1275"/>
      <c r="AK711" s="1275"/>
      <c r="AL711" s="1275"/>
      <c r="AM711" s="1275"/>
      <c r="AN711" s="1275"/>
      <c r="AO711" s="1275"/>
      <c r="AP711" s="1275"/>
      <c r="AQ711" s="1275"/>
      <c r="AR711" s="1275"/>
      <c r="AS711" s="1275"/>
      <c r="AT711" s="127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 customHeight="1">
      <c r="B714" s="1398" t="s">
        <v>389</v>
      </c>
      <c r="C714" s="1382"/>
      <c r="D714" s="1382"/>
      <c r="E714" s="1382"/>
      <c r="F714" s="1383"/>
      <c r="G714" s="1398" t="s">
        <v>285</v>
      </c>
      <c r="H714" s="1382"/>
      <c r="I714" s="1382"/>
      <c r="J714" s="1383"/>
      <c r="K714" s="1581" t="s">
        <v>1866</v>
      </c>
      <c r="L714" s="1582"/>
      <c r="M714" s="1582"/>
      <c r="N714" s="1583"/>
      <c r="O714" s="1398" t="s">
        <v>454</v>
      </c>
      <c r="P714" s="1382"/>
      <c r="Q714" s="1382"/>
      <c r="R714" s="1382"/>
      <c r="S714" s="1383"/>
      <c r="T714" s="1381" t="s">
        <v>2250</v>
      </c>
      <c r="U714" s="1382"/>
      <c r="V714" s="1382"/>
      <c r="W714" s="1383"/>
      <c r="X714" s="1381" t="s">
        <v>2252</v>
      </c>
      <c r="Y714" s="1382"/>
      <c r="Z714" s="1382"/>
      <c r="AA714" s="1382"/>
      <c r="AB714" s="1383"/>
      <c r="AC714" s="1381" t="s">
        <v>2251</v>
      </c>
      <c r="AD714" s="1382"/>
      <c r="AE714" s="1382"/>
      <c r="AF714" s="1382"/>
      <c r="AG714" s="1383"/>
      <c r="AH714" s="1381" t="s">
        <v>2253</v>
      </c>
      <c r="AI714" s="1382"/>
      <c r="AJ714" s="1383"/>
      <c r="AK714" s="1381" t="s">
        <v>2287</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 customHeight="1">
      <c r="B715" s="1384"/>
      <c r="C715" s="1385"/>
      <c r="D715" s="1385"/>
      <c r="E715" s="1385"/>
      <c r="F715" s="1386"/>
      <c r="G715" s="1384"/>
      <c r="H715" s="1385"/>
      <c r="I715" s="1385"/>
      <c r="J715" s="1386"/>
      <c r="K715" s="1584"/>
      <c r="L715" s="1585"/>
      <c r="M715" s="1585"/>
      <c r="N715" s="1586"/>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 customHeight="1">
      <c r="A716" s="4"/>
      <c r="B716" s="1384"/>
      <c r="C716" s="1385"/>
      <c r="D716" s="1385"/>
      <c r="E716" s="1385"/>
      <c r="F716" s="1386"/>
      <c r="G716" s="1384"/>
      <c r="H716" s="1385"/>
      <c r="I716" s="1385"/>
      <c r="J716" s="1386"/>
      <c r="K716" s="1584"/>
      <c r="L716" s="1585"/>
      <c r="M716" s="1585"/>
      <c r="N716" s="1586"/>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 customHeight="1">
      <c r="A717" s="4"/>
      <c r="B717" s="1387"/>
      <c r="C717" s="1388"/>
      <c r="D717" s="1388"/>
      <c r="E717" s="1388"/>
      <c r="F717" s="1389"/>
      <c r="G717" s="1387"/>
      <c r="H717" s="1388"/>
      <c r="I717" s="1388"/>
      <c r="J717" s="1389"/>
      <c r="K717" s="1584"/>
      <c r="L717" s="1585"/>
      <c r="M717" s="1585"/>
      <c r="N717" s="1586"/>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 customHeight="1">
      <c r="A718" s="4"/>
      <c r="B718" s="1354" t="s">
        <v>324</v>
      </c>
      <c r="C718" s="1355"/>
      <c r="D718" s="1355"/>
      <c r="E718" s="1355"/>
      <c r="F718" s="1356"/>
      <c r="G718" s="1366">
        <v>58</v>
      </c>
      <c r="H718" s="1367"/>
      <c r="I718" s="1367"/>
      <c r="J718" s="1368"/>
      <c r="K718" s="1369">
        <v>256</v>
      </c>
      <c r="L718" s="1370"/>
      <c r="M718" s="1370"/>
      <c r="N718" s="1371"/>
      <c r="O718" s="1357">
        <v>1028</v>
      </c>
      <c r="P718" s="1358"/>
      <c r="Q718" s="1358"/>
      <c r="R718" s="1358"/>
      <c r="S718" s="1359"/>
      <c r="T718" s="1357">
        <v>0</v>
      </c>
      <c r="U718" s="1358"/>
      <c r="V718" s="1358"/>
      <c r="W718" s="1359"/>
      <c r="X718" s="1372">
        <f t="shared" ref="X718:X741" si="59">O718+T718</f>
        <v>1028</v>
      </c>
      <c r="Y718" s="1373"/>
      <c r="Z718" s="1373"/>
      <c r="AA718" s="1373"/>
      <c r="AB718" s="1374"/>
      <c r="AC718" s="1360">
        <v>0.3</v>
      </c>
      <c r="AD718" s="1361"/>
      <c r="AE718" s="1361"/>
      <c r="AF718" s="1361"/>
      <c r="AG718" s="1362"/>
      <c r="AH718" s="1363">
        <f t="shared" ref="AH718:AH751" si="60">IF($AC718&gt;0,($X718/$BA667), "")</f>
        <v>0.30005837711617045</v>
      </c>
      <c r="AI718" s="1364"/>
      <c r="AJ718" s="1365"/>
      <c r="AK718" s="1354" t="s">
        <v>598</v>
      </c>
      <c r="AL718" s="1355"/>
      <c r="AM718" s="1355"/>
      <c r="AN718" s="1355"/>
      <c r="AO718" s="135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 customHeight="1">
      <c r="A719" s="4"/>
      <c r="B719" s="1354" t="s">
        <v>324</v>
      </c>
      <c r="C719" s="1355"/>
      <c r="D719" s="1355"/>
      <c r="E719" s="1355"/>
      <c r="F719" s="1356"/>
      <c r="G719" s="1366">
        <v>43</v>
      </c>
      <c r="H719" s="1367"/>
      <c r="I719" s="1367"/>
      <c r="J719" s="1368"/>
      <c r="K719" s="1369">
        <v>256</v>
      </c>
      <c r="L719" s="1370"/>
      <c r="M719" s="1370"/>
      <c r="N719" s="1371"/>
      <c r="O719" s="1357">
        <v>1713</v>
      </c>
      <c r="P719" s="1358"/>
      <c r="Q719" s="1358"/>
      <c r="R719" s="1358"/>
      <c r="S719" s="1359"/>
      <c r="T719" s="1357">
        <v>0</v>
      </c>
      <c r="U719" s="1358"/>
      <c r="V719" s="1358"/>
      <c r="W719" s="1359"/>
      <c r="X719" s="1372">
        <f t="shared" si="59"/>
        <v>1713</v>
      </c>
      <c r="Y719" s="1373"/>
      <c r="Z719" s="1373"/>
      <c r="AA719" s="1373"/>
      <c r="AB719" s="1374"/>
      <c r="AC719" s="1360">
        <v>0.5</v>
      </c>
      <c r="AD719" s="1361"/>
      <c r="AE719" s="1361"/>
      <c r="AF719" s="1361"/>
      <c r="AG719" s="1362"/>
      <c r="AH719" s="1363">
        <f t="shared" si="60"/>
        <v>0.5</v>
      </c>
      <c r="AI719" s="1364"/>
      <c r="AJ719" s="1365"/>
      <c r="AK719" s="1354" t="s">
        <v>598</v>
      </c>
      <c r="AL719" s="1355"/>
      <c r="AM719" s="1355"/>
      <c r="AN719" s="1355"/>
      <c r="AO719" s="135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 customHeight="1">
      <c r="A720" s="4"/>
      <c r="B720" s="1354" t="s">
        <v>324</v>
      </c>
      <c r="C720" s="1355"/>
      <c r="D720" s="1355"/>
      <c r="E720" s="1355"/>
      <c r="F720" s="1356"/>
      <c r="G720" s="1366">
        <v>103</v>
      </c>
      <c r="H720" s="1367"/>
      <c r="I720" s="1367"/>
      <c r="J720" s="1368"/>
      <c r="K720" s="1369">
        <v>256</v>
      </c>
      <c r="L720" s="1370"/>
      <c r="M720" s="1370"/>
      <c r="N720" s="1371"/>
      <c r="O720" s="1357">
        <v>2056</v>
      </c>
      <c r="P720" s="1358"/>
      <c r="Q720" s="1358"/>
      <c r="R720" s="1358"/>
      <c r="S720" s="1359"/>
      <c r="T720" s="1357">
        <v>0</v>
      </c>
      <c r="U720" s="1358"/>
      <c r="V720" s="1358"/>
      <c r="W720" s="1359"/>
      <c r="X720" s="1372">
        <f t="shared" si="59"/>
        <v>2056</v>
      </c>
      <c r="Y720" s="1373"/>
      <c r="Z720" s="1373"/>
      <c r="AA720" s="1373"/>
      <c r="AB720" s="1374"/>
      <c r="AC720" s="1360">
        <v>0.6</v>
      </c>
      <c r="AD720" s="1361"/>
      <c r="AE720" s="1361"/>
      <c r="AF720" s="1361"/>
      <c r="AG720" s="1362"/>
      <c r="AH720" s="1363">
        <f t="shared" si="60"/>
        <v>0.6001167542323409</v>
      </c>
      <c r="AI720" s="1364"/>
      <c r="AJ720" s="1365"/>
      <c r="AK720" s="1354" t="s">
        <v>598</v>
      </c>
      <c r="AL720" s="1355"/>
      <c r="AM720" s="1355"/>
      <c r="AN720" s="1355"/>
      <c r="AO720" s="135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 customHeight="1">
      <c r="B721" s="1354" t="s">
        <v>324</v>
      </c>
      <c r="C721" s="1355"/>
      <c r="D721" s="1355"/>
      <c r="E721" s="1355"/>
      <c r="F721" s="1356"/>
      <c r="G721" s="1366">
        <v>217</v>
      </c>
      <c r="H721" s="1367"/>
      <c r="I721" s="1367"/>
      <c r="J721" s="1368"/>
      <c r="K721" s="1369">
        <v>256</v>
      </c>
      <c r="L721" s="1370"/>
      <c r="M721" s="1370"/>
      <c r="N721" s="1371"/>
      <c r="O721" s="1357">
        <v>2399</v>
      </c>
      <c r="P721" s="1358"/>
      <c r="Q721" s="1358"/>
      <c r="R721" s="1358"/>
      <c r="S721" s="1359"/>
      <c r="T721" s="1357">
        <v>0</v>
      </c>
      <c r="U721" s="1358"/>
      <c r="V721" s="1358"/>
      <c r="W721" s="1359"/>
      <c r="X721" s="1372">
        <f t="shared" si="59"/>
        <v>2399</v>
      </c>
      <c r="Y721" s="1373"/>
      <c r="Z721" s="1373"/>
      <c r="AA721" s="1373"/>
      <c r="AB721" s="1374"/>
      <c r="AC721" s="1360">
        <v>0.7</v>
      </c>
      <c r="AD721" s="1361"/>
      <c r="AE721" s="1361"/>
      <c r="AF721" s="1361"/>
      <c r="AG721" s="1362"/>
      <c r="AH721" s="1363">
        <f t="shared" si="60"/>
        <v>0.7002335084646818</v>
      </c>
      <c r="AI721" s="1364"/>
      <c r="AJ721" s="1365"/>
      <c r="AK721" s="1354" t="s">
        <v>598</v>
      </c>
      <c r="AL721" s="1355"/>
      <c r="AM721" s="1355"/>
      <c r="AN721" s="1355"/>
      <c r="AO721" s="135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 customHeight="1">
      <c r="B722" s="1354"/>
      <c r="C722" s="1355"/>
      <c r="D722" s="1355"/>
      <c r="E722" s="1355"/>
      <c r="F722" s="1356"/>
      <c r="G722" s="1366"/>
      <c r="H722" s="1367"/>
      <c r="I722" s="1367"/>
      <c r="J722" s="1368"/>
      <c r="K722" s="1369"/>
      <c r="L722" s="1370"/>
      <c r="M722" s="1370"/>
      <c r="N722" s="1371"/>
      <c r="O722" s="1357"/>
      <c r="P722" s="1358"/>
      <c r="Q722" s="1358"/>
      <c r="R722" s="1358"/>
      <c r="S722" s="1359"/>
      <c r="T722" s="1357"/>
      <c r="U722" s="1358"/>
      <c r="V722" s="1358"/>
      <c r="W722" s="1359"/>
      <c r="X722" s="1372">
        <f t="shared" si="59"/>
        <v>0</v>
      </c>
      <c r="Y722" s="1373"/>
      <c r="Z722" s="1373"/>
      <c r="AA722" s="1373"/>
      <c r="AB722" s="1374"/>
      <c r="AC722" s="1360"/>
      <c r="AD722" s="1361"/>
      <c r="AE722" s="1361"/>
      <c r="AF722" s="1361"/>
      <c r="AG722" s="1362"/>
      <c r="AH722" s="1363" t="str">
        <f t="shared" si="60"/>
        <v/>
      </c>
      <c r="AI722" s="1364"/>
      <c r="AJ722" s="1365"/>
      <c r="AK722" s="1354" t="s">
        <v>598</v>
      </c>
      <c r="AL722" s="1355"/>
      <c r="AM722" s="1355"/>
      <c r="AN722" s="1355"/>
      <c r="AO722" s="135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 customHeight="1">
      <c r="B723" s="1354"/>
      <c r="C723" s="1355"/>
      <c r="D723" s="1355"/>
      <c r="E723" s="1355"/>
      <c r="F723" s="1356"/>
      <c r="G723" s="1366"/>
      <c r="H723" s="1367"/>
      <c r="I723" s="1367"/>
      <c r="J723" s="1368"/>
      <c r="K723" s="1369"/>
      <c r="L723" s="1370"/>
      <c r="M723" s="1370"/>
      <c r="N723" s="1371"/>
      <c r="O723" s="1357"/>
      <c r="P723" s="1358"/>
      <c r="Q723" s="1358"/>
      <c r="R723" s="1358"/>
      <c r="S723" s="1359"/>
      <c r="T723" s="1357"/>
      <c r="U723" s="1358"/>
      <c r="V723" s="1358"/>
      <c r="W723" s="1359"/>
      <c r="X723" s="1372">
        <f t="shared" si="59"/>
        <v>0</v>
      </c>
      <c r="Y723" s="1373"/>
      <c r="Z723" s="1373"/>
      <c r="AA723" s="1373"/>
      <c r="AB723" s="1374"/>
      <c r="AC723" s="1360"/>
      <c r="AD723" s="1361"/>
      <c r="AE723" s="1361"/>
      <c r="AF723" s="1361"/>
      <c r="AG723" s="1362"/>
      <c r="AH723" s="1363" t="str">
        <f t="shared" si="60"/>
        <v/>
      </c>
      <c r="AI723" s="1364"/>
      <c r="AJ723" s="1365"/>
      <c r="AK723" s="1354" t="s">
        <v>598</v>
      </c>
      <c r="AL723" s="1355"/>
      <c r="AM723" s="1355"/>
      <c r="AN723" s="1355"/>
      <c r="AO723" s="135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 customHeight="1">
      <c r="B724" s="1354"/>
      <c r="C724" s="1355"/>
      <c r="D724" s="1355"/>
      <c r="E724" s="1355"/>
      <c r="F724" s="1356"/>
      <c r="G724" s="1366"/>
      <c r="H724" s="1367"/>
      <c r="I724" s="1367"/>
      <c r="J724" s="1368"/>
      <c r="K724" s="1369"/>
      <c r="L724" s="1370"/>
      <c r="M724" s="1370"/>
      <c r="N724" s="1371"/>
      <c r="O724" s="1357"/>
      <c r="P724" s="1358"/>
      <c r="Q724" s="1358"/>
      <c r="R724" s="1358"/>
      <c r="S724" s="1359"/>
      <c r="T724" s="1357"/>
      <c r="U724" s="1358"/>
      <c r="V724" s="1358"/>
      <c r="W724" s="1359"/>
      <c r="X724" s="1372">
        <f t="shared" si="59"/>
        <v>0</v>
      </c>
      <c r="Y724" s="1373"/>
      <c r="Z724" s="1373"/>
      <c r="AA724" s="1373"/>
      <c r="AB724" s="1374"/>
      <c r="AC724" s="1360"/>
      <c r="AD724" s="1361"/>
      <c r="AE724" s="1361"/>
      <c r="AF724" s="1361"/>
      <c r="AG724" s="1362"/>
      <c r="AH724" s="1363" t="str">
        <f t="shared" si="60"/>
        <v/>
      </c>
      <c r="AI724" s="1364"/>
      <c r="AJ724" s="1365"/>
      <c r="AK724" s="1354" t="s">
        <v>598</v>
      </c>
      <c r="AL724" s="1355"/>
      <c r="AM724" s="1355"/>
      <c r="AN724" s="1355"/>
      <c r="AO724" s="135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 customHeight="1">
      <c r="B725" s="1354"/>
      <c r="C725" s="1355"/>
      <c r="D725" s="1355"/>
      <c r="E725" s="1355"/>
      <c r="F725" s="1356"/>
      <c r="G725" s="1366"/>
      <c r="H725" s="1367"/>
      <c r="I725" s="1367"/>
      <c r="J725" s="1368"/>
      <c r="K725" s="1369"/>
      <c r="L725" s="1370"/>
      <c r="M725" s="1370"/>
      <c r="N725" s="1371"/>
      <c r="O725" s="1357"/>
      <c r="P725" s="1358"/>
      <c r="Q725" s="1358"/>
      <c r="R725" s="1358"/>
      <c r="S725" s="1359"/>
      <c r="T725" s="1357"/>
      <c r="U725" s="1358"/>
      <c r="V725" s="1358"/>
      <c r="W725" s="1359"/>
      <c r="X725" s="1372">
        <f t="shared" si="59"/>
        <v>0</v>
      </c>
      <c r="Y725" s="1373"/>
      <c r="Z725" s="1373"/>
      <c r="AA725" s="1373"/>
      <c r="AB725" s="1374"/>
      <c r="AC725" s="1360"/>
      <c r="AD725" s="1361"/>
      <c r="AE725" s="1361"/>
      <c r="AF725" s="1361"/>
      <c r="AG725" s="1362"/>
      <c r="AH725" s="1363" t="str">
        <f t="shared" si="60"/>
        <v/>
      </c>
      <c r="AI725" s="1364"/>
      <c r="AJ725" s="1365"/>
      <c r="AK725" s="1354" t="s">
        <v>598</v>
      </c>
      <c r="AL725" s="1355"/>
      <c r="AM725" s="1355"/>
      <c r="AN725" s="1355"/>
      <c r="AO725" s="135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 customHeight="1">
      <c r="B726" s="1354"/>
      <c r="C726" s="1355"/>
      <c r="D726" s="1355"/>
      <c r="E726" s="1355"/>
      <c r="F726" s="1356"/>
      <c r="G726" s="1366"/>
      <c r="H726" s="1367"/>
      <c r="I726" s="1367"/>
      <c r="J726" s="1368"/>
      <c r="K726" s="1369"/>
      <c r="L726" s="1370"/>
      <c r="M726" s="1370"/>
      <c r="N726" s="1371"/>
      <c r="O726" s="1357"/>
      <c r="P726" s="1358"/>
      <c r="Q726" s="1358"/>
      <c r="R726" s="1358"/>
      <c r="S726" s="1359"/>
      <c r="T726" s="1357"/>
      <c r="U726" s="1358"/>
      <c r="V726" s="1358"/>
      <c r="W726" s="1359"/>
      <c r="X726" s="1372">
        <f t="shared" si="59"/>
        <v>0</v>
      </c>
      <c r="Y726" s="1373"/>
      <c r="Z726" s="1373"/>
      <c r="AA726" s="1373"/>
      <c r="AB726" s="1374"/>
      <c r="AC726" s="1360"/>
      <c r="AD726" s="1361"/>
      <c r="AE726" s="1361"/>
      <c r="AF726" s="1361"/>
      <c r="AG726" s="1362"/>
      <c r="AH726" s="1363" t="str">
        <f t="shared" si="60"/>
        <v/>
      </c>
      <c r="AI726" s="1364"/>
      <c r="AJ726" s="1365"/>
      <c r="AK726" s="1354" t="s">
        <v>598</v>
      </c>
      <c r="AL726" s="1355"/>
      <c r="AM726" s="1355"/>
      <c r="AN726" s="1355"/>
      <c r="AO726" s="135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 customHeight="1">
      <c r="A727" s="4"/>
      <c r="B727" s="1354"/>
      <c r="C727" s="1355"/>
      <c r="D727" s="1355"/>
      <c r="E727" s="1355"/>
      <c r="F727" s="1356"/>
      <c r="G727" s="1366"/>
      <c r="H727" s="1367"/>
      <c r="I727" s="1367"/>
      <c r="J727" s="1368"/>
      <c r="K727" s="1369"/>
      <c r="L727" s="1370"/>
      <c r="M727" s="1370"/>
      <c r="N727" s="1371"/>
      <c r="O727" s="1357"/>
      <c r="P727" s="1358"/>
      <c r="Q727" s="1358"/>
      <c r="R727" s="1358"/>
      <c r="S727" s="1359"/>
      <c r="T727" s="1357"/>
      <c r="U727" s="1358"/>
      <c r="V727" s="1358"/>
      <c r="W727" s="1359"/>
      <c r="X727" s="1372">
        <f t="shared" si="59"/>
        <v>0</v>
      </c>
      <c r="Y727" s="1373"/>
      <c r="Z727" s="1373"/>
      <c r="AA727" s="1373"/>
      <c r="AB727" s="1374"/>
      <c r="AC727" s="1360"/>
      <c r="AD727" s="1361"/>
      <c r="AE727" s="1361"/>
      <c r="AF727" s="1361"/>
      <c r="AG727" s="1362"/>
      <c r="AH727" s="1363" t="str">
        <f t="shared" si="60"/>
        <v/>
      </c>
      <c r="AI727" s="1364"/>
      <c r="AJ727" s="1365"/>
      <c r="AK727" s="1354" t="s">
        <v>598</v>
      </c>
      <c r="AL727" s="1355"/>
      <c r="AM727" s="1355"/>
      <c r="AN727" s="1355"/>
      <c r="AO727" s="135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 customHeight="1">
      <c r="A728" s="4"/>
      <c r="B728" s="1354"/>
      <c r="C728" s="1355"/>
      <c r="D728" s="1355"/>
      <c r="E728" s="1355"/>
      <c r="F728" s="1356"/>
      <c r="G728" s="1366"/>
      <c r="H728" s="1367"/>
      <c r="I728" s="1367"/>
      <c r="J728" s="1368"/>
      <c r="K728" s="1369"/>
      <c r="L728" s="1370"/>
      <c r="M728" s="1370"/>
      <c r="N728" s="1371"/>
      <c r="O728" s="1357"/>
      <c r="P728" s="1358"/>
      <c r="Q728" s="1358"/>
      <c r="R728" s="1358"/>
      <c r="S728" s="1359"/>
      <c r="T728" s="1357"/>
      <c r="U728" s="1358"/>
      <c r="V728" s="1358"/>
      <c r="W728" s="1359"/>
      <c r="X728" s="1372">
        <f t="shared" si="59"/>
        <v>0</v>
      </c>
      <c r="Y728" s="1373"/>
      <c r="Z728" s="1373"/>
      <c r="AA728" s="1373"/>
      <c r="AB728" s="1374"/>
      <c r="AC728" s="1360"/>
      <c r="AD728" s="1361"/>
      <c r="AE728" s="1361"/>
      <c r="AF728" s="1361"/>
      <c r="AG728" s="1362"/>
      <c r="AH728" s="1363" t="str">
        <f t="shared" si="60"/>
        <v/>
      </c>
      <c r="AI728" s="1364"/>
      <c r="AJ728" s="1365"/>
      <c r="AK728" s="1354" t="s">
        <v>598</v>
      </c>
      <c r="AL728" s="1355"/>
      <c r="AM728" s="1355"/>
      <c r="AN728" s="1355"/>
      <c r="AO728" s="135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 customHeight="1">
      <c r="A729" s="4"/>
      <c r="B729" s="1354"/>
      <c r="C729" s="1355"/>
      <c r="D729" s="1355"/>
      <c r="E729" s="1355"/>
      <c r="F729" s="1356"/>
      <c r="G729" s="1366"/>
      <c r="H729" s="1367"/>
      <c r="I729" s="1367"/>
      <c r="J729" s="1368"/>
      <c r="K729" s="1369"/>
      <c r="L729" s="1370"/>
      <c r="M729" s="1370"/>
      <c r="N729" s="1371"/>
      <c r="O729" s="1357"/>
      <c r="P729" s="1358"/>
      <c r="Q729" s="1358"/>
      <c r="R729" s="1358"/>
      <c r="S729" s="1359"/>
      <c r="T729" s="1357"/>
      <c r="U729" s="1358"/>
      <c r="V729" s="1358"/>
      <c r="W729" s="1359"/>
      <c r="X729" s="1372">
        <f t="shared" si="59"/>
        <v>0</v>
      </c>
      <c r="Y729" s="1373"/>
      <c r="Z729" s="1373"/>
      <c r="AA729" s="1373"/>
      <c r="AB729" s="1374"/>
      <c r="AC729" s="1360"/>
      <c r="AD729" s="1361"/>
      <c r="AE729" s="1361"/>
      <c r="AF729" s="1361"/>
      <c r="AG729" s="1362"/>
      <c r="AH729" s="1363" t="str">
        <f t="shared" si="60"/>
        <v/>
      </c>
      <c r="AI729" s="1364"/>
      <c r="AJ729" s="1365"/>
      <c r="AK729" s="1354" t="s">
        <v>598</v>
      </c>
      <c r="AL729" s="1355"/>
      <c r="AM729" s="1355"/>
      <c r="AN729" s="1355"/>
      <c r="AO729" s="135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 customHeight="1">
      <c r="B730" s="1354"/>
      <c r="C730" s="1355"/>
      <c r="D730" s="1355"/>
      <c r="E730" s="1355"/>
      <c r="F730" s="1356"/>
      <c r="G730" s="1366"/>
      <c r="H730" s="1367"/>
      <c r="I730" s="1367"/>
      <c r="J730" s="1368"/>
      <c r="K730" s="1369"/>
      <c r="L730" s="1370"/>
      <c r="M730" s="1370"/>
      <c r="N730" s="1371"/>
      <c r="O730" s="1357"/>
      <c r="P730" s="1358"/>
      <c r="Q730" s="1358"/>
      <c r="R730" s="1358"/>
      <c r="S730" s="1359"/>
      <c r="T730" s="1357"/>
      <c r="U730" s="1358"/>
      <c r="V730" s="1358"/>
      <c r="W730" s="1359"/>
      <c r="X730" s="1372">
        <f t="shared" si="59"/>
        <v>0</v>
      </c>
      <c r="Y730" s="1373"/>
      <c r="Z730" s="1373"/>
      <c r="AA730" s="1373"/>
      <c r="AB730" s="1374"/>
      <c r="AC730" s="1360"/>
      <c r="AD730" s="1361"/>
      <c r="AE730" s="1361"/>
      <c r="AF730" s="1361"/>
      <c r="AG730" s="1362"/>
      <c r="AH730" s="1363" t="str">
        <f t="shared" si="60"/>
        <v/>
      </c>
      <c r="AI730" s="1364"/>
      <c r="AJ730" s="1365"/>
      <c r="AK730" s="1354" t="s">
        <v>598</v>
      </c>
      <c r="AL730" s="1355"/>
      <c r="AM730" s="1355"/>
      <c r="AN730" s="1355"/>
      <c r="AO730" s="135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 customHeight="1">
      <c r="B731" s="1354"/>
      <c r="C731" s="1355"/>
      <c r="D731" s="1355"/>
      <c r="E731" s="1355"/>
      <c r="F731" s="1356"/>
      <c r="G731" s="1366"/>
      <c r="H731" s="1367"/>
      <c r="I731" s="1367"/>
      <c r="J731" s="1368"/>
      <c r="K731" s="1369"/>
      <c r="L731" s="1370"/>
      <c r="M731" s="1370"/>
      <c r="N731" s="1371"/>
      <c r="O731" s="1357"/>
      <c r="P731" s="1358"/>
      <c r="Q731" s="1358"/>
      <c r="R731" s="1358"/>
      <c r="S731" s="1359"/>
      <c r="T731" s="1357"/>
      <c r="U731" s="1358"/>
      <c r="V731" s="1358"/>
      <c r="W731" s="1359"/>
      <c r="X731" s="1372">
        <f t="shared" si="59"/>
        <v>0</v>
      </c>
      <c r="Y731" s="1373"/>
      <c r="Z731" s="1373"/>
      <c r="AA731" s="1373"/>
      <c r="AB731" s="1374"/>
      <c r="AC731" s="1360"/>
      <c r="AD731" s="1361"/>
      <c r="AE731" s="1361"/>
      <c r="AF731" s="1361"/>
      <c r="AG731" s="1362"/>
      <c r="AH731" s="1363" t="str">
        <f t="shared" si="60"/>
        <v/>
      </c>
      <c r="AI731" s="1364"/>
      <c r="AJ731" s="1365"/>
      <c r="AK731" s="1354" t="s">
        <v>598</v>
      </c>
      <c r="AL731" s="1355"/>
      <c r="AM731" s="1355"/>
      <c r="AN731" s="1355"/>
      <c r="AO731" s="135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 customHeight="1">
      <c r="B732" s="1354"/>
      <c r="C732" s="1355"/>
      <c r="D732" s="1355"/>
      <c r="E732" s="1355"/>
      <c r="F732" s="1356"/>
      <c r="G732" s="1366"/>
      <c r="H732" s="1367"/>
      <c r="I732" s="1367"/>
      <c r="J732" s="1368"/>
      <c r="K732" s="1369"/>
      <c r="L732" s="1370"/>
      <c r="M732" s="1370"/>
      <c r="N732" s="1371"/>
      <c r="O732" s="1357"/>
      <c r="P732" s="1358"/>
      <c r="Q732" s="1358"/>
      <c r="R732" s="1358"/>
      <c r="S732" s="1359"/>
      <c r="T732" s="1357"/>
      <c r="U732" s="1358"/>
      <c r="V732" s="1358"/>
      <c r="W732" s="1359"/>
      <c r="X732" s="1372">
        <f t="shared" si="59"/>
        <v>0</v>
      </c>
      <c r="Y732" s="1373"/>
      <c r="Z732" s="1373"/>
      <c r="AA732" s="1373"/>
      <c r="AB732" s="1374"/>
      <c r="AC732" s="1360"/>
      <c r="AD732" s="1361"/>
      <c r="AE732" s="1361"/>
      <c r="AF732" s="1361"/>
      <c r="AG732" s="1362"/>
      <c r="AH732" s="1363" t="str">
        <f t="shared" si="60"/>
        <v/>
      </c>
      <c r="AI732" s="1364"/>
      <c r="AJ732" s="1365"/>
      <c r="AK732" s="1354" t="s">
        <v>598</v>
      </c>
      <c r="AL732" s="1355"/>
      <c r="AM732" s="1355"/>
      <c r="AN732" s="1355"/>
      <c r="AO732" s="135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 customHeight="1">
      <c r="B733" s="1354"/>
      <c r="C733" s="1355"/>
      <c r="D733" s="1355"/>
      <c r="E733" s="1355"/>
      <c r="F733" s="1356"/>
      <c r="G733" s="1366"/>
      <c r="H733" s="1367"/>
      <c r="I733" s="1367"/>
      <c r="J733" s="1368"/>
      <c r="K733" s="1369"/>
      <c r="L733" s="1370"/>
      <c r="M733" s="1370"/>
      <c r="N733" s="1371"/>
      <c r="O733" s="1357"/>
      <c r="P733" s="1358"/>
      <c r="Q733" s="1358"/>
      <c r="R733" s="1358"/>
      <c r="S733" s="1359"/>
      <c r="T733" s="1357"/>
      <c r="U733" s="1358"/>
      <c r="V733" s="1358"/>
      <c r="W733" s="1359"/>
      <c r="X733" s="1372">
        <f t="shared" si="59"/>
        <v>0</v>
      </c>
      <c r="Y733" s="1373"/>
      <c r="Z733" s="1373"/>
      <c r="AA733" s="1373"/>
      <c r="AB733" s="1374"/>
      <c r="AC733" s="1360"/>
      <c r="AD733" s="1361"/>
      <c r="AE733" s="1361"/>
      <c r="AF733" s="1361"/>
      <c r="AG733" s="1362"/>
      <c r="AH733" s="1363" t="str">
        <f t="shared" si="60"/>
        <v/>
      </c>
      <c r="AI733" s="1364"/>
      <c r="AJ733" s="1365"/>
      <c r="AK733" s="1354" t="s">
        <v>598</v>
      </c>
      <c r="AL733" s="1355"/>
      <c r="AM733" s="1355"/>
      <c r="AN733" s="1355"/>
      <c r="AO733" s="135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 customHeight="1">
      <c r="B734" s="1354"/>
      <c r="C734" s="1355"/>
      <c r="D734" s="1355"/>
      <c r="E734" s="1355"/>
      <c r="F734" s="1356"/>
      <c r="G734" s="1366"/>
      <c r="H734" s="1367"/>
      <c r="I734" s="1367"/>
      <c r="J734" s="1368"/>
      <c r="K734" s="1369"/>
      <c r="L734" s="1370"/>
      <c r="M734" s="1370"/>
      <c r="N734" s="1371"/>
      <c r="O734" s="1357"/>
      <c r="P734" s="1358"/>
      <c r="Q734" s="1358"/>
      <c r="R734" s="1358"/>
      <c r="S734" s="1359"/>
      <c r="T734" s="1357"/>
      <c r="U734" s="1358"/>
      <c r="V734" s="1358"/>
      <c r="W734" s="1359"/>
      <c r="X734" s="1372">
        <f t="shared" si="59"/>
        <v>0</v>
      </c>
      <c r="Y734" s="1373"/>
      <c r="Z734" s="1373"/>
      <c r="AA734" s="1373"/>
      <c r="AB734" s="1374"/>
      <c r="AC734" s="1360"/>
      <c r="AD734" s="1361"/>
      <c r="AE734" s="1361"/>
      <c r="AF734" s="1361"/>
      <c r="AG734" s="1362"/>
      <c r="AH734" s="1363" t="str">
        <f t="shared" si="60"/>
        <v/>
      </c>
      <c r="AI734" s="1364"/>
      <c r="AJ734" s="1365"/>
      <c r="AK734" s="1354" t="s">
        <v>598</v>
      </c>
      <c r="AL734" s="1355"/>
      <c r="AM734" s="1355"/>
      <c r="AN734" s="1355"/>
      <c r="AO734" s="135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 customHeight="1">
      <c r="B735" s="1354"/>
      <c r="C735" s="1355"/>
      <c r="D735" s="1355"/>
      <c r="E735" s="1355"/>
      <c r="F735" s="1356"/>
      <c r="G735" s="1366"/>
      <c r="H735" s="1367"/>
      <c r="I735" s="1367"/>
      <c r="J735" s="1368"/>
      <c r="K735" s="1369"/>
      <c r="L735" s="1370"/>
      <c r="M735" s="1370"/>
      <c r="N735" s="1371"/>
      <c r="O735" s="1357"/>
      <c r="P735" s="1358"/>
      <c r="Q735" s="1358"/>
      <c r="R735" s="1358"/>
      <c r="S735" s="1359"/>
      <c r="T735" s="1357"/>
      <c r="U735" s="1358"/>
      <c r="V735" s="1358"/>
      <c r="W735" s="1359"/>
      <c r="X735" s="1372">
        <f t="shared" si="59"/>
        <v>0</v>
      </c>
      <c r="Y735" s="1373"/>
      <c r="Z735" s="1373"/>
      <c r="AA735" s="1373"/>
      <c r="AB735" s="1374"/>
      <c r="AC735" s="1360"/>
      <c r="AD735" s="1361"/>
      <c r="AE735" s="1361"/>
      <c r="AF735" s="1361"/>
      <c r="AG735" s="1362"/>
      <c r="AH735" s="1363" t="str">
        <f t="shared" si="60"/>
        <v/>
      </c>
      <c r="AI735" s="1364"/>
      <c r="AJ735" s="1365"/>
      <c r="AK735" s="1354" t="s">
        <v>598</v>
      </c>
      <c r="AL735" s="1355"/>
      <c r="AM735" s="1355"/>
      <c r="AN735" s="1355"/>
      <c r="AO735" s="135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 customHeight="1">
      <c r="B736" s="1354"/>
      <c r="C736" s="1355"/>
      <c r="D736" s="1355"/>
      <c r="E736" s="1355"/>
      <c r="F736" s="1356"/>
      <c r="G736" s="1366"/>
      <c r="H736" s="1367"/>
      <c r="I736" s="1367"/>
      <c r="J736" s="1368"/>
      <c r="K736" s="1369"/>
      <c r="L736" s="1370"/>
      <c r="M736" s="1370"/>
      <c r="N736" s="1371"/>
      <c r="O736" s="1357"/>
      <c r="P736" s="1358"/>
      <c r="Q736" s="1358"/>
      <c r="R736" s="1358"/>
      <c r="S736" s="1359"/>
      <c r="T736" s="1357"/>
      <c r="U736" s="1358"/>
      <c r="V736" s="1358"/>
      <c r="W736" s="1359"/>
      <c r="X736" s="1372">
        <f t="shared" si="59"/>
        <v>0</v>
      </c>
      <c r="Y736" s="1373"/>
      <c r="Z736" s="1373"/>
      <c r="AA736" s="1373"/>
      <c r="AB736" s="1374"/>
      <c r="AC736" s="1360"/>
      <c r="AD736" s="1361"/>
      <c r="AE736" s="1361"/>
      <c r="AF736" s="1361"/>
      <c r="AG736" s="1362"/>
      <c r="AH736" s="1363" t="str">
        <f t="shared" si="60"/>
        <v/>
      </c>
      <c r="AI736" s="1364"/>
      <c r="AJ736" s="1365"/>
      <c r="AK736" s="1354" t="s">
        <v>598</v>
      </c>
      <c r="AL736" s="1355"/>
      <c r="AM736" s="1355"/>
      <c r="AN736" s="1355"/>
      <c r="AO736" s="135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 customHeight="1">
      <c r="B737" s="1354"/>
      <c r="C737" s="1355"/>
      <c r="D737" s="1355"/>
      <c r="E737" s="1355"/>
      <c r="F737" s="1356"/>
      <c r="G737" s="1366"/>
      <c r="H737" s="1367"/>
      <c r="I737" s="1367"/>
      <c r="J737" s="1368"/>
      <c r="K737" s="1369"/>
      <c r="L737" s="1370"/>
      <c r="M737" s="1370"/>
      <c r="N737" s="1371"/>
      <c r="O737" s="1357"/>
      <c r="P737" s="1358"/>
      <c r="Q737" s="1358"/>
      <c r="R737" s="1358"/>
      <c r="S737" s="1359"/>
      <c r="T737" s="1357"/>
      <c r="U737" s="1358"/>
      <c r="V737" s="1358"/>
      <c r="W737" s="1359"/>
      <c r="X737" s="1372">
        <f t="shared" si="59"/>
        <v>0</v>
      </c>
      <c r="Y737" s="1373"/>
      <c r="Z737" s="1373"/>
      <c r="AA737" s="1373"/>
      <c r="AB737" s="1374"/>
      <c r="AC737" s="1360"/>
      <c r="AD737" s="1361"/>
      <c r="AE737" s="1361"/>
      <c r="AF737" s="1361"/>
      <c r="AG737" s="1362"/>
      <c r="AH737" s="1363" t="str">
        <f t="shared" si="60"/>
        <v/>
      </c>
      <c r="AI737" s="1364"/>
      <c r="AJ737" s="1365"/>
      <c r="AK737" s="1354" t="s">
        <v>598</v>
      </c>
      <c r="AL737" s="1355"/>
      <c r="AM737" s="1355"/>
      <c r="AN737" s="1355"/>
      <c r="AO737" s="135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 customHeight="1">
      <c r="B738" s="1354"/>
      <c r="C738" s="1355"/>
      <c r="D738" s="1355"/>
      <c r="E738" s="1355"/>
      <c r="F738" s="1356"/>
      <c r="G738" s="1366"/>
      <c r="H738" s="1367"/>
      <c r="I738" s="1367"/>
      <c r="J738" s="1368"/>
      <c r="K738" s="1369"/>
      <c r="L738" s="1370"/>
      <c r="M738" s="1370"/>
      <c r="N738" s="1371"/>
      <c r="O738" s="1357"/>
      <c r="P738" s="1358"/>
      <c r="Q738" s="1358"/>
      <c r="R738" s="1358"/>
      <c r="S738" s="1359"/>
      <c r="T738" s="1357"/>
      <c r="U738" s="1358"/>
      <c r="V738" s="1358"/>
      <c r="W738" s="1359"/>
      <c r="X738" s="1372">
        <f t="shared" si="59"/>
        <v>0</v>
      </c>
      <c r="Y738" s="1373"/>
      <c r="Z738" s="1373"/>
      <c r="AA738" s="1373"/>
      <c r="AB738" s="1374"/>
      <c r="AC738" s="1360"/>
      <c r="AD738" s="1361"/>
      <c r="AE738" s="1361"/>
      <c r="AF738" s="1361"/>
      <c r="AG738" s="1362"/>
      <c r="AH738" s="1363" t="str">
        <f t="shared" si="60"/>
        <v/>
      </c>
      <c r="AI738" s="1364"/>
      <c r="AJ738" s="1365"/>
      <c r="AK738" s="1354" t="s">
        <v>598</v>
      </c>
      <c r="AL738" s="1355"/>
      <c r="AM738" s="1355"/>
      <c r="AN738" s="1355"/>
      <c r="AO738" s="135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 customHeight="1">
      <c r="B739" s="1354"/>
      <c r="C739" s="1355"/>
      <c r="D739" s="1355"/>
      <c r="E739" s="1355"/>
      <c r="F739" s="1356"/>
      <c r="G739" s="1366"/>
      <c r="H739" s="1367"/>
      <c r="I739" s="1367"/>
      <c r="J739" s="1368"/>
      <c r="K739" s="1369"/>
      <c r="L739" s="1370"/>
      <c r="M739" s="1370"/>
      <c r="N739" s="1371"/>
      <c r="O739" s="1357"/>
      <c r="P739" s="1358"/>
      <c r="Q739" s="1358"/>
      <c r="R739" s="1358"/>
      <c r="S739" s="1359"/>
      <c r="T739" s="1357"/>
      <c r="U739" s="1358"/>
      <c r="V739" s="1358"/>
      <c r="W739" s="1359"/>
      <c r="X739" s="1372">
        <f t="shared" si="59"/>
        <v>0</v>
      </c>
      <c r="Y739" s="1373"/>
      <c r="Z739" s="1373"/>
      <c r="AA739" s="1373"/>
      <c r="AB739" s="1374"/>
      <c r="AC739" s="1360"/>
      <c r="AD739" s="1361"/>
      <c r="AE739" s="1361"/>
      <c r="AF739" s="1361"/>
      <c r="AG739" s="1362"/>
      <c r="AH739" s="1363" t="str">
        <f t="shared" si="60"/>
        <v/>
      </c>
      <c r="AI739" s="1364"/>
      <c r="AJ739" s="1365"/>
      <c r="AK739" s="1354" t="s">
        <v>598</v>
      </c>
      <c r="AL739" s="1355"/>
      <c r="AM739" s="1355"/>
      <c r="AN739" s="1355"/>
      <c r="AO739" s="135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 customHeight="1">
      <c r="B740" s="1354"/>
      <c r="C740" s="1355"/>
      <c r="D740" s="1355"/>
      <c r="E740" s="1355"/>
      <c r="F740" s="1356"/>
      <c r="G740" s="1366"/>
      <c r="H740" s="1367"/>
      <c r="I740" s="1367"/>
      <c r="J740" s="1368"/>
      <c r="K740" s="1369"/>
      <c r="L740" s="1370"/>
      <c r="M740" s="1370"/>
      <c r="N740" s="1371"/>
      <c r="O740" s="1357"/>
      <c r="P740" s="1358"/>
      <c r="Q740" s="1358"/>
      <c r="R740" s="1358"/>
      <c r="S740" s="1359"/>
      <c r="T740" s="1357"/>
      <c r="U740" s="1358"/>
      <c r="V740" s="1358"/>
      <c r="W740" s="1359"/>
      <c r="X740" s="1372">
        <f t="shared" si="59"/>
        <v>0</v>
      </c>
      <c r="Y740" s="1373"/>
      <c r="Z740" s="1373"/>
      <c r="AA740" s="1373"/>
      <c r="AB740" s="1374"/>
      <c r="AC740" s="1360"/>
      <c r="AD740" s="1361"/>
      <c r="AE740" s="1361"/>
      <c r="AF740" s="1361"/>
      <c r="AG740" s="1362"/>
      <c r="AH740" s="1363" t="str">
        <f t="shared" si="60"/>
        <v/>
      </c>
      <c r="AI740" s="1364"/>
      <c r="AJ740" s="1365"/>
      <c r="AK740" s="1354" t="s">
        <v>598</v>
      </c>
      <c r="AL740" s="1355"/>
      <c r="AM740" s="1355"/>
      <c r="AN740" s="1355"/>
      <c r="AO740" s="135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 customHeight="1">
      <c r="B741" s="1354"/>
      <c r="C741" s="1355"/>
      <c r="D741" s="1355"/>
      <c r="E741" s="1355"/>
      <c r="F741" s="1356"/>
      <c r="G741" s="1366"/>
      <c r="H741" s="1367"/>
      <c r="I741" s="1367"/>
      <c r="J741" s="1368"/>
      <c r="K741" s="1369"/>
      <c r="L741" s="1370"/>
      <c r="M741" s="1370"/>
      <c r="N741" s="1371"/>
      <c r="O741" s="1357"/>
      <c r="P741" s="1358"/>
      <c r="Q741" s="1358"/>
      <c r="R741" s="1358"/>
      <c r="S741" s="1359"/>
      <c r="T741" s="1357"/>
      <c r="U741" s="1358"/>
      <c r="V741" s="1358"/>
      <c r="W741" s="1359"/>
      <c r="X741" s="1372">
        <f t="shared" si="59"/>
        <v>0</v>
      </c>
      <c r="Y741" s="1373"/>
      <c r="Z741" s="1373"/>
      <c r="AA741" s="1373"/>
      <c r="AB741" s="1374"/>
      <c r="AC741" s="1360"/>
      <c r="AD741" s="1361"/>
      <c r="AE741" s="1361"/>
      <c r="AF741" s="1361"/>
      <c r="AG741" s="1362"/>
      <c r="AH741" s="1363" t="str">
        <f t="shared" si="60"/>
        <v/>
      </c>
      <c r="AI741" s="1364"/>
      <c r="AJ741" s="1365"/>
      <c r="AK741" s="1354" t="s">
        <v>598</v>
      </c>
      <c r="AL741" s="1355"/>
      <c r="AM741" s="1355"/>
      <c r="AN741" s="1355"/>
      <c r="AO741" s="135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 customHeight="1">
      <c r="B742" s="1354"/>
      <c r="C742" s="1355"/>
      <c r="D742" s="1355"/>
      <c r="E742" s="1355"/>
      <c r="F742" s="1356"/>
      <c r="G742" s="1366"/>
      <c r="H742" s="1367"/>
      <c r="I742" s="1367"/>
      <c r="J742" s="1368"/>
      <c r="K742" s="1369"/>
      <c r="L742" s="1370"/>
      <c r="M742" s="1370"/>
      <c r="N742" s="1371"/>
      <c r="O742" s="1357"/>
      <c r="P742" s="1358"/>
      <c r="Q742" s="1358"/>
      <c r="R742" s="1358"/>
      <c r="S742" s="1359"/>
      <c r="T742" s="1357"/>
      <c r="U742" s="1358"/>
      <c r="V742" s="1358"/>
      <c r="W742" s="1359"/>
      <c r="X742" s="1372">
        <f t="shared" ref="X742:X751" si="61">O742+T742</f>
        <v>0</v>
      </c>
      <c r="Y742" s="1373"/>
      <c r="Z742" s="1373"/>
      <c r="AA742" s="1373"/>
      <c r="AB742" s="1374"/>
      <c r="AC742" s="1360"/>
      <c r="AD742" s="1361"/>
      <c r="AE742" s="1361"/>
      <c r="AF742" s="1361"/>
      <c r="AG742" s="1362"/>
      <c r="AH742" s="1363" t="str">
        <f t="shared" si="60"/>
        <v/>
      </c>
      <c r="AI742" s="1364"/>
      <c r="AJ742" s="1365"/>
      <c r="AK742" s="1354" t="s">
        <v>598</v>
      </c>
      <c r="AL742" s="1355"/>
      <c r="AM742" s="1355"/>
      <c r="AN742" s="1355"/>
      <c r="AO742" s="135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 customHeight="1">
      <c r="A743"/>
      <c r="B743" s="1354"/>
      <c r="C743" s="1355"/>
      <c r="D743" s="1355"/>
      <c r="E743" s="1355"/>
      <c r="F743" s="1356"/>
      <c r="G743" s="1366"/>
      <c r="H743" s="1367"/>
      <c r="I743" s="1367"/>
      <c r="J743" s="1368"/>
      <c r="K743" s="1369"/>
      <c r="L743" s="1370"/>
      <c r="M743" s="1370"/>
      <c r="N743" s="1371"/>
      <c r="O743" s="1357"/>
      <c r="P743" s="1358"/>
      <c r="Q743" s="1358"/>
      <c r="R743" s="1358"/>
      <c r="S743" s="1359"/>
      <c r="T743" s="1357"/>
      <c r="U743" s="1358"/>
      <c r="V743" s="1358"/>
      <c r="W743" s="1359"/>
      <c r="X743" s="1372">
        <f t="shared" si="61"/>
        <v>0</v>
      </c>
      <c r="Y743" s="1373"/>
      <c r="Z743" s="1373"/>
      <c r="AA743" s="1373"/>
      <c r="AB743" s="1374"/>
      <c r="AC743" s="1360"/>
      <c r="AD743" s="1361"/>
      <c r="AE743" s="1361"/>
      <c r="AF743" s="1361"/>
      <c r="AG743" s="1362"/>
      <c r="AH743" s="1363" t="str">
        <f t="shared" si="60"/>
        <v/>
      </c>
      <c r="AI743" s="1364"/>
      <c r="AJ743" s="1365"/>
      <c r="AK743" s="1354" t="s">
        <v>598</v>
      </c>
      <c r="AL743" s="1355"/>
      <c r="AM743" s="1355"/>
      <c r="AN743" s="1355"/>
      <c r="AO743" s="135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 customHeight="1">
      <c r="B744" s="1354"/>
      <c r="C744" s="1355"/>
      <c r="D744" s="1355"/>
      <c r="E744" s="1355"/>
      <c r="F744" s="1356"/>
      <c r="G744" s="1366"/>
      <c r="H744" s="1367"/>
      <c r="I744" s="1367"/>
      <c r="J744" s="1368"/>
      <c r="K744" s="1369"/>
      <c r="L744" s="1370"/>
      <c r="M744" s="1370"/>
      <c r="N744" s="1371"/>
      <c r="O744" s="1357"/>
      <c r="P744" s="1358"/>
      <c r="Q744" s="1358"/>
      <c r="R744" s="1358"/>
      <c r="S744" s="1359"/>
      <c r="T744" s="1357"/>
      <c r="U744" s="1358"/>
      <c r="V744" s="1358"/>
      <c r="W744" s="1359"/>
      <c r="X744" s="1372">
        <f t="shared" si="61"/>
        <v>0</v>
      </c>
      <c r="Y744" s="1373"/>
      <c r="Z744" s="1373"/>
      <c r="AA744" s="1373"/>
      <c r="AB744" s="1374"/>
      <c r="AC744" s="1360"/>
      <c r="AD744" s="1361"/>
      <c r="AE744" s="1361"/>
      <c r="AF744" s="1361"/>
      <c r="AG744" s="1362"/>
      <c r="AH744" s="1363" t="str">
        <f t="shared" si="60"/>
        <v/>
      </c>
      <c r="AI744" s="1364"/>
      <c r="AJ744" s="1365"/>
      <c r="AK744" s="1354" t="s">
        <v>598</v>
      </c>
      <c r="AL744" s="1355"/>
      <c r="AM744" s="1355"/>
      <c r="AN744" s="1355"/>
      <c r="AO744" s="135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 customHeight="1">
      <c r="B745" s="1354"/>
      <c r="C745" s="1355"/>
      <c r="D745" s="1355"/>
      <c r="E745" s="1355"/>
      <c r="F745" s="1356"/>
      <c r="G745" s="1366"/>
      <c r="H745" s="1367"/>
      <c r="I745" s="1367"/>
      <c r="J745" s="1368"/>
      <c r="K745" s="1369"/>
      <c r="L745" s="1370"/>
      <c r="M745" s="1370"/>
      <c r="N745" s="1371"/>
      <c r="O745" s="1357"/>
      <c r="P745" s="1358"/>
      <c r="Q745" s="1358"/>
      <c r="R745" s="1358"/>
      <c r="S745" s="1359"/>
      <c r="T745" s="1357"/>
      <c r="U745" s="1358"/>
      <c r="V745" s="1358"/>
      <c r="W745" s="1359"/>
      <c r="X745" s="1372">
        <f t="shared" si="61"/>
        <v>0</v>
      </c>
      <c r="Y745" s="1373"/>
      <c r="Z745" s="1373"/>
      <c r="AA745" s="1373"/>
      <c r="AB745" s="1374"/>
      <c r="AC745" s="1360"/>
      <c r="AD745" s="1361"/>
      <c r="AE745" s="1361"/>
      <c r="AF745" s="1361"/>
      <c r="AG745" s="1362"/>
      <c r="AH745" s="1363" t="str">
        <f t="shared" si="60"/>
        <v/>
      </c>
      <c r="AI745" s="1364"/>
      <c r="AJ745" s="1365"/>
      <c r="AK745" s="1354" t="s">
        <v>598</v>
      </c>
      <c r="AL745" s="1355"/>
      <c r="AM745" s="1355"/>
      <c r="AN745" s="1355"/>
      <c r="AO745" s="135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 customHeight="1">
      <c r="B746" s="1354"/>
      <c r="C746" s="1355"/>
      <c r="D746" s="1355"/>
      <c r="E746" s="1355"/>
      <c r="F746" s="1356"/>
      <c r="G746" s="1366"/>
      <c r="H746" s="1367"/>
      <c r="I746" s="1367"/>
      <c r="J746" s="1368"/>
      <c r="K746" s="1369"/>
      <c r="L746" s="1370"/>
      <c r="M746" s="1370"/>
      <c r="N746" s="1371"/>
      <c r="O746" s="1357"/>
      <c r="P746" s="1358"/>
      <c r="Q746" s="1358"/>
      <c r="R746" s="1358"/>
      <c r="S746" s="1359"/>
      <c r="T746" s="1357"/>
      <c r="U746" s="1358"/>
      <c r="V746" s="1358"/>
      <c r="W746" s="1359"/>
      <c r="X746" s="1372">
        <f t="shared" si="61"/>
        <v>0</v>
      </c>
      <c r="Y746" s="1373"/>
      <c r="Z746" s="1373"/>
      <c r="AA746" s="1373"/>
      <c r="AB746" s="1374"/>
      <c r="AC746" s="1360"/>
      <c r="AD746" s="1361"/>
      <c r="AE746" s="1361"/>
      <c r="AF746" s="1361"/>
      <c r="AG746" s="1362"/>
      <c r="AH746" s="1363" t="str">
        <f t="shared" si="60"/>
        <v/>
      </c>
      <c r="AI746" s="1364"/>
      <c r="AJ746" s="1365"/>
      <c r="AK746" s="1354" t="s">
        <v>598</v>
      </c>
      <c r="AL746" s="1355"/>
      <c r="AM746" s="1355"/>
      <c r="AN746" s="1355"/>
      <c r="AO746" s="135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 customHeight="1">
      <c r="B747" s="1354"/>
      <c r="C747" s="1355"/>
      <c r="D747" s="1355"/>
      <c r="E747" s="1355"/>
      <c r="F747" s="1356"/>
      <c r="G747" s="1366"/>
      <c r="H747" s="1367"/>
      <c r="I747" s="1367"/>
      <c r="J747" s="1368"/>
      <c r="K747" s="1369"/>
      <c r="L747" s="1370"/>
      <c r="M747" s="1370"/>
      <c r="N747" s="1371"/>
      <c r="O747" s="1357"/>
      <c r="P747" s="1358"/>
      <c r="Q747" s="1358"/>
      <c r="R747" s="1358"/>
      <c r="S747" s="1359"/>
      <c r="T747" s="1357"/>
      <c r="U747" s="1358"/>
      <c r="V747" s="1358"/>
      <c r="W747" s="1359"/>
      <c r="X747" s="1372">
        <f t="shared" si="61"/>
        <v>0</v>
      </c>
      <c r="Y747" s="1373"/>
      <c r="Z747" s="1373"/>
      <c r="AA747" s="1373"/>
      <c r="AB747" s="1374"/>
      <c r="AC747" s="1360"/>
      <c r="AD747" s="1361"/>
      <c r="AE747" s="1361"/>
      <c r="AF747" s="1361"/>
      <c r="AG747" s="1362"/>
      <c r="AH747" s="1363" t="str">
        <f t="shared" si="60"/>
        <v/>
      </c>
      <c r="AI747" s="1364"/>
      <c r="AJ747" s="1365"/>
      <c r="AK747" s="1354" t="s">
        <v>598</v>
      </c>
      <c r="AL747" s="1355"/>
      <c r="AM747" s="1355"/>
      <c r="AN747" s="1355"/>
      <c r="AO747" s="135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 customHeight="1">
      <c r="A748"/>
      <c r="B748" s="1354"/>
      <c r="C748" s="1355"/>
      <c r="D748" s="1355"/>
      <c r="E748" s="1355"/>
      <c r="F748" s="1356"/>
      <c r="G748" s="1366"/>
      <c r="H748" s="1367"/>
      <c r="I748" s="1367"/>
      <c r="J748" s="1368"/>
      <c r="K748" s="1369"/>
      <c r="L748" s="1370"/>
      <c r="M748" s="1370"/>
      <c r="N748" s="1371"/>
      <c r="O748" s="1357"/>
      <c r="P748" s="1358"/>
      <c r="Q748" s="1358"/>
      <c r="R748" s="1358"/>
      <c r="S748" s="1359"/>
      <c r="T748" s="1357"/>
      <c r="U748" s="1358"/>
      <c r="V748" s="1358"/>
      <c r="W748" s="1359"/>
      <c r="X748" s="1372">
        <f t="shared" si="61"/>
        <v>0</v>
      </c>
      <c r="Y748" s="1373"/>
      <c r="Z748" s="1373"/>
      <c r="AA748" s="1373"/>
      <c r="AB748" s="1374"/>
      <c r="AC748" s="1360"/>
      <c r="AD748" s="1361"/>
      <c r="AE748" s="1361"/>
      <c r="AF748" s="1361"/>
      <c r="AG748" s="1362"/>
      <c r="AH748" s="1363" t="str">
        <f t="shared" si="60"/>
        <v/>
      </c>
      <c r="AI748" s="1364"/>
      <c r="AJ748" s="1365"/>
      <c r="AK748" s="1354" t="s">
        <v>598</v>
      </c>
      <c r="AL748" s="1355"/>
      <c r="AM748" s="1355"/>
      <c r="AN748" s="1355"/>
      <c r="AO748" s="135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 customHeight="1">
      <c r="A749"/>
      <c r="B749" s="1354"/>
      <c r="C749" s="1355"/>
      <c r="D749" s="1355"/>
      <c r="E749" s="1355"/>
      <c r="F749" s="1356"/>
      <c r="G749" s="1366"/>
      <c r="H749" s="1367"/>
      <c r="I749" s="1367"/>
      <c r="J749" s="1368"/>
      <c r="K749" s="1369"/>
      <c r="L749" s="1370"/>
      <c r="M749" s="1370"/>
      <c r="N749" s="1371"/>
      <c r="O749" s="1357"/>
      <c r="P749" s="1358"/>
      <c r="Q749" s="1358"/>
      <c r="R749" s="1358"/>
      <c r="S749" s="1359"/>
      <c r="T749" s="1357"/>
      <c r="U749" s="1358"/>
      <c r="V749" s="1358"/>
      <c r="W749" s="1359"/>
      <c r="X749" s="1372">
        <f t="shared" si="61"/>
        <v>0</v>
      </c>
      <c r="Y749" s="1373"/>
      <c r="Z749" s="1373"/>
      <c r="AA749" s="1373"/>
      <c r="AB749" s="1374"/>
      <c r="AC749" s="1360"/>
      <c r="AD749" s="1361"/>
      <c r="AE749" s="1361"/>
      <c r="AF749" s="1361"/>
      <c r="AG749" s="1362"/>
      <c r="AH749" s="1363" t="str">
        <f t="shared" si="60"/>
        <v/>
      </c>
      <c r="AI749" s="1364"/>
      <c r="AJ749" s="1365"/>
      <c r="AK749" s="1354" t="s">
        <v>598</v>
      </c>
      <c r="AL749" s="1355"/>
      <c r="AM749" s="1355"/>
      <c r="AN749" s="1355"/>
      <c r="AO749" s="135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 customHeight="1">
      <c r="A750"/>
      <c r="B750" s="1354"/>
      <c r="C750" s="1355"/>
      <c r="D750" s="1355"/>
      <c r="E750" s="1355"/>
      <c r="F750" s="1356"/>
      <c r="G750" s="1366"/>
      <c r="H750" s="1367"/>
      <c r="I750" s="1367"/>
      <c r="J750" s="1368"/>
      <c r="K750" s="1369"/>
      <c r="L750" s="1370"/>
      <c r="M750" s="1370"/>
      <c r="N750" s="1371"/>
      <c r="O750" s="1357"/>
      <c r="P750" s="1358"/>
      <c r="Q750" s="1358"/>
      <c r="R750" s="1358"/>
      <c r="S750" s="1359"/>
      <c r="T750" s="1357"/>
      <c r="U750" s="1358"/>
      <c r="V750" s="1358"/>
      <c r="W750" s="1359"/>
      <c r="X750" s="1372">
        <f t="shared" si="61"/>
        <v>0</v>
      </c>
      <c r="Y750" s="1373"/>
      <c r="Z750" s="1373"/>
      <c r="AA750" s="1373"/>
      <c r="AB750" s="1374"/>
      <c r="AC750" s="1360"/>
      <c r="AD750" s="1361"/>
      <c r="AE750" s="1361"/>
      <c r="AF750" s="1361"/>
      <c r="AG750" s="1362"/>
      <c r="AH750" s="1363" t="str">
        <f t="shared" si="60"/>
        <v/>
      </c>
      <c r="AI750" s="1364"/>
      <c r="AJ750" s="1365"/>
      <c r="AK750" s="1354" t="s">
        <v>598</v>
      </c>
      <c r="AL750" s="1355"/>
      <c r="AM750" s="1355"/>
      <c r="AN750" s="1355"/>
      <c r="AO750" s="135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 customHeight="1">
      <c r="A751"/>
      <c r="B751" s="1354"/>
      <c r="C751" s="1355"/>
      <c r="D751" s="1355"/>
      <c r="E751" s="1355"/>
      <c r="F751" s="1356"/>
      <c r="G751" s="1366"/>
      <c r="H751" s="1367"/>
      <c r="I751" s="1367"/>
      <c r="J751" s="1368"/>
      <c r="K751" s="1369"/>
      <c r="L751" s="1370"/>
      <c r="M751" s="1370"/>
      <c r="N751" s="1371"/>
      <c r="O751" s="1357"/>
      <c r="P751" s="1358"/>
      <c r="Q751" s="1358"/>
      <c r="R751" s="1358"/>
      <c r="S751" s="1359"/>
      <c r="T751" s="1357"/>
      <c r="U751" s="1358"/>
      <c r="V751" s="1358"/>
      <c r="W751" s="1359"/>
      <c r="X751" s="1372">
        <f t="shared" si="61"/>
        <v>0</v>
      </c>
      <c r="Y751" s="1373"/>
      <c r="Z751" s="1373"/>
      <c r="AA751" s="1373"/>
      <c r="AB751" s="1374"/>
      <c r="AC751" s="1360"/>
      <c r="AD751" s="1361"/>
      <c r="AE751" s="1361"/>
      <c r="AF751" s="1361"/>
      <c r="AG751" s="1362"/>
      <c r="AH751" s="1363" t="str">
        <f t="shared" si="60"/>
        <v/>
      </c>
      <c r="AI751" s="1364"/>
      <c r="AJ751" s="1365"/>
      <c r="AK751" s="1354" t="s">
        <v>598</v>
      </c>
      <c r="AL751" s="1355"/>
      <c r="AM751" s="1355"/>
      <c r="AN751" s="1355"/>
      <c r="AO751" s="135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 customHeight="1">
      <c r="A752"/>
      <c r="B752" s="1354"/>
      <c r="C752" s="1355"/>
      <c r="D752" s="1355"/>
      <c r="E752" s="1355"/>
      <c r="F752" s="1356"/>
      <c r="G752" s="1366"/>
      <c r="H752" s="1367"/>
      <c r="I752" s="1367"/>
      <c r="J752" s="1368"/>
      <c r="K752" s="1369"/>
      <c r="L752" s="1370"/>
      <c r="M752" s="1370"/>
      <c r="N752" s="1371"/>
      <c r="O752" s="1357"/>
      <c r="P752" s="1358"/>
      <c r="Q752" s="1358"/>
      <c r="R752" s="1358"/>
      <c r="S752" s="1359"/>
      <c r="T752" s="1357"/>
      <c r="U752" s="1358"/>
      <c r="V752" s="1358"/>
      <c r="W752" s="1359"/>
      <c r="X752" s="1372">
        <f>O752+T752</f>
        <v>0</v>
      </c>
      <c r="Y752" s="1373"/>
      <c r="Z752" s="1373"/>
      <c r="AA752" s="1373"/>
      <c r="AB752" s="1374"/>
      <c r="AC752" s="1360"/>
      <c r="AD752" s="1361"/>
      <c r="AE752" s="1361"/>
      <c r="AF752" s="1361"/>
      <c r="AG752" s="1362"/>
      <c r="AH752" s="1363" t="str">
        <f>IF($AC752&gt;0,($X752/$BA701), "")</f>
        <v/>
      </c>
      <c r="AI752" s="1364"/>
      <c r="AJ752" s="1365"/>
      <c r="AK752" s="1354" t="s">
        <v>598</v>
      </c>
      <c r="AL752" s="1355"/>
      <c r="AM752" s="1355"/>
      <c r="AN752" s="1355"/>
      <c r="AO752" s="135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 customHeight="1">
      <c r="A753"/>
      <c r="B753" s="1607" t="s">
        <v>125</v>
      </c>
      <c r="C753" s="1608"/>
      <c r="D753" s="1608"/>
      <c r="E753" s="1608"/>
      <c r="F753" s="1609"/>
      <c r="G753" s="1747">
        <f>SUM(G718:G752)</f>
        <v>421</v>
      </c>
      <c r="H753" s="1748"/>
      <c r="I753" s="1748"/>
      <c r="J753" s="1749"/>
      <c r="K753" s="937" t="s">
        <v>124</v>
      </c>
      <c r="L753" s="5"/>
      <c r="M753" s="5"/>
      <c r="N753" s="46"/>
      <c r="O753" s="1372">
        <f>SUMPRODUCT(G718:G752,O718:O752)</f>
        <v>865634</v>
      </c>
      <c r="P753" s="1373"/>
      <c r="Q753" s="1373"/>
      <c r="R753" s="1373"/>
      <c r="S753" s="1374"/>
      <c r="T753"/>
      <c r="U753"/>
      <c r="V753"/>
      <c r="W753"/>
      <c r="X753" s="939" t="s">
        <v>914</v>
      </c>
      <c r="Y753" s="938"/>
      <c r="Z753" s="938"/>
      <c r="AA753" s="938"/>
      <c r="AB753" s="940"/>
      <c r="AC753" s="1730">
        <f>BI703</f>
        <v>0.6</v>
      </c>
      <c r="AD753" s="1731"/>
      <c r="AE753" s="1731"/>
      <c r="AF753" s="1731"/>
      <c r="AG753" s="1732"/>
      <c r="AH753" s="1730">
        <f>IFERROR(BV703,"")</f>
        <v>0.6001569664976365</v>
      </c>
      <c r="AI753" s="1731"/>
      <c r="AJ753" s="173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 customHeight="1">
      <c r="A754"/>
      <c r="B754" s="1746" t="s">
        <v>2181</v>
      </c>
      <c r="C754" s="1746"/>
      <c r="D754" s="1746"/>
      <c r="E754" s="1746"/>
      <c r="F754" s="1746"/>
      <c r="G754" s="1746"/>
      <c r="H754" s="1746"/>
      <c r="I754" s="1746"/>
      <c r="J754" s="1746"/>
      <c r="K754" s="1746"/>
      <c r="L754" s="1746"/>
      <c r="M754" s="1746"/>
      <c r="N754" s="1746"/>
      <c r="O754" s="1746"/>
      <c r="P754" s="1746"/>
      <c r="Q754" s="1746"/>
      <c r="R754" s="1746"/>
      <c r="S754" s="1746"/>
      <c r="T754" s="1746"/>
      <c r="U754" s="1746"/>
      <c r="V754" s="1746"/>
      <c r="W754" s="1746"/>
      <c r="X754" s="1746"/>
      <c r="Y754" s="1746"/>
      <c r="Z754" s="1746"/>
      <c r="AA754" s="1746"/>
      <c r="AB754" s="1746"/>
      <c r="AC754" s="1746"/>
      <c r="AD754" s="1746"/>
      <c r="AE754" s="1746"/>
      <c r="AF754" s="1746"/>
      <c r="AG754" s="1746"/>
      <c r="AH754" s="1746"/>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 customHeight="1">
      <c r="B755" s="1746"/>
      <c r="C755" s="1746"/>
      <c r="D755" s="1746"/>
      <c r="E755" s="1746"/>
      <c r="F755" s="1746"/>
      <c r="G755" s="1746"/>
      <c r="H755" s="1746"/>
      <c r="I755" s="1746"/>
      <c r="J755" s="1746"/>
      <c r="K755" s="1746"/>
      <c r="L755" s="1746"/>
      <c r="M755" s="1746"/>
      <c r="N755" s="1746"/>
      <c r="O755" s="1746"/>
      <c r="P755" s="1746"/>
      <c r="Q755" s="1746"/>
      <c r="R755" s="1746"/>
      <c r="S755" s="1746"/>
      <c r="T755" s="1746"/>
      <c r="U755" s="1746"/>
      <c r="V755" s="1746"/>
      <c r="W755" s="1746"/>
      <c r="X755" s="1746"/>
      <c r="Y755" s="1746"/>
      <c r="Z755" s="1746"/>
      <c r="AA755" s="1746"/>
      <c r="AB755" s="1746"/>
      <c r="AC755" s="1746"/>
      <c r="AD755" s="1746"/>
      <c r="AE755" s="1746"/>
      <c r="AF755" s="1746"/>
      <c r="AG755" s="1746"/>
      <c r="AH755" s="174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 customHeight="1">
      <c r="A756" s="3"/>
      <c r="B756" s="3"/>
      <c r="C756" s="118" t="s">
        <v>2179</v>
      </c>
      <c r="D756" s="1067"/>
      <c r="E756" s="1067"/>
      <c r="F756" s="1067"/>
      <c r="G756" s="1068"/>
      <c r="H756" s="1068"/>
      <c r="I756" s="1068"/>
      <c r="J756" s="1068"/>
      <c r="K756" s="1067"/>
      <c r="L756" s="1067"/>
      <c r="M756" s="1067"/>
      <c r="N756" s="1067"/>
      <c r="O756" s="1379">
        <f>CS634</f>
        <v>421</v>
      </c>
      <c r="P756" s="1379"/>
      <c r="Q756" s="1379"/>
      <c r="R756" s="1379"/>
      <c r="S756" s="1004"/>
      <c r="T756" s="1004"/>
      <c r="U756" s="118" t="s">
        <v>2180</v>
      </c>
      <c r="V756" s="1067"/>
      <c r="W756" s="1067"/>
      <c r="X756" s="1067"/>
      <c r="Y756" s="1068"/>
      <c r="Z756" s="1068"/>
      <c r="AA756" s="1068"/>
      <c r="AB756" s="1068"/>
      <c r="AC756" s="1067"/>
      <c r="AD756" s="1067"/>
      <c r="AE756" s="1067"/>
      <c r="AF756" s="1067"/>
      <c r="AG756" s="1758"/>
      <c r="AH756" s="1758"/>
      <c r="AI756" s="1758"/>
      <c r="AJ756" s="175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 customHeight="1">
      <c r="B757" s="57"/>
      <c r="C757" s="1870" t="str">
        <f>IF(G753&lt;&gt;AG440,"! Total Low-Income Units in the Unit Mix Table above does not match the number of Total Low-Income Units on row #"&amp;TEXT(ROW(D440),"#"),"")</f>
        <v/>
      </c>
      <c r="D757" s="1870"/>
      <c r="E757" s="1870"/>
      <c r="F757" s="1870"/>
      <c r="G757" s="1870"/>
      <c r="H757" s="1870"/>
      <c r="I757" s="1870"/>
      <c r="J757" s="1870"/>
      <c r="K757" s="1870"/>
      <c r="L757" s="1870"/>
      <c r="M757" s="1870"/>
      <c r="N757" s="1870"/>
      <c r="O757" s="1870"/>
      <c r="P757" s="1870"/>
      <c r="Q757" s="1870"/>
      <c r="R757" s="1870"/>
      <c r="S757" s="1870"/>
      <c r="T757" s="1870"/>
      <c r="U757" s="1870"/>
      <c r="V757" s="1870"/>
      <c r="W757" s="1870"/>
      <c r="X757" s="1870"/>
      <c r="Y757" s="1870"/>
      <c r="Z757" s="1870"/>
      <c r="AA757" s="1870"/>
      <c r="AB757" s="1870"/>
      <c r="AC757" s="1870"/>
      <c r="AD757" s="1870"/>
      <c r="AE757" s="1870"/>
      <c r="AF757" s="1870"/>
      <c r="AG757" s="1870"/>
      <c r="AH757" s="1870"/>
      <c r="AI757" s="1870"/>
      <c r="AJ757" s="1870"/>
      <c r="AK757" s="1870"/>
      <c r="AL757" s="1870"/>
      <c r="AM757" s="1870"/>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 customHeight="1">
      <c r="B758" s="57"/>
      <c r="C758" s="1870"/>
      <c r="D758" s="1870"/>
      <c r="E758" s="1870"/>
      <c r="F758" s="1870"/>
      <c r="G758" s="1870"/>
      <c r="H758" s="1870"/>
      <c r="I758" s="1870"/>
      <c r="J758" s="1870"/>
      <c r="K758" s="1870"/>
      <c r="L758" s="1870"/>
      <c r="M758" s="1870"/>
      <c r="N758" s="1870"/>
      <c r="O758" s="1870"/>
      <c r="P758" s="1870"/>
      <c r="Q758" s="1870"/>
      <c r="R758" s="1870"/>
      <c r="S758" s="1870"/>
      <c r="T758" s="1870"/>
      <c r="U758" s="1870"/>
      <c r="V758" s="1870"/>
      <c r="W758" s="1870"/>
      <c r="X758" s="1870"/>
      <c r="Y758" s="1870"/>
      <c r="Z758" s="1870"/>
      <c r="AA758" s="1870"/>
      <c r="AB758" s="1870"/>
      <c r="AC758" s="1870"/>
      <c r="AD758" s="1870"/>
      <c r="AE758" s="1870"/>
      <c r="AF758" s="1870"/>
      <c r="AG758" s="1870"/>
      <c r="AH758" s="1870"/>
      <c r="AI758" s="1870"/>
      <c r="AJ758" s="1870"/>
      <c r="AK758" s="1870"/>
      <c r="AL758" s="1870"/>
      <c r="AM758" s="1870"/>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50" t="s">
        <v>598</v>
      </c>
      <c r="AE759" s="1750"/>
      <c r="AF759" s="1750"/>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 customHeight="1">
      <c r="A763" s="3"/>
      <c r="B763" s="1067"/>
      <c r="C763" s="1271" t="s">
        <v>2404</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 customHeight="1">
      <c r="A764" s="3"/>
      <c r="B764" s="1067"/>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 customHeight="1">
      <c r="A765" s="3"/>
      <c r="B765" s="1067"/>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 customHeight="1">
      <c r="A766" s="3"/>
      <c r="B766" s="1067"/>
      <c r="C766" s="1271" t="s">
        <v>2405</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 customHeight="1">
      <c r="A767" s="3"/>
      <c r="B767" s="1067"/>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 customHeight="1">
      <c r="A768" s="3"/>
      <c r="B768" s="1067"/>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 customHeight="1">
      <c r="J769" s="1398" t="s">
        <v>389</v>
      </c>
      <c r="K769" s="1382"/>
      <c r="L769" s="1382"/>
      <c r="M769" s="1382"/>
      <c r="N769" s="1383"/>
      <c r="O769" s="1754" t="s">
        <v>285</v>
      </c>
      <c r="P769" s="1754"/>
      <c r="Q769" s="1754"/>
      <c r="R769" s="1754"/>
      <c r="S769" s="1754"/>
      <c r="T769" s="1581" t="s">
        <v>1866</v>
      </c>
      <c r="U769" s="1582"/>
      <c r="V769" s="1582"/>
      <c r="W769" s="1583"/>
      <c r="X769" s="1398" t="s">
        <v>454</v>
      </c>
      <c r="Y769" s="1382"/>
      <c r="Z769" s="1382"/>
      <c r="AA769" s="1382"/>
      <c r="AB769" s="1383"/>
      <c r="AC769" s="1398" t="s">
        <v>286</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 customHeight="1">
      <c r="J770" s="1384"/>
      <c r="K770" s="1385"/>
      <c r="L770" s="1385"/>
      <c r="M770" s="1385"/>
      <c r="N770" s="1386"/>
      <c r="O770" s="1754"/>
      <c r="P770" s="1754"/>
      <c r="Q770" s="1754"/>
      <c r="R770" s="1754"/>
      <c r="S770" s="1754"/>
      <c r="T770" s="1584"/>
      <c r="U770" s="1585"/>
      <c r="V770" s="1585"/>
      <c r="W770" s="1586"/>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 customHeight="1">
      <c r="J771" s="1384"/>
      <c r="K771" s="1385"/>
      <c r="L771" s="1385"/>
      <c r="M771" s="1385"/>
      <c r="N771" s="1386"/>
      <c r="O771" s="1754"/>
      <c r="P771" s="1754"/>
      <c r="Q771" s="1754"/>
      <c r="R771" s="1754"/>
      <c r="S771" s="1754"/>
      <c r="T771" s="1584"/>
      <c r="U771" s="1585"/>
      <c r="V771" s="1585"/>
      <c r="W771" s="1586"/>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 customHeight="1">
      <c r="J772" s="1387"/>
      <c r="K772" s="1388"/>
      <c r="L772" s="1388"/>
      <c r="M772" s="1388"/>
      <c r="N772" s="1389"/>
      <c r="O772" s="1754"/>
      <c r="P772" s="1754"/>
      <c r="Q772" s="1754"/>
      <c r="R772" s="1754"/>
      <c r="S772" s="1754"/>
      <c r="T772" s="1595"/>
      <c r="U772" s="1596"/>
      <c r="V772" s="1596"/>
      <c r="W772" s="1597"/>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 customHeight="1">
      <c r="J773" s="1354" t="s">
        <v>324</v>
      </c>
      <c r="K773" s="1355"/>
      <c r="L773" s="1355"/>
      <c r="M773" s="1355"/>
      <c r="N773" s="1356"/>
      <c r="O773" s="1496">
        <v>4</v>
      </c>
      <c r="P773" s="1496"/>
      <c r="Q773" s="1496"/>
      <c r="R773" s="1496"/>
      <c r="S773" s="1496"/>
      <c r="T773" s="1369">
        <v>256</v>
      </c>
      <c r="U773" s="1370"/>
      <c r="V773" s="1370"/>
      <c r="W773" s="1371"/>
      <c r="X773" s="1357">
        <v>2056</v>
      </c>
      <c r="Y773" s="1358"/>
      <c r="Z773" s="1358"/>
      <c r="AA773" s="1358"/>
      <c r="AB773" s="1359"/>
      <c r="AC773" s="1372">
        <f>X773*O773</f>
        <v>8224</v>
      </c>
      <c r="AD773" s="1373"/>
      <c r="AE773" s="1373"/>
      <c r="AF773" s="1373"/>
      <c r="AG773" s="1374"/>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 customHeight="1">
      <c r="J774" s="1354"/>
      <c r="K774" s="1355"/>
      <c r="L774" s="1355"/>
      <c r="M774" s="1355"/>
      <c r="N774" s="1356"/>
      <c r="O774" s="1496"/>
      <c r="P774" s="1496"/>
      <c r="Q774" s="1496"/>
      <c r="R774" s="1496"/>
      <c r="S774" s="1496"/>
      <c r="T774" s="1369"/>
      <c r="U774" s="1370"/>
      <c r="V774" s="1370"/>
      <c r="W774" s="1371"/>
      <c r="X774" s="1357"/>
      <c r="Y774" s="1358"/>
      <c r="Z774" s="1358"/>
      <c r="AA774" s="1358"/>
      <c r="AB774" s="1359"/>
      <c r="AC774" s="1372">
        <f>X774*O774</f>
        <v>0</v>
      </c>
      <c r="AD774" s="1373"/>
      <c r="AE774" s="1373"/>
      <c r="AF774" s="1373"/>
      <c r="AG774" s="1374"/>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 customHeight="1">
      <c r="J775" s="1354"/>
      <c r="K775" s="1355"/>
      <c r="L775" s="1355"/>
      <c r="M775" s="1355"/>
      <c r="N775" s="1356"/>
      <c r="O775" s="1496"/>
      <c r="P775" s="1496"/>
      <c r="Q775" s="1496"/>
      <c r="R775" s="1496"/>
      <c r="S775" s="1496"/>
      <c r="T775" s="1369"/>
      <c r="U775" s="1370"/>
      <c r="V775" s="1370"/>
      <c r="W775" s="1371"/>
      <c r="X775" s="1357"/>
      <c r="Y775" s="1358"/>
      <c r="Z775" s="1358"/>
      <c r="AA775" s="1358"/>
      <c r="AB775" s="1359"/>
      <c r="AC775" s="1372">
        <f>X775*O775</f>
        <v>0</v>
      </c>
      <c r="AD775" s="1373"/>
      <c r="AE775" s="1373"/>
      <c r="AF775" s="1373"/>
      <c r="AG775" s="1374"/>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 customHeight="1">
      <c r="J776" s="1354"/>
      <c r="K776" s="1355"/>
      <c r="L776" s="1355"/>
      <c r="M776" s="1355"/>
      <c r="N776" s="1356"/>
      <c r="O776" s="1496"/>
      <c r="P776" s="1496"/>
      <c r="Q776" s="1496"/>
      <c r="R776" s="1496"/>
      <c r="S776" s="1496"/>
      <c r="T776" s="1369"/>
      <c r="U776" s="1370"/>
      <c r="V776" s="1370"/>
      <c r="W776" s="1371"/>
      <c r="X776" s="1357"/>
      <c r="Y776" s="1358"/>
      <c r="Z776" s="1358"/>
      <c r="AA776" s="1358"/>
      <c r="AB776" s="1359"/>
      <c r="AC776" s="1372">
        <f>X776*O776</f>
        <v>0</v>
      </c>
      <c r="AD776" s="1373"/>
      <c r="AE776" s="1373"/>
      <c r="AF776" s="1373"/>
      <c r="AG776" s="1374"/>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 customHeight="1">
      <c r="J777" s="1607" t="s">
        <v>125</v>
      </c>
      <c r="K777" s="1608"/>
      <c r="L777" s="1608"/>
      <c r="M777" s="1608"/>
      <c r="N777" s="1609"/>
      <c r="O777" s="1394">
        <f>SUM(O773:S776)</f>
        <v>4</v>
      </c>
      <c r="P777" s="1512"/>
      <c r="Q777" s="1512"/>
      <c r="R777" s="1512"/>
      <c r="S777" s="1395"/>
      <c r="X777" s="1607" t="s">
        <v>124</v>
      </c>
      <c r="Y777" s="1608"/>
      <c r="Z777" s="1608"/>
      <c r="AA777" s="1608"/>
      <c r="AB777" s="1609"/>
      <c r="AC777" s="1372">
        <f>SUM(AC773:AG776)</f>
        <v>8224</v>
      </c>
      <c r="AD777" s="1373"/>
      <c r="AE777" s="1373"/>
      <c r="AF777" s="1373"/>
      <c r="AG777" s="1374"/>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 customHeight="1">
      <c r="B779" s="56"/>
      <c r="C779" s="56"/>
      <c r="D779" s="56"/>
      <c r="E779" s="56"/>
      <c r="F779" s="56"/>
      <c r="G779" s="6"/>
      <c r="H779" s="6"/>
      <c r="I779" s="6"/>
      <c r="J779" s="1414" t="s">
        <v>676</v>
      </c>
      <c r="K779" s="1414"/>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 customHeight="1">
      <c r="J783" s="1398" t="s">
        <v>389</v>
      </c>
      <c r="K783" s="1382"/>
      <c r="L783" s="1382"/>
      <c r="M783" s="1382"/>
      <c r="N783" s="1383"/>
      <c r="O783" s="1754" t="s">
        <v>285</v>
      </c>
      <c r="P783" s="1754"/>
      <c r="Q783" s="1754"/>
      <c r="R783" s="1754"/>
      <c r="S783" s="1754"/>
      <c r="T783" s="1581" t="s">
        <v>1866</v>
      </c>
      <c r="U783" s="1582"/>
      <c r="V783" s="1582"/>
      <c r="W783" s="1583"/>
      <c r="X783" s="1398" t="s">
        <v>454</v>
      </c>
      <c r="Y783" s="1382"/>
      <c r="Z783" s="1382"/>
      <c r="AA783" s="1382"/>
      <c r="AB783" s="1383"/>
      <c r="AC783" s="1398" t="s">
        <v>286</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 customHeight="1">
      <c r="J784" s="1384"/>
      <c r="K784" s="1385"/>
      <c r="L784" s="1385"/>
      <c r="M784" s="1385"/>
      <c r="N784" s="1386"/>
      <c r="O784" s="1754"/>
      <c r="P784" s="1754"/>
      <c r="Q784" s="1754"/>
      <c r="R784" s="1754"/>
      <c r="S784" s="1754"/>
      <c r="T784" s="1584"/>
      <c r="U784" s="1585"/>
      <c r="V784" s="1585"/>
      <c r="W784" s="1586"/>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 customHeight="1">
      <c r="J785" s="1384"/>
      <c r="K785" s="1385"/>
      <c r="L785" s="1385"/>
      <c r="M785" s="1385"/>
      <c r="N785" s="1386"/>
      <c r="O785" s="1754"/>
      <c r="P785" s="1754"/>
      <c r="Q785" s="1754"/>
      <c r="R785" s="1754"/>
      <c r="S785" s="1754"/>
      <c r="T785" s="1584"/>
      <c r="U785" s="1585"/>
      <c r="V785" s="1585"/>
      <c r="W785" s="1586"/>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 customHeight="1">
      <c r="J786" s="1387"/>
      <c r="K786" s="1388"/>
      <c r="L786" s="1388"/>
      <c r="M786" s="1388"/>
      <c r="N786" s="1389"/>
      <c r="O786" s="1754"/>
      <c r="P786" s="1754"/>
      <c r="Q786" s="1754"/>
      <c r="R786" s="1754"/>
      <c r="S786" s="1754"/>
      <c r="T786" s="1595"/>
      <c r="U786" s="1596"/>
      <c r="V786" s="1596"/>
      <c r="W786" s="1597"/>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 customHeight="1">
      <c r="J787" s="1354"/>
      <c r="K787" s="1355"/>
      <c r="L787" s="1355"/>
      <c r="M787" s="1355"/>
      <c r="N787" s="1356"/>
      <c r="O787" s="1496"/>
      <c r="P787" s="1496"/>
      <c r="Q787" s="1496"/>
      <c r="R787" s="1496"/>
      <c r="S787" s="1496"/>
      <c r="T787" s="1369"/>
      <c r="U787" s="1370"/>
      <c r="V787" s="1370"/>
      <c r="W787" s="1371"/>
      <c r="X787" s="1357"/>
      <c r="Y787" s="1358"/>
      <c r="Z787" s="1358"/>
      <c r="AA787" s="1358"/>
      <c r="AB787" s="1359"/>
      <c r="AC787" s="1372">
        <f t="shared" ref="AC787:AC796" si="62">X787*O787</f>
        <v>0</v>
      </c>
      <c r="AD787" s="1373"/>
      <c r="AE787" s="1373"/>
      <c r="AF787" s="1373"/>
      <c r="AG787" s="137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 customHeight="1">
      <c r="A788"/>
      <c r="B788"/>
      <c r="C788"/>
      <c r="D788"/>
      <c r="E788"/>
      <c r="F788"/>
      <c r="G788"/>
      <c r="H788"/>
      <c r="I788"/>
      <c r="J788" s="1354"/>
      <c r="K788" s="1355"/>
      <c r="L788" s="1355"/>
      <c r="M788" s="1355"/>
      <c r="N788" s="1356"/>
      <c r="O788" s="1496"/>
      <c r="P788" s="1496"/>
      <c r="Q788" s="1496"/>
      <c r="R788" s="1496"/>
      <c r="S788" s="1496"/>
      <c r="T788" s="1369"/>
      <c r="U788" s="1370"/>
      <c r="V788" s="1370"/>
      <c r="W788" s="1371"/>
      <c r="X788" s="1357"/>
      <c r="Y788" s="1358"/>
      <c r="Z788" s="1358"/>
      <c r="AA788" s="1358"/>
      <c r="AB788" s="1359"/>
      <c r="AC788" s="1372">
        <f t="shared" si="62"/>
        <v>0</v>
      </c>
      <c r="AD788" s="1373"/>
      <c r="AE788" s="1373"/>
      <c r="AF788" s="1373"/>
      <c r="AG788" s="137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 customHeight="1">
      <c r="A789"/>
      <c r="B789"/>
      <c r="C789"/>
      <c r="D789"/>
      <c r="E789"/>
      <c r="F789"/>
      <c r="G789"/>
      <c r="H789"/>
      <c r="I789"/>
      <c r="J789" s="1354"/>
      <c r="K789" s="1355"/>
      <c r="L789" s="1355"/>
      <c r="M789" s="1355"/>
      <c r="N789" s="1356"/>
      <c r="O789" s="1496"/>
      <c r="P789" s="1496"/>
      <c r="Q789" s="1496"/>
      <c r="R789" s="1496"/>
      <c r="S789" s="1496"/>
      <c r="T789" s="1369"/>
      <c r="U789" s="1370"/>
      <c r="V789" s="1370"/>
      <c r="W789" s="1371"/>
      <c r="X789" s="1357"/>
      <c r="Y789" s="1358"/>
      <c r="Z789" s="1358"/>
      <c r="AA789" s="1358"/>
      <c r="AB789" s="1359"/>
      <c r="AC789" s="1372">
        <f t="shared" si="62"/>
        <v>0</v>
      </c>
      <c r="AD789" s="1373"/>
      <c r="AE789" s="1373"/>
      <c r="AF789" s="1373"/>
      <c r="AG789" s="137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 customHeight="1">
      <c r="A790"/>
      <c r="B790"/>
      <c r="C790"/>
      <c r="D790"/>
      <c r="E790"/>
      <c r="F790"/>
      <c r="G790"/>
      <c r="H790"/>
      <c r="I790"/>
      <c r="J790" s="1354"/>
      <c r="K790" s="1355"/>
      <c r="L790" s="1355"/>
      <c r="M790" s="1355"/>
      <c r="N790" s="1356"/>
      <c r="O790" s="1496"/>
      <c r="P790" s="1496"/>
      <c r="Q790" s="1496"/>
      <c r="R790" s="1496"/>
      <c r="S790" s="1496"/>
      <c r="T790" s="1369"/>
      <c r="U790" s="1370"/>
      <c r="V790" s="1370"/>
      <c r="W790" s="1371"/>
      <c r="X790" s="1357"/>
      <c r="Y790" s="1358"/>
      <c r="Z790" s="1358"/>
      <c r="AA790" s="1358"/>
      <c r="AB790" s="1359"/>
      <c r="AC790" s="1372">
        <f t="shared" si="62"/>
        <v>0</v>
      </c>
      <c r="AD790" s="1373"/>
      <c r="AE790" s="1373"/>
      <c r="AF790" s="1373"/>
      <c r="AG790" s="137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 customHeight="1">
      <c r="A791"/>
      <c r="B791"/>
      <c r="C791"/>
      <c r="D791"/>
      <c r="E791"/>
      <c r="F791"/>
      <c r="G791"/>
      <c r="H791"/>
      <c r="I791"/>
      <c r="J791" s="1354"/>
      <c r="K791" s="1355"/>
      <c r="L791" s="1355"/>
      <c r="M791" s="1355"/>
      <c r="N791" s="1356"/>
      <c r="O791" s="1496"/>
      <c r="P791" s="1496"/>
      <c r="Q791" s="1496"/>
      <c r="R791" s="1496"/>
      <c r="S791" s="1496"/>
      <c r="T791" s="1369"/>
      <c r="U791" s="1370"/>
      <c r="V791" s="1370"/>
      <c r="W791" s="1371"/>
      <c r="X791" s="1357"/>
      <c r="Y791" s="1358"/>
      <c r="Z791" s="1358"/>
      <c r="AA791" s="1358"/>
      <c r="AB791" s="1359"/>
      <c r="AC791" s="1372">
        <f t="shared" si="62"/>
        <v>0</v>
      </c>
      <c r="AD791" s="1373"/>
      <c r="AE791" s="1373"/>
      <c r="AF791" s="1373"/>
      <c r="AG791" s="137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 customHeight="1">
      <c r="A792"/>
      <c r="B792"/>
      <c r="C792"/>
      <c r="D792"/>
      <c r="E792"/>
      <c r="F792"/>
      <c r="G792"/>
      <c r="H792"/>
      <c r="I792"/>
      <c r="J792" s="1354"/>
      <c r="K792" s="1355"/>
      <c r="L792" s="1355"/>
      <c r="M792" s="1355"/>
      <c r="N792" s="1356"/>
      <c r="O792" s="1496"/>
      <c r="P792" s="1496"/>
      <c r="Q792" s="1496"/>
      <c r="R792" s="1496"/>
      <c r="S792" s="1496"/>
      <c r="T792" s="1369"/>
      <c r="U792" s="1370"/>
      <c r="V792" s="1370"/>
      <c r="W792" s="1371"/>
      <c r="X792" s="1357"/>
      <c r="Y792" s="1358"/>
      <c r="Z792" s="1358"/>
      <c r="AA792" s="1358"/>
      <c r="AB792" s="1359"/>
      <c r="AC792" s="1372">
        <f t="shared" si="62"/>
        <v>0</v>
      </c>
      <c r="AD792" s="1373"/>
      <c r="AE792" s="1373"/>
      <c r="AF792" s="1373"/>
      <c r="AG792" s="137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 customHeight="1">
      <c r="A793"/>
      <c r="B793"/>
      <c r="C793"/>
      <c r="D793"/>
      <c r="E793"/>
      <c r="F793"/>
      <c r="G793"/>
      <c r="H793"/>
      <c r="I793"/>
      <c r="J793" s="1354"/>
      <c r="K793" s="1355"/>
      <c r="L793" s="1355"/>
      <c r="M793" s="1355"/>
      <c r="N793" s="1356"/>
      <c r="O793" s="1496"/>
      <c r="P793" s="1496"/>
      <c r="Q793" s="1496"/>
      <c r="R793" s="1496"/>
      <c r="S793" s="1496"/>
      <c r="T793" s="1369"/>
      <c r="U793" s="1370"/>
      <c r="V793" s="1370"/>
      <c r="W793" s="1371"/>
      <c r="X793" s="1357"/>
      <c r="Y793" s="1358"/>
      <c r="Z793" s="1358"/>
      <c r="AA793" s="1358"/>
      <c r="AB793" s="1359"/>
      <c r="AC793" s="1372">
        <f t="shared" si="62"/>
        <v>0</v>
      </c>
      <c r="AD793" s="1373"/>
      <c r="AE793" s="1373"/>
      <c r="AF793" s="1373"/>
      <c r="AG793" s="137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 customHeight="1">
      <c r="A794"/>
      <c r="B794"/>
      <c r="C794"/>
      <c r="D794"/>
      <c r="E794"/>
      <c r="F794"/>
      <c r="G794"/>
      <c r="H794"/>
      <c r="I794"/>
      <c r="J794" s="1354"/>
      <c r="K794" s="1355"/>
      <c r="L794" s="1355"/>
      <c r="M794" s="1355"/>
      <c r="N794" s="1356"/>
      <c r="O794" s="1496"/>
      <c r="P794" s="1496"/>
      <c r="Q794" s="1496"/>
      <c r="R794" s="1496"/>
      <c r="S794" s="1496"/>
      <c r="T794" s="1369"/>
      <c r="U794" s="1370"/>
      <c r="V794" s="1370"/>
      <c r="W794" s="1371"/>
      <c r="X794" s="1357"/>
      <c r="Y794" s="1358"/>
      <c r="Z794" s="1358"/>
      <c r="AA794" s="1358"/>
      <c r="AB794" s="1359"/>
      <c r="AC794" s="1372">
        <f t="shared" si="62"/>
        <v>0</v>
      </c>
      <c r="AD794" s="1373"/>
      <c r="AE794" s="1373"/>
      <c r="AF794" s="1373"/>
      <c r="AG794" s="137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 customHeight="1">
      <c r="A795"/>
      <c r="B795"/>
      <c r="C795"/>
      <c r="D795"/>
      <c r="E795"/>
      <c r="F795"/>
      <c r="G795"/>
      <c r="H795"/>
      <c r="I795"/>
      <c r="J795" s="1354"/>
      <c r="K795" s="1355"/>
      <c r="L795" s="1355"/>
      <c r="M795" s="1355"/>
      <c r="N795" s="1356"/>
      <c r="O795" s="1496"/>
      <c r="P795" s="1496"/>
      <c r="Q795" s="1496"/>
      <c r="R795" s="1496"/>
      <c r="S795" s="1496"/>
      <c r="T795" s="1369"/>
      <c r="U795" s="1370"/>
      <c r="V795" s="1370"/>
      <c r="W795" s="1371"/>
      <c r="X795" s="1357"/>
      <c r="Y795" s="1358"/>
      <c r="Z795" s="1358"/>
      <c r="AA795" s="1358"/>
      <c r="AB795" s="1359"/>
      <c r="AC795" s="1372">
        <f t="shared" si="62"/>
        <v>0</v>
      </c>
      <c r="AD795" s="1373"/>
      <c r="AE795" s="1373"/>
      <c r="AF795" s="1373"/>
      <c r="AG795" s="137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 customHeight="1">
      <c r="A796"/>
      <c r="B796"/>
      <c r="C796"/>
      <c r="D796"/>
      <c r="E796"/>
      <c r="F796"/>
      <c r="G796"/>
      <c r="H796"/>
      <c r="I796"/>
      <c r="J796" s="1354"/>
      <c r="K796" s="1355"/>
      <c r="L796" s="1355"/>
      <c r="M796" s="1355"/>
      <c r="N796" s="1356"/>
      <c r="O796" s="1496"/>
      <c r="P796" s="1496"/>
      <c r="Q796" s="1496"/>
      <c r="R796" s="1496"/>
      <c r="S796" s="1496"/>
      <c r="T796" s="1369"/>
      <c r="U796" s="1370"/>
      <c r="V796" s="1370"/>
      <c r="W796" s="1371"/>
      <c r="X796" s="1357"/>
      <c r="Y796" s="1358"/>
      <c r="Z796" s="1358"/>
      <c r="AA796" s="1358"/>
      <c r="AB796" s="1359"/>
      <c r="AC796" s="1372">
        <f t="shared" si="62"/>
        <v>0</v>
      </c>
      <c r="AD796" s="1373"/>
      <c r="AE796" s="1373"/>
      <c r="AF796" s="1373"/>
      <c r="AG796" s="1374"/>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830" t="s">
        <v>476</v>
      </c>
      <c r="BO796" s="1831"/>
      <c r="BP796" s="3"/>
      <c r="BQ796" s="3"/>
      <c r="BR796" s="3"/>
      <c r="BS796" s="14" t="s">
        <v>641</v>
      </c>
      <c r="BT796" s="14"/>
      <c r="BU796" s="14"/>
      <c r="BV796" s="14"/>
      <c r="BW796" s="14"/>
      <c r="BX796" s="14"/>
      <c r="BY796" s="14"/>
      <c r="BZ796" s="14"/>
      <c r="CA796" s="14"/>
      <c r="CB796" s="1827" t="str">
        <f>T189</f>
        <v>San Francisco</v>
      </c>
      <c r="CC796" s="1828"/>
      <c r="CD796" s="1828"/>
      <c r="CE796" s="1828"/>
      <c r="CF796" s="1828"/>
      <c r="CG796" s="1828"/>
      <c r="CH796" s="182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 customHeight="1">
      <c r="A797"/>
      <c r="B797"/>
      <c r="C797"/>
      <c r="D797"/>
      <c r="E797"/>
      <c r="F797"/>
      <c r="G797"/>
      <c r="H797"/>
      <c r="I797"/>
      <c r="J797" s="1607" t="s">
        <v>125</v>
      </c>
      <c r="K797" s="1608"/>
      <c r="L797" s="1608"/>
      <c r="M797" s="1608"/>
      <c r="N797" s="1609"/>
      <c r="O797" s="1620">
        <f>SUM(O787:S796)</f>
        <v>0</v>
      </c>
      <c r="P797" s="1620"/>
      <c r="Q797" s="1620"/>
      <c r="R797" s="1620"/>
      <c r="S797" s="1620"/>
      <c r="T797"/>
      <c r="U797"/>
      <c r="V797"/>
      <c r="W797"/>
      <c r="X797" s="937" t="s">
        <v>124</v>
      </c>
      <c r="Y797" s="11"/>
      <c r="Z797" s="11"/>
      <c r="AA797" s="11"/>
      <c r="AB797" s="944"/>
      <c r="AC797" s="1372">
        <f>SUM(AC787:AG796)</f>
        <v>0</v>
      </c>
      <c r="AD797" s="1373"/>
      <c r="AE797" s="1373"/>
      <c r="AF797" s="1373"/>
      <c r="AG797" s="1374"/>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 customHeight="1">
      <c r="A798"/>
      <c r="B798"/>
      <c r="C798" s="1461" t="str">
        <f>IF(O797&lt;&gt;AG438,"! Total market rate units in the Unit Mix Table above does not match the number of  market rate units on row #"&amp;TEXT(ROW(D438),"#"),"")</f>
        <v/>
      </c>
      <c r="D798" s="1461"/>
      <c r="E798" s="1461"/>
      <c r="F798" s="1461"/>
      <c r="G798" s="1461"/>
      <c r="H798" s="1461"/>
      <c r="I798" s="1461"/>
      <c r="J798" s="1461"/>
      <c r="K798" s="1461"/>
      <c r="L798" s="1461"/>
      <c r="M798" s="1461"/>
      <c r="N798" s="1461"/>
      <c r="O798" s="1461"/>
      <c r="P798" s="1461"/>
      <c r="Q798" s="1461"/>
      <c r="R798" s="1461"/>
      <c r="S798" s="1461"/>
      <c r="T798" s="1461"/>
      <c r="U798" s="1461"/>
      <c r="V798" s="1461"/>
      <c r="W798" s="1461"/>
      <c r="X798" s="1461"/>
      <c r="Y798" s="1461"/>
      <c r="Z798" s="1461"/>
      <c r="AA798" s="1461"/>
      <c r="AB798" s="1461"/>
      <c r="AC798" s="1461"/>
      <c r="AD798" s="1461"/>
      <c r="AE798" s="1461"/>
      <c r="AF798" s="1461"/>
      <c r="AG798" s="1461"/>
      <c r="AH798" s="1461"/>
      <c r="AI798" s="1461"/>
      <c r="AJ798" s="1461"/>
      <c r="AK798" s="1461"/>
      <c r="AL798" s="1461"/>
      <c r="AM798" s="1461"/>
      <c r="AN798" s="146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 customHeight="1">
      <c r="A799"/>
      <c r="B799"/>
      <c r="C799" s="1461"/>
      <c r="D799" s="1461"/>
      <c r="E799" s="1461"/>
      <c r="F799" s="1461"/>
      <c r="G799" s="1461"/>
      <c r="H799" s="1461"/>
      <c r="I799" s="1461"/>
      <c r="J799" s="1461"/>
      <c r="K799" s="1461"/>
      <c r="L799" s="1461"/>
      <c r="M799" s="1461"/>
      <c r="N799" s="1461"/>
      <c r="O799" s="1461"/>
      <c r="P799" s="1461"/>
      <c r="Q799" s="1461"/>
      <c r="R799" s="1461"/>
      <c r="S799" s="1461"/>
      <c r="T799" s="1461"/>
      <c r="U799" s="1461"/>
      <c r="V799" s="1461"/>
      <c r="W799" s="1461"/>
      <c r="X799" s="1461"/>
      <c r="Y799" s="1461"/>
      <c r="Z799" s="1461"/>
      <c r="AA799" s="1461"/>
      <c r="AB799" s="1461"/>
      <c r="AC799" s="1461"/>
      <c r="AD799" s="1461"/>
      <c r="AE799" s="1461"/>
      <c r="AF799" s="1461"/>
      <c r="AG799" s="1461"/>
      <c r="AH799" s="1461"/>
      <c r="AI799" s="1461"/>
      <c r="AJ799" s="1461"/>
      <c r="AK799" s="1461"/>
      <c r="AL799" s="1461"/>
      <c r="AM799" s="1461"/>
      <c r="AN799" s="146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610">
        <f>O753+AC777+AC797</f>
        <v>873858</v>
      </c>
      <c r="Z800" s="1610"/>
      <c r="AA800" s="1610"/>
      <c r="AB800" s="1610"/>
      <c r="AC800" s="161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10">
        <f>(O753+AC777+AC797)*12</f>
        <v>10486296</v>
      </c>
      <c r="Z801" s="1610"/>
      <c r="AA801" s="1610"/>
      <c r="AB801" s="1610"/>
      <c r="AC801" s="161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325</v>
      </c>
      <c r="BR805" s="72" t="s">
        <v>163</v>
      </c>
      <c r="BS805" s="72" t="s">
        <v>164</v>
      </c>
      <c r="BT805" s="72" t="s">
        <v>467</v>
      </c>
      <c r="BU805" s="14"/>
      <c r="BV805" s="14"/>
      <c r="BW805" s="71" t="s">
        <v>640</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604">
        <v>0</v>
      </c>
      <c r="AA806" s="1605"/>
      <c r="AB806" s="1605"/>
      <c r="AC806" s="1605"/>
      <c r="AD806" s="1605"/>
      <c r="AE806" s="1606"/>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3"/>
      <c r="AA807" s="1605"/>
      <c r="AB807" s="1605"/>
      <c r="AC807" s="1605"/>
      <c r="AD807" s="1605"/>
      <c r="AE807" s="1606"/>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2">
        <v>0</v>
      </c>
      <c r="AA808" s="1465"/>
      <c r="AB808" s="1465"/>
      <c r="AC808" s="1465"/>
      <c r="AD808" s="1465"/>
      <c r="AE808" s="160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9">
        <f>'Subsidy Contract Calculation'!J40</f>
        <v>0</v>
      </c>
      <c r="AA809" s="1590"/>
      <c r="AB809" s="1590"/>
      <c r="AC809" s="1590"/>
      <c r="AD809" s="1590"/>
      <c r="AE809" s="159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99">
        <v>293063</v>
      </c>
      <c r="AA813" s="1600"/>
      <c r="AB813" s="1600"/>
      <c r="AC813" s="1600"/>
      <c r="AD813" s="1600"/>
      <c r="AE813" s="160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99">
        <v>10625</v>
      </c>
      <c r="AA814" s="1600"/>
      <c r="AB814" s="1600"/>
      <c r="AC814" s="1600"/>
      <c r="AD814" s="1600"/>
      <c r="AE814" s="160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99"/>
      <c r="AA815" s="1600"/>
      <c r="AB815" s="1600"/>
      <c r="AC815" s="1600"/>
      <c r="AD815" s="1600"/>
      <c r="AE815" s="160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 customHeight="1">
      <c r="A816"/>
      <c r="B816"/>
      <c r="C816"/>
      <c r="D816"/>
      <c r="E816"/>
      <c r="F816"/>
      <c r="G816"/>
      <c r="H816" s="45" t="s">
        <v>39</v>
      </c>
      <c r="I816" s="5"/>
      <c r="J816" s="5"/>
      <c r="K816" s="5"/>
      <c r="L816" s="5"/>
      <c r="M816" s="5"/>
      <c r="N816" s="5"/>
      <c r="O816" s="5"/>
      <c r="P816" s="1623" t="s">
        <v>2683</v>
      </c>
      <c r="Q816" s="1624"/>
      <c r="R816" s="1624"/>
      <c r="S816" s="1624"/>
      <c r="T816" s="1624"/>
      <c r="U816" s="1624"/>
      <c r="V816" s="1624"/>
      <c r="W816" s="1624"/>
      <c r="X816" s="1624"/>
      <c r="Y816" s="1625"/>
      <c r="Z816" s="1599">
        <f>21250+27625+6375+21250+8500+10625</f>
        <v>95625</v>
      </c>
      <c r="AA816" s="1600"/>
      <c r="AB816" s="1600"/>
      <c r="AC816" s="1600"/>
      <c r="AD816" s="1600"/>
      <c r="AE816" s="160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9">
        <f>SUM(Z813:AE816)</f>
        <v>399313</v>
      </c>
      <c r="AA817" s="1590"/>
      <c r="AB817" s="1590"/>
      <c r="AC817" s="1590"/>
      <c r="AD817" s="1590"/>
      <c r="AE817" s="1591"/>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589">
        <f>Z817+Y801+Z809</f>
        <v>10885609</v>
      </c>
      <c r="AA818" s="1590"/>
      <c r="AB818" s="1590"/>
      <c r="AC818" s="1590"/>
      <c r="AD818" s="1590"/>
      <c r="AE818" s="1591"/>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 customHeight="1">
      <c r="A823"/>
      <c r="B823"/>
      <c r="C823" s="41"/>
      <c r="D823" s="42"/>
      <c r="E823" s="42"/>
      <c r="F823" s="42"/>
      <c r="G823" s="42"/>
      <c r="H823" s="42"/>
      <c r="I823" s="42"/>
      <c r="J823" s="42"/>
      <c r="K823" s="42"/>
      <c r="L823" s="58"/>
      <c r="M823" s="1616" t="s">
        <v>126</v>
      </c>
      <c r="N823" s="1616"/>
      <c r="O823" s="1616"/>
      <c r="P823" s="1617"/>
      <c r="Q823" s="1588" t="s">
        <v>290</v>
      </c>
      <c r="R823" s="1588"/>
      <c r="S823" s="1588"/>
      <c r="T823" s="1588"/>
      <c r="U823" s="1588" t="s">
        <v>291</v>
      </c>
      <c r="V823" s="1588"/>
      <c r="W823" s="1588"/>
      <c r="X823" s="1588"/>
      <c r="Y823" s="1588" t="s">
        <v>292</v>
      </c>
      <c r="Z823" s="1588"/>
      <c r="AA823" s="1588"/>
      <c r="AB823" s="1588"/>
      <c r="AC823" s="1588" t="s">
        <v>361</v>
      </c>
      <c r="AD823" s="1588"/>
      <c r="AE823" s="1588"/>
      <c r="AF823" s="1588"/>
      <c r="AG823" s="1622" t="s">
        <v>335</v>
      </c>
      <c r="AH823" s="1622"/>
      <c r="AI823" s="1622"/>
      <c r="AJ823" s="1622"/>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 customHeight="1">
      <c r="A824"/>
      <c r="B824"/>
      <c r="C824" s="47"/>
      <c r="D824" s="48"/>
      <c r="E824" s="48"/>
      <c r="F824" s="48"/>
      <c r="G824" s="48"/>
      <c r="H824" s="48"/>
      <c r="I824" s="48"/>
      <c r="J824" s="48"/>
      <c r="K824" s="48"/>
      <c r="L824" s="49"/>
      <c r="M824" s="1618"/>
      <c r="N824" s="1618"/>
      <c r="O824" s="1618"/>
      <c r="P824" s="1619"/>
      <c r="Q824" s="1588"/>
      <c r="R824" s="1588"/>
      <c r="S824" s="1588"/>
      <c r="T824" s="1588"/>
      <c r="U824" s="1588"/>
      <c r="V824" s="1588"/>
      <c r="W824" s="1588"/>
      <c r="X824" s="1588"/>
      <c r="Y824" s="1588"/>
      <c r="Z824" s="1588"/>
      <c r="AA824" s="1588"/>
      <c r="AB824" s="1588"/>
      <c r="AC824" s="1588"/>
      <c r="AD824" s="1588"/>
      <c r="AE824" s="1588"/>
      <c r="AF824" s="1588"/>
      <c r="AG824" s="1622"/>
      <c r="AH824" s="1622"/>
      <c r="AI824" s="1622"/>
      <c r="AJ824" s="1622"/>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 customHeight="1">
      <c r="A825"/>
      <c r="B825"/>
      <c r="C825" s="1587" t="s">
        <v>40</v>
      </c>
      <c r="D825" s="1511"/>
      <c r="E825" s="1511"/>
      <c r="F825" s="1511"/>
      <c r="G825" s="1511"/>
      <c r="H825" s="1511"/>
      <c r="I825" s="48"/>
      <c r="J825" s="48"/>
      <c r="K825" s="48"/>
      <c r="L825" s="49"/>
      <c r="M825" s="1598">
        <v>0</v>
      </c>
      <c r="N825" s="1598"/>
      <c r="O825" s="1598"/>
      <c r="P825" s="1598"/>
      <c r="Q825" s="1598"/>
      <c r="R825" s="1598"/>
      <c r="S825" s="1598"/>
      <c r="T825" s="1598"/>
      <c r="U825" s="1598"/>
      <c r="V825" s="1598"/>
      <c r="W825" s="1598"/>
      <c r="X825" s="1598"/>
      <c r="Y825" s="1598"/>
      <c r="Z825" s="1598"/>
      <c r="AA825" s="1598"/>
      <c r="AB825" s="1598"/>
      <c r="AC825" s="1592"/>
      <c r="AD825" s="1593"/>
      <c r="AE825" s="1593"/>
      <c r="AF825" s="1594"/>
      <c r="AG825" s="1592"/>
      <c r="AH825" s="1593"/>
      <c r="AI825" s="1593"/>
      <c r="AJ825" s="1594"/>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 customHeight="1">
      <c r="A826"/>
      <c r="B826"/>
      <c r="C826" s="1484" t="s">
        <v>41</v>
      </c>
      <c r="D826" s="1403"/>
      <c r="E826" s="1403"/>
      <c r="F826" s="1403"/>
      <c r="G826" s="1403"/>
      <c r="H826" s="1403"/>
      <c r="I826" s="5"/>
      <c r="J826" s="5"/>
      <c r="K826" s="5"/>
      <c r="L826" s="46"/>
      <c r="M826" s="1598">
        <v>0</v>
      </c>
      <c r="N826" s="1598"/>
      <c r="O826" s="1598"/>
      <c r="P826" s="1598"/>
      <c r="Q826" s="1598"/>
      <c r="R826" s="1598"/>
      <c r="S826" s="1598"/>
      <c r="T826" s="1598"/>
      <c r="U826" s="1598"/>
      <c r="V826" s="1598"/>
      <c r="W826" s="1598"/>
      <c r="X826" s="1598"/>
      <c r="Y826" s="1598"/>
      <c r="Z826" s="1598"/>
      <c r="AA826" s="1598"/>
      <c r="AB826" s="1598"/>
      <c r="AC826" s="1592"/>
      <c r="AD826" s="1593"/>
      <c r="AE826" s="1593"/>
      <c r="AF826" s="1594"/>
      <c r="AG826" s="1592"/>
      <c r="AH826" s="1593"/>
      <c r="AI826" s="1593"/>
      <c r="AJ826" s="1594"/>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 customHeight="1">
      <c r="A827"/>
      <c r="B827"/>
      <c r="C827" s="1484" t="s">
        <v>42</v>
      </c>
      <c r="D827" s="1403"/>
      <c r="E827" s="1403"/>
      <c r="F827" s="1403"/>
      <c r="G827" s="1403"/>
      <c r="H827" s="1403"/>
      <c r="I827" s="60"/>
      <c r="J827" s="60"/>
      <c r="K827" s="60"/>
      <c r="L827" s="61"/>
      <c r="M827" s="1598">
        <v>0</v>
      </c>
      <c r="N827" s="1598"/>
      <c r="O827" s="1598"/>
      <c r="P827" s="1598"/>
      <c r="Q827" s="1598"/>
      <c r="R827" s="1598"/>
      <c r="S827" s="1598"/>
      <c r="T827" s="1598"/>
      <c r="U827" s="1598"/>
      <c r="V827" s="1598"/>
      <c r="W827" s="1598"/>
      <c r="X827" s="1598"/>
      <c r="Y827" s="1598"/>
      <c r="Z827" s="1598"/>
      <c r="AA827" s="1598"/>
      <c r="AB827" s="1598"/>
      <c r="AC827" s="1592"/>
      <c r="AD827" s="1593"/>
      <c r="AE827" s="1593"/>
      <c r="AF827" s="1594"/>
      <c r="AG827" s="1592"/>
      <c r="AH827" s="1593"/>
      <c r="AI827" s="1593"/>
      <c r="AJ827" s="1594"/>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 customHeight="1">
      <c r="A828"/>
      <c r="B828"/>
      <c r="C828" s="1484" t="s">
        <v>770</v>
      </c>
      <c r="D828" s="1403"/>
      <c r="E828" s="1403"/>
      <c r="F828" s="1403"/>
      <c r="G828" s="1403"/>
      <c r="H828" s="1403"/>
      <c r="I828" s="60"/>
      <c r="J828" s="60"/>
      <c r="K828" s="60"/>
      <c r="L828" s="61"/>
      <c r="M828" s="1598">
        <v>0</v>
      </c>
      <c r="N828" s="1598"/>
      <c r="O828" s="1598"/>
      <c r="P828" s="1598"/>
      <c r="Q828" s="1598"/>
      <c r="R828" s="1598"/>
      <c r="S828" s="1598"/>
      <c r="T828" s="1598"/>
      <c r="U828" s="1598"/>
      <c r="V828" s="1598"/>
      <c r="W828" s="1598"/>
      <c r="X828" s="1598"/>
      <c r="Y828" s="1598"/>
      <c r="Z828" s="1598"/>
      <c r="AA828" s="1598"/>
      <c r="AB828" s="1598"/>
      <c r="AC828" s="1592"/>
      <c r="AD828" s="1593"/>
      <c r="AE828" s="1593"/>
      <c r="AF828" s="1594"/>
      <c r="AG828" s="1592"/>
      <c r="AH828" s="1593"/>
      <c r="AI828" s="1593"/>
      <c r="AJ828" s="1594"/>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 customHeight="1">
      <c r="A829"/>
      <c r="B829"/>
      <c r="C829" s="1484" t="s">
        <v>466</v>
      </c>
      <c r="D829" s="1403"/>
      <c r="E829" s="1403"/>
      <c r="F829" s="1403"/>
      <c r="G829" s="1403"/>
      <c r="H829" s="1403"/>
      <c r="I829" s="60"/>
      <c r="J829" s="60"/>
      <c r="K829" s="60"/>
      <c r="L829" s="61"/>
      <c r="M829" s="1598">
        <v>0</v>
      </c>
      <c r="N829" s="1598"/>
      <c r="O829" s="1598"/>
      <c r="P829" s="1598"/>
      <c r="Q829" s="1598"/>
      <c r="R829" s="1598"/>
      <c r="S829" s="1598"/>
      <c r="T829" s="1598"/>
      <c r="U829" s="1598"/>
      <c r="V829" s="1598"/>
      <c r="W829" s="1598"/>
      <c r="X829" s="1598"/>
      <c r="Y829" s="1598"/>
      <c r="Z829" s="1598"/>
      <c r="AA829" s="1598"/>
      <c r="AB829" s="1598"/>
      <c r="AC829" s="1592"/>
      <c r="AD829" s="1593"/>
      <c r="AE829" s="1593"/>
      <c r="AF829" s="1594"/>
      <c r="AG829" s="1592"/>
      <c r="AH829" s="1593"/>
      <c r="AI829" s="1593"/>
      <c r="AJ829" s="1594"/>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 customHeight="1">
      <c r="A830"/>
      <c r="B830"/>
      <c r="C830" s="1745" t="s">
        <v>791</v>
      </c>
      <c r="D830" s="1403"/>
      <c r="E830" s="1403"/>
      <c r="F830" s="1403"/>
      <c r="G830" s="1403"/>
      <c r="H830" s="1403"/>
      <c r="I830" s="60"/>
      <c r="J830" s="60"/>
      <c r="K830" s="60"/>
      <c r="L830" s="61"/>
      <c r="M830" s="1598">
        <v>0</v>
      </c>
      <c r="N830" s="1598"/>
      <c r="O830" s="1598"/>
      <c r="P830" s="1598"/>
      <c r="Q830" s="1598"/>
      <c r="R830" s="1598"/>
      <c r="S830" s="1598"/>
      <c r="T830" s="1598"/>
      <c r="U830" s="1598"/>
      <c r="V830" s="1598"/>
      <c r="W830" s="1598"/>
      <c r="X830" s="1598"/>
      <c r="Y830" s="1598"/>
      <c r="Z830" s="1598"/>
      <c r="AA830" s="1598"/>
      <c r="AB830" s="1598"/>
      <c r="AC830" s="1592"/>
      <c r="AD830" s="1593"/>
      <c r="AE830" s="1593"/>
      <c r="AF830" s="1594"/>
      <c r="AG830" s="1592"/>
      <c r="AH830" s="1593"/>
      <c r="AI830" s="1593"/>
      <c r="AJ830" s="1594"/>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 customHeight="1">
      <c r="A831"/>
      <c r="B831"/>
      <c r="C831" s="59" t="s">
        <v>293</v>
      </c>
      <c r="D831" s="60"/>
      <c r="E831" s="60"/>
      <c r="F831" s="1623" t="s">
        <v>334</v>
      </c>
      <c r="G831" s="1624"/>
      <c r="H831" s="1624"/>
      <c r="I831" s="1624"/>
      <c r="J831" s="1624"/>
      <c r="K831" s="1624"/>
      <c r="L831" s="1624"/>
      <c r="M831" s="1598"/>
      <c r="N831" s="1598"/>
      <c r="O831" s="1598"/>
      <c r="P831" s="1598"/>
      <c r="Q831" s="1598"/>
      <c r="R831" s="1598"/>
      <c r="S831" s="1598"/>
      <c r="T831" s="1598"/>
      <c r="U831" s="1598"/>
      <c r="V831" s="1598"/>
      <c r="W831" s="1598"/>
      <c r="X831" s="1598"/>
      <c r="Y831" s="1598"/>
      <c r="Z831" s="1598"/>
      <c r="AA831" s="1598"/>
      <c r="AB831" s="1598"/>
      <c r="AC831" s="1592"/>
      <c r="AD831" s="1593"/>
      <c r="AE831" s="1593"/>
      <c r="AF831" s="1594"/>
      <c r="AG831" s="1592"/>
      <c r="AH831" s="1593"/>
      <c r="AI831" s="1593"/>
      <c r="AJ831" s="1594"/>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 customHeight="1">
      <c r="A832"/>
      <c r="B832"/>
      <c r="C832" s="1607" t="s">
        <v>124</v>
      </c>
      <c r="D832" s="1608"/>
      <c r="E832" s="1608"/>
      <c r="F832" s="1608"/>
      <c r="G832" s="1608"/>
      <c r="H832" s="1608"/>
      <c r="I832" s="1608"/>
      <c r="J832" s="1608"/>
      <c r="K832" s="1608"/>
      <c r="L832" s="1609"/>
      <c r="M832" s="1611">
        <f>SUM(M825:P831)</f>
        <v>0</v>
      </c>
      <c r="N832" s="1611"/>
      <c r="O832" s="1611"/>
      <c r="P832" s="1611"/>
      <c r="Q832" s="1611">
        <f>SUM(Q825:T831)</f>
        <v>0</v>
      </c>
      <c r="R832" s="1611"/>
      <c r="S832" s="1611"/>
      <c r="T832" s="1611"/>
      <c r="U832" s="1611">
        <f>SUM(U825:X831)</f>
        <v>0</v>
      </c>
      <c r="V832" s="1611"/>
      <c r="W832" s="1611"/>
      <c r="X832" s="1611"/>
      <c r="Y832" s="1611">
        <f>SUM(Y825:AB831)</f>
        <v>0</v>
      </c>
      <c r="Z832" s="1611"/>
      <c r="AA832" s="1611"/>
      <c r="AB832" s="1611"/>
      <c r="AC832" s="1611">
        <f>SUM(AC825:AF831)</f>
        <v>0</v>
      </c>
      <c r="AD832" s="1611"/>
      <c r="AE832" s="1611"/>
      <c r="AF832" s="1611"/>
      <c r="AG832" s="1611">
        <f>SUM(AG825:AJ831)</f>
        <v>0</v>
      </c>
      <c r="AH832" s="1611"/>
      <c r="AI832" s="1611"/>
      <c r="AJ832" s="1611"/>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 customHeight="1">
      <c r="A837"/>
      <c r="B837"/>
      <c r="C837" s="1727" t="s">
        <v>598</v>
      </c>
      <c r="D837" s="1728"/>
      <c r="E837" s="1728"/>
      <c r="F837" s="1728"/>
      <c r="G837" s="1728"/>
      <c r="H837" s="1728"/>
      <c r="I837" s="1728"/>
      <c r="J837" s="1728"/>
      <c r="K837" s="1728"/>
      <c r="L837" s="1728"/>
      <c r="M837" s="1728"/>
      <c r="N837" s="1728"/>
      <c r="O837" s="1728"/>
      <c r="P837" s="1728"/>
      <c r="Q837" s="1728"/>
      <c r="R837" s="1728"/>
      <c r="S837" s="1728"/>
      <c r="T837" s="1728"/>
      <c r="U837" s="1728"/>
      <c r="V837" s="1728"/>
      <c r="W837" s="1728"/>
      <c r="X837" s="1728"/>
      <c r="Y837" s="1728"/>
      <c r="Z837" s="1728"/>
      <c r="AA837" s="1728"/>
      <c r="AB837" s="1728"/>
      <c r="AC837" s="1728"/>
      <c r="AD837" s="1728"/>
      <c r="AE837" s="1728"/>
      <c r="AF837" s="1728"/>
      <c r="AG837" s="1728"/>
      <c r="AH837" s="1728"/>
      <c r="AI837" s="1728"/>
      <c r="AJ837" s="1729"/>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7">
        <f>ROUNDDOWN(BC939*2,2)</f>
        <v>0</v>
      </c>
      <c r="BJ841" s="1647"/>
      <c r="BK841" s="1647"/>
      <c r="BL841" s="1647"/>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 customHeight="1">
      <c r="A842"/>
      <c r="B842"/>
      <c r="C842" s="2" t="s">
        <v>343</v>
      </c>
      <c r="D842"/>
      <c r="E842"/>
      <c r="F842"/>
      <c r="G842"/>
      <c r="H842"/>
      <c r="I842"/>
      <c r="J842" s="45" t="s">
        <v>356</v>
      </c>
      <c r="K842" s="5"/>
      <c r="L842" s="5"/>
      <c r="M842" s="5"/>
      <c r="N842" s="5"/>
      <c r="O842" s="5"/>
      <c r="P842" s="5"/>
      <c r="Q842" s="5"/>
      <c r="R842" s="5"/>
      <c r="S842" s="5"/>
      <c r="T842" s="5"/>
      <c r="U842" s="5"/>
      <c r="V842" s="46"/>
      <c r="W842" s="1612">
        <v>63750</v>
      </c>
      <c r="X842" s="1612"/>
      <c r="Y842" s="1612"/>
      <c r="Z842" s="1612"/>
      <c r="AA842" s="1612"/>
      <c r="AB842" s="1612"/>
      <c r="AC842" s="1612"/>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 customHeight="1">
      <c r="A843"/>
      <c r="B843"/>
      <c r="C843"/>
      <c r="D843"/>
      <c r="E843"/>
      <c r="F843"/>
      <c r="G843"/>
      <c r="H843"/>
      <c r="I843"/>
      <c r="J843" s="45" t="s">
        <v>355</v>
      </c>
      <c r="K843" s="5"/>
      <c r="L843" s="5"/>
      <c r="M843" s="5"/>
      <c r="N843" s="5"/>
      <c r="O843" s="5"/>
      <c r="P843" s="5"/>
      <c r="Q843" s="5"/>
      <c r="R843" s="5"/>
      <c r="S843" s="5"/>
      <c r="T843" s="5"/>
      <c r="U843" s="5"/>
      <c r="V843" s="46"/>
      <c r="W843" s="1612">
        <v>37200</v>
      </c>
      <c r="X843" s="1612"/>
      <c r="Y843" s="1612"/>
      <c r="Z843" s="1612"/>
      <c r="AA843" s="1612"/>
      <c r="AB843" s="1612"/>
      <c r="AC843" s="1612"/>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 customHeight="1">
      <c r="J844" s="45" t="s">
        <v>354</v>
      </c>
      <c r="K844" s="5"/>
      <c r="L844" s="5"/>
      <c r="M844" s="5"/>
      <c r="N844" s="5"/>
      <c r="O844" s="5"/>
      <c r="P844" s="5"/>
      <c r="Q844" s="5"/>
      <c r="R844" s="5"/>
      <c r="S844" s="5"/>
      <c r="T844" s="5"/>
      <c r="U844" s="5"/>
      <c r="V844" s="46"/>
      <c r="W844" s="1612">
        <v>20000</v>
      </c>
      <c r="X844" s="1612"/>
      <c r="Y844" s="1612"/>
      <c r="Z844" s="1612"/>
      <c r="AA844" s="1612"/>
      <c r="AB844" s="1612"/>
      <c r="AC844" s="1612"/>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 customHeight="1">
      <c r="J845" s="45" t="s">
        <v>353</v>
      </c>
      <c r="K845" s="5"/>
      <c r="L845" s="5"/>
      <c r="M845" s="5"/>
      <c r="N845" s="5"/>
      <c r="O845" s="5"/>
      <c r="P845" s="5"/>
      <c r="Q845" s="5"/>
      <c r="R845" s="5"/>
      <c r="S845" s="5"/>
      <c r="T845" s="5"/>
      <c r="U845" s="5"/>
      <c r="V845" s="46"/>
      <c r="W845" s="1612">
        <v>0</v>
      </c>
      <c r="X845" s="1612"/>
      <c r="Y845" s="1612"/>
      <c r="Z845" s="1612"/>
      <c r="AA845" s="1612"/>
      <c r="AB845" s="1612"/>
      <c r="AC845" s="1612"/>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 customHeight="1">
      <c r="J846" s="45" t="s">
        <v>169</v>
      </c>
      <c r="K846" s="5"/>
      <c r="L846" s="5"/>
      <c r="M846" s="1623" t="s">
        <v>2679</v>
      </c>
      <c r="N846" s="1624"/>
      <c r="O846" s="1624"/>
      <c r="P846" s="1624"/>
      <c r="Q846" s="1624"/>
      <c r="R846" s="1624"/>
      <c r="S846" s="1624"/>
      <c r="T846" s="1624"/>
      <c r="U846" s="1624"/>
      <c r="V846" s="1625"/>
      <c r="W846" s="1612">
        <f>26200+27800</f>
        <v>54000</v>
      </c>
      <c r="X846" s="1612"/>
      <c r="Y846" s="1612"/>
      <c r="Z846" s="1612"/>
      <c r="AA846" s="1612"/>
      <c r="AB846" s="1612"/>
      <c r="AC846" s="1612"/>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 customHeight="1">
      <c r="J847" s="45"/>
      <c r="K847" s="5"/>
      <c r="L847" s="5"/>
      <c r="M847" s="5"/>
      <c r="N847" s="5"/>
      <c r="O847" s="5"/>
      <c r="P847" s="5"/>
      <c r="Q847" s="5"/>
      <c r="R847" s="5"/>
      <c r="S847" s="5"/>
      <c r="T847" s="5"/>
      <c r="U847" s="5"/>
      <c r="V847" s="54" t="s">
        <v>342</v>
      </c>
      <c r="W847" s="1589">
        <f>SUM(W842:AC846)</f>
        <v>174950</v>
      </c>
      <c r="X847" s="1590"/>
      <c r="Y847" s="1590"/>
      <c r="Z847" s="1590"/>
      <c r="AA847" s="1590"/>
      <c r="AB847" s="1590"/>
      <c r="AC847" s="1591"/>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 customHeight="1">
      <c r="AZ848" s="30"/>
      <c r="BA848" s="30"/>
      <c r="BB848" s="14"/>
      <c r="BC848" s="14"/>
      <c r="BD848" s="14"/>
      <c r="BE848" s="14"/>
      <c r="BF848" s="14"/>
      <c r="BG848" s="1628"/>
      <c r="BH848" s="1628"/>
      <c r="BI848" s="1628"/>
      <c r="BJ848" s="1628"/>
      <c r="BK848" s="1628"/>
      <c r="BL848" s="1628"/>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 customHeight="1">
      <c r="C849" s="2" t="s">
        <v>344</v>
      </c>
      <c r="J849" s="1607" t="s">
        <v>345</v>
      </c>
      <c r="K849" s="1608"/>
      <c r="L849" s="1608"/>
      <c r="M849" s="1608"/>
      <c r="N849" s="1608"/>
      <c r="O849" s="1608"/>
      <c r="P849" s="1608"/>
      <c r="Q849" s="1608"/>
      <c r="R849" s="1608"/>
      <c r="S849" s="1608"/>
      <c r="T849" s="1608"/>
      <c r="U849" s="1608"/>
      <c r="V849" s="1609"/>
      <c r="W849" s="1599">
        <f>309623+10000</f>
        <v>319623</v>
      </c>
      <c r="X849" s="1600"/>
      <c r="Y849" s="1600"/>
      <c r="Z849" s="1600"/>
      <c r="AA849" s="1600"/>
      <c r="AB849" s="1600"/>
      <c r="AC849" s="1601"/>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 customHeight="1">
      <c r="C851" s="2" t="s">
        <v>568</v>
      </c>
      <c r="J851" s="45" t="s">
        <v>352</v>
      </c>
      <c r="K851" s="5"/>
      <c r="L851" s="5"/>
      <c r="M851" s="5"/>
      <c r="N851" s="5"/>
      <c r="O851" s="5"/>
      <c r="P851" s="5"/>
      <c r="Q851" s="5"/>
      <c r="R851" s="5"/>
      <c r="S851" s="5"/>
      <c r="T851" s="5"/>
      <c r="U851" s="5"/>
      <c r="V851" s="46"/>
      <c r="W851" s="1621">
        <v>0</v>
      </c>
      <c r="X851" s="1621"/>
      <c r="Y851" s="1621"/>
      <c r="Z851" s="1621"/>
      <c r="AA851" s="1621"/>
      <c r="AB851" s="1621"/>
      <c r="AC851" s="1621"/>
      <c r="AZ851" s="1626">
        <f>SUM(AZ818:AZ846)</f>
        <v>7.5000000000000011E-2</v>
      </c>
      <c r="BA851" s="1626"/>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 customHeight="1">
      <c r="J852" s="45" t="s">
        <v>351</v>
      </c>
      <c r="K852" s="5"/>
      <c r="L852" s="5"/>
      <c r="M852" s="5"/>
      <c r="N852" s="5"/>
      <c r="O852" s="5"/>
      <c r="P852" s="5"/>
      <c r="Q852" s="5"/>
      <c r="R852" s="5"/>
      <c r="S852" s="5"/>
      <c r="T852" s="5"/>
      <c r="U852" s="5"/>
      <c r="V852" s="46"/>
      <c r="W852" s="1621">
        <v>0</v>
      </c>
      <c r="X852" s="1621"/>
      <c r="Y852" s="1621"/>
      <c r="Z852" s="1621"/>
      <c r="AA852" s="1621"/>
      <c r="AB852" s="1621"/>
      <c r="AC852" s="1621"/>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 customHeight="1">
      <c r="J853" s="45" t="s">
        <v>466</v>
      </c>
      <c r="K853" s="5"/>
      <c r="L853" s="5"/>
      <c r="M853" s="5"/>
      <c r="N853" s="5"/>
      <c r="O853" s="5"/>
      <c r="P853" s="5"/>
      <c r="Q853" s="5"/>
      <c r="R853" s="5"/>
      <c r="S853" s="5"/>
      <c r="T853" s="5"/>
      <c r="U853" s="5"/>
      <c r="V853" s="46"/>
      <c r="W853" s="1621">
        <v>405000</v>
      </c>
      <c r="X853" s="1621"/>
      <c r="Y853" s="1621"/>
      <c r="Z853" s="1621"/>
      <c r="AA853" s="1621"/>
      <c r="AB853" s="1621"/>
      <c r="AC853" s="1621"/>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 customHeight="1">
      <c r="J854" s="62" t="s">
        <v>627</v>
      </c>
      <c r="K854" s="5"/>
      <c r="L854" s="5"/>
      <c r="M854" s="5"/>
      <c r="N854" s="5"/>
      <c r="O854" s="5"/>
      <c r="P854" s="5"/>
      <c r="Q854" s="5"/>
      <c r="R854" s="5"/>
      <c r="S854" s="5"/>
      <c r="T854" s="5"/>
      <c r="U854" s="5"/>
      <c r="V854" s="46"/>
      <c r="W854" s="1621">
        <f>112500+97500</f>
        <v>210000</v>
      </c>
      <c r="X854" s="1621"/>
      <c r="Y854" s="1621"/>
      <c r="Z854" s="1621"/>
      <c r="AA854" s="1621"/>
      <c r="AB854" s="1621"/>
      <c r="AC854" s="1621"/>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 customHeight="1">
      <c r="J855" s="63"/>
      <c r="K855" s="48"/>
      <c r="L855" s="48"/>
      <c r="M855" s="48"/>
      <c r="N855" s="48"/>
      <c r="O855" s="48"/>
      <c r="P855" s="48"/>
      <c r="Q855" s="48"/>
      <c r="R855" s="48"/>
      <c r="S855" s="48"/>
      <c r="T855" s="48"/>
      <c r="U855" s="48"/>
      <c r="V855" s="54" t="s">
        <v>272</v>
      </c>
      <c r="W855" s="1744">
        <f>SUM(W851:AC854)</f>
        <v>615000</v>
      </c>
      <c r="X855" s="1744"/>
      <c r="Y855" s="1744"/>
      <c r="Z855" s="1744"/>
      <c r="AA855" s="1744"/>
      <c r="AB855" s="1744"/>
      <c r="AC855" s="174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 customHeight="1">
      <c r="C857" s="2" t="s">
        <v>346</v>
      </c>
      <c r="J857" s="45" t="s">
        <v>626</v>
      </c>
      <c r="K857" s="5"/>
      <c r="L857" s="5"/>
      <c r="M857" s="5"/>
      <c r="N857" s="5"/>
      <c r="O857" s="5"/>
      <c r="P857" s="5"/>
      <c r="Q857" s="5"/>
      <c r="R857" s="5"/>
      <c r="S857" s="5"/>
      <c r="T857" s="5"/>
      <c r="U857" s="5"/>
      <c r="V857" s="46"/>
      <c r="W857" s="1613">
        <v>307840</v>
      </c>
      <c r="X857" s="1614"/>
      <c r="Y857" s="1614"/>
      <c r="Z857" s="1614"/>
      <c r="AA857" s="1614"/>
      <c r="AB857" s="1614"/>
      <c r="AC857" s="1615"/>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 customHeight="1">
      <c r="C858" s="2" t="s">
        <v>347</v>
      </c>
      <c r="J858" s="121" t="s">
        <v>1766</v>
      </c>
      <c r="K858" s="5"/>
      <c r="L858" s="5"/>
      <c r="M858" s="5"/>
      <c r="N858" s="5"/>
      <c r="O858" s="5"/>
      <c r="P858" s="5"/>
      <c r="Q858" s="5"/>
      <c r="R858" s="5"/>
      <c r="S858" s="5"/>
      <c r="T858" s="1629">
        <v>4</v>
      </c>
      <c r="U858" s="1577"/>
      <c r="V858" s="1630"/>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 customHeight="1">
      <c r="C859" s="2"/>
      <c r="J859" s="45" t="s">
        <v>625</v>
      </c>
      <c r="K859" s="5"/>
      <c r="L859" s="5"/>
      <c r="M859" s="5"/>
      <c r="N859" s="5"/>
      <c r="O859" s="5"/>
      <c r="P859" s="5"/>
      <c r="Q859" s="5"/>
      <c r="R859" s="5"/>
      <c r="S859" s="5"/>
      <c r="T859" s="5"/>
      <c r="U859" s="5"/>
      <c r="V859" s="46"/>
      <c r="W859" s="1613">
        <v>303680</v>
      </c>
      <c r="X859" s="1614"/>
      <c r="Y859" s="1614"/>
      <c r="Z859" s="1614"/>
      <c r="AA859" s="1614"/>
      <c r="AB859" s="1614"/>
      <c r="AC859" s="1615"/>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 customHeight="1">
      <c r="C860" s="2"/>
      <c r="J860" s="121" t="s">
        <v>1767</v>
      </c>
      <c r="K860" s="5"/>
      <c r="L860" s="5"/>
      <c r="M860" s="5"/>
      <c r="N860" s="5"/>
      <c r="O860" s="5"/>
      <c r="P860" s="5"/>
      <c r="Q860" s="5"/>
      <c r="R860" s="5"/>
      <c r="S860" s="5"/>
      <c r="T860" s="1629">
        <v>0</v>
      </c>
      <c r="U860" s="1577"/>
      <c r="V860" s="1630"/>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 customHeight="1">
      <c r="J861" s="45" t="s">
        <v>169</v>
      </c>
      <c r="K861" s="5"/>
      <c r="L861" s="5"/>
      <c r="M861" s="1623" t="s">
        <v>2682</v>
      </c>
      <c r="N861" s="1624"/>
      <c r="O861" s="1624"/>
      <c r="P861" s="1624"/>
      <c r="Q861" s="1624"/>
      <c r="R861" s="1624"/>
      <c r="S861" s="1624"/>
      <c r="T861" s="1624"/>
      <c r="U861" s="1624"/>
      <c r="V861" s="1625"/>
      <c r="W861" s="1613">
        <v>152880</v>
      </c>
      <c r="X861" s="1614"/>
      <c r="Y861" s="1614"/>
      <c r="Z861" s="1614"/>
      <c r="AA861" s="1614"/>
      <c r="AB861" s="1614"/>
      <c r="AC861" s="1615"/>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 customHeight="1">
      <c r="J862" s="45"/>
      <c r="K862" s="5"/>
      <c r="L862" s="5"/>
      <c r="M862" s="5"/>
      <c r="N862" s="5"/>
      <c r="O862" s="5"/>
      <c r="P862" s="5"/>
      <c r="Q862" s="5"/>
      <c r="R862" s="5"/>
      <c r="S862" s="5"/>
      <c r="T862" s="5"/>
      <c r="U862" s="5"/>
      <c r="V862" s="54" t="s">
        <v>273</v>
      </c>
      <c r="W862" s="1631">
        <f>SUM(W857:AC861)</f>
        <v>764400</v>
      </c>
      <c r="X862" s="1632"/>
      <c r="Y862" s="1632"/>
      <c r="Z862" s="1632"/>
      <c r="AA862" s="1632"/>
      <c r="AB862" s="1632"/>
      <c r="AC862" s="1633"/>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 customHeight="1">
      <c r="J863" s="45"/>
      <c r="K863" s="5"/>
      <c r="L863" s="5"/>
      <c r="M863" s="5"/>
      <c r="N863" s="5"/>
      <c r="O863" s="5"/>
      <c r="P863" s="5"/>
      <c r="Q863" s="5"/>
      <c r="R863" s="5"/>
      <c r="S863" s="5"/>
      <c r="T863" s="5"/>
      <c r="U863" s="5"/>
      <c r="V863" s="54" t="s">
        <v>274</v>
      </c>
      <c r="W863" s="1613">
        <v>0</v>
      </c>
      <c r="X863" s="1614"/>
      <c r="Y863" s="1614"/>
      <c r="Z863" s="1614"/>
      <c r="AA863" s="1614"/>
      <c r="AB863" s="1614"/>
      <c r="AC863" s="1615"/>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 customHeight="1">
      <c r="C865" s="2" t="s">
        <v>390</v>
      </c>
      <c r="J865" s="45" t="s">
        <v>624</v>
      </c>
      <c r="K865" s="5"/>
      <c r="L865" s="5"/>
      <c r="M865" s="5"/>
      <c r="N865" s="5"/>
      <c r="O865" s="5"/>
      <c r="P865" s="5"/>
      <c r="Q865" s="5"/>
      <c r="R865" s="5"/>
      <c r="S865" s="5"/>
      <c r="T865" s="5"/>
      <c r="U865" s="5"/>
      <c r="V865" s="46"/>
      <c r="W865" s="1612">
        <v>0</v>
      </c>
      <c r="X865" s="1612"/>
      <c r="Y865" s="1612"/>
      <c r="Z865" s="1612"/>
      <c r="AA865" s="1612"/>
      <c r="AB865" s="1612"/>
      <c r="AC865" s="161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 customHeight="1">
      <c r="J866" s="45" t="s">
        <v>529</v>
      </c>
      <c r="K866" s="5"/>
      <c r="L866" s="5"/>
      <c r="M866" s="5"/>
      <c r="N866" s="5"/>
      <c r="O866" s="5"/>
      <c r="P866" s="5"/>
      <c r="Q866" s="5"/>
      <c r="R866" s="5"/>
      <c r="S866" s="5"/>
      <c r="T866" s="5"/>
      <c r="U866" s="5"/>
      <c r="V866" s="46"/>
      <c r="W866" s="1612">
        <f>57600+103100+55000+75600</f>
        <v>291300</v>
      </c>
      <c r="X866" s="1612"/>
      <c r="Y866" s="1612"/>
      <c r="Z866" s="1612"/>
      <c r="AA866" s="1612"/>
      <c r="AB866" s="1612"/>
      <c r="AC866" s="161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 customHeight="1">
      <c r="J867" s="45" t="s">
        <v>528</v>
      </c>
      <c r="K867" s="5"/>
      <c r="L867" s="5"/>
      <c r="M867" s="5"/>
      <c r="N867" s="5"/>
      <c r="O867" s="5"/>
      <c r="P867" s="5"/>
      <c r="Q867" s="5"/>
      <c r="R867" s="5"/>
      <c r="S867" s="5"/>
      <c r="T867" s="5"/>
      <c r="U867" s="5"/>
      <c r="V867" s="46"/>
      <c r="W867" s="1612">
        <v>150000</v>
      </c>
      <c r="X867" s="1612"/>
      <c r="Y867" s="1612"/>
      <c r="Z867" s="1612"/>
      <c r="AA867" s="1612"/>
      <c r="AB867" s="1612"/>
      <c r="AC867" s="161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 customHeight="1">
      <c r="J868" s="45" t="s">
        <v>527</v>
      </c>
      <c r="K868" s="5"/>
      <c r="L868" s="5"/>
      <c r="M868" s="5"/>
      <c r="N868" s="5"/>
      <c r="O868" s="5"/>
      <c r="P868" s="5"/>
      <c r="Q868" s="5"/>
      <c r="R868" s="5"/>
      <c r="S868" s="5"/>
      <c r="T868" s="5"/>
      <c r="U868" s="5"/>
      <c r="V868" s="46"/>
      <c r="W868" s="1612">
        <v>12800</v>
      </c>
      <c r="X868" s="1612"/>
      <c r="Y868" s="1612"/>
      <c r="Z868" s="1612"/>
      <c r="AA868" s="1612"/>
      <c r="AB868" s="1612"/>
      <c r="AC868" s="161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 customHeight="1">
      <c r="J869" s="45" t="s">
        <v>526</v>
      </c>
      <c r="K869" s="5"/>
      <c r="L869" s="5"/>
      <c r="M869" s="5"/>
      <c r="N869" s="5"/>
      <c r="O869" s="5"/>
      <c r="P869" s="5"/>
      <c r="Q869" s="5"/>
      <c r="R869" s="5"/>
      <c r="S869" s="5"/>
      <c r="T869" s="5"/>
      <c r="U869" s="5"/>
      <c r="V869" s="46"/>
      <c r="W869" s="1612">
        <v>19200</v>
      </c>
      <c r="X869" s="1612"/>
      <c r="Y869" s="1612"/>
      <c r="Z869" s="1612"/>
      <c r="AA869" s="1612"/>
      <c r="AB869" s="1612"/>
      <c r="AC869" s="161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 customHeight="1">
      <c r="J870" s="45" t="s">
        <v>525</v>
      </c>
      <c r="K870" s="5"/>
      <c r="L870" s="5"/>
      <c r="M870" s="5"/>
      <c r="N870" s="5"/>
      <c r="O870" s="5"/>
      <c r="P870" s="5"/>
      <c r="Q870" s="5"/>
      <c r="R870" s="5"/>
      <c r="S870" s="5"/>
      <c r="T870" s="5"/>
      <c r="U870" s="5"/>
      <c r="V870" s="46"/>
      <c r="W870" s="1612">
        <v>51200</v>
      </c>
      <c r="X870" s="1612"/>
      <c r="Y870" s="1612"/>
      <c r="Z870" s="1612"/>
      <c r="AA870" s="1612"/>
      <c r="AB870" s="1612"/>
      <c r="AC870" s="161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 customHeight="1">
      <c r="J871" s="45" t="s">
        <v>169</v>
      </c>
      <c r="K871" s="5"/>
      <c r="L871" s="5"/>
      <c r="M871" s="1623" t="s">
        <v>2677</v>
      </c>
      <c r="N871" s="1624"/>
      <c r="O871" s="1624"/>
      <c r="P871" s="1624"/>
      <c r="Q871" s="1624"/>
      <c r="R871" s="1624"/>
      <c r="S871" s="1624"/>
      <c r="T871" s="1624"/>
      <c r="U871" s="1624"/>
      <c r="V871" s="1625"/>
      <c r="W871" s="1612">
        <v>22400</v>
      </c>
      <c r="X871" s="1612"/>
      <c r="Y871" s="1612"/>
      <c r="Z871" s="1612"/>
      <c r="AA871" s="1612"/>
      <c r="AB871" s="1612"/>
      <c r="AC871" s="1612"/>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 customHeight="1">
      <c r="J872" s="45"/>
      <c r="K872" s="5"/>
      <c r="L872" s="5"/>
      <c r="M872" s="5"/>
      <c r="N872" s="5"/>
      <c r="O872" s="5"/>
      <c r="P872" s="5"/>
      <c r="Q872" s="5"/>
      <c r="R872" s="5"/>
      <c r="S872" s="5"/>
      <c r="T872" s="5"/>
      <c r="U872" s="5"/>
      <c r="V872" s="54" t="s">
        <v>275</v>
      </c>
      <c r="W872" s="1610">
        <f>SUM(W865:AC871)</f>
        <v>546900</v>
      </c>
      <c r="X872" s="1610"/>
      <c r="Y872" s="1610"/>
      <c r="Z872" s="1610"/>
      <c r="AA872" s="1610"/>
      <c r="AB872" s="1610"/>
      <c r="AC872" s="161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 customHeight="1">
      <c r="C874" s="2" t="s">
        <v>1349</v>
      </c>
      <c r="J874" s="45" t="s">
        <v>169</v>
      </c>
      <c r="K874" s="5"/>
      <c r="L874" s="5"/>
      <c r="M874" s="1623" t="s">
        <v>2678</v>
      </c>
      <c r="N874" s="1624"/>
      <c r="O874" s="1624"/>
      <c r="P874" s="1624"/>
      <c r="Q874" s="1624"/>
      <c r="R874" s="1624"/>
      <c r="S874" s="1624"/>
      <c r="T874" s="1624"/>
      <c r="U874" s="1624"/>
      <c r="V874" s="1625"/>
      <c r="W874" s="1599">
        <v>637500</v>
      </c>
      <c r="X874" s="1600"/>
      <c r="Y874" s="1600"/>
      <c r="Z874" s="1600"/>
      <c r="AA874" s="1600"/>
      <c r="AB874" s="1600"/>
      <c r="AC874" s="1601"/>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 customHeight="1">
      <c r="C875" s="2" t="s">
        <v>1350</v>
      </c>
      <c r="J875" s="45" t="s">
        <v>169</v>
      </c>
      <c r="K875" s="5"/>
      <c r="L875" s="5"/>
      <c r="M875" s="1623" t="s">
        <v>2680</v>
      </c>
      <c r="N875" s="1624"/>
      <c r="O875" s="1624"/>
      <c r="P875" s="1624"/>
      <c r="Q875" s="1624"/>
      <c r="R875" s="1624"/>
      <c r="S875" s="1624"/>
      <c r="T875" s="1624"/>
      <c r="U875" s="1624"/>
      <c r="V875" s="1625"/>
      <c r="W875" s="1599">
        <f>35600+22000+10000</f>
        <v>67600</v>
      </c>
      <c r="X875" s="1600"/>
      <c r="Y875" s="1600"/>
      <c r="Z875" s="1600"/>
      <c r="AA875" s="1600"/>
      <c r="AB875" s="1600"/>
      <c r="AC875" s="1601"/>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 customHeight="1">
      <c r="J876" s="45" t="s">
        <v>169</v>
      </c>
      <c r="K876" s="5"/>
      <c r="L876" s="5"/>
      <c r="M876" s="1623" t="s">
        <v>2681</v>
      </c>
      <c r="N876" s="1624"/>
      <c r="O876" s="1624"/>
      <c r="P876" s="1624"/>
      <c r="Q876" s="1624"/>
      <c r="R876" s="1624"/>
      <c r="S876" s="1624"/>
      <c r="T876" s="1624"/>
      <c r="U876" s="1624"/>
      <c r="V876" s="1625"/>
      <c r="W876" s="1599">
        <v>98688</v>
      </c>
      <c r="X876" s="1600"/>
      <c r="Y876" s="1600"/>
      <c r="Z876" s="1600"/>
      <c r="AA876" s="1600"/>
      <c r="AB876" s="1600"/>
      <c r="AC876" s="1601"/>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 customHeight="1">
      <c r="J877" s="45" t="s">
        <v>169</v>
      </c>
      <c r="K877" s="5"/>
      <c r="L877" s="5"/>
      <c r="M877" s="1623" t="s">
        <v>334</v>
      </c>
      <c r="N877" s="1624"/>
      <c r="O877" s="1624"/>
      <c r="P877" s="1624"/>
      <c r="Q877" s="1624"/>
      <c r="R877" s="1624"/>
      <c r="S877" s="1624"/>
      <c r="T877" s="1624"/>
      <c r="U877" s="1624"/>
      <c r="V877" s="1625"/>
      <c r="W877" s="1599"/>
      <c r="X877" s="1600"/>
      <c r="Y877" s="1600"/>
      <c r="Z877" s="1600"/>
      <c r="AA877" s="1600"/>
      <c r="AB877" s="1600"/>
      <c r="AC877" s="1601"/>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 customHeight="1">
      <c r="J878" s="45" t="s">
        <v>169</v>
      </c>
      <c r="K878" s="5"/>
      <c r="L878" s="5"/>
      <c r="M878" s="1623" t="s">
        <v>334</v>
      </c>
      <c r="N878" s="1624"/>
      <c r="O878" s="1624"/>
      <c r="P878" s="1624"/>
      <c r="Q878" s="1624"/>
      <c r="R878" s="1624"/>
      <c r="S878" s="1624"/>
      <c r="T878" s="1624"/>
      <c r="U878" s="1624"/>
      <c r="V878" s="1625"/>
      <c r="W878" s="1599"/>
      <c r="X878" s="1600"/>
      <c r="Y878" s="1600"/>
      <c r="Z878" s="1600"/>
      <c r="AA878" s="1600"/>
      <c r="AB878" s="1600"/>
      <c r="AC878" s="1601"/>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 customHeight="1">
      <c r="J879" s="45"/>
      <c r="K879" s="5"/>
      <c r="L879" s="5"/>
      <c r="M879" s="5"/>
      <c r="N879" s="5"/>
      <c r="O879" s="5"/>
      <c r="P879" s="5"/>
      <c r="Q879" s="5"/>
      <c r="R879" s="5"/>
      <c r="S879" s="5"/>
      <c r="T879" s="5"/>
      <c r="U879" s="5"/>
      <c r="V879" s="54" t="s">
        <v>276</v>
      </c>
      <c r="W879" s="1589">
        <f>SUM(W874:AC878)</f>
        <v>803788</v>
      </c>
      <c r="X879" s="1590"/>
      <c r="Y879" s="1590"/>
      <c r="Z879" s="1590"/>
      <c r="AA879" s="1590"/>
      <c r="AB879" s="1590"/>
      <c r="AC879" s="1591"/>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0">
        <f>W847+W855+W862+W863+W872+W879+W849</f>
        <v>3224661</v>
      </c>
      <c r="AD883" s="1590"/>
      <c r="AE883" s="1590"/>
      <c r="AF883" s="1590"/>
      <c r="AG883" s="1590"/>
      <c r="AH883" s="1591"/>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37">
        <f>O797+O777+G753</f>
        <v>425</v>
      </c>
      <c r="AD884" s="1637"/>
      <c r="AE884" s="1637"/>
      <c r="AF884" s="1637"/>
      <c r="AG884" s="1637"/>
      <c r="AH884" s="163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 customHeight="1">
      <c r="C885" s="41"/>
      <c r="D885" s="42"/>
      <c r="E885" s="1741" t="s">
        <v>32</v>
      </c>
      <c r="F885" s="1741"/>
      <c r="G885" s="1741"/>
      <c r="H885" s="1741"/>
      <c r="I885" s="1741"/>
      <c r="J885" s="1741"/>
      <c r="K885" s="1741"/>
      <c r="L885" s="1741"/>
      <c r="M885" s="1741"/>
      <c r="N885" s="1741"/>
      <c r="O885" s="1741"/>
      <c r="P885" s="1741"/>
      <c r="Q885" s="1741"/>
      <c r="R885" s="1741"/>
      <c r="S885" s="1741"/>
      <c r="T885" s="1741"/>
      <c r="U885" s="1741"/>
      <c r="V885" s="1741"/>
      <c r="W885" s="1741"/>
      <c r="X885" s="1741"/>
      <c r="Y885" s="1741"/>
      <c r="Z885" s="1741"/>
      <c r="AA885" s="1741"/>
      <c r="AB885" s="1742"/>
      <c r="AC885" s="1610">
        <f>IF(ISERROR((ROUNDDOWN(AC883/AC884,0))),0,(ROUNDDOWN(AC883/AC884,0)))</f>
        <v>7587</v>
      </c>
      <c r="AD885" s="1610"/>
      <c r="AE885" s="1610"/>
      <c r="AF885" s="1610"/>
      <c r="AG885" s="1610"/>
      <c r="AH885" s="161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639">
        <f>'Sources and Uses Budget'!C75</f>
        <v>2359580</v>
      </c>
      <c r="AD886" s="1640"/>
      <c r="AE886" s="1640"/>
      <c r="AF886" s="1640"/>
      <c r="AG886" s="1640"/>
      <c r="AH886" s="164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601">
        <v>0</v>
      </c>
      <c r="AD887" s="1612"/>
      <c r="AE887" s="1612"/>
      <c r="AF887" s="1612"/>
      <c r="AG887" s="1612"/>
      <c r="AH887" s="161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600">
        <v>18600</v>
      </c>
      <c r="AD888" s="1600"/>
      <c r="AE888" s="1600"/>
      <c r="AF888" s="1600"/>
      <c r="AG888" s="1600"/>
      <c r="AH888" s="1601"/>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600">
        <v>127500</v>
      </c>
      <c r="AD889" s="1600"/>
      <c r="AE889" s="1600"/>
      <c r="AF889" s="1600"/>
      <c r="AG889" s="1600"/>
      <c r="AH889" s="1601"/>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592">
        <v>50523</v>
      </c>
      <c r="AD890" s="1593"/>
      <c r="AE890" s="1593"/>
      <c r="AF890" s="1593"/>
      <c r="AG890" s="1593"/>
      <c r="AH890" s="1594"/>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600">
        <v>766</v>
      </c>
      <c r="AD891" s="1600"/>
      <c r="AE891" s="1600"/>
      <c r="AF891" s="1600"/>
      <c r="AG891" s="1600"/>
      <c r="AH891" s="1601"/>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600">
        <v>0</v>
      </c>
      <c r="AD892" s="1600"/>
      <c r="AE892" s="1600"/>
      <c r="AF892" s="1600"/>
      <c r="AG892" s="1600"/>
      <c r="AH892" s="1601"/>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 customHeight="1">
      <c r="C893" s="1634" t="s">
        <v>974</v>
      </c>
      <c r="D893" s="1635"/>
      <c r="E893" s="1635"/>
      <c r="F893" s="1635"/>
      <c r="G893" s="1635"/>
      <c r="H893" s="1635"/>
      <c r="I893" s="1635"/>
      <c r="J893" s="1635"/>
      <c r="K893" s="1635"/>
      <c r="L893" s="1635"/>
      <c r="M893" s="1635"/>
      <c r="N893" s="1635"/>
      <c r="O893" s="1635"/>
      <c r="P893" s="1635"/>
      <c r="Q893" s="1635"/>
      <c r="R893" s="1635"/>
      <c r="S893" s="1635"/>
      <c r="T893" s="1635"/>
      <c r="U893" s="1635"/>
      <c r="V893" s="1635"/>
      <c r="W893" s="1635"/>
      <c r="X893" s="1635"/>
      <c r="Y893" s="1635"/>
      <c r="Z893" s="1635"/>
      <c r="AA893" s="1635"/>
      <c r="AB893" s="1636"/>
      <c r="AC893" s="1612"/>
      <c r="AD893" s="1612"/>
      <c r="AE893" s="1612"/>
      <c r="AF893" s="1612"/>
      <c r="AG893" s="1612"/>
      <c r="AH893" s="161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 customHeight="1">
      <c r="C894" s="1634" t="s">
        <v>974</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612"/>
      <c r="AD894" s="1612"/>
      <c r="AE894" s="1612"/>
      <c r="AF894" s="1612"/>
      <c r="AG894" s="1612"/>
      <c r="AH894" s="161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 customHeight="1">
      <c r="B898" s="2"/>
      <c r="H898" s="121" t="s">
        <v>238</v>
      </c>
      <c r="I898" s="5"/>
      <c r="J898" s="5"/>
      <c r="K898" s="5"/>
      <c r="L898" s="5"/>
      <c r="M898" s="5"/>
      <c r="N898" s="5"/>
      <c r="O898" s="5"/>
      <c r="P898" s="5"/>
      <c r="Q898" s="5"/>
      <c r="R898" s="5"/>
      <c r="S898" s="5"/>
      <c r="T898" s="5"/>
      <c r="U898" s="5"/>
      <c r="V898" s="5"/>
      <c r="W898" s="5"/>
      <c r="X898" s="5"/>
      <c r="Y898" s="46"/>
      <c r="Z898" s="1599">
        <v>200000</v>
      </c>
      <c r="AA898" s="1600"/>
      <c r="AB898" s="1600"/>
      <c r="AC898" s="1600"/>
      <c r="AD898" s="1600"/>
      <c r="AE898" s="1601"/>
      <c r="AF898" s="567"/>
      <c r="AZ898" s="34"/>
      <c r="BB898" s="30"/>
      <c r="BC898" s="850"/>
      <c r="BD898" s="1627"/>
      <c r="BE898" s="162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 customHeight="1">
      <c r="H899" s="121" t="s">
        <v>239</v>
      </c>
      <c r="I899" s="5"/>
      <c r="J899" s="5"/>
      <c r="K899" s="5"/>
      <c r="L899" s="5"/>
      <c r="M899" s="5"/>
      <c r="N899" s="5"/>
      <c r="O899" s="5"/>
      <c r="P899" s="5"/>
      <c r="Q899" s="5"/>
      <c r="R899" s="5"/>
      <c r="S899" s="5"/>
      <c r="T899" s="5"/>
      <c r="U899" s="5"/>
      <c r="V899" s="5"/>
      <c r="W899" s="5"/>
      <c r="X899" s="5"/>
      <c r="Y899" s="5"/>
      <c r="Z899" s="1599">
        <v>0</v>
      </c>
      <c r="AA899" s="1600"/>
      <c r="AB899" s="1600"/>
      <c r="AC899" s="1600"/>
      <c r="AD899" s="1600"/>
      <c r="AE899" s="1601"/>
      <c r="AZ899" s="34"/>
      <c r="BB899" s="30"/>
      <c r="BC899" s="850"/>
      <c r="BD899" s="1627"/>
      <c r="BE899" s="162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 customHeight="1">
      <c r="H900" s="121" t="s">
        <v>240</v>
      </c>
      <c r="I900" s="5"/>
      <c r="J900" s="5"/>
      <c r="K900" s="5"/>
      <c r="L900" s="5"/>
      <c r="M900" s="5"/>
      <c r="N900" s="5"/>
      <c r="O900" s="5"/>
      <c r="P900" s="5"/>
      <c r="Q900" s="5"/>
      <c r="R900" s="5"/>
      <c r="S900" s="5"/>
      <c r="T900" s="5"/>
      <c r="U900" s="5"/>
      <c r="V900" s="5"/>
      <c r="W900" s="5"/>
      <c r="X900" s="5"/>
      <c r="Y900" s="5"/>
      <c r="Z900" s="1599">
        <v>0</v>
      </c>
      <c r="AA900" s="1600"/>
      <c r="AB900" s="1600"/>
      <c r="AC900" s="1600"/>
      <c r="AD900" s="1600"/>
      <c r="AE900" s="1601"/>
      <c r="AZ900" s="34"/>
      <c r="BB900" s="30"/>
      <c r="BC900" s="850"/>
      <c r="BD900" s="1628"/>
      <c r="BE900" s="162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 customHeight="1">
      <c r="H901" s="45"/>
      <c r="I901" s="5"/>
      <c r="J901" s="5"/>
      <c r="K901" s="5"/>
      <c r="L901" s="5"/>
      <c r="M901" s="5"/>
      <c r="N901" s="5"/>
      <c r="O901" s="5"/>
      <c r="P901" s="5"/>
      <c r="Q901" s="5"/>
      <c r="R901" s="5"/>
      <c r="S901" s="5"/>
      <c r="T901" s="5"/>
      <c r="U901" s="5"/>
      <c r="V901" s="5"/>
      <c r="W901" s="5"/>
      <c r="X901" s="5"/>
      <c r="Y901" s="190" t="s">
        <v>241</v>
      </c>
      <c r="Z901" s="1589">
        <f>Z898-(Z899+Z900)</f>
        <v>200000</v>
      </c>
      <c r="AA901" s="1590"/>
      <c r="AB901" s="1590"/>
      <c r="AC901" s="1590"/>
      <c r="AD901" s="1590"/>
      <c r="AE901" s="1591"/>
      <c r="AZ901" s="34"/>
      <c r="BB901" s="30"/>
      <c r="BC901" s="850"/>
      <c r="BD901" s="1628"/>
      <c r="BE901" s="162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8"/>
      <c r="BE902" s="162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7"/>
      <c r="BE903" s="162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8"/>
      <c r="BE904" s="1648"/>
      <c r="BF904" s="164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7"/>
      <c r="BE905" s="1647"/>
      <c r="BF905" s="164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8"/>
      <c r="BE906" s="162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7"/>
      <c r="BE907" s="162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 customHeight="1">
      <c r="A909" s="1547" t="s">
        <v>96</v>
      </c>
      <c r="B909" s="1547"/>
      <c r="C909" s="1547"/>
      <c r="D909" s="1547"/>
      <c r="E909" s="1547"/>
      <c r="F909" s="1547"/>
      <c r="G909" s="1547"/>
      <c r="H909" s="1547"/>
      <c r="I909" s="1547"/>
      <c r="J909" s="1547"/>
      <c r="K909" s="1547"/>
      <c r="L909" s="1547"/>
      <c r="M909" s="1547"/>
      <c r="N909" s="1547"/>
      <c r="O909" s="1547"/>
      <c r="P909" s="1547"/>
      <c r="Q909" s="1547"/>
      <c r="R909" s="1547"/>
      <c r="S909" s="1547"/>
      <c r="T909" s="1547"/>
      <c r="U909" s="1547"/>
      <c r="V909" s="1547"/>
      <c r="W909" s="1547"/>
      <c r="X909" s="1547"/>
      <c r="Y909" s="1547"/>
      <c r="Z909" s="1547"/>
      <c r="AA909" s="1547"/>
      <c r="AB909" s="1547"/>
      <c r="AC909" s="1547"/>
      <c r="AD909" s="1547"/>
      <c r="AE909" s="1547"/>
      <c r="AF909" s="1547"/>
      <c r="AG909" s="1547"/>
      <c r="AH909" s="1547"/>
      <c r="AI909" s="1547"/>
      <c r="AJ909" s="1547"/>
      <c r="AK909" s="1547"/>
      <c r="AL909" s="1547"/>
      <c r="AM909" s="1547"/>
      <c r="AN909" s="1547"/>
      <c r="AO909" s="1547"/>
      <c r="AP909" s="1547"/>
      <c r="AQ909" s="1547"/>
      <c r="AR909" s="1547"/>
      <c r="AS909" s="1547"/>
      <c r="AT909" s="1547"/>
      <c r="AZ909" s="34"/>
      <c r="BA909" s="34"/>
      <c r="BB909" s="30"/>
      <c r="BC909" s="30"/>
      <c r="BD909" s="1627"/>
      <c r="BE909" s="162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 customHeight="1">
      <c r="A910" s="1547"/>
      <c r="B910" s="1547"/>
      <c r="C910" s="1547"/>
      <c r="D910" s="1547"/>
      <c r="E910" s="1547"/>
      <c r="F910" s="1547"/>
      <c r="G910" s="1547"/>
      <c r="H910" s="1547"/>
      <c r="I910" s="1547"/>
      <c r="J910" s="1547"/>
      <c r="K910" s="1547"/>
      <c r="L910" s="1547"/>
      <c r="M910" s="1547"/>
      <c r="N910" s="1547"/>
      <c r="O910" s="1547"/>
      <c r="P910" s="1547"/>
      <c r="Q910" s="1547"/>
      <c r="R910" s="1547"/>
      <c r="S910" s="1547"/>
      <c r="T910" s="1547"/>
      <c r="U910" s="1547"/>
      <c r="V910" s="1547"/>
      <c r="W910" s="1547"/>
      <c r="X910" s="1547"/>
      <c r="Y910" s="1547"/>
      <c r="Z910" s="1547"/>
      <c r="AA910" s="1547"/>
      <c r="AB910" s="1547"/>
      <c r="AC910" s="1547"/>
      <c r="AD910" s="1547"/>
      <c r="AE910" s="1547"/>
      <c r="AF910" s="1547"/>
      <c r="AG910" s="1547"/>
      <c r="AH910" s="1547"/>
      <c r="AI910" s="1547"/>
      <c r="AJ910" s="1547"/>
      <c r="AK910" s="1547"/>
      <c r="AL910" s="1547"/>
      <c r="AM910" s="1547"/>
      <c r="AN910" s="1547"/>
      <c r="AO910" s="1547"/>
      <c r="AP910" s="1547"/>
      <c r="AQ910" s="1547"/>
      <c r="AR910" s="1547"/>
      <c r="AS910" s="1547"/>
      <c r="AT910" s="154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 customHeight="1">
      <c r="F914" s="1824" t="s">
        <v>800</v>
      </c>
      <c r="G914" s="1825"/>
      <c r="H914" s="1825"/>
      <c r="I914" s="1825"/>
      <c r="J914" s="1825"/>
      <c r="K914" s="1825"/>
      <c r="L914" s="1825"/>
      <c r="M914" s="1825"/>
      <c r="N914" s="1825"/>
      <c r="O914" s="1825"/>
      <c r="P914" s="1825"/>
      <c r="Q914" s="1825"/>
      <c r="R914" s="1825"/>
      <c r="S914" s="1825"/>
      <c r="T914" s="1826"/>
      <c r="U914" s="1656" t="s">
        <v>31</v>
      </c>
      <c r="V914" s="1616"/>
      <c r="W914" s="1616"/>
      <c r="X914" s="1616"/>
      <c r="Y914" s="1616"/>
      <c r="Z914" s="161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 customHeight="1">
      <c r="B915" s="2"/>
      <c r="F915" s="1652" t="s">
        <v>826</v>
      </c>
      <c r="G915" s="1653"/>
      <c r="H915" s="1653"/>
      <c r="I915" s="1653"/>
      <c r="J915" s="1653"/>
      <c r="K915" s="1653"/>
      <c r="L915" s="1653"/>
      <c r="M915" s="1653"/>
      <c r="N915" s="1653"/>
      <c r="O915" s="1653"/>
      <c r="P915" s="1653"/>
      <c r="Q915" s="1653"/>
      <c r="R915" s="1653"/>
      <c r="S915" s="1653"/>
      <c r="T915" s="1654"/>
      <c r="U915" s="1652"/>
      <c r="V915" s="1653"/>
      <c r="W915" s="1653"/>
      <c r="X915" s="1653"/>
      <c r="Y915" s="1653"/>
      <c r="Z915" s="1653"/>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 customHeight="1">
      <c r="B916" s="2"/>
      <c r="F916" s="1655"/>
      <c r="G916" s="1618"/>
      <c r="H916" s="1618"/>
      <c r="I916" s="1618"/>
      <c r="J916" s="1618"/>
      <c r="K916" s="1618"/>
      <c r="L916" s="1618"/>
      <c r="M916" s="1618"/>
      <c r="N916" s="1618"/>
      <c r="O916" s="1618"/>
      <c r="P916" s="1618"/>
      <c r="Q916" s="1618"/>
      <c r="R916" s="1618"/>
      <c r="S916" s="1618"/>
      <c r="T916" s="1619"/>
      <c r="U916" s="1655"/>
      <c r="V916" s="1618"/>
      <c r="W916" s="1618"/>
      <c r="X916" s="1618"/>
      <c r="Y916" s="1618"/>
      <c r="Z916" s="1618"/>
      <c r="AA916" s="108"/>
      <c r="AB916" s="1486" t="s">
        <v>391</v>
      </c>
      <c r="AC916" s="1486"/>
      <c r="AD916" s="1486"/>
      <c r="AE916" s="148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 customHeight="1">
      <c r="B917" s="2"/>
      <c r="F917" s="45" t="s">
        <v>766</v>
      </c>
      <c r="G917" s="48"/>
      <c r="H917" s="48"/>
      <c r="I917" s="48"/>
      <c r="J917" s="48"/>
      <c r="K917" s="48"/>
      <c r="L917" s="48"/>
      <c r="M917" s="48"/>
      <c r="N917" s="48"/>
      <c r="O917" s="48"/>
      <c r="P917" s="48"/>
      <c r="Q917" s="48"/>
      <c r="R917" s="48"/>
      <c r="S917" s="48"/>
      <c r="T917" s="49"/>
      <c r="U917" s="1644" t="s">
        <v>552</v>
      </c>
      <c r="V917" s="1416"/>
      <c r="W917" s="1416"/>
      <c r="X917" s="1416"/>
      <c r="Y917" s="1416"/>
      <c r="Z917" s="1417"/>
      <c r="AA917" s="1645">
        <f>AM554+AM555</f>
        <v>118070135</v>
      </c>
      <c r="AB917" s="1534"/>
      <c r="AC917" s="1534"/>
      <c r="AD917" s="1534"/>
      <c r="AE917" s="1534"/>
      <c r="AF917" s="164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 customHeight="1">
      <c r="B918" s="2"/>
      <c r="F918" s="66" t="s">
        <v>682</v>
      </c>
      <c r="G918" s="48"/>
      <c r="H918" s="48"/>
      <c r="I918" s="48"/>
      <c r="J918" s="48"/>
      <c r="K918" s="48"/>
      <c r="L918" s="48"/>
      <c r="M918" s="48"/>
      <c r="N918" s="48"/>
      <c r="O918" s="48"/>
      <c r="P918" s="48"/>
      <c r="Q918" s="48"/>
      <c r="R918" s="48"/>
      <c r="S918" s="48"/>
      <c r="T918" s="49"/>
      <c r="U918" s="1644" t="s">
        <v>552</v>
      </c>
      <c r="V918" s="1416"/>
      <c r="W918" s="1416"/>
      <c r="X918" s="1416"/>
      <c r="Y918" s="1416"/>
      <c r="Z918" s="1417"/>
      <c r="AA918" s="1645">
        <f>AM556</f>
        <v>16341466</v>
      </c>
      <c r="AB918" s="1534"/>
      <c r="AC918" s="1534"/>
      <c r="AD918" s="1534"/>
      <c r="AE918" s="1534"/>
      <c r="AF918" s="164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 customHeight="1">
      <c r="F919" s="45" t="s">
        <v>809</v>
      </c>
      <c r="G919" s="5"/>
      <c r="H919" s="5"/>
      <c r="I919" s="5"/>
      <c r="J919" s="5"/>
      <c r="K919" s="5"/>
      <c r="L919" s="5"/>
      <c r="M919" s="5"/>
      <c r="N919" s="5"/>
      <c r="O919" s="5"/>
      <c r="P919" s="5"/>
      <c r="Q919" s="5"/>
      <c r="R919" s="5"/>
      <c r="S919" s="5"/>
      <c r="T919" s="46"/>
      <c r="U919" s="1644" t="s">
        <v>598</v>
      </c>
      <c r="V919" s="1416"/>
      <c r="W919" s="1416"/>
      <c r="X919" s="1416"/>
      <c r="Y919" s="1416"/>
      <c r="Z919" s="1417"/>
      <c r="AA919" s="1645"/>
      <c r="AB919" s="1534"/>
      <c r="AC919" s="1534"/>
      <c r="AD919" s="1534"/>
      <c r="AE919" s="1534"/>
      <c r="AF919" s="164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 customHeight="1">
      <c r="F920" s="45" t="s">
        <v>685</v>
      </c>
      <c r="G920" s="5"/>
      <c r="H920" s="5"/>
      <c r="I920" s="5"/>
      <c r="J920" s="5"/>
      <c r="K920" s="5"/>
      <c r="L920" s="5"/>
      <c r="M920" s="5"/>
      <c r="N920" s="5"/>
      <c r="O920" s="5"/>
      <c r="P920" s="5"/>
      <c r="Q920" s="5"/>
      <c r="R920" s="5"/>
      <c r="S920" s="5"/>
      <c r="T920" s="46"/>
      <c r="U920" s="1644" t="s">
        <v>598</v>
      </c>
      <c r="V920" s="1416"/>
      <c r="W920" s="1416"/>
      <c r="X920" s="1416"/>
      <c r="Y920" s="1416"/>
      <c r="Z920" s="1417"/>
      <c r="AA920" s="1645"/>
      <c r="AB920" s="1534"/>
      <c r="AC920" s="1534"/>
      <c r="AD920" s="1534"/>
      <c r="AE920" s="1534"/>
      <c r="AF920" s="164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 customHeight="1">
      <c r="F921" s="66" t="s">
        <v>794</v>
      </c>
      <c r="G921" s="5"/>
      <c r="H921" s="5"/>
      <c r="I921" s="5"/>
      <c r="J921" s="5"/>
      <c r="K921" s="5"/>
      <c r="L921" s="5"/>
      <c r="M921" s="5"/>
      <c r="N921" s="5"/>
      <c r="O921" s="5"/>
      <c r="P921" s="5"/>
      <c r="Q921" s="5"/>
      <c r="R921" s="5"/>
      <c r="S921" s="5"/>
      <c r="T921" s="46"/>
      <c r="U921" s="1644" t="s">
        <v>598</v>
      </c>
      <c r="V921" s="1416"/>
      <c r="W921" s="1416"/>
      <c r="X921" s="1416"/>
      <c r="Y921" s="1416"/>
      <c r="Z921" s="1417"/>
      <c r="AA921" s="1645"/>
      <c r="AB921" s="1534"/>
      <c r="AC921" s="1534"/>
      <c r="AD921" s="1534"/>
      <c r="AE921" s="1534"/>
      <c r="AF921" s="164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 customHeight="1">
      <c r="F922" s="66" t="s">
        <v>795</v>
      </c>
      <c r="G922" s="5"/>
      <c r="H922" s="5"/>
      <c r="I922" s="5"/>
      <c r="J922" s="5"/>
      <c r="K922" s="5"/>
      <c r="L922" s="5"/>
      <c r="M922" s="5"/>
      <c r="N922" s="5"/>
      <c r="O922" s="5"/>
      <c r="P922" s="5"/>
      <c r="Q922" s="5"/>
      <c r="R922" s="5"/>
      <c r="S922" s="5"/>
      <c r="T922" s="46"/>
      <c r="U922" s="1644" t="s">
        <v>598</v>
      </c>
      <c r="V922" s="1416"/>
      <c r="W922" s="1416"/>
      <c r="X922" s="1416"/>
      <c r="Y922" s="1416"/>
      <c r="Z922" s="1417"/>
      <c r="AA922" s="1645"/>
      <c r="AB922" s="1534"/>
      <c r="AC922" s="1534"/>
      <c r="AD922" s="1534"/>
      <c r="AE922" s="1534"/>
      <c r="AF922" s="164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 customHeight="1">
      <c r="F923" s="66" t="s">
        <v>796</v>
      </c>
      <c r="G923" s="5"/>
      <c r="H923" s="5"/>
      <c r="I923" s="5"/>
      <c r="J923" s="5"/>
      <c r="K923" s="5"/>
      <c r="L923" s="5"/>
      <c r="M923" s="5"/>
      <c r="N923" s="5"/>
      <c r="O923" s="5"/>
      <c r="P923" s="5"/>
      <c r="Q923" s="5"/>
      <c r="R923" s="5"/>
      <c r="S923" s="5"/>
      <c r="T923" s="46"/>
      <c r="U923" s="1644" t="s">
        <v>598</v>
      </c>
      <c r="V923" s="1416"/>
      <c r="W923" s="1416"/>
      <c r="X923" s="1416"/>
      <c r="Y923" s="1416"/>
      <c r="Z923" s="1417"/>
      <c r="AA923" s="1645"/>
      <c r="AB923" s="1534"/>
      <c r="AC923" s="1534"/>
      <c r="AD923" s="1534"/>
      <c r="AE923" s="1534"/>
      <c r="AF923" s="164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 customHeight="1">
      <c r="F924" s="45" t="s">
        <v>684</v>
      </c>
      <c r="G924" s="5"/>
      <c r="H924" s="5"/>
      <c r="I924" s="5"/>
      <c r="J924" s="5"/>
      <c r="K924" s="5"/>
      <c r="L924" s="5"/>
      <c r="M924" s="5"/>
      <c r="N924" s="5"/>
      <c r="O924" s="5"/>
      <c r="P924" s="5"/>
      <c r="Q924" s="5"/>
      <c r="R924" s="5"/>
      <c r="S924" s="5"/>
      <c r="T924" s="46"/>
      <c r="U924" s="1644" t="s">
        <v>598</v>
      </c>
      <c r="V924" s="1416"/>
      <c r="W924" s="1416"/>
      <c r="X924" s="1416"/>
      <c r="Y924" s="1416"/>
      <c r="Z924" s="1417"/>
      <c r="AA924" s="1645"/>
      <c r="AB924" s="1534"/>
      <c r="AC924" s="1534"/>
      <c r="AD924" s="1534"/>
      <c r="AE924" s="1534"/>
      <c r="AF924" s="164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 customHeight="1">
      <c r="F925" s="1649" t="s">
        <v>2553</v>
      </c>
      <c r="G925" s="1650"/>
      <c r="H925" s="1650"/>
      <c r="I925" s="1650"/>
      <c r="J925" s="1650"/>
      <c r="K925" s="1650"/>
      <c r="L925" s="1650"/>
      <c r="M925" s="1650"/>
      <c r="N925" s="1650"/>
      <c r="O925" s="1650"/>
      <c r="P925" s="1650"/>
      <c r="Q925" s="1650"/>
      <c r="R925" s="1650"/>
      <c r="S925" s="1650"/>
      <c r="T925" s="1651"/>
      <c r="U925" s="1644" t="s">
        <v>598</v>
      </c>
      <c r="V925" s="1416"/>
      <c r="W925" s="1416"/>
      <c r="X925" s="1416"/>
      <c r="Y925" s="1416"/>
      <c r="Z925" s="1417"/>
      <c r="AA925" s="1645"/>
      <c r="AB925" s="1534"/>
      <c r="AC925" s="1534"/>
      <c r="AD925" s="1534"/>
      <c r="AE925" s="1534"/>
      <c r="AF925" s="164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 customHeight="1">
      <c r="F926" s="1649" t="s">
        <v>686</v>
      </c>
      <c r="G926" s="1650"/>
      <c r="H926" s="1650"/>
      <c r="I926" s="1650"/>
      <c r="J926" s="1650"/>
      <c r="K926" s="1650"/>
      <c r="L926" s="1650"/>
      <c r="M926" s="1650"/>
      <c r="N926" s="1650"/>
      <c r="O926" s="1650"/>
      <c r="P926" s="1650"/>
      <c r="Q926" s="1650"/>
      <c r="R926" s="1650"/>
      <c r="S926" s="1650"/>
      <c r="T926" s="1651"/>
      <c r="U926" s="1644" t="s">
        <v>598</v>
      </c>
      <c r="V926" s="1416"/>
      <c r="W926" s="1416"/>
      <c r="X926" s="1416"/>
      <c r="Y926" s="1416"/>
      <c r="Z926" s="1417"/>
      <c r="AA926" s="1645"/>
      <c r="AB926" s="1534"/>
      <c r="AC926" s="1534"/>
      <c r="AD926" s="1534"/>
      <c r="AE926" s="1534"/>
      <c r="AF926" s="164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 customHeight="1">
      <c r="F927" s="1649" t="s">
        <v>2554</v>
      </c>
      <c r="G927" s="1650"/>
      <c r="H927" s="1650"/>
      <c r="I927" s="1650"/>
      <c r="J927" s="1650"/>
      <c r="K927" s="1650"/>
      <c r="L927" s="1650"/>
      <c r="M927" s="1650"/>
      <c r="N927" s="1650"/>
      <c r="O927" s="1650"/>
      <c r="P927" s="1650"/>
      <c r="Q927" s="1650"/>
      <c r="R927" s="1650"/>
      <c r="S927" s="1650"/>
      <c r="T927" s="1651"/>
      <c r="U927" s="1644" t="s">
        <v>598</v>
      </c>
      <c r="V927" s="1416"/>
      <c r="W927" s="1416"/>
      <c r="X927" s="1416"/>
      <c r="Y927" s="1416"/>
      <c r="Z927" s="1417"/>
      <c r="AA927" s="1645"/>
      <c r="AB927" s="1534"/>
      <c r="AC927" s="1534"/>
      <c r="AD927" s="1534"/>
      <c r="AE927" s="1534"/>
      <c r="AF927" s="164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 customHeight="1">
      <c r="F928" s="1649" t="s">
        <v>2555</v>
      </c>
      <c r="G928" s="1650"/>
      <c r="H928" s="1650"/>
      <c r="I928" s="1650"/>
      <c r="J928" s="1650"/>
      <c r="K928" s="1650"/>
      <c r="L928" s="1650"/>
      <c r="M928" s="1650"/>
      <c r="N928" s="1650"/>
      <c r="O928" s="1650"/>
      <c r="P928" s="1650"/>
      <c r="Q928" s="1650"/>
      <c r="R928" s="1650"/>
      <c r="S928" s="1650"/>
      <c r="T928" s="1651"/>
      <c r="U928" s="1644" t="s">
        <v>598</v>
      </c>
      <c r="V928" s="1416"/>
      <c r="W928" s="1416"/>
      <c r="X928" s="1416"/>
      <c r="Y928" s="1416"/>
      <c r="Z928" s="1417"/>
      <c r="AA928" s="1645"/>
      <c r="AB928" s="1534"/>
      <c r="AC928" s="1534"/>
      <c r="AD928" s="1534"/>
      <c r="AE928" s="1534"/>
      <c r="AF928" s="164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 customHeight="1">
      <c r="F929" s="1649" t="s">
        <v>2556</v>
      </c>
      <c r="G929" s="1650"/>
      <c r="H929" s="1650"/>
      <c r="I929" s="1650"/>
      <c r="J929" s="1650"/>
      <c r="K929" s="1650"/>
      <c r="L929" s="1650"/>
      <c r="M929" s="1650"/>
      <c r="N929" s="1650"/>
      <c r="O929" s="1650"/>
      <c r="P929" s="1650"/>
      <c r="Q929" s="1650"/>
      <c r="R929" s="1650"/>
      <c r="S929" s="1650"/>
      <c r="T929" s="1651"/>
      <c r="U929" s="1644" t="s">
        <v>598</v>
      </c>
      <c r="V929" s="1416"/>
      <c r="W929" s="1416"/>
      <c r="X929" s="1416"/>
      <c r="Y929" s="1416"/>
      <c r="Z929" s="1417"/>
      <c r="AA929" s="1645"/>
      <c r="AB929" s="1534"/>
      <c r="AC929" s="1534"/>
      <c r="AD929" s="1534"/>
      <c r="AE929" s="1534"/>
      <c r="AF929" s="164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 customHeight="1">
      <c r="F930" s="1649" t="s">
        <v>2557</v>
      </c>
      <c r="G930" s="1650"/>
      <c r="H930" s="1650"/>
      <c r="I930" s="1650"/>
      <c r="J930" s="1650"/>
      <c r="K930" s="1650"/>
      <c r="L930" s="1650"/>
      <c r="M930" s="1650"/>
      <c r="N930" s="1650"/>
      <c r="O930" s="1650"/>
      <c r="P930" s="1650"/>
      <c r="Q930" s="1650"/>
      <c r="R930" s="1650"/>
      <c r="S930" s="1650"/>
      <c r="T930" s="1651"/>
      <c r="U930" s="1644" t="s">
        <v>598</v>
      </c>
      <c r="V930" s="1416"/>
      <c r="W930" s="1416"/>
      <c r="X930" s="1416"/>
      <c r="Y930" s="1416"/>
      <c r="Z930" s="1417"/>
      <c r="AA930" s="1645"/>
      <c r="AB930" s="1534"/>
      <c r="AC930" s="1534"/>
      <c r="AD930" s="1534"/>
      <c r="AE930" s="1534"/>
      <c r="AF930" s="164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 customHeight="1">
      <c r="F931" s="1649" t="s">
        <v>2558</v>
      </c>
      <c r="G931" s="1650"/>
      <c r="H931" s="1650"/>
      <c r="I931" s="1650"/>
      <c r="J931" s="1650"/>
      <c r="K931" s="1650"/>
      <c r="L931" s="1650"/>
      <c r="M931" s="1650"/>
      <c r="N931" s="1650"/>
      <c r="O931" s="1650"/>
      <c r="P931" s="1650"/>
      <c r="Q931" s="1650"/>
      <c r="R931" s="1650"/>
      <c r="S931" s="1650"/>
      <c r="T931" s="1651"/>
      <c r="U931" s="1644" t="s">
        <v>598</v>
      </c>
      <c r="V931" s="1416"/>
      <c r="W931" s="1416"/>
      <c r="X931" s="1416"/>
      <c r="Y931" s="1416"/>
      <c r="Z931" s="1417"/>
      <c r="AA931" s="1645"/>
      <c r="AB931" s="1534"/>
      <c r="AC931" s="1534"/>
      <c r="AD931" s="1534"/>
      <c r="AE931" s="1534"/>
      <c r="AF931" s="164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 customHeight="1">
      <c r="F932" s="187" t="s">
        <v>683</v>
      </c>
      <c r="G932" s="5"/>
      <c r="H932" s="5"/>
      <c r="I932" s="5"/>
      <c r="J932" s="5"/>
      <c r="K932" s="5"/>
      <c r="L932" s="5"/>
      <c r="M932" s="5"/>
      <c r="N932" s="5"/>
      <c r="O932" s="5"/>
      <c r="P932" s="5"/>
      <c r="Q932" s="5"/>
      <c r="R932" s="5"/>
      <c r="S932" s="5"/>
      <c r="T932" s="46"/>
      <c r="U932" s="1644" t="s">
        <v>598</v>
      </c>
      <c r="V932" s="1416"/>
      <c r="W932" s="1416"/>
      <c r="X932" s="1416"/>
      <c r="Y932" s="1416"/>
      <c r="Z932" s="1417"/>
      <c r="AA932" s="1645"/>
      <c r="AB932" s="1534"/>
      <c r="AC932" s="1534"/>
      <c r="AD932" s="1534"/>
      <c r="AE932" s="1534"/>
      <c r="AF932" s="164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 customHeight="1">
      <c r="F933" s="121" t="s">
        <v>1385</v>
      </c>
      <c r="G933" s="5"/>
      <c r="H933" s="5"/>
      <c r="I933" s="5"/>
      <c r="J933" s="5"/>
      <c r="K933" s="5"/>
      <c r="L933" s="5"/>
      <c r="M933" s="5"/>
      <c r="N933" s="5"/>
      <c r="O933" s="5"/>
      <c r="P933" s="5"/>
      <c r="Q933" s="5"/>
      <c r="R933" s="5"/>
      <c r="S933" s="5"/>
      <c r="T933" s="46"/>
      <c r="U933" s="1644" t="s">
        <v>598</v>
      </c>
      <c r="V933" s="1416"/>
      <c r="W933" s="1416"/>
      <c r="X933" s="1416"/>
      <c r="Y933" s="1416"/>
      <c r="Z933" s="1417"/>
      <c r="AA933" s="1645"/>
      <c r="AB933" s="1534"/>
      <c r="AC933" s="1534"/>
      <c r="AD933" s="1534"/>
      <c r="AE933" s="1534"/>
      <c r="AF933" s="164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 customHeight="1">
      <c r="F934" s="66" t="s">
        <v>810</v>
      </c>
      <c r="G934" s="5"/>
      <c r="H934" s="5"/>
      <c r="I934" s="5"/>
      <c r="J934" s="5"/>
      <c r="K934" s="5"/>
      <c r="L934" s="5"/>
      <c r="M934" s="5"/>
      <c r="N934" s="5"/>
      <c r="O934" s="5"/>
      <c r="P934" s="5"/>
      <c r="Q934" s="5"/>
      <c r="R934" s="5"/>
      <c r="S934" s="5"/>
      <c r="T934" s="46"/>
      <c r="U934" s="1644" t="s">
        <v>598</v>
      </c>
      <c r="V934" s="1416"/>
      <c r="W934" s="1416"/>
      <c r="X934" s="1416"/>
      <c r="Y934" s="1416"/>
      <c r="Z934" s="1417"/>
      <c r="AA934" s="1645"/>
      <c r="AB934" s="1534"/>
      <c r="AC934" s="1534"/>
      <c r="AD934" s="1534"/>
      <c r="AE934" s="1534"/>
      <c r="AF934" s="164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 customHeight="1">
      <c r="F935" s="1641" t="s">
        <v>2562</v>
      </c>
      <c r="G935" s="1642"/>
      <c r="H935" s="1642"/>
      <c r="I935" s="1642"/>
      <c r="J935" s="1642"/>
      <c r="K935" s="1642"/>
      <c r="L935" s="1642"/>
      <c r="M935" s="1642"/>
      <c r="N935" s="1642"/>
      <c r="O935" s="1642"/>
      <c r="P935" s="1642"/>
      <c r="Q935" s="1642"/>
      <c r="R935" s="1642"/>
      <c r="S935" s="1642"/>
      <c r="T935" s="1643"/>
      <c r="U935" s="1644" t="s">
        <v>598</v>
      </c>
      <c r="V935" s="1416"/>
      <c r="W935" s="1416"/>
      <c r="X935" s="1416"/>
      <c r="Y935" s="1416"/>
      <c r="Z935" s="1417"/>
      <c r="AA935" s="1645"/>
      <c r="AB935" s="1534"/>
      <c r="AC935" s="1534"/>
      <c r="AD935" s="1534"/>
      <c r="AE935" s="1534"/>
      <c r="AF935" s="164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 customHeight="1">
      <c r="F936" s="1641" t="s">
        <v>2563</v>
      </c>
      <c r="G936" s="1642"/>
      <c r="H936" s="1642"/>
      <c r="I936" s="1642"/>
      <c r="J936" s="1642"/>
      <c r="K936" s="1642"/>
      <c r="L936" s="1642"/>
      <c r="M936" s="1642"/>
      <c r="N936" s="1642"/>
      <c r="O936" s="1642"/>
      <c r="P936" s="1642"/>
      <c r="Q936" s="1642"/>
      <c r="R936" s="1642"/>
      <c r="S936" s="1642"/>
      <c r="T936" s="1643"/>
      <c r="U936" s="1644" t="s">
        <v>598</v>
      </c>
      <c r="V936" s="1416"/>
      <c r="W936" s="1416"/>
      <c r="X936" s="1416"/>
      <c r="Y936" s="1416"/>
      <c r="Z936" s="1417"/>
      <c r="AA936" s="1645"/>
      <c r="AB936" s="1534"/>
      <c r="AC936" s="1534"/>
      <c r="AD936" s="1534"/>
      <c r="AE936" s="1534"/>
      <c r="AF936" s="164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 customHeight="1">
      <c r="F937" s="1649" t="s">
        <v>2559</v>
      </c>
      <c r="G937" s="1650"/>
      <c r="H937" s="1650"/>
      <c r="I937" s="1650"/>
      <c r="J937" s="1650"/>
      <c r="K937" s="1650"/>
      <c r="L937" s="1650"/>
      <c r="M937" s="1650"/>
      <c r="N937" s="1650"/>
      <c r="O937" s="1650"/>
      <c r="P937" s="1650"/>
      <c r="Q937" s="1650"/>
      <c r="R937" s="1650"/>
      <c r="S937" s="1650"/>
      <c r="T937" s="1651"/>
      <c r="U937" s="1644" t="s">
        <v>598</v>
      </c>
      <c r="V937" s="1416"/>
      <c r="W937" s="1416"/>
      <c r="X937" s="1416"/>
      <c r="Y937" s="1416"/>
      <c r="Z937" s="1417"/>
      <c r="AA937" s="1645"/>
      <c r="AB937" s="1534"/>
      <c r="AC937" s="1534"/>
      <c r="AD937" s="1534"/>
      <c r="AE937" s="1534"/>
      <c r="AF937" s="164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 customHeight="1">
      <c r="F938" s="1649" t="s">
        <v>2560</v>
      </c>
      <c r="G938" s="1650"/>
      <c r="H938" s="1650"/>
      <c r="I938" s="1650"/>
      <c r="J938" s="1650"/>
      <c r="K938" s="1650"/>
      <c r="L938" s="1650"/>
      <c r="M938" s="1650"/>
      <c r="N938" s="1650"/>
      <c r="O938" s="1650"/>
      <c r="P938" s="1650"/>
      <c r="Q938" s="1650"/>
      <c r="R938" s="1650"/>
      <c r="S938" s="1650"/>
      <c r="T938" s="1651"/>
      <c r="U938" s="1644" t="s">
        <v>598</v>
      </c>
      <c r="V938" s="1416"/>
      <c r="W938" s="1416"/>
      <c r="X938" s="1416"/>
      <c r="Y938" s="1416"/>
      <c r="Z938" s="1417"/>
      <c r="AA938" s="1645"/>
      <c r="AB938" s="1534"/>
      <c r="AC938" s="1534"/>
      <c r="AD938" s="1534"/>
      <c r="AE938" s="1534"/>
      <c r="AF938" s="164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 customHeight="1">
      <c r="F939" s="1649" t="s">
        <v>2561</v>
      </c>
      <c r="G939" s="1650"/>
      <c r="H939" s="1650"/>
      <c r="I939" s="1650"/>
      <c r="J939" s="1650"/>
      <c r="K939" s="1650"/>
      <c r="L939" s="1650"/>
      <c r="M939" s="1650"/>
      <c r="N939" s="1650"/>
      <c r="O939" s="1650"/>
      <c r="P939" s="1650"/>
      <c r="Q939" s="1650"/>
      <c r="R939" s="1650"/>
      <c r="S939" s="1650"/>
      <c r="T939" s="1651"/>
      <c r="U939" s="1644" t="s">
        <v>598</v>
      </c>
      <c r="V939" s="1416"/>
      <c r="W939" s="1416"/>
      <c r="X939" s="1416"/>
      <c r="Y939" s="1416"/>
      <c r="Z939" s="1417"/>
      <c r="AA939" s="1645"/>
      <c r="AB939" s="1534"/>
      <c r="AC939" s="1534"/>
      <c r="AD939" s="1534"/>
      <c r="AE939" s="1534"/>
      <c r="AF939" s="164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 customHeight="1">
      <c r="F940" s="121" t="s">
        <v>1369</v>
      </c>
      <c r="G940" s="5"/>
      <c r="H940" s="5"/>
      <c r="I940" s="5"/>
      <c r="J940" s="5"/>
      <c r="K940" s="5"/>
      <c r="L940" s="5"/>
      <c r="M940" s="5"/>
      <c r="N940" s="5"/>
      <c r="O940" s="5"/>
      <c r="P940" s="5"/>
      <c r="Q940" s="5"/>
      <c r="R940" s="5"/>
      <c r="S940" s="5"/>
      <c r="T940" s="46"/>
      <c r="U940" s="1644" t="s">
        <v>598</v>
      </c>
      <c r="V940" s="1416"/>
      <c r="W940" s="1416"/>
      <c r="X940" s="1416"/>
      <c r="Y940" s="1416"/>
      <c r="Z940" s="1417"/>
      <c r="AA940" s="1645"/>
      <c r="AB940" s="1534"/>
      <c r="AC940" s="1534"/>
      <c r="AD940" s="1534"/>
      <c r="AE940" s="1534"/>
      <c r="AF940" s="164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 customHeight="1">
      <c r="F941" s="1641" t="s">
        <v>2564</v>
      </c>
      <c r="G941" s="1642"/>
      <c r="H941" s="1642"/>
      <c r="I941" s="1642"/>
      <c r="J941" s="1642"/>
      <c r="K941" s="1642"/>
      <c r="L941" s="1642"/>
      <c r="M941" s="1642"/>
      <c r="N941" s="1642"/>
      <c r="O941" s="1642"/>
      <c r="P941" s="1642"/>
      <c r="Q941" s="1642"/>
      <c r="R941" s="1642"/>
      <c r="S941" s="1642"/>
      <c r="T941" s="1643"/>
      <c r="U941" s="1644" t="s">
        <v>598</v>
      </c>
      <c r="V941" s="1416"/>
      <c r="W941" s="1416"/>
      <c r="X941" s="1416"/>
      <c r="Y941" s="1416"/>
      <c r="Z941" s="1417"/>
      <c r="AA941" s="1645"/>
      <c r="AB941" s="1534"/>
      <c r="AC941" s="1534"/>
      <c r="AD941" s="1534"/>
      <c r="AE941" s="1534"/>
      <c r="AF941" s="164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 customHeight="1">
      <c r="F942" s="121" t="s">
        <v>1370</v>
      </c>
      <c r="G942" s="5"/>
      <c r="H942" s="5"/>
      <c r="I942" s="5"/>
      <c r="J942" s="5"/>
      <c r="K942" s="5"/>
      <c r="L942" s="5"/>
      <c r="M942" s="5"/>
      <c r="N942" s="5"/>
      <c r="O942" s="5"/>
      <c r="P942" s="5"/>
      <c r="Q942" s="5"/>
      <c r="R942" s="5"/>
      <c r="S942" s="5"/>
      <c r="T942" s="46"/>
      <c r="U942" s="1644" t="s">
        <v>598</v>
      </c>
      <c r="V942" s="1416"/>
      <c r="W942" s="1416"/>
      <c r="X942" s="1416"/>
      <c r="Y942" s="1416"/>
      <c r="Z942" s="1417"/>
      <c r="AA942" s="1645"/>
      <c r="AB942" s="1534"/>
      <c r="AC942" s="1534"/>
      <c r="AD942" s="1534"/>
      <c r="AE942" s="1534"/>
      <c r="AF942" s="164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 customHeight="1">
      <c r="F943" s="1641" t="s">
        <v>2565</v>
      </c>
      <c r="G943" s="1642"/>
      <c r="H943" s="1642"/>
      <c r="I943" s="1642"/>
      <c r="J943" s="1642"/>
      <c r="K943" s="1642"/>
      <c r="L943" s="1642"/>
      <c r="M943" s="1642"/>
      <c r="N943" s="1642"/>
      <c r="O943" s="1642"/>
      <c r="P943" s="1642"/>
      <c r="Q943" s="1642"/>
      <c r="R943" s="1642"/>
      <c r="S943" s="1642"/>
      <c r="T943" s="1643"/>
      <c r="U943" s="1644" t="s">
        <v>598</v>
      </c>
      <c r="V943" s="1416"/>
      <c r="W943" s="1416"/>
      <c r="X943" s="1416"/>
      <c r="Y943" s="1416"/>
      <c r="Z943" s="1417"/>
      <c r="AA943" s="1645"/>
      <c r="AB943" s="1534"/>
      <c r="AC943" s="1534"/>
      <c r="AD943" s="1534"/>
      <c r="AE943" s="1534"/>
      <c r="AF943" s="164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 customHeight="1">
      <c r="F944" s="45" t="s">
        <v>814</v>
      </c>
      <c r="G944" s="5"/>
      <c r="H944" s="5"/>
      <c r="I944" s="5"/>
      <c r="J944" s="5"/>
      <c r="K944" s="5"/>
      <c r="L944" s="5"/>
      <c r="M944" s="5"/>
      <c r="N944" s="5"/>
      <c r="O944" s="5"/>
      <c r="P944" s="1644" t="s">
        <v>676</v>
      </c>
      <c r="Q944" s="1416"/>
      <c r="R944" s="1416"/>
      <c r="S944" s="1416"/>
      <c r="T944" s="1417"/>
      <c r="U944" s="1644" t="s">
        <v>598</v>
      </c>
      <c r="V944" s="1416"/>
      <c r="W944" s="1416"/>
      <c r="X944" s="1416"/>
      <c r="Y944" s="1416"/>
      <c r="Z944" s="1417"/>
      <c r="AA944" s="1645"/>
      <c r="AB944" s="1534"/>
      <c r="AC944" s="1534"/>
      <c r="AD944" s="1534"/>
      <c r="AE944" s="1534"/>
      <c r="AF944" s="164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 customHeight="1">
      <c r="F945" s="1649" t="s">
        <v>2552</v>
      </c>
      <c r="G945" s="1650"/>
      <c r="H945" s="1651"/>
      <c r="I945" s="1623" t="s">
        <v>334</v>
      </c>
      <c r="J945" s="1624"/>
      <c r="K945" s="1624"/>
      <c r="L945" s="1624"/>
      <c r="M945" s="1624"/>
      <c r="N945" s="1624"/>
      <c r="O945" s="1624"/>
      <c r="P945" s="1624"/>
      <c r="Q945" s="1624"/>
      <c r="R945" s="1624"/>
      <c r="S945" s="1624"/>
      <c r="T945" s="1625"/>
      <c r="U945" s="1644" t="s">
        <v>598</v>
      </c>
      <c r="V945" s="1416"/>
      <c r="W945" s="1416"/>
      <c r="X945" s="1416"/>
      <c r="Y945" s="1416"/>
      <c r="Z945" s="1417"/>
      <c r="AA945" s="1645"/>
      <c r="AB945" s="1534"/>
      <c r="AC945" s="1534"/>
      <c r="AD945" s="1534"/>
      <c r="AE945" s="1534"/>
      <c r="AF945" s="164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 customHeight="1">
      <c r="F946" s="45" t="s">
        <v>86</v>
      </c>
      <c r="G946" s="48"/>
      <c r="H946" s="48"/>
      <c r="I946" s="1623" t="s">
        <v>334</v>
      </c>
      <c r="J946" s="1624"/>
      <c r="K946" s="1624"/>
      <c r="L946" s="1624"/>
      <c r="M946" s="1624"/>
      <c r="N946" s="1624"/>
      <c r="O946" s="1624"/>
      <c r="P946" s="1624"/>
      <c r="Q946" s="1624"/>
      <c r="R946" s="1624"/>
      <c r="S946" s="1624"/>
      <c r="T946" s="1625"/>
      <c r="U946" s="1644" t="s">
        <v>598</v>
      </c>
      <c r="V946" s="1416"/>
      <c r="W946" s="1416"/>
      <c r="X946" s="1416"/>
      <c r="Y946" s="1416"/>
      <c r="Z946" s="1417"/>
      <c r="AA946" s="1645"/>
      <c r="AB946" s="1534"/>
      <c r="AC946" s="1534"/>
      <c r="AD946" s="1534"/>
      <c r="AE946" s="1534"/>
      <c r="AF946" s="164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 customHeight="1">
      <c r="F947" s="45" t="s">
        <v>10</v>
      </c>
      <c r="G947" s="48"/>
      <c r="H947" s="48"/>
      <c r="I947" s="1657" t="s">
        <v>334</v>
      </c>
      <c r="J947" s="1658"/>
      <c r="K947" s="1658"/>
      <c r="L947" s="1658"/>
      <c r="M947" s="1658"/>
      <c r="N947" s="1658"/>
      <c r="O947" s="1658"/>
      <c r="P947" s="1658"/>
      <c r="Q947" s="1658"/>
      <c r="R947" s="1658"/>
      <c r="S947" s="1658"/>
      <c r="T947" s="1659"/>
      <c r="U947" s="1644" t="s">
        <v>598</v>
      </c>
      <c r="V947" s="1416"/>
      <c r="W947" s="1416"/>
      <c r="X947" s="1416"/>
      <c r="Y947" s="1416"/>
      <c r="Z947" s="1417"/>
      <c r="AA947" s="1645"/>
      <c r="AB947" s="1534"/>
      <c r="AC947" s="1534"/>
      <c r="AD947" s="1534"/>
      <c r="AE947" s="1534"/>
      <c r="AF947" s="164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 customHeight="1">
      <c r="F948" s="47" t="s">
        <v>169</v>
      </c>
      <c r="G948" s="48"/>
      <c r="H948" s="48"/>
      <c r="I948" s="1657" t="s">
        <v>334</v>
      </c>
      <c r="J948" s="1658"/>
      <c r="K948" s="1658"/>
      <c r="L948" s="1658"/>
      <c r="M948" s="1658"/>
      <c r="N948" s="1658"/>
      <c r="O948" s="1658"/>
      <c r="P948" s="1658"/>
      <c r="Q948" s="1658"/>
      <c r="R948" s="1658"/>
      <c r="S948" s="1658"/>
      <c r="T948" s="1659"/>
      <c r="U948" s="1644" t="s">
        <v>598</v>
      </c>
      <c r="V948" s="1416"/>
      <c r="W948" s="1416"/>
      <c r="X948" s="1416"/>
      <c r="Y948" s="1416"/>
      <c r="Z948" s="1417"/>
      <c r="AA948" s="1645"/>
      <c r="AB948" s="1534"/>
      <c r="AC948" s="1534"/>
      <c r="AD948" s="1534"/>
      <c r="AE948" s="1534"/>
      <c r="AF948" s="164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 customHeight="1">
      <c r="F949" s="47" t="s">
        <v>169</v>
      </c>
      <c r="G949" s="48"/>
      <c r="H949" s="48"/>
      <c r="I949" s="1657" t="s">
        <v>334</v>
      </c>
      <c r="J949" s="1658"/>
      <c r="K949" s="1658"/>
      <c r="L949" s="1658"/>
      <c r="M949" s="1658"/>
      <c r="N949" s="1658"/>
      <c r="O949" s="1658"/>
      <c r="P949" s="1658"/>
      <c r="Q949" s="1658"/>
      <c r="R949" s="1658"/>
      <c r="S949" s="1658"/>
      <c r="T949" s="1659"/>
      <c r="U949" s="1644" t="s">
        <v>598</v>
      </c>
      <c r="V949" s="1416"/>
      <c r="W949" s="1416"/>
      <c r="X949" s="1416"/>
      <c r="Y949" s="1416"/>
      <c r="Z949" s="1417"/>
      <c r="AA949" s="1645"/>
      <c r="AB949" s="1534"/>
      <c r="AC949" s="1534"/>
      <c r="AD949" s="1534"/>
      <c r="AE949" s="1534"/>
      <c r="AF949" s="164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 customHeight="1">
      <c r="C954" s="66" t="s">
        <v>11</v>
      </c>
      <c r="D954" s="5"/>
      <c r="E954" s="5"/>
      <c r="F954" s="5"/>
      <c r="G954" s="5"/>
      <c r="H954" s="5"/>
      <c r="I954" s="5"/>
      <c r="J954" s="5"/>
      <c r="K954" s="5"/>
      <c r="L954" s="46"/>
      <c r="M954" s="1660"/>
      <c r="N954" s="1465"/>
      <c r="O954" s="1465"/>
      <c r="P954" s="1465"/>
      <c r="Q954" s="1465"/>
      <c r="R954" s="1465"/>
      <c r="S954" s="1603"/>
      <c r="U954" s="66" t="s">
        <v>11</v>
      </c>
      <c r="V954" s="5"/>
      <c r="W954" s="5"/>
      <c r="X954" s="5"/>
      <c r="Y954" s="5"/>
      <c r="Z954" s="5"/>
      <c r="AA954" s="5"/>
      <c r="AB954" s="5"/>
      <c r="AC954" s="5"/>
      <c r="AD954" s="46"/>
      <c r="AE954" s="1660"/>
      <c r="AF954" s="1465"/>
      <c r="AG954" s="1465"/>
      <c r="AH954" s="1465"/>
      <c r="AI954" s="1465"/>
      <c r="AJ954" s="1465"/>
      <c r="AK954" s="1603"/>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 customHeight="1">
      <c r="C955" s="66" t="s">
        <v>12</v>
      </c>
      <c r="D955" s="5"/>
      <c r="E955" s="5"/>
      <c r="F955" s="5"/>
      <c r="G955" s="5"/>
      <c r="H955" s="5"/>
      <c r="I955" s="5"/>
      <c r="J955" s="5"/>
      <c r="K955" s="5"/>
      <c r="L955" s="46"/>
      <c r="M955" s="1475"/>
      <c r="N955" s="1453"/>
      <c r="O955" s="1453"/>
      <c r="P955" s="1453"/>
      <c r="Q955" s="1453"/>
      <c r="R955" s="1453"/>
      <c r="S955" s="1743"/>
      <c r="U955" s="66" t="s">
        <v>12</v>
      </c>
      <c r="V955" s="5"/>
      <c r="W955" s="5"/>
      <c r="X955" s="5"/>
      <c r="Y955" s="5"/>
      <c r="Z955" s="5"/>
      <c r="AA955" s="5"/>
      <c r="AB955" s="5"/>
      <c r="AC955" s="5"/>
      <c r="AD955" s="46"/>
      <c r="AE955" s="1475"/>
      <c r="AF955" s="1453"/>
      <c r="AG955" s="1453"/>
      <c r="AH955" s="1453"/>
      <c r="AI955" s="1453"/>
      <c r="AJ955" s="1453"/>
      <c r="AK955" s="1743"/>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 customHeight="1">
      <c r="C956" s="66" t="s">
        <v>891</v>
      </c>
      <c r="D956" s="5"/>
      <c r="E956" s="5"/>
      <c r="J956" s="1680" t="s">
        <v>307</v>
      </c>
      <c r="K956" s="1681"/>
      <c r="L956" s="1681"/>
      <c r="M956" s="1681"/>
      <c r="N956" s="1681"/>
      <c r="O956" s="1681"/>
      <c r="P956" s="1681"/>
      <c r="Q956" s="1681"/>
      <c r="R956" s="1681"/>
      <c r="S956" s="1682"/>
      <c r="U956" s="66" t="s">
        <v>891</v>
      </c>
      <c r="V956" s="5"/>
      <c r="W956" s="5"/>
      <c r="AB956" s="1680" t="s">
        <v>307</v>
      </c>
      <c r="AC956" s="1681"/>
      <c r="AD956" s="1681"/>
      <c r="AE956" s="1681"/>
      <c r="AF956" s="1681"/>
      <c r="AG956" s="1681"/>
      <c r="AH956" s="1681"/>
      <c r="AI956" s="1681"/>
      <c r="AJ956" s="1681"/>
      <c r="AK956" s="168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 customHeight="1">
      <c r="C957" s="66" t="s">
        <v>13</v>
      </c>
      <c r="D957" s="5"/>
      <c r="E957" s="5"/>
      <c r="F957" s="5"/>
      <c r="G957" s="5"/>
      <c r="H957" s="5"/>
      <c r="I957" s="5"/>
      <c r="J957" s="5"/>
      <c r="K957" s="5"/>
      <c r="L957" s="46"/>
      <c r="M957" s="1755"/>
      <c r="N957" s="1756"/>
      <c r="O957" s="1756"/>
      <c r="P957" s="1756"/>
      <c r="Q957" s="1756"/>
      <c r="R957" s="1756"/>
      <c r="S957" s="1757"/>
      <c r="U957" s="66" t="s">
        <v>13</v>
      </c>
      <c r="V957" s="5"/>
      <c r="W957" s="5"/>
      <c r="X957" s="5"/>
      <c r="Y957" s="5"/>
      <c r="Z957" s="5"/>
      <c r="AA957" s="5"/>
      <c r="AB957" s="5"/>
      <c r="AC957" s="5"/>
      <c r="AD957" s="46"/>
      <c r="AE957" s="1759"/>
      <c r="AF957" s="1756"/>
      <c r="AG957" s="1756"/>
      <c r="AH957" s="1756"/>
      <c r="AI957" s="1756"/>
      <c r="AJ957" s="1756"/>
      <c r="AK957" s="175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 customHeight="1">
      <c r="C958" s="66" t="s">
        <v>14</v>
      </c>
      <c r="D958" s="5"/>
      <c r="E958" s="5"/>
      <c r="F958" s="5"/>
      <c r="G958" s="5"/>
      <c r="H958" s="5"/>
      <c r="I958" s="5"/>
      <c r="J958" s="5"/>
      <c r="K958" s="5"/>
      <c r="L958" s="46"/>
      <c r="M958" s="1604"/>
      <c r="N958" s="1605"/>
      <c r="O958" s="1605"/>
      <c r="P958" s="1605"/>
      <c r="Q958" s="1605"/>
      <c r="R958" s="1605"/>
      <c r="S958" s="1606"/>
      <c r="U958" s="66" t="s">
        <v>14</v>
      </c>
      <c r="V958" s="5"/>
      <c r="W958" s="5"/>
      <c r="X958" s="5"/>
      <c r="Y958" s="5"/>
      <c r="Z958" s="5"/>
      <c r="AA958" s="5"/>
      <c r="AB958" s="5"/>
      <c r="AC958" s="5"/>
      <c r="AD958" s="46"/>
      <c r="AE958" s="1604"/>
      <c r="AF958" s="1605"/>
      <c r="AG958" s="1605"/>
      <c r="AH958" s="1605"/>
      <c r="AI958" s="1605"/>
      <c r="AJ958" s="1605"/>
      <c r="AK958" s="1606"/>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 customHeight="1">
      <c r="C959" s="66" t="s">
        <v>15</v>
      </c>
      <c r="D959" s="5"/>
      <c r="E959" s="5"/>
      <c r="F959" s="5"/>
      <c r="G959" s="5"/>
      <c r="H959" s="5"/>
      <c r="I959" s="5"/>
      <c r="J959" s="5"/>
      <c r="K959" s="5"/>
      <c r="L959" s="46"/>
      <c r="M959" s="1645"/>
      <c r="N959" s="1534"/>
      <c r="O959" s="1534"/>
      <c r="P959" s="1534"/>
      <c r="Q959" s="1534"/>
      <c r="R959" s="1534"/>
      <c r="S959" s="1646"/>
      <c r="U959" s="66" t="s">
        <v>15</v>
      </c>
      <c r="V959" s="5"/>
      <c r="W959" s="5"/>
      <c r="X959" s="5"/>
      <c r="Y959" s="5"/>
      <c r="Z959" s="5"/>
      <c r="AA959" s="5"/>
      <c r="AB959" s="5"/>
      <c r="AC959" s="5"/>
      <c r="AD959" s="46"/>
      <c r="AE959" s="1645"/>
      <c r="AF959" s="1534"/>
      <c r="AG959" s="1534"/>
      <c r="AH959" s="1534"/>
      <c r="AI959" s="1534"/>
      <c r="AJ959" s="1534"/>
      <c r="AK959" s="164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 customHeight="1">
      <c r="C960" s="66" t="s">
        <v>16</v>
      </c>
      <c r="D960" s="5"/>
      <c r="E960" s="5"/>
      <c r="F960" s="5"/>
      <c r="G960" s="5"/>
      <c r="H960" s="5"/>
      <c r="I960" s="5"/>
      <c r="J960" s="5"/>
      <c r="K960" s="5"/>
      <c r="L960" s="46"/>
      <c r="M960" s="1645"/>
      <c r="N960" s="1534"/>
      <c r="O960" s="1534"/>
      <c r="P960" s="1534"/>
      <c r="Q960" s="1534"/>
      <c r="R960" s="1534"/>
      <c r="S960" s="1646"/>
      <c r="U960" s="66" t="s">
        <v>16</v>
      </c>
      <c r="V960" s="5"/>
      <c r="W960" s="5"/>
      <c r="X960" s="5"/>
      <c r="Y960" s="5"/>
      <c r="Z960" s="5"/>
      <c r="AA960" s="5"/>
      <c r="AB960" s="5"/>
      <c r="AC960" s="5"/>
      <c r="AD960" s="46"/>
      <c r="AE960" s="1645"/>
      <c r="AF960" s="1534"/>
      <c r="AG960" s="1534"/>
      <c r="AH960" s="1534"/>
      <c r="AI960" s="1534"/>
      <c r="AJ960" s="1534"/>
      <c r="AK960" s="164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 customHeight="1">
      <c r="C961" s="121" t="s">
        <v>1773</v>
      </c>
      <c r="D961" s="5"/>
      <c r="E961" s="5"/>
      <c r="F961" s="5"/>
      <c r="G961" s="5"/>
      <c r="H961" s="5"/>
      <c r="I961" s="5"/>
      <c r="J961" s="5"/>
      <c r="K961" s="5"/>
      <c r="L961" s="46"/>
      <c r="M961" s="1776"/>
      <c r="N961" s="1777"/>
      <c r="O961" s="1777"/>
      <c r="P961" s="1777"/>
      <c r="Q961" s="1777"/>
      <c r="R961" s="1777"/>
      <c r="S961" s="1778"/>
      <c r="U961" s="121" t="s">
        <v>1773</v>
      </c>
      <c r="V961" s="5"/>
      <c r="W961" s="5"/>
      <c r="X961" s="5"/>
      <c r="Y961" s="5"/>
      <c r="Z961" s="5"/>
      <c r="AA961" s="5"/>
      <c r="AB961" s="5"/>
      <c r="AC961" s="5"/>
      <c r="AD961" s="46"/>
      <c r="AE961" s="1776"/>
      <c r="AF961" s="1777"/>
      <c r="AG961" s="1777"/>
      <c r="AH961" s="1777"/>
      <c r="AI961" s="1777"/>
      <c r="AJ961" s="1777"/>
      <c r="AK961" s="1778"/>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 customHeight="1">
      <c r="A966"/>
      <c r="B966"/>
      <c r="C966"/>
      <c r="D966"/>
      <c r="E966"/>
      <c r="F966" s="45" t="s">
        <v>578</v>
      </c>
      <c r="G966" s="5"/>
      <c r="H966" s="5"/>
      <c r="I966" s="5"/>
      <c r="J966" s="5"/>
      <c r="K966" s="5"/>
      <c r="L966" s="46"/>
      <c r="M966" s="1661"/>
      <c r="N966" s="1662"/>
      <c r="O966" s="1662"/>
      <c r="P966" s="1662"/>
      <c r="Q966" s="1662"/>
      <c r="R966" s="1662"/>
      <c r="S966" s="1663"/>
      <c r="T966" s="66" t="s">
        <v>798</v>
      </c>
      <c r="U966" s="5"/>
      <c r="V966" s="5"/>
      <c r="W966" s="5"/>
      <c r="X966" s="5"/>
      <c r="Y966" s="5"/>
      <c r="Z966" s="46"/>
      <c r="AA966" s="1661"/>
      <c r="AB966" s="1662"/>
      <c r="AC966" s="1662"/>
      <c r="AD966" s="1662"/>
      <c r="AE966" s="1662"/>
      <c r="AF966" s="1662"/>
      <c r="AG966" s="1663"/>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 customHeight="1">
      <c r="A967"/>
      <c r="B967"/>
      <c r="C967"/>
      <c r="D967"/>
      <c r="E967"/>
      <c r="F967" s="45" t="s">
        <v>579</v>
      </c>
      <c r="G967" s="5"/>
      <c r="H967" s="5"/>
      <c r="I967" s="5"/>
      <c r="J967" s="5"/>
      <c r="K967" s="5"/>
      <c r="L967" s="46"/>
      <c r="M967" s="1661"/>
      <c r="N967" s="1662"/>
      <c r="O967" s="1662"/>
      <c r="P967" s="1662"/>
      <c r="Q967" s="1662"/>
      <c r="R967" s="1662"/>
      <c r="S967" s="1663"/>
      <c r="T967" s="66" t="s">
        <v>797</v>
      </c>
      <c r="U967" s="5"/>
      <c r="V967" s="5"/>
      <c r="W967" s="5"/>
      <c r="X967" s="5"/>
      <c r="Y967" s="5"/>
      <c r="Z967" s="46"/>
      <c r="AA967" s="1661"/>
      <c r="AB967" s="1662"/>
      <c r="AC967" s="1662"/>
      <c r="AD967" s="1662"/>
      <c r="AE967" s="1662"/>
      <c r="AF967" s="1662"/>
      <c r="AG967" s="1663"/>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 customHeight="1">
      <c r="A968"/>
      <c r="B968"/>
      <c r="C968"/>
      <c r="D968"/>
      <c r="E968"/>
      <c r="F968" s="45" t="s">
        <v>915</v>
      </c>
      <c r="G968" s="5"/>
      <c r="H968" s="5"/>
      <c r="I968" s="5"/>
      <c r="J968" s="5"/>
      <c r="K968" s="5"/>
      <c r="L968" s="46"/>
      <c r="M968" s="1734" t="s">
        <v>598</v>
      </c>
      <c r="N968" s="1735"/>
      <c r="O968" s="1735"/>
      <c r="P968" s="1735"/>
      <c r="Q968" s="1735"/>
      <c r="R968" s="1735"/>
      <c r="S968" s="1736"/>
      <c r="T968" s="45" t="s">
        <v>337</v>
      </c>
      <c r="U968" s="5"/>
      <c r="V968" s="5"/>
      <c r="W968" s="5"/>
      <c r="X968" s="5"/>
      <c r="Y968" s="5"/>
      <c r="Z968" s="46"/>
      <c r="AA968" s="1661"/>
      <c r="AB968" s="1662"/>
      <c r="AC968" s="1662"/>
      <c r="AD968" s="1662"/>
      <c r="AE968" s="1662"/>
      <c r="AF968" s="1662"/>
      <c r="AG968" s="166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 customHeight="1">
      <c r="A969"/>
      <c r="B969"/>
      <c r="C969"/>
      <c r="D969"/>
      <c r="E969"/>
      <c r="F969" s="45" t="s">
        <v>580</v>
      </c>
      <c r="G969" s="5"/>
      <c r="H969" s="5"/>
      <c r="I969" s="5"/>
      <c r="J969" s="5"/>
      <c r="K969" s="5"/>
      <c r="L969" s="46"/>
      <c r="M969" s="1661"/>
      <c r="N969" s="1662"/>
      <c r="O969" s="1662"/>
      <c r="P969" s="1662"/>
      <c r="Q969" s="1662"/>
      <c r="R969" s="1662"/>
      <c r="S969" s="1663"/>
      <c r="T969" s="45" t="s">
        <v>338</v>
      </c>
      <c r="U969" s="5"/>
      <c r="V969" s="5"/>
      <c r="W969" s="5"/>
      <c r="X969" s="5"/>
      <c r="Y969" s="5"/>
      <c r="Z969" s="46"/>
      <c r="AA969" s="1661"/>
      <c r="AB969" s="1662"/>
      <c r="AC969" s="1662"/>
      <c r="AD969" s="1662"/>
      <c r="AE969" s="1662"/>
      <c r="AF969" s="1662"/>
      <c r="AG969" s="166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 customHeight="1">
      <c r="A970"/>
      <c r="B970"/>
      <c r="C970"/>
      <c r="D970"/>
      <c r="E970"/>
      <c r="F970" s="45" t="s">
        <v>471</v>
      </c>
      <c r="G970" s="5"/>
      <c r="H970" s="5"/>
      <c r="I970" s="5"/>
      <c r="J970" s="5"/>
      <c r="K970" s="5"/>
      <c r="L970" s="46"/>
      <c r="M970" s="1661"/>
      <c r="N970" s="1662"/>
      <c r="O970" s="1662"/>
      <c r="P970" s="1662"/>
      <c r="Q970" s="1662"/>
      <c r="R970" s="1662"/>
      <c r="S970" s="1663"/>
      <c r="T970" s="45" t="s">
        <v>376</v>
      </c>
      <c r="U970" s="5"/>
      <c r="V970" s="5"/>
      <c r="W970" s="5"/>
      <c r="X970" s="5"/>
      <c r="Y970" s="5"/>
      <c r="Z970" s="46"/>
      <c r="AA970" s="1661"/>
      <c r="AB970" s="1662"/>
      <c r="AC970" s="1662"/>
      <c r="AD970" s="1662"/>
      <c r="AE970" s="1662"/>
      <c r="AF970" s="1662"/>
      <c r="AG970" s="166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 customHeight="1">
      <c r="A971"/>
      <c r="B971"/>
      <c r="C971"/>
      <c r="D971"/>
      <c r="E971"/>
      <c r="F971" s="260" t="s">
        <v>891</v>
      </c>
      <c r="G971" s="42"/>
      <c r="H971" s="42"/>
      <c r="I971" s="42"/>
      <c r="J971" s="42"/>
      <c r="K971" s="42"/>
      <c r="L971" s="58"/>
      <c r="M971" s="1680" t="s">
        <v>307</v>
      </c>
      <c r="N971" s="1681"/>
      <c r="O971" s="1681"/>
      <c r="P971" s="1681"/>
      <c r="Q971" s="1681"/>
      <c r="R971" s="1681"/>
      <c r="S971" s="1682"/>
      <c r="T971" s="1751"/>
      <c r="U971" s="1752"/>
      <c r="V971" s="1752"/>
      <c r="W971" s="1752"/>
      <c r="X971" s="1752"/>
      <c r="Y971" s="1752"/>
      <c r="Z971" s="1753"/>
      <c r="AA971" s="1661"/>
      <c r="AB971" s="1662"/>
      <c r="AC971" s="1662"/>
      <c r="AD971" s="1662"/>
      <c r="AE971" s="1662"/>
      <c r="AF971" s="1662"/>
      <c r="AG971" s="1663"/>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 customHeight="1">
      <c r="A972"/>
      <c r="B972"/>
      <c r="C972"/>
      <c r="D972"/>
      <c r="E972"/>
      <c r="F972" s="41" t="s">
        <v>472</v>
      </c>
      <c r="G972" s="42"/>
      <c r="H972" s="42"/>
      <c r="I972" s="42"/>
      <c r="J972" s="42"/>
      <c r="K972" s="42"/>
      <c r="L972" s="58"/>
      <c r="M972" s="1661"/>
      <c r="N972" s="1662"/>
      <c r="O972" s="1662"/>
      <c r="P972" s="1662"/>
      <c r="Q972" s="1662"/>
      <c r="R972" s="1662"/>
      <c r="S972" s="1663"/>
      <c r="T972" s="1751"/>
      <c r="U972" s="1752"/>
      <c r="V972" s="1752"/>
      <c r="W972" s="1752"/>
      <c r="X972" s="1752"/>
      <c r="Y972" s="1752"/>
      <c r="Z972" s="1753"/>
      <c r="AA972" s="1661"/>
      <c r="AB972" s="1662"/>
      <c r="AC972" s="1662"/>
      <c r="AD972" s="1662"/>
      <c r="AE972" s="1662"/>
      <c r="AF972" s="1662"/>
      <c r="AG972" s="166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 customHeight="1">
      <c r="F973" s="41" t="s">
        <v>336</v>
      </c>
      <c r="G973" s="42"/>
      <c r="H973" s="42"/>
      <c r="I973" s="42"/>
      <c r="J973" s="42"/>
      <c r="K973" s="42"/>
      <c r="L973" s="42"/>
      <c r="M973" s="42"/>
      <c r="N973" s="42"/>
      <c r="O973" s="1439" t="s">
        <v>676</v>
      </c>
      <c r="P973" s="1440"/>
      <c r="Q973" s="92"/>
      <c r="R973" s="92"/>
      <c r="S973" s="93"/>
      <c r="T973" s="41" t="s">
        <v>169</v>
      </c>
      <c r="U973" s="42"/>
      <c r="V973" s="42"/>
      <c r="W973" s="1779" t="s">
        <v>334</v>
      </c>
      <c r="X973" s="1780"/>
      <c r="Y973" s="1780"/>
      <c r="Z973" s="1780"/>
      <c r="AA973" s="1780"/>
      <c r="AB973" s="1780"/>
      <c r="AC973" s="1780"/>
      <c r="AD973" s="1780"/>
      <c r="AE973" s="1780"/>
      <c r="AF973" s="1780"/>
      <c r="AG973" s="178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 customHeight="1">
      <c r="F974" s="1587" t="s">
        <v>33</v>
      </c>
      <c r="G974" s="1511"/>
      <c r="H974" s="1511"/>
      <c r="I974" s="1511"/>
      <c r="J974" s="1511"/>
      <c r="K974" s="1511"/>
      <c r="L974" s="1511"/>
      <c r="M974" s="1661"/>
      <c r="N974" s="1662"/>
      <c r="O974" s="1662"/>
      <c r="P974" s="1662"/>
      <c r="Q974" s="1662"/>
      <c r="R974" s="1662"/>
      <c r="S974" s="1663"/>
      <c r="T974" s="47"/>
      <c r="U974" s="48"/>
      <c r="V974" s="48"/>
      <c r="W974" s="48"/>
      <c r="X974" s="48"/>
      <c r="Y974" s="48"/>
      <c r="Z974" s="124" t="s">
        <v>134</v>
      </c>
      <c r="AA974" s="1683"/>
      <c r="AB974" s="1684"/>
      <c r="AC974" s="1684"/>
      <c r="AD974" s="1684"/>
      <c r="AE974" s="1684"/>
      <c r="AF974" s="1684"/>
      <c r="AG974" s="1685"/>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 customHeight="1">
      <c r="AU975" s="68"/>
      <c r="AV975" s="68"/>
      <c r="AW975" s="68"/>
      <c r="AX975" s="68"/>
      <c r="AY975" s="68"/>
      <c r="AZ975" s="14"/>
      <c r="BA975" s="14"/>
      <c r="BB975" s="14"/>
      <c r="BC975" s="14"/>
      <c r="BD975" s="14"/>
      <c r="BE975" s="14"/>
      <c r="BF975" s="14"/>
      <c r="BG975" s="1628"/>
      <c r="BH975" s="1628"/>
      <c r="BI975" s="1628"/>
      <c r="BJ975" s="1628"/>
      <c r="BK975" s="1628"/>
      <c r="BL975" s="162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 customHeight="1">
      <c r="A978" s="1547" t="s">
        <v>555</v>
      </c>
      <c r="B978" s="1547"/>
      <c r="C978" s="1547"/>
      <c r="D978" s="1547"/>
      <c r="E978" s="1547"/>
      <c r="F978" s="1547"/>
      <c r="G978" s="1547"/>
      <c r="H978" s="1547"/>
      <c r="I978" s="1547"/>
      <c r="J978" s="1547"/>
      <c r="K978" s="1547"/>
      <c r="L978" s="1547"/>
      <c r="M978" s="1547"/>
      <c r="N978" s="1547"/>
      <c r="O978" s="1547"/>
      <c r="P978" s="1547"/>
      <c r="Q978" s="1547"/>
      <c r="R978" s="1547"/>
      <c r="S978" s="1547"/>
      <c r="T978" s="1547"/>
      <c r="U978" s="1547"/>
      <c r="V978" s="1547"/>
      <c r="W978" s="1547"/>
      <c r="X978" s="1547"/>
      <c r="Y978" s="1547"/>
      <c r="Z978" s="1547"/>
      <c r="AA978" s="1547"/>
      <c r="AB978" s="1547"/>
      <c r="AC978" s="1547"/>
      <c r="AD978" s="1547"/>
      <c r="AE978" s="1547"/>
      <c r="AF978" s="1547"/>
      <c r="AG978" s="1547"/>
      <c r="AH978" s="1547"/>
      <c r="AI978" s="1547"/>
      <c r="AJ978" s="1547"/>
      <c r="AK978" s="1547"/>
      <c r="AL978" s="1547"/>
      <c r="AM978" s="1547"/>
      <c r="AN978" s="1547"/>
      <c r="AO978" s="1547"/>
      <c r="AP978" s="1547"/>
      <c r="AQ978" s="1547"/>
      <c r="AR978" s="1547"/>
      <c r="AS978" s="1547"/>
      <c r="AT978" s="1547"/>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 customHeight="1">
      <c r="A979" s="1547"/>
      <c r="B979" s="1547"/>
      <c r="C979" s="1547"/>
      <c r="D979" s="1547"/>
      <c r="E979" s="1547"/>
      <c r="F979" s="1547"/>
      <c r="G979" s="1547"/>
      <c r="H979" s="1547"/>
      <c r="I979" s="1547"/>
      <c r="J979" s="1547"/>
      <c r="K979" s="1547"/>
      <c r="L979" s="1547"/>
      <c r="M979" s="1547"/>
      <c r="N979" s="1547"/>
      <c r="O979" s="1547"/>
      <c r="P979" s="1547"/>
      <c r="Q979" s="1547"/>
      <c r="R979" s="1547"/>
      <c r="S979" s="1547"/>
      <c r="T979" s="1547"/>
      <c r="U979" s="1547"/>
      <c r="V979" s="1547"/>
      <c r="W979" s="1547"/>
      <c r="X979" s="1547"/>
      <c r="Y979" s="1547"/>
      <c r="Z979" s="1547"/>
      <c r="AA979" s="1547"/>
      <c r="AB979" s="1547"/>
      <c r="AC979" s="1547"/>
      <c r="AD979" s="1547"/>
      <c r="AE979" s="1547"/>
      <c r="AF979" s="1547"/>
      <c r="AG979" s="1547"/>
      <c r="AH979" s="1547"/>
      <c r="AI979" s="1547"/>
      <c r="AJ979" s="1547"/>
      <c r="AK979" s="1547"/>
      <c r="AL979" s="1547"/>
      <c r="AM979" s="1547"/>
      <c r="AN979" s="1547"/>
      <c r="AO979" s="1547"/>
      <c r="AP979" s="1547"/>
      <c r="AQ979" s="1547"/>
      <c r="AR979" s="1547"/>
      <c r="AS979" s="1547"/>
      <c r="AT979" s="154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 customHeight="1">
      <c r="A980" s="1547"/>
      <c r="B980" s="1547"/>
      <c r="C980" s="1547"/>
      <c r="D980" s="1547"/>
      <c r="E980" s="1547"/>
      <c r="F980" s="1547"/>
      <c r="G980" s="1547"/>
      <c r="H980" s="1547"/>
      <c r="I980" s="1547"/>
      <c r="J980" s="1547"/>
      <c r="K980" s="1547"/>
      <c r="L980" s="1547"/>
      <c r="M980" s="1547"/>
      <c r="N980" s="1547"/>
      <c r="O980" s="1547"/>
      <c r="P980" s="1547"/>
      <c r="Q980" s="1547"/>
      <c r="R980" s="1547"/>
      <c r="S980" s="1547"/>
      <c r="T980" s="1547"/>
      <c r="U980" s="1547"/>
      <c r="V980" s="1547"/>
      <c r="W980" s="1547"/>
      <c r="X980" s="1547"/>
      <c r="Y980" s="1547"/>
      <c r="Z980" s="1547"/>
      <c r="AA980" s="1547"/>
      <c r="AB980" s="1547"/>
      <c r="AC980" s="1547"/>
      <c r="AD980" s="1547"/>
      <c r="AE980" s="1547"/>
      <c r="AF980" s="1547"/>
      <c r="AG980" s="1547"/>
      <c r="AH980" s="1547"/>
      <c r="AI980" s="1547"/>
      <c r="AJ980" s="1547"/>
      <c r="AK980" s="1547"/>
      <c r="AL980" s="1547"/>
      <c r="AM980" s="1547"/>
      <c r="AN980" s="1547"/>
      <c r="AO980" s="1547"/>
      <c r="AP980" s="1547"/>
      <c r="AQ980" s="1547"/>
      <c r="AR980" s="1547"/>
      <c r="AS980" s="1547"/>
      <c r="AT980" s="154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 customHeight="1">
      <c r="A984" s="67"/>
      <c r="B984" s="79"/>
      <c r="C984" s="963"/>
      <c r="D984" s="1770" t="s">
        <v>645</v>
      </c>
      <c r="E984" s="1771"/>
      <c r="F984" s="1771"/>
      <c r="G984" s="1771"/>
      <c r="H984" s="1771"/>
      <c r="I984" s="1771"/>
      <c r="J984" s="1771"/>
      <c r="K984" s="1771"/>
      <c r="L984" s="1771"/>
      <c r="M984" s="1771"/>
      <c r="N984" s="1771"/>
      <c r="O984" s="1771"/>
      <c r="P984" s="1771"/>
      <c r="Q984" s="1772"/>
      <c r="R984" s="1770" t="s">
        <v>646</v>
      </c>
      <c r="S984" s="1771"/>
      <c r="T984" s="1771"/>
      <c r="U984" s="1771"/>
      <c r="V984" s="1771"/>
      <c r="W984" s="1771"/>
      <c r="X984" s="1771"/>
      <c r="Y984" s="1771"/>
      <c r="Z984" s="1771"/>
      <c r="AA984" s="1772"/>
      <c r="AB984" s="1770" t="s">
        <v>647</v>
      </c>
      <c r="AC984" s="1771"/>
      <c r="AD984" s="1771"/>
      <c r="AE984" s="1771"/>
      <c r="AF984" s="1771"/>
      <c r="AG984" s="1771"/>
      <c r="AH984" s="1771"/>
      <c r="AI984" s="1772"/>
      <c r="AJ984" s="1770" t="s">
        <v>648</v>
      </c>
      <c r="AK984" s="1771"/>
      <c r="AL984" s="1771"/>
      <c r="AM984" s="1771"/>
      <c r="AN984" s="1771"/>
      <c r="AO984" s="1771"/>
      <c r="AP984" s="1771"/>
      <c r="AQ984" s="177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 customHeight="1">
      <c r="A985" s="14"/>
      <c r="B985" s="73"/>
      <c r="C985" s="964"/>
      <c r="D985" s="1722" t="s">
        <v>640</v>
      </c>
      <c r="E985" s="1723"/>
      <c r="F985" s="1723"/>
      <c r="G985" s="1723"/>
      <c r="H985" s="1723"/>
      <c r="I985" s="1723"/>
      <c r="J985" s="1723"/>
      <c r="K985" s="1723"/>
      <c r="L985" s="1723"/>
      <c r="M985" s="1723"/>
      <c r="N985" s="1723"/>
      <c r="O985" s="1723"/>
      <c r="P985" s="1723"/>
      <c r="Q985" s="1724"/>
      <c r="R985" s="1740">
        <f>IF(ISNA(IF($BN$796="4%",(INDEX($BP$806:$BT$863,MATCH($CB$796,$BO$806:$BO$863,0),MATCH(D985,$BP$805:$BT$805,0))),(INDEX($BW$806:$CA$863,MATCH($CB$796,$BV$806:$BV$863,0),MATCH(D985,$BW$805:$CA$805,0))))),0,IF($BN$796="4%",(INDEX($BP$806:$BT$863,MATCH($CB$796,$BO$806:$BO$863,0),MATCH(D985,$BP$805:$BT$805,0))),(INDEX($BW$806:$CA$863,MATCH($CB$796,$BV$806:$BV$863,0),MATCH(D985,$BW$805:$CA$805,0)))))</f>
        <v>689665</v>
      </c>
      <c r="S985" s="1740"/>
      <c r="T985" s="1740"/>
      <c r="U985" s="1740"/>
      <c r="V985" s="1740"/>
      <c r="W985" s="1740"/>
      <c r="X985" s="1740"/>
      <c r="Y985" s="1740"/>
      <c r="Z985" s="1740"/>
      <c r="AA985" s="1740"/>
      <c r="AB985" s="1773">
        <f>BN660</f>
        <v>425</v>
      </c>
      <c r="AC985" s="1774"/>
      <c r="AD985" s="1774"/>
      <c r="AE985" s="1774"/>
      <c r="AF985" s="1774"/>
      <c r="AG985" s="1774"/>
      <c r="AH985" s="1774"/>
      <c r="AI985" s="1775"/>
      <c r="AJ985" s="1737">
        <f>IF(ISERROR((R985*AB985)),0,(R985*AB985))</f>
        <v>293107625</v>
      </c>
      <c r="AK985" s="1738"/>
      <c r="AL985" s="1738"/>
      <c r="AM985" s="1738"/>
      <c r="AN985" s="1738"/>
      <c r="AO985" s="1738"/>
      <c r="AP985" s="1738"/>
      <c r="AQ985" s="173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 customHeight="1">
      <c r="A986" s="14"/>
      <c r="B986" s="73"/>
      <c r="C986" s="83"/>
      <c r="D986" s="1722" t="s">
        <v>325</v>
      </c>
      <c r="E986" s="1723"/>
      <c r="F986" s="1723"/>
      <c r="G986" s="1723"/>
      <c r="H986" s="1723"/>
      <c r="I986" s="1723"/>
      <c r="J986" s="1723"/>
      <c r="K986" s="1723"/>
      <c r="L986" s="1723"/>
      <c r="M986" s="1723"/>
      <c r="N986" s="1723"/>
      <c r="O986" s="1723"/>
      <c r="P986" s="1723"/>
      <c r="Q986" s="1724"/>
      <c r="R986" s="1740">
        <f>IF(ISNA(IF($BN$796="4%",(INDEX($BP$806:$BT$863,MATCH($CB$796,$BO$806:$BO$863,0),MATCH(D986,$BP$805:$BT$805,0))),(INDEX($BW$806:$CA$863,MATCH($CB$796,$BV$806:$BV$863,0),MATCH(D986,$BW$805:$CA$805,0))))),0,IF($BN$796="4%",(INDEX($BP$806:$BT$863,MATCH($CB$796,$BO$806:$BO$863,0),MATCH(D986,$BP$805:$BT$805,0))),(INDEX($BW$806:$CA$863,MATCH($CB$796,$BV$806:$BV$863,0),MATCH(D986,$BW$805:$CA$805,0)))))</f>
        <v>795177</v>
      </c>
      <c r="S986" s="1740"/>
      <c r="T986" s="1740"/>
      <c r="U986" s="1740"/>
      <c r="V986" s="1740"/>
      <c r="W986" s="1740"/>
      <c r="X986" s="1740"/>
      <c r="Y986" s="1740"/>
      <c r="Z986" s="1740"/>
      <c r="AA986" s="1740"/>
      <c r="AB986" s="1773">
        <f>BS660</f>
        <v>0</v>
      </c>
      <c r="AC986" s="1774"/>
      <c r="AD986" s="1774"/>
      <c r="AE986" s="1774"/>
      <c r="AF986" s="1774"/>
      <c r="AG986" s="1774"/>
      <c r="AH986" s="1774"/>
      <c r="AI986" s="1775"/>
      <c r="AJ986" s="1737">
        <f>IF(ISERROR((R986*AB986)),0,(R986*AB986))</f>
        <v>0</v>
      </c>
      <c r="AK986" s="1738"/>
      <c r="AL986" s="1738"/>
      <c r="AM986" s="1738"/>
      <c r="AN986" s="1738"/>
      <c r="AO986" s="1738"/>
      <c r="AP986" s="1738"/>
      <c r="AQ986" s="173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 customHeight="1">
      <c r="A987" s="14"/>
      <c r="B987" s="73"/>
      <c r="C987" s="83"/>
      <c r="D987" s="1722" t="s">
        <v>163</v>
      </c>
      <c r="E987" s="1723"/>
      <c r="F987" s="1723"/>
      <c r="G987" s="1723"/>
      <c r="H987" s="1723"/>
      <c r="I987" s="1723"/>
      <c r="J987" s="1723"/>
      <c r="K987" s="1723"/>
      <c r="L987" s="1723"/>
      <c r="M987" s="1723"/>
      <c r="N987" s="1723"/>
      <c r="O987" s="1723"/>
      <c r="P987" s="1723"/>
      <c r="Q987" s="1724"/>
      <c r="R987" s="1740">
        <f>IF(ISNA(IF($BN$796="4%",(INDEX($BP$806:$BT$863,MATCH($CB$796,$BO$806:$BO$863,0),MATCH(D987,$BP$805:$BT$805,0))),(INDEX($BW$806:$CA$863,MATCH($CB$796,$BV$806:$BV$863,0),MATCH(D987,$BW$805:$CA$805,0))))),0,IF($BN$796="4%",(INDEX($BP$806:$BT$863,MATCH($CB$796,$BO$806:$BO$863,0),MATCH(D987,$BP$805:$BT$805,0))),(INDEX($BW$806:$CA$863,MATCH($CB$796,$BV$806:$BV$863,0),MATCH(D987,$BW$805:$CA$805,0)))))</f>
        <v>959200</v>
      </c>
      <c r="S987" s="1740"/>
      <c r="T987" s="1740"/>
      <c r="U987" s="1740"/>
      <c r="V987" s="1740"/>
      <c r="W987" s="1740"/>
      <c r="X987" s="1740"/>
      <c r="Y987" s="1740"/>
      <c r="Z987" s="1740"/>
      <c r="AA987" s="1740"/>
      <c r="AB987" s="1773">
        <f>BX660</f>
        <v>0</v>
      </c>
      <c r="AC987" s="1774"/>
      <c r="AD987" s="1774"/>
      <c r="AE987" s="1774"/>
      <c r="AF987" s="1774"/>
      <c r="AG987" s="1774"/>
      <c r="AH987" s="1774"/>
      <c r="AI987" s="1775"/>
      <c r="AJ987" s="1737">
        <f>IF(ISERROR((R987*AB987)),0,(R987*AB987))</f>
        <v>0</v>
      </c>
      <c r="AK987" s="1738"/>
      <c r="AL987" s="1738"/>
      <c r="AM987" s="1738"/>
      <c r="AN987" s="1738"/>
      <c r="AO987" s="1738"/>
      <c r="AP987" s="1738"/>
      <c r="AQ987" s="173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 customHeight="1">
      <c r="A988" s="14"/>
      <c r="B988" s="73"/>
      <c r="C988" s="83"/>
      <c r="D988" s="1722" t="s">
        <v>164</v>
      </c>
      <c r="E988" s="1723"/>
      <c r="F988" s="1723"/>
      <c r="G988" s="1723"/>
      <c r="H988" s="1723"/>
      <c r="I988" s="1723"/>
      <c r="J988" s="1723"/>
      <c r="K988" s="1723"/>
      <c r="L988" s="1723"/>
      <c r="M988" s="1723"/>
      <c r="N988" s="1723"/>
      <c r="O988" s="1723"/>
      <c r="P988" s="1723"/>
      <c r="Q988" s="1724"/>
      <c r="R988" s="1740">
        <f>IF(ISNA(IF($BN$796="4%",(INDEX($BP$806:$BT$863,MATCH($CB$796,$BO$806:$BO$863,0),MATCH(D988,$BP$805:$BT$805,0))),(INDEX($BW$806:$CA$863,MATCH($CB$796,$BV$806:$BV$863,0),MATCH(D988,$BW$805:$CA$805,0))))),0,IF($BN$796="4%",(INDEX($BP$806:$BT$863,MATCH($CB$796,$BO$806:$BO$863,0),MATCH(D988,$BP$805:$BT$805,0))),(INDEX($BW$806:$CA$863,MATCH($CB$796,$BV$806:$BV$863,0),MATCH(D988,$BW$805:$CA$805,0)))))</f>
        <v>1227776</v>
      </c>
      <c r="S988" s="1740"/>
      <c r="T988" s="1740"/>
      <c r="U988" s="1740"/>
      <c r="V988" s="1740"/>
      <c r="W988" s="1740"/>
      <c r="X988" s="1740"/>
      <c r="Y988" s="1740"/>
      <c r="Z988" s="1740"/>
      <c r="AA988" s="1740"/>
      <c r="AB988" s="1773">
        <f>CC660</f>
        <v>0</v>
      </c>
      <c r="AC988" s="1774"/>
      <c r="AD988" s="1774"/>
      <c r="AE988" s="1774"/>
      <c r="AF988" s="1774"/>
      <c r="AG988" s="1774"/>
      <c r="AH988" s="1774"/>
      <c r="AI988" s="1775"/>
      <c r="AJ988" s="1737">
        <f>IF(ISERROR((R988*AB988)),0,(R988*AB988))</f>
        <v>0</v>
      </c>
      <c r="AK988" s="1738"/>
      <c r="AL988" s="1738"/>
      <c r="AM988" s="1738"/>
      <c r="AN988" s="1738"/>
      <c r="AO988" s="1738"/>
      <c r="AP988" s="1738"/>
      <c r="AQ988" s="173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 customHeight="1">
      <c r="A989" s="14"/>
      <c r="B989" s="47"/>
      <c r="C989" s="78"/>
      <c r="D989" s="1722" t="s">
        <v>467</v>
      </c>
      <c r="E989" s="1723"/>
      <c r="F989" s="1723"/>
      <c r="G989" s="1723"/>
      <c r="H989" s="1723"/>
      <c r="I989" s="1723"/>
      <c r="J989" s="1723"/>
      <c r="K989" s="1723"/>
      <c r="L989" s="1723"/>
      <c r="M989" s="1723"/>
      <c r="N989" s="1723"/>
      <c r="O989" s="1723"/>
      <c r="P989" s="1723"/>
      <c r="Q989" s="1724"/>
      <c r="R989" s="1740">
        <f>IF(ISNA(IF($BN$796="4%",(INDEX($BP$806:$BT$863,MATCH($CB$796,$BO$806:$BO$863,0),MATCH(D989,$BP$805:$BT$805,0))),(INDEX($BW$806:$CA$863,MATCH($CB$796,$BV$806:$BV$863,0),MATCH(D989,$BW$805:$CA$805,0))))),0,IF($BN$796="4%",(INDEX($BP$806:$BT$863,MATCH($CB$796,$BO$806:$BO$863,0),MATCH(D989,$BP$805:$BT$805,0))),(INDEX($BW$806:$CA$863,MATCH($CB$796,$BV$806:$BV$863,0),MATCH(D989,$BW$805:$CA$805,0)))))</f>
        <v>1367819</v>
      </c>
      <c r="S989" s="1740"/>
      <c r="T989" s="1740"/>
      <c r="U989" s="1740"/>
      <c r="V989" s="1740"/>
      <c r="W989" s="1740"/>
      <c r="X989" s="1740"/>
      <c r="Y989" s="1740"/>
      <c r="Z989" s="1740"/>
      <c r="AA989" s="1740"/>
      <c r="AB989" s="1773">
        <f>CM660+CH660</f>
        <v>0</v>
      </c>
      <c r="AC989" s="1774"/>
      <c r="AD989" s="1774"/>
      <c r="AE989" s="1774"/>
      <c r="AF989" s="1774"/>
      <c r="AG989" s="1774"/>
      <c r="AH989" s="1774"/>
      <c r="AI989" s="1775"/>
      <c r="AJ989" s="1737">
        <f>IF(ISERROR((R989*AB989)),0,(R989*AB989))</f>
        <v>0</v>
      </c>
      <c r="AK989" s="1738"/>
      <c r="AL989" s="1738"/>
      <c r="AM989" s="1738"/>
      <c r="AN989" s="1738"/>
      <c r="AO989" s="1738"/>
      <c r="AP989" s="1738"/>
      <c r="AQ989" s="173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 customHeight="1">
      <c r="A990" s="14"/>
      <c r="B990" s="1689" t="s">
        <v>799</v>
      </c>
      <c r="C990" s="1690"/>
      <c r="D990" s="1690"/>
      <c r="E990" s="1690"/>
      <c r="F990" s="1690"/>
      <c r="G990" s="1690"/>
      <c r="H990" s="1690"/>
      <c r="I990" s="1690"/>
      <c r="J990" s="1690"/>
      <c r="K990" s="1690"/>
      <c r="L990" s="1690"/>
      <c r="M990" s="1690"/>
      <c r="N990" s="1690"/>
      <c r="O990" s="1690"/>
      <c r="P990" s="1690"/>
      <c r="Q990" s="1690"/>
      <c r="R990" s="1690"/>
      <c r="S990" s="1690"/>
      <c r="T990" s="1690"/>
      <c r="U990" s="1690"/>
      <c r="V990" s="1690"/>
      <c r="W990" s="1690"/>
      <c r="X990" s="1690"/>
      <c r="Y990" s="1690"/>
      <c r="Z990" s="1690"/>
      <c r="AA990" s="1691"/>
      <c r="AB990" s="1773">
        <f>SUM(AB985:AI989)</f>
        <v>425</v>
      </c>
      <c r="AC990" s="1774"/>
      <c r="AD990" s="1774"/>
      <c r="AE990" s="1774"/>
      <c r="AF990" s="1774"/>
      <c r="AG990" s="1774"/>
      <c r="AH990" s="1774"/>
      <c r="AI990" s="1775"/>
      <c r="AJ990" s="1737"/>
      <c r="AK990" s="1738"/>
      <c r="AL990" s="1738"/>
      <c r="AM990" s="1738"/>
      <c r="AN990" s="1738"/>
      <c r="AO990" s="1738"/>
      <c r="AP990" s="1738"/>
      <c r="AQ990" s="173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 customHeight="1">
      <c r="A991" s="14"/>
      <c r="B991" s="1810" t="s">
        <v>519</v>
      </c>
      <c r="C991" s="1811"/>
      <c r="D991" s="1811"/>
      <c r="E991" s="1811"/>
      <c r="F991" s="1811"/>
      <c r="G991" s="1811"/>
      <c r="H991" s="1811"/>
      <c r="I991" s="1811"/>
      <c r="J991" s="1811"/>
      <c r="K991" s="1811"/>
      <c r="L991" s="1811"/>
      <c r="M991" s="1811"/>
      <c r="N991" s="1811"/>
      <c r="O991" s="1811"/>
      <c r="P991" s="1811"/>
      <c r="Q991" s="1811"/>
      <c r="R991" s="1811"/>
      <c r="S991" s="1811"/>
      <c r="T991" s="1811"/>
      <c r="U991" s="1811"/>
      <c r="V991" s="1811"/>
      <c r="W991" s="1811"/>
      <c r="X991" s="1811"/>
      <c r="Y991" s="1811"/>
      <c r="Z991" s="1811"/>
      <c r="AA991" s="1811"/>
      <c r="AB991" s="1811"/>
      <c r="AC991" s="1811"/>
      <c r="AD991" s="1811"/>
      <c r="AE991" s="1811"/>
      <c r="AF991" s="1811"/>
      <c r="AG991" s="1811"/>
      <c r="AH991" s="1811"/>
      <c r="AI991" s="1812"/>
      <c r="AJ991" s="1737">
        <f>SUM(AJ985:AQ989)</f>
        <v>293107625</v>
      </c>
      <c r="AK991" s="1738"/>
      <c r="AL991" s="1738"/>
      <c r="AM991" s="1738"/>
      <c r="AN991" s="1738"/>
      <c r="AO991" s="1738"/>
      <c r="AP991" s="1738"/>
      <c r="AQ991" s="173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 customHeight="1">
      <c r="A992" s="14"/>
      <c r="B992" s="1791"/>
      <c r="C992" s="1792"/>
      <c r="D992" s="1792"/>
      <c r="E992" s="1792"/>
      <c r="F992" s="1792"/>
      <c r="G992" s="1792"/>
      <c r="H992" s="1792"/>
      <c r="I992" s="1792"/>
      <c r="J992" s="1792"/>
      <c r="K992" s="1792"/>
      <c r="L992" s="1792"/>
      <c r="M992" s="1792"/>
      <c r="N992" s="1792"/>
      <c r="O992" s="1792"/>
      <c r="P992" s="1792"/>
      <c r="Q992" s="1792"/>
      <c r="R992" s="1792"/>
      <c r="S992" s="1792"/>
      <c r="T992" s="1792"/>
      <c r="U992" s="1792"/>
      <c r="V992" s="1792"/>
      <c r="W992" s="1792"/>
      <c r="X992" s="1792"/>
      <c r="Y992" s="1792"/>
      <c r="Z992" s="1792"/>
      <c r="AA992" s="1792"/>
      <c r="AB992" s="1792"/>
      <c r="AC992" s="1792"/>
      <c r="AD992" s="1792"/>
      <c r="AE992" s="1793"/>
      <c r="AF992" s="1816" t="s">
        <v>673</v>
      </c>
      <c r="AG992" s="1817"/>
      <c r="AH992" s="1817"/>
      <c r="AI992" s="1818"/>
      <c r="AJ992" s="1791"/>
      <c r="AK992" s="1792"/>
      <c r="AL992" s="1792"/>
      <c r="AM992" s="1792"/>
      <c r="AN992" s="1792"/>
      <c r="AO992" s="1792"/>
      <c r="AP992" s="1792"/>
      <c r="AQ992" s="179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 customHeight="1">
      <c r="A993" s="14"/>
      <c r="B993" s="73"/>
      <c r="C993" s="962" t="s">
        <v>675</v>
      </c>
      <c r="D993" s="1692" t="s">
        <v>1325</v>
      </c>
      <c r="E993" s="1693"/>
      <c r="F993" s="1693"/>
      <c r="G993" s="1693"/>
      <c r="H993" s="1693"/>
      <c r="I993" s="1693"/>
      <c r="J993" s="1693"/>
      <c r="K993" s="1693"/>
      <c r="L993" s="1693"/>
      <c r="M993" s="1693"/>
      <c r="N993" s="1693"/>
      <c r="O993" s="1693"/>
      <c r="P993" s="1693"/>
      <c r="Q993" s="1693"/>
      <c r="R993" s="1693"/>
      <c r="S993" s="1693"/>
      <c r="T993" s="1693"/>
      <c r="U993" s="1693"/>
      <c r="V993" s="1693"/>
      <c r="W993" s="1693"/>
      <c r="X993" s="1693"/>
      <c r="Y993" s="1693"/>
      <c r="Z993" s="1693"/>
      <c r="AA993" s="1693"/>
      <c r="AB993" s="1693"/>
      <c r="AC993" s="1693"/>
      <c r="AD993" s="1693"/>
      <c r="AE993" s="1694"/>
      <c r="AF993" s="79"/>
      <c r="AG993" s="1819" t="s">
        <v>676</v>
      </c>
      <c r="AH993" s="1820"/>
      <c r="AI993" s="87"/>
      <c r="AJ993" s="1782">
        <f>ROUND(IF(AND(AG993="yes",D999&gt;0),AJ991*0.2,0),0)</f>
        <v>0</v>
      </c>
      <c r="AK993" s="1783"/>
      <c r="AL993" s="1783"/>
      <c r="AM993" s="1783"/>
      <c r="AN993" s="1783"/>
      <c r="AO993" s="1783"/>
      <c r="AP993" s="1783"/>
      <c r="AQ993" s="1784"/>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 customHeight="1">
      <c r="A994" s="14"/>
      <c r="B994" s="277"/>
      <c r="C994" s="276"/>
      <c r="D994" s="1760" t="s">
        <v>2566</v>
      </c>
      <c r="E994" s="1761"/>
      <c r="F994" s="1761"/>
      <c r="G994" s="1761"/>
      <c r="H994" s="1761"/>
      <c r="I994" s="1761"/>
      <c r="J994" s="1761"/>
      <c r="K994" s="1761"/>
      <c r="L994" s="1761"/>
      <c r="M994" s="1761"/>
      <c r="N994" s="1761"/>
      <c r="O994" s="1761"/>
      <c r="P994" s="1761"/>
      <c r="Q994" s="1761"/>
      <c r="R994" s="1761"/>
      <c r="S994" s="1761"/>
      <c r="T994" s="1761"/>
      <c r="U994" s="1761"/>
      <c r="V994" s="1761"/>
      <c r="W994" s="1761"/>
      <c r="X994" s="1761"/>
      <c r="Y994" s="1761"/>
      <c r="Z994" s="1761"/>
      <c r="AA994" s="1761"/>
      <c r="AB994" s="1761"/>
      <c r="AC994" s="1761"/>
      <c r="AD994" s="1761"/>
      <c r="AE994" s="1762"/>
      <c r="AF994" s="73"/>
      <c r="AG994" s="14"/>
      <c r="AH994" s="14"/>
      <c r="AI994" s="83"/>
      <c r="AJ994" s="1785"/>
      <c r="AK994" s="1786"/>
      <c r="AL994" s="1786"/>
      <c r="AM994" s="1786"/>
      <c r="AN994" s="1786"/>
      <c r="AO994" s="1786"/>
      <c r="AP994" s="1786"/>
      <c r="AQ994" s="1787"/>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 customHeight="1">
      <c r="A995" s="14"/>
      <c r="B995" s="277"/>
      <c r="C995" s="276"/>
      <c r="D995" s="1760"/>
      <c r="E995" s="1761"/>
      <c r="F995" s="1761"/>
      <c r="G995" s="1761"/>
      <c r="H995" s="1761"/>
      <c r="I995" s="1761"/>
      <c r="J995" s="1761"/>
      <c r="K995" s="1761"/>
      <c r="L995" s="1761"/>
      <c r="M995" s="1761"/>
      <c r="N995" s="1761"/>
      <c r="O995" s="1761"/>
      <c r="P995" s="1761"/>
      <c r="Q995" s="1761"/>
      <c r="R995" s="1761"/>
      <c r="S995" s="1761"/>
      <c r="T995" s="1761"/>
      <c r="U995" s="1761"/>
      <c r="V995" s="1761"/>
      <c r="W995" s="1761"/>
      <c r="X995" s="1761"/>
      <c r="Y995" s="1761"/>
      <c r="Z995" s="1761"/>
      <c r="AA995" s="1761"/>
      <c r="AB995" s="1761"/>
      <c r="AC995" s="1761"/>
      <c r="AD995" s="1761"/>
      <c r="AE995" s="1762"/>
      <c r="AF995" s="73"/>
      <c r="AG995" s="14"/>
      <c r="AH995" s="14"/>
      <c r="AI995" s="83"/>
      <c r="AJ995" s="1785"/>
      <c r="AK995" s="1786"/>
      <c r="AL995" s="1786"/>
      <c r="AM995" s="1786"/>
      <c r="AN995" s="1786"/>
      <c r="AO995" s="1786"/>
      <c r="AP995" s="1786"/>
      <c r="AQ995" s="1787"/>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 customHeight="1">
      <c r="A996" s="14"/>
      <c r="B996" s="277"/>
      <c r="C996" s="276"/>
      <c r="D996" s="1760"/>
      <c r="E996" s="1761"/>
      <c r="F996" s="1761"/>
      <c r="G996" s="1761"/>
      <c r="H996" s="1761"/>
      <c r="I996" s="1761"/>
      <c r="J996" s="1761"/>
      <c r="K996" s="1761"/>
      <c r="L996" s="1761"/>
      <c r="M996" s="1761"/>
      <c r="N996" s="1761"/>
      <c r="O996" s="1761"/>
      <c r="P996" s="1761"/>
      <c r="Q996" s="1761"/>
      <c r="R996" s="1761"/>
      <c r="S996" s="1761"/>
      <c r="T996" s="1761"/>
      <c r="U996" s="1761"/>
      <c r="V996" s="1761"/>
      <c r="W996" s="1761"/>
      <c r="X996" s="1761"/>
      <c r="Y996" s="1761"/>
      <c r="Z996" s="1761"/>
      <c r="AA996" s="1761"/>
      <c r="AB996" s="1761"/>
      <c r="AC996" s="1761"/>
      <c r="AD996" s="1761"/>
      <c r="AE996" s="1762"/>
      <c r="AF996" s="73"/>
      <c r="AG996" s="14"/>
      <c r="AH996" s="14"/>
      <c r="AI996" s="83"/>
      <c r="AJ996" s="1785"/>
      <c r="AK996" s="1786"/>
      <c r="AL996" s="1786"/>
      <c r="AM996" s="1786"/>
      <c r="AN996" s="1786"/>
      <c r="AO996" s="1786"/>
      <c r="AP996" s="1786"/>
      <c r="AQ996" s="1787"/>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 customHeight="1">
      <c r="A997" s="14"/>
      <c r="B997" s="277"/>
      <c r="C997" s="276"/>
      <c r="D997" s="1760"/>
      <c r="E997" s="1761"/>
      <c r="F997" s="1761"/>
      <c r="G997" s="1761"/>
      <c r="H997" s="1761"/>
      <c r="I997" s="1761"/>
      <c r="J997" s="1761"/>
      <c r="K997" s="1761"/>
      <c r="L997" s="1761"/>
      <c r="M997" s="1761"/>
      <c r="N997" s="1761"/>
      <c r="O997" s="1761"/>
      <c r="P997" s="1761"/>
      <c r="Q997" s="1761"/>
      <c r="R997" s="1761"/>
      <c r="S997" s="1761"/>
      <c r="T997" s="1761"/>
      <c r="U997" s="1761"/>
      <c r="V997" s="1761"/>
      <c r="W997" s="1761"/>
      <c r="X997" s="1761"/>
      <c r="Y997" s="1761"/>
      <c r="Z997" s="1761"/>
      <c r="AA997" s="1761"/>
      <c r="AB997" s="1761"/>
      <c r="AC997" s="1761"/>
      <c r="AD997" s="1761"/>
      <c r="AE997" s="1762"/>
      <c r="AF997" s="73"/>
      <c r="AG997" s="14"/>
      <c r="AH997" s="14"/>
      <c r="AI997" s="83"/>
      <c r="AJ997" s="1785"/>
      <c r="AK997" s="1786"/>
      <c r="AL997" s="1786"/>
      <c r="AM997" s="1786"/>
      <c r="AN997" s="1786"/>
      <c r="AO997" s="1786"/>
      <c r="AP997" s="1786"/>
      <c r="AQ997" s="1787"/>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 customHeight="1">
      <c r="A998" s="14"/>
      <c r="B998" s="277"/>
      <c r="C998" s="276"/>
      <c r="D998" s="1763" t="s">
        <v>2567</v>
      </c>
      <c r="E998" s="1764"/>
      <c r="F998" s="1764"/>
      <c r="G998" s="1764"/>
      <c r="H998" s="1764"/>
      <c r="I998" s="1764"/>
      <c r="J998" s="1764"/>
      <c r="K998" s="1764"/>
      <c r="L998" s="1764"/>
      <c r="M998" s="1764"/>
      <c r="N998" s="1764"/>
      <c r="O998" s="1764"/>
      <c r="P998" s="1764"/>
      <c r="Q998" s="1764"/>
      <c r="R998" s="1764"/>
      <c r="S998" s="1764"/>
      <c r="T998" s="1764"/>
      <c r="U998" s="1764"/>
      <c r="V998" s="1764"/>
      <c r="W998" s="1764"/>
      <c r="X998" s="1764"/>
      <c r="Y998" s="1764"/>
      <c r="Z998" s="1764"/>
      <c r="AA998" s="1764"/>
      <c r="AB998" s="1764"/>
      <c r="AC998" s="1764"/>
      <c r="AD998" s="1764"/>
      <c r="AE998" s="1765"/>
      <c r="AF998" s="73"/>
      <c r="AG998" s="14"/>
      <c r="AH998" s="14"/>
      <c r="AI998" s="83"/>
      <c r="AJ998" s="1785"/>
      <c r="AK998" s="1786"/>
      <c r="AL998" s="1786"/>
      <c r="AM998" s="1786"/>
      <c r="AN998" s="1786"/>
      <c r="AO998" s="1786"/>
      <c r="AP998" s="1786"/>
      <c r="AQ998" s="1787"/>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 customHeight="1">
      <c r="A999" s="14"/>
      <c r="B999" s="277"/>
      <c r="C999" s="276"/>
      <c r="D999" s="1695"/>
      <c r="E999" s="1696"/>
      <c r="F999" s="1696"/>
      <c r="G999" s="1696"/>
      <c r="H999" s="1696"/>
      <c r="I999" s="1696"/>
      <c r="J999" s="1696"/>
      <c r="K999" s="1696"/>
      <c r="L999" s="1696"/>
      <c r="M999" s="1696"/>
      <c r="N999" s="1696"/>
      <c r="O999" s="1696"/>
      <c r="P999" s="1696"/>
      <c r="Q999" s="1696"/>
      <c r="R999" s="1696"/>
      <c r="S999" s="1696"/>
      <c r="T999" s="1696"/>
      <c r="U999" s="1696"/>
      <c r="V999" s="1696"/>
      <c r="W999" s="1696"/>
      <c r="X999" s="1696"/>
      <c r="Y999" s="1696"/>
      <c r="Z999" s="1696"/>
      <c r="AA999" s="1696"/>
      <c r="AB999" s="1696"/>
      <c r="AC999" s="1696"/>
      <c r="AD999" s="1696"/>
      <c r="AE999" s="1697"/>
      <c r="AF999" s="77"/>
      <c r="AG999" s="7"/>
      <c r="AH999" s="7"/>
      <c r="AI999" s="78"/>
      <c r="AJ999" s="1788"/>
      <c r="AK999" s="1789"/>
      <c r="AL999" s="1789"/>
      <c r="AM999" s="1789"/>
      <c r="AN999" s="1789"/>
      <c r="AO999" s="1789"/>
      <c r="AP999" s="1789"/>
      <c r="AQ999" s="1790"/>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 customHeight="1">
      <c r="A1000" s="14"/>
      <c r="B1000" s="275"/>
      <c r="C1000" s="344"/>
      <c r="D1000" s="1666" t="s">
        <v>1394</v>
      </c>
      <c r="E1000" s="1667"/>
      <c r="F1000" s="1667"/>
      <c r="G1000" s="1667"/>
      <c r="H1000" s="1667"/>
      <c r="I1000" s="1667"/>
      <c r="J1000" s="1667"/>
      <c r="K1000" s="1667"/>
      <c r="L1000" s="1667"/>
      <c r="M1000" s="1667"/>
      <c r="N1000" s="1667"/>
      <c r="O1000" s="1667"/>
      <c r="P1000" s="1667"/>
      <c r="Q1000" s="1667"/>
      <c r="R1000" s="1667"/>
      <c r="S1000" s="1667"/>
      <c r="T1000" s="1667"/>
      <c r="U1000" s="1667"/>
      <c r="V1000" s="1667"/>
      <c r="W1000" s="1667"/>
      <c r="X1000" s="1667"/>
      <c r="Y1000" s="1667"/>
      <c r="Z1000" s="1667"/>
      <c r="AA1000" s="1667"/>
      <c r="AB1000" s="1667"/>
      <c r="AC1000" s="1667"/>
      <c r="AD1000" s="1667"/>
      <c r="AE1000" s="1668"/>
      <c r="AF1000" s="79"/>
      <c r="AG1000" s="1678" t="s">
        <v>676</v>
      </c>
      <c r="AH1000" s="1679"/>
      <c r="AI1000" s="87"/>
      <c r="AJ1000" s="1782">
        <f>ROUND(IF(AG1000="yes",AJ991*0.05,0),0)</f>
        <v>0</v>
      </c>
      <c r="AK1000" s="1783"/>
      <c r="AL1000" s="1783"/>
      <c r="AM1000" s="1783"/>
      <c r="AN1000" s="1783"/>
      <c r="AO1000" s="1783"/>
      <c r="AP1000" s="1783"/>
      <c r="AQ1000" s="1784"/>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 customHeight="1">
      <c r="A1001" s="14"/>
      <c r="B1001" s="277"/>
      <c r="C1001" s="82"/>
      <c r="D1001" s="1760" t="s">
        <v>1392</v>
      </c>
      <c r="E1001" s="1761"/>
      <c r="F1001" s="1761"/>
      <c r="G1001" s="1761"/>
      <c r="H1001" s="1761"/>
      <c r="I1001" s="1761"/>
      <c r="J1001" s="1761"/>
      <c r="K1001" s="1761"/>
      <c r="L1001" s="1761"/>
      <c r="M1001" s="1761"/>
      <c r="N1001" s="1761"/>
      <c r="O1001" s="1761"/>
      <c r="P1001" s="1761"/>
      <c r="Q1001" s="1761"/>
      <c r="R1001" s="1761"/>
      <c r="S1001" s="1761"/>
      <c r="T1001" s="1761"/>
      <c r="U1001" s="1761"/>
      <c r="V1001" s="1761"/>
      <c r="W1001" s="1761"/>
      <c r="X1001" s="1761"/>
      <c r="Y1001" s="1761"/>
      <c r="Z1001" s="1761"/>
      <c r="AA1001" s="1761"/>
      <c r="AB1001" s="1761"/>
      <c r="AC1001" s="1761"/>
      <c r="AD1001" s="1761"/>
      <c r="AE1001" s="1762"/>
      <c r="AF1001" s="73"/>
      <c r="AG1001" s="14"/>
      <c r="AH1001" s="14"/>
      <c r="AI1001" s="83"/>
      <c r="AJ1001" s="1785"/>
      <c r="AK1001" s="1786"/>
      <c r="AL1001" s="1786"/>
      <c r="AM1001" s="1786"/>
      <c r="AN1001" s="1786"/>
      <c r="AO1001" s="1786"/>
      <c r="AP1001" s="1786"/>
      <c r="AQ1001" s="1787"/>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 customHeight="1">
      <c r="A1002" s="14"/>
      <c r="B1002" s="277"/>
      <c r="C1002" s="82"/>
      <c r="D1002" s="1760"/>
      <c r="E1002" s="1761"/>
      <c r="F1002" s="1761"/>
      <c r="G1002" s="1761"/>
      <c r="H1002" s="1761"/>
      <c r="I1002" s="1761"/>
      <c r="J1002" s="1761"/>
      <c r="K1002" s="1761"/>
      <c r="L1002" s="1761"/>
      <c r="M1002" s="1761"/>
      <c r="N1002" s="1761"/>
      <c r="O1002" s="1761"/>
      <c r="P1002" s="1761"/>
      <c r="Q1002" s="1761"/>
      <c r="R1002" s="1761"/>
      <c r="S1002" s="1761"/>
      <c r="T1002" s="1761"/>
      <c r="U1002" s="1761"/>
      <c r="V1002" s="1761"/>
      <c r="W1002" s="1761"/>
      <c r="X1002" s="1761"/>
      <c r="Y1002" s="1761"/>
      <c r="Z1002" s="1761"/>
      <c r="AA1002" s="1761"/>
      <c r="AB1002" s="1761"/>
      <c r="AC1002" s="1761"/>
      <c r="AD1002" s="1761"/>
      <c r="AE1002" s="1762"/>
      <c r="AF1002" s="73"/>
      <c r="AG1002" s="14"/>
      <c r="AH1002" s="14"/>
      <c r="AI1002" s="83"/>
      <c r="AJ1002" s="1785"/>
      <c r="AK1002" s="1786"/>
      <c r="AL1002" s="1786"/>
      <c r="AM1002" s="1786"/>
      <c r="AN1002" s="1786"/>
      <c r="AO1002" s="1786"/>
      <c r="AP1002" s="1786"/>
      <c r="AQ1002" s="1787"/>
      <c r="AR1002" s="68"/>
      <c r="AS1002" s="68"/>
      <c r="AT1002" s="68"/>
      <c r="AU1002" s="68"/>
      <c r="AV1002" s="68"/>
      <c r="AW1002" s="68"/>
      <c r="AX1002" s="68"/>
      <c r="AY1002" s="949">
        <f>G753+O797</f>
        <v>421</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 customHeight="1">
      <c r="A1003" s="14"/>
      <c r="B1003" s="277"/>
      <c r="C1003" s="82"/>
      <c r="D1003" s="1760"/>
      <c r="E1003" s="1761"/>
      <c r="F1003" s="1761"/>
      <c r="G1003" s="1761"/>
      <c r="H1003" s="1761"/>
      <c r="I1003" s="1761"/>
      <c r="J1003" s="1761"/>
      <c r="K1003" s="1761"/>
      <c r="L1003" s="1761"/>
      <c r="M1003" s="1761"/>
      <c r="N1003" s="1761"/>
      <c r="O1003" s="1761"/>
      <c r="P1003" s="1761"/>
      <c r="Q1003" s="1761"/>
      <c r="R1003" s="1761"/>
      <c r="S1003" s="1761"/>
      <c r="T1003" s="1761"/>
      <c r="U1003" s="1761"/>
      <c r="V1003" s="1761"/>
      <c r="W1003" s="1761"/>
      <c r="X1003" s="1761"/>
      <c r="Y1003" s="1761"/>
      <c r="Z1003" s="1761"/>
      <c r="AA1003" s="1761"/>
      <c r="AB1003" s="1761"/>
      <c r="AC1003" s="1761"/>
      <c r="AD1003" s="1761"/>
      <c r="AE1003" s="1762"/>
      <c r="AF1003" s="73"/>
      <c r="AG1003" s="14"/>
      <c r="AH1003" s="14"/>
      <c r="AI1003" s="83"/>
      <c r="AJ1003" s="1785"/>
      <c r="AK1003" s="1786"/>
      <c r="AL1003" s="1786"/>
      <c r="AM1003" s="1786"/>
      <c r="AN1003" s="1786"/>
      <c r="AO1003" s="1786"/>
      <c r="AP1003" s="1786"/>
      <c r="AQ1003" s="1787"/>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 customHeight="1">
      <c r="A1004" s="14"/>
      <c r="B1004" s="277"/>
      <c r="C1004" s="82"/>
      <c r="D1004" s="1760"/>
      <c r="E1004" s="1761"/>
      <c r="F1004" s="1761"/>
      <c r="G1004" s="1761"/>
      <c r="H1004" s="1761"/>
      <c r="I1004" s="1761"/>
      <c r="J1004" s="1761"/>
      <c r="K1004" s="1761"/>
      <c r="L1004" s="1761"/>
      <c r="M1004" s="1761"/>
      <c r="N1004" s="1761"/>
      <c r="O1004" s="1761"/>
      <c r="P1004" s="1761"/>
      <c r="Q1004" s="1761"/>
      <c r="R1004" s="1761"/>
      <c r="S1004" s="1761"/>
      <c r="T1004" s="1761"/>
      <c r="U1004" s="1761"/>
      <c r="V1004" s="1761"/>
      <c r="W1004" s="1761"/>
      <c r="X1004" s="1761"/>
      <c r="Y1004" s="1761"/>
      <c r="Z1004" s="1761"/>
      <c r="AA1004" s="1761"/>
      <c r="AB1004" s="1761"/>
      <c r="AC1004" s="1761"/>
      <c r="AD1004" s="1761"/>
      <c r="AE1004" s="1762"/>
      <c r="AF1004" s="73"/>
      <c r="AG1004" s="14"/>
      <c r="AH1004" s="14"/>
      <c r="AI1004" s="83"/>
      <c r="AJ1004" s="1785"/>
      <c r="AK1004" s="1786"/>
      <c r="AL1004" s="1786"/>
      <c r="AM1004" s="1786"/>
      <c r="AN1004" s="1786"/>
      <c r="AO1004" s="1786"/>
      <c r="AP1004" s="1786"/>
      <c r="AQ1004" s="1787"/>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 customHeight="1">
      <c r="A1005" s="14"/>
      <c r="B1005" s="75"/>
      <c r="C1005" s="76"/>
      <c r="D1005" s="1763"/>
      <c r="E1005" s="1764"/>
      <c r="F1005" s="1764"/>
      <c r="G1005" s="1764"/>
      <c r="H1005" s="1764"/>
      <c r="I1005" s="1764"/>
      <c r="J1005" s="1764"/>
      <c r="K1005" s="1764"/>
      <c r="L1005" s="1764"/>
      <c r="M1005" s="1764"/>
      <c r="N1005" s="1764"/>
      <c r="O1005" s="1764"/>
      <c r="P1005" s="1764"/>
      <c r="Q1005" s="1764"/>
      <c r="R1005" s="1764"/>
      <c r="S1005" s="1764"/>
      <c r="T1005" s="1764"/>
      <c r="U1005" s="1764"/>
      <c r="V1005" s="1764"/>
      <c r="W1005" s="1764"/>
      <c r="X1005" s="1764"/>
      <c r="Y1005" s="1764"/>
      <c r="Z1005" s="1764"/>
      <c r="AA1005" s="1764"/>
      <c r="AB1005" s="1764"/>
      <c r="AC1005" s="1764"/>
      <c r="AD1005" s="1764"/>
      <c r="AE1005" s="1765"/>
      <c r="AF1005" s="77"/>
      <c r="AG1005" s="7"/>
      <c r="AH1005" s="7"/>
      <c r="AI1005" s="78"/>
      <c r="AJ1005" s="1788"/>
      <c r="AK1005" s="1789"/>
      <c r="AL1005" s="1789"/>
      <c r="AM1005" s="1789"/>
      <c r="AN1005" s="1789"/>
      <c r="AO1005" s="1789"/>
      <c r="AP1005" s="1789"/>
      <c r="AQ1005" s="1790"/>
      <c r="AR1005" s="68"/>
      <c r="AS1005" s="68"/>
      <c r="AT1005" s="68"/>
      <c r="AU1005" s="68"/>
      <c r="AV1005" s="68"/>
      <c r="AW1005" s="68"/>
      <c r="AX1005" s="68"/>
      <c r="AY1005" s="948">
        <f>ROUNDDOWN(X1051/I1051,2)</f>
        <v>0.13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 customHeight="1">
      <c r="A1006" s="14"/>
      <c r="B1006" s="275"/>
      <c r="C1006" s="80" t="s">
        <v>679</v>
      </c>
      <c r="D1006" s="1666" t="s">
        <v>1871</v>
      </c>
      <c r="E1006" s="1667"/>
      <c r="F1006" s="1667"/>
      <c r="G1006" s="1667"/>
      <c r="H1006" s="1667"/>
      <c r="I1006" s="1667"/>
      <c r="J1006" s="1667"/>
      <c r="K1006" s="1667"/>
      <c r="L1006" s="1667"/>
      <c r="M1006" s="1667"/>
      <c r="N1006" s="1667"/>
      <c r="O1006" s="1667"/>
      <c r="P1006" s="1667"/>
      <c r="Q1006" s="1667"/>
      <c r="R1006" s="1667"/>
      <c r="S1006" s="1667"/>
      <c r="T1006" s="1667"/>
      <c r="U1006" s="1667"/>
      <c r="V1006" s="1667"/>
      <c r="W1006" s="1667"/>
      <c r="X1006" s="1667"/>
      <c r="Y1006" s="1667"/>
      <c r="Z1006" s="1667"/>
      <c r="AA1006" s="1667"/>
      <c r="AB1006" s="1667"/>
      <c r="AC1006" s="1667"/>
      <c r="AD1006" s="1667"/>
      <c r="AE1006" s="1668"/>
      <c r="AF1006" s="86"/>
      <c r="AG1006" s="1678" t="s">
        <v>676</v>
      </c>
      <c r="AH1006" s="1679"/>
      <c r="AI1006" s="87"/>
      <c r="AJ1006" s="1782">
        <f>ROUND(IF(AG1006="yes",AJ991*0.1,0),0)</f>
        <v>0</v>
      </c>
      <c r="AK1006" s="1783"/>
      <c r="AL1006" s="1783"/>
      <c r="AM1006" s="1783"/>
      <c r="AN1006" s="1783"/>
      <c r="AO1006" s="1783"/>
      <c r="AP1006" s="1783"/>
      <c r="AQ1006" s="1784"/>
      <c r="AR1006" s="68"/>
      <c r="AS1006" s="68"/>
      <c r="AT1006" s="68"/>
      <c r="AU1006" s="68"/>
      <c r="AV1006" s="68"/>
      <c r="AW1006" s="68"/>
      <c r="AX1006" s="68"/>
      <c r="BB1006" s="34"/>
      <c r="BD1006" s="34"/>
      <c r="BE1006" s="34"/>
      <c r="BF1006" s="34"/>
    </row>
    <row r="1007" spans="1:157" ht="12.9" customHeight="1">
      <c r="A1007" s="14"/>
      <c r="B1007" s="73"/>
      <c r="C1007" s="74"/>
      <c r="D1007" s="1669" t="s">
        <v>1393</v>
      </c>
      <c r="E1007" s="1670"/>
      <c r="F1007" s="1670"/>
      <c r="G1007" s="1670"/>
      <c r="H1007" s="1670"/>
      <c r="I1007" s="1670"/>
      <c r="J1007" s="1670"/>
      <c r="K1007" s="1670"/>
      <c r="L1007" s="1670"/>
      <c r="M1007" s="1670"/>
      <c r="N1007" s="1670"/>
      <c r="O1007" s="1670"/>
      <c r="P1007" s="1670"/>
      <c r="Q1007" s="1670"/>
      <c r="R1007" s="1670"/>
      <c r="S1007" s="1670"/>
      <c r="T1007" s="1670"/>
      <c r="U1007" s="1670"/>
      <c r="V1007" s="1670"/>
      <c r="W1007" s="1670"/>
      <c r="X1007" s="1670"/>
      <c r="Y1007" s="1670"/>
      <c r="Z1007" s="1670"/>
      <c r="AA1007" s="1670"/>
      <c r="AB1007" s="1670"/>
      <c r="AC1007" s="1670"/>
      <c r="AD1007" s="1670"/>
      <c r="AE1007" s="1671"/>
      <c r="AF1007" s="73"/>
      <c r="AI1007" s="83"/>
      <c r="AJ1007" s="1785"/>
      <c r="AK1007" s="1786"/>
      <c r="AL1007" s="1786"/>
      <c r="AM1007" s="1786"/>
      <c r="AN1007" s="1786"/>
      <c r="AO1007" s="1786"/>
      <c r="AP1007" s="1786"/>
      <c r="AQ1007" s="1787"/>
      <c r="AR1007" s="68"/>
      <c r="AS1007" s="68"/>
      <c r="AT1007" s="68"/>
      <c r="AU1007" s="68"/>
      <c r="AV1007" s="68"/>
      <c r="AW1007" s="68"/>
      <c r="AX1007" s="68"/>
    </row>
    <row r="1008" spans="1:157" ht="12.9" customHeight="1">
      <c r="A1008" s="14"/>
      <c r="B1008" s="73"/>
      <c r="C1008" s="74"/>
      <c r="D1008" s="1669"/>
      <c r="E1008" s="1670"/>
      <c r="F1008" s="1670"/>
      <c r="G1008" s="1670"/>
      <c r="H1008" s="1670"/>
      <c r="I1008" s="1670"/>
      <c r="J1008" s="1670"/>
      <c r="K1008" s="1670"/>
      <c r="L1008" s="1670"/>
      <c r="M1008" s="1670"/>
      <c r="N1008" s="1670"/>
      <c r="O1008" s="1670"/>
      <c r="P1008" s="1670"/>
      <c r="Q1008" s="1670"/>
      <c r="R1008" s="1670"/>
      <c r="S1008" s="1670"/>
      <c r="T1008" s="1670"/>
      <c r="U1008" s="1670"/>
      <c r="V1008" s="1670"/>
      <c r="W1008" s="1670"/>
      <c r="X1008" s="1670"/>
      <c r="Y1008" s="1670"/>
      <c r="Z1008" s="1670"/>
      <c r="AA1008" s="1670"/>
      <c r="AB1008" s="1670"/>
      <c r="AC1008" s="1670"/>
      <c r="AD1008" s="1670"/>
      <c r="AE1008" s="1671"/>
      <c r="AF1008" s="73"/>
      <c r="AG1008" s="14"/>
      <c r="AH1008" s="14"/>
      <c r="AI1008" s="83"/>
      <c r="AJ1008" s="1785"/>
      <c r="AK1008" s="1786"/>
      <c r="AL1008" s="1786"/>
      <c r="AM1008" s="1786"/>
      <c r="AN1008" s="1786"/>
      <c r="AO1008" s="1786"/>
      <c r="AP1008" s="1786"/>
      <c r="AQ1008" s="1787"/>
      <c r="AR1008" s="68"/>
      <c r="AS1008" s="68"/>
      <c r="AT1008" s="68"/>
      <c r="AU1008" s="68"/>
      <c r="AV1008" s="68"/>
      <c r="AW1008" s="68"/>
      <c r="AX1008" s="68"/>
    </row>
    <row r="1009" spans="1:51" ht="12.9" customHeight="1">
      <c r="A1009" s="14"/>
      <c r="B1009" s="85"/>
      <c r="C1009" s="76"/>
      <c r="D1009" s="1766"/>
      <c r="E1009" s="1767"/>
      <c r="F1009" s="1767"/>
      <c r="G1009" s="1767"/>
      <c r="H1009" s="1767"/>
      <c r="I1009" s="1767"/>
      <c r="J1009" s="1767"/>
      <c r="K1009" s="1767"/>
      <c r="L1009" s="1767"/>
      <c r="M1009" s="1767"/>
      <c r="N1009" s="1767"/>
      <c r="O1009" s="1767"/>
      <c r="P1009" s="1767"/>
      <c r="Q1009" s="1767"/>
      <c r="R1009" s="1767"/>
      <c r="S1009" s="1767"/>
      <c r="T1009" s="1767"/>
      <c r="U1009" s="1767"/>
      <c r="V1009" s="1767"/>
      <c r="W1009" s="1767"/>
      <c r="X1009" s="1767"/>
      <c r="Y1009" s="1767"/>
      <c r="Z1009" s="1767"/>
      <c r="AA1009" s="1767"/>
      <c r="AB1009" s="1767"/>
      <c r="AC1009" s="1767"/>
      <c r="AD1009" s="1767"/>
      <c r="AE1009" s="1768"/>
      <c r="AF1009" s="77"/>
      <c r="AG1009" s="7"/>
      <c r="AH1009" s="7"/>
      <c r="AI1009" s="78"/>
      <c r="AJ1009" s="1788"/>
      <c r="AK1009" s="1789"/>
      <c r="AL1009" s="1789"/>
      <c r="AM1009" s="1789"/>
      <c r="AN1009" s="1789"/>
      <c r="AO1009" s="1789"/>
      <c r="AP1009" s="1789"/>
      <c r="AQ1009" s="1790"/>
      <c r="AR1009" s="68"/>
      <c r="AS1009" s="68"/>
      <c r="AT1009" s="68"/>
      <c r="AU1009" s="68"/>
      <c r="AV1009" s="68"/>
      <c r="AW1009" s="68"/>
      <c r="AX1009" s="68"/>
    </row>
    <row r="1010" spans="1:51" ht="12.9" customHeight="1">
      <c r="A1010" s="14"/>
      <c r="B1010" s="79"/>
      <c r="C1010" s="80" t="s">
        <v>212</v>
      </c>
      <c r="D1010" s="1666" t="s">
        <v>1395</v>
      </c>
      <c r="E1010" s="1667"/>
      <c r="F1010" s="1667"/>
      <c r="G1010" s="1667"/>
      <c r="H1010" s="1667"/>
      <c r="I1010" s="1667"/>
      <c r="J1010" s="1667"/>
      <c r="K1010" s="1667"/>
      <c r="L1010" s="1667"/>
      <c r="M1010" s="1667"/>
      <c r="N1010" s="1667"/>
      <c r="O1010" s="1667"/>
      <c r="P1010" s="1667"/>
      <c r="Q1010" s="1667"/>
      <c r="R1010" s="1667"/>
      <c r="S1010" s="1667"/>
      <c r="T1010" s="1667"/>
      <c r="U1010" s="1667"/>
      <c r="V1010" s="1667"/>
      <c r="W1010" s="1667"/>
      <c r="X1010" s="1667"/>
      <c r="Y1010" s="1667"/>
      <c r="Z1010" s="1667"/>
      <c r="AA1010" s="1667"/>
      <c r="AB1010" s="1667"/>
      <c r="AC1010" s="1667"/>
      <c r="AD1010" s="1667"/>
      <c r="AE1010" s="1668"/>
      <c r="AF1010" s="79"/>
      <c r="AG1010" s="1678" t="s">
        <v>676</v>
      </c>
      <c r="AH1010" s="1679"/>
      <c r="AI1010" s="87"/>
      <c r="AJ1010" s="1782">
        <f>ROUND(IF(AG1010="yes",AJ991*0.02,0),0)</f>
        <v>0</v>
      </c>
      <c r="AK1010" s="1783"/>
      <c r="AL1010" s="1783"/>
      <c r="AM1010" s="1783"/>
      <c r="AN1010" s="1783"/>
      <c r="AO1010" s="1783"/>
      <c r="AP1010" s="1783"/>
      <c r="AQ1010" s="1784"/>
      <c r="AR1010" s="68"/>
      <c r="AS1010" s="68"/>
      <c r="AT1010" s="68"/>
      <c r="AU1010" s="68"/>
      <c r="AV1010" s="68"/>
      <c r="AW1010" s="68"/>
      <c r="AX1010" s="68"/>
      <c r="AY1010" s="215">
        <f>IF(SUM(AY1012:AY1020)&lt;=0.1,SUM(AY1012:AY1020),0.1)</f>
        <v>0</v>
      </c>
    </row>
    <row r="1011" spans="1:51" ht="14.25" customHeight="1">
      <c r="A1011" s="14"/>
      <c r="B1011" s="73"/>
      <c r="C1011" s="74"/>
      <c r="D1011" s="1766" t="s">
        <v>1396</v>
      </c>
      <c r="E1011" s="1767"/>
      <c r="F1011" s="1767"/>
      <c r="G1011" s="1767"/>
      <c r="H1011" s="1767"/>
      <c r="I1011" s="1767"/>
      <c r="J1011" s="1767"/>
      <c r="K1011" s="1767"/>
      <c r="L1011" s="1767"/>
      <c r="M1011" s="1767"/>
      <c r="N1011" s="1767"/>
      <c r="O1011" s="1767"/>
      <c r="P1011" s="1767"/>
      <c r="Q1011" s="1767"/>
      <c r="R1011" s="1767"/>
      <c r="S1011" s="1767"/>
      <c r="T1011" s="1767"/>
      <c r="U1011" s="1767"/>
      <c r="V1011" s="1767"/>
      <c r="W1011" s="1767"/>
      <c r="X1011" s="1767"/>
      <c r="Y1011" s="1767"/>
      <c r="Z1011" s="1767"/>
      <c r="AA1011" s="1767"/>
      <c r="AB1011" s="1767"/>
      <c r="AC1011" s="1767"/>
      <c r="AD1011" s="1767"/>
      <c r="AE1011" s="1768"/>
      <c r="AF1011" s="77"/>
      <c r="AG1011" s="7"/>
      <c r="AH1011" s="7"/>
      <c r="AI1011" s="78"/>
      <c r="AJ1011" s="1788"/>
      <c r="AK1011" s="1789"/>
      <c r="AL1011" s="1789"/>
      <c r="AM1011" s="1789"/>
      <c r="AN1011" s="1789"/>
      <c r="AO1011" s="1789"/>
      <c r="AP1011" s="1789"/>
      <c r="AQ1011" s="1790"/>
      <c r="AR1011" s="68"/>
      <c r="AS1011" s="68"/>
      <c r="AT1011" s="68"/>
      <c r="AU1011" s="68"/>
      <c r="AV1011" s="68"/>
      <c r="AW1011" s="68"/>
      <c r="AX1011" s="68"/>
    </row>
    <row r="1012" spans="1:51" ht="12.9" customHeight="1">
      <c r="A1012" s="14"/>
      <c r="B1012" s="79"/>
      <c r="C1012" s="80" t="s">
        <v>215</v>
      </c>
      <c r="D1012" s="1666" t="s">
        <v>1397</v>
      </c>
      <c r="E1012" s="1667"/>
      <c r="F1012" s="1667"/>
      <c r="G1012" s="1667"/>
      <c r="H1012" s="1667"/>
      <c r="I1012" s="1667"/>
      <c r="J1012" s="1667"/>
      <c r="K1012" s="1667"/>
      <c r="L1012" s="1667"/>
      <c r="M1012" s="1667"/>
      <c r="N1012" s="1667"/>
      <c r="O1012" s="1667"/>
      <c r="P1012" s="1667"/>
      <c r="Q1012" s="1667"/>
      <c r="R1012" s="1667"/>
      <c r="S1012" s="1667"/>
      <c r="T1012" s="1667"/>
      <c r="U1012" s="1667"/>
      <c r="V1012" s="1667"/>
      <c r="W1012" s="1667"/>
      <c r="X1012" s="1667"/>
      <c r="Y1012" s="1667"/>
      <c r="Z1012" s="1667"/>
      <c r="AA1012" s="1667"/>
      <c r="AB1012" s="1667"/>
      <c r="AC1012" s="1667"/>
      <c r="AD1012" s="1667"/>
      <c r="AE1012" s="1668"/>
      <c r="AF1012" s="79"/>
      <c r="AG1012" s="1678" t="s">
        <v>676</v>
      </c>
      <c r="AH1012" s="1679"/>
      <c r="AI1012" s="79"/>
      <c r="AJ1012" s="1782">
        <f>ROUND(IF(AG1012="yes",AJ991*0.02,0),0)</f>
        <v>0</v>
      </c>
      <c r="AK1012" s="1783"/>
      <c r="AL1012" s="1783"/>
      <c r="AM1012" s="1783"/>
      <c r="AN1012" s="1783"/>
      <c r="AO1012" s="1783"/>
      <c r="AP1012" s="1783"/>
      <c r="AQ1012" s="1784"/>
      <c r="AR1012" s="68"/>
      <c r="AS1012" s="68"/>
      <c r="AT1012" s="68"/>
      <c r="AU1012" s="68"/>
      <c r="AV1012" s="68"/>
      <c r="AW1012" s="68"/>
      <c r="AX1012" s="68"/>
      <c r="AY1012" s="213">
        <f>IF(A1064="Yes",0.05,0)</f>
        <v>0</v>
      </c>
    </row>
    <row r="1013" spans="1:51" ht="12.9" customHeight="1">
      <c r="A1013" s="14"/>
      <c r="B1013" s="73"/>
      <c r="C1013" s="74"/>
      <c r="D1013" s="1669" t="s">
        <v>1398</v>
      </c>
      <c r="E1013" s="1670"/>
      <c r="F1013" s="1670"/>
      <c r="G1013" s="1670"/>
      <c r="H1013" s="1670"/>
      <c r="I1013" s="1670"/>
      <c r="J1013" s="1670"/>
      <c r="K1013" s="1670"/>
      <c r="L1013" s="1670"/>
      <c r="M1013" s="1670"/>
      <c r="N1013" s="1670"/>
      <c r="O1013" s="1670"/>
      <c r="P1013" s="1670"/>
      <c r="Q1013" s="1670"/>
      <c r="R1013" s="1670"/>
      <c r="S1013" s="1670"/>
      <c r="T1013" s="1670"/>
      <c r="U1013" s="1670"/>
      <c r="V1013" s="1670"/>
      <c r="W1013" s="1670"/>
      <c r="X1013" s="1670"/>
      <c r="Y1013" s="1670"/>
      <c r="Z1013" s="1670"/>
      <c r="AA1013" s="1670"/>
      <c r="AB1013" s="1670"/>
      <c r="AC1013" s="1670"/>
      <c r="AD1013" s="1670"/>
      <c r="AE1013" s="1671"/>
      <c r="AF1013" s="1864" t="str">
        <f>IF(AND(AG1012="yes",AB212&lt;&gt;1),"The project may not be eligible for this boost","")</f>
        <v/>
      </c>
      <c r="AG1013" s="1865"/>
      <c r="AH1013" s="1865"/>
      <c r="AI1013" s="1866"/>
      <c r="AJ1013" s="1785"/>
      <c r="AK1013" s="1786"/>
      <c r="AL1013" s="1786"/>
      <c r="AM1013" s="1786"/>
      <c r="AN1013" s="1786"/>
      <c r="AO1013" s="1786"/>
      <c r="AP1013" s="1786"/>
      <c r="AQ1013" s="1787"/>
      <c r="AR1013" s="68"/>
      <c r="AS1013" s="68"/>
      <c r="AT1013" s="68"/>
      <c r="AU1013" s="68"/>
      <c r="AV1013" s="68"/>
      <c r="AW1013" s="68"/>
      <c r="AX1013" s="68"/>
      <c r="AY1013" s="213">
        <f>IF(A1070="Yes",0.02,0)</f>
        <v>0</v>
      </c>
    </row>
    <row r="1014" spans="1:51" ht="12.9" customHeight="1">
      <c r="A1014" s="14"/>
      <c r="B1014" s="75"/>
      <c r="C1014" s="76"/>
      <c r="D1014" s="1766"/>
      <c r="E1014" s="1767"/>
      <c r="F1014" s="1767"/>
      <c r="G1014" s="1767"/>
      <c r="H1014" s="1767"/>
      <c r="I1014" s="1767"/>
      <c r="J1014" s="1767"/>
      <c r="K1014" s="1767"/>
      <c r="L1014" s="1767"/>
      <c r="M1014" s="1767"/>
      <c r="N1014" s="1767"/>
      <c r="O1014" s="1767"/>
      <c r="P1014" s="1767"/>
      <c r="Q1014" s="1767"/>
      <c r="R1014" s="1767"/>
      <c r="S1014" s="1767"/>
      <c r="T1014" s="1767"/>
      <c r="U1014" s="1767"/>
      <c r="V1014" s="1767"/>
      <c r="W1014" s="1767"/>
      <c r="X1014" s="1767"/>
      <c r="Y1014" s="1767"/>
      <c r="Z1014" s="1767"/>
      <c r="AA1014" s="1767"/>
      <c r="AB1014" s="1767"/>
      <c r="AC1014" s="1767"/>
      <c r="AD1014" s="1767"/>
      <c r="AE1014" s="1768"/>
      <c r="AF1014" s="1867"/>
      <c r="AG1014" s="1868"/>
      <c r="AH1014" s="1868"/>
      <c r="AI1014" s="1869"/>
      <c r="AJ1014" s="1788"/>
      <c r="AK1014" s="1789"/>
      <c r="AL1014" s="1789"/>
      <c r="AM1014" s="1789"/>
      <c r="AN1014" s="1789"/>
      <c r="AO1014" s="1789"/>
      <c r="AP1014" s="1789"/>
      <c r="AQ1014" s="1790"/>
      <c r="AR1014" s="68"/>
      <c r="AS1014" s="68"/>
      <c r="AT1014" s="68"/>
      <c r="AU1014" s="68"/>
      <c r="AV1014" s="68"/>
      <c r="AW1014" s="68"/>
      <c r="AX1014" s="68"/>
      <c r="AY1014" s="213">
        <f>IF(A1076="Yes",0.04,0)</f>
        <v>0</v>
      </c>
    </row>
    <row r="1015" spans="1:51" ht="12.9" customHeight="1">
      <c r="A1015" s="14"/>
      <c r="B1015" s="79"/>
      <c r="C1015" s="80" t="s">
        <v>218</v>
      </c>
      <c r="D1015" s="1692" t="s">
        <v>1399</v>
      </c>
      <c r="E1015" s="1693"/>
      <c r="F1015" s="1693"/>
      <c r="G1015" s="1693"/>
      <c r="H1015" s="1693"/>
      <c r="I1015" s="1693"/>
      <c r="J1015" s="1693"/>
      <c r="K1015" s="1693"/>
      <c r="L1015" s="1693"/>
      <c r="M1015" s="1693"/>
      <c r="N1015" s="1693"/>
      <c r="O1015" s="1693"/>
      <c r="P1015" s="1693"/>
      <c r="Q1015" s="1693"/>
      <c r="R1015" s="1693"/>
      <c r="S1015" s="1693"/>
      <c r="T1015" s="1693"/>
      <c r="U1015" s="1693"/>
      <c r="V1015" s="1693"/>
      <c r="W1015" s="1693"/>
      <c r="X1015" s="1693"/>
      <c r="Y1015" s="1693"/>
      <c r="Z1015" s="1693"/>
      <c r="AA1015" s="1693"/>
      <c r="AB1015" s="1693"/>
      <c r="AC1015" s="1693"/>
      <c r="AD1015" s="1693"/>
      <c r="AE1015" s="1694"/>
      <c r="AF1015" s="79"/>
      <c r="AG1015" s="1678" t="s">
        <v>676</v>
      </c>
      <c r="AH1015" s="1679"/>
      <c r="AI1015" s="87"/>
      <c r="AJ1015" s="1782">
        <f>IF(AG1015="yes",AJ991*AY1010,0)</f>
        <v>0</v>
      </c>
      <c r="AK1015" s="1783"/>
      <c r="AL1015" s="1783"/>
      <c r="AM1015" s="1783"/>
      <c r="AN1015" s="1783"/>
      <c r="AO1015" s="1783"/>
      <c r="AP1015" s="1783"/>
      <c r="AQ1015" s="1784"/>
      <c r="AR1015" s="68"/>
      <c r="AS1015" s="68"/>
      <c r="AT1015" s="68"/>
      <c r="AU1015" s="68"/>
      <c r="AV1015" s="68"/>
      <c r="AW1015" s="68"/>
      <c r="AX1015" s="68"/>
      <c r="AY1015" s="213">
        <f>IF(A1083="Yes",0.04,0)</f>
        <v>0</v>
      </c>
    </row>
    <row r="1016" spans="1:51" ht="12.9" customHeight="1">
      <c r="A1016" s="14"/>
      <c r="B1016" s="73"/>
      <c r="C1016" s="74"/>
      <c r="D1016" s="1669" t="s">
        <v>1400</v>
      </c>
      <c r="E1016" s="1670"/>
      <c r="F1016" s="1670"/>
      <c r="G1016" s="1670"/>
      <c r="H1016" s="1670"/>
      <c r="I1016" s="1670"/>
      <c r="J1016" s="1670"/>
      <c r="K1016" s="1670"/>
      <c r="L1016" s="1670"/>
      <c r="M1016" s="1670"/>
      <c r="N1016" s="1670"/>
      <c r="O1016" s="1670"/>
      <c r="P1016" s="1670"/>
      <c r="Q1016" s="1670"/>
      <c r="R1016" s="1670"/>
      <c r="S1016" s="1670"/>
      <c r="T1016" s="1670"/>
      <c r="U1016" s="1670"/>
      <c r="V1016" s="1670"/>
      <c r="W1016" s="1670"/>
      <c r="X1016" s="1670"/>
      <c r="Y1016" s="1670"/>
      <c r="Z1016" s="1670"/>
      <c r="AA1016" s="1670"/>
      <c r="AB1016" s="1670"/>
      <c r="AC1016" s="1670"/>
      <c r="AD1016" s="1670"/>
      <c r="AE1016" s="1671"/>
      <c r="AF1016" s="1858" t="str">
        <f>IF(AND(AG1015="Yes",AY1010=0),AY1022,"")</f>
        <v/>
      </c>
      <c r="AG1016" s="1859"/>
      <c r="AH1016" s="1859"/>
      <c r="AI1016" s="1860"/>
      <c r="AJ1016" s="1785"/>
      <c r="AK1016" s="1786"/>
      <c r="AL1016" s="1786"/>
      <c r="AM1016" s="1786"/>
      <c r="AN1016" s="1786"/>
      <c r="AO1016" s="1786"/>
      <c r="AP1016" s="1786"/>
      <c r="AQ1016" s="1787"/>
      <c r="AR1016" s="68"/>
      <c r="AS1016" s="68"/>
      <c r="AT1016" s="68"/>
      <c r="AU1016" s="68"/>
      <c r="AV1016" s="68"/>
      <c r="AW1016" s="68"/>
      <c r="AX1016" s="68"/>
      <c r="AY1016" s="213">
        <f>IF(A1086="Yes",0.01,0)</f>
        <v>0</v>
      </c>
    </row>
    <row r="1017" spans="1:51" ht="12.9" customHeight="1">
      <c r="A1017" s="14"/>
      <c r="B1017" s="73"/>
      <c r="C1017" s="74"/>
      <c r="D1017" s="1669"/>
      <c r="E1017" s="1670"/>
      <c r="F1017" s="1670"/>
      <c r="G1017" s="1670"/>
      <c r="H1017" s="1670"/>
      <c r="I1017" s="1670"/>
      <c r="J1017" s="1670"/>
      <c r="K1017" s="1670"/>
      <c r="L1017" s="1670"/>
      <c r="M1017" s="1670"/>
      <c r="N1017" s="1670"/>
      <c r="O1017" s="1670"/>
      <c r="P1017" s="1670"/>
      <c r="Q1017" s="1670"/>
      <c r="R1017" s="1670"/>
      <c r="S1017" s="1670"/>
      <c r="T1017" s="1670"/>
      <c r="U1017" s="1670"/>
      <c r="V1017" s="1670"/>
      <c r="W1017" s="1670"/>
      <c r="X1017" s="1670"/>
      <c r="Y1017" s="1670"/>
      <c r="Z1017" s="1670"/>
      <c r="AA1017" s="1670"/>
      <c r="AB1017" s="1670"/>
      <c r="AC1017" s="1670"/>
      <c r="AD1017" s="1670"/>
      <c r="AE1017" s="1671"/>
      <c r="AF1017" s="1858"/>
      <c r="AG1017" s="1859"/>
      <c r="AH1017" s="1859"/>
      <c r="AI1017" s="1860"/>
      <c r="AJ1017" s="1785"/>
      <c r="AK1017" s="1786"/>
      <c r="AL1017" s="1786"/>
      <c r="AM1017" s="1786"/>
      <c r="AN1017" s="1786"/>
      <c r="AO1017" s="1786"/>
      <c r="AP1017" s="1786"/>
      <c r="AQ1017" s="1787"/>
      <c r="AR1017" s="68"/>
      <c r="AS1017" s="68"/>
      <c r="AT1017" s="68"/>
      <c r="AU1017" s="68"/>
      <c r="AV1017" s="68"/>
      <c r="AW1017" s="68"/>
      <c r="AX1017" s="68"/>
      <c r="AY1017" s="213">
        <f>IF(A1091="Yes",0.01,0)</f>
        <v>0</v>
      </c>
    </row>
    <row r="1018" spans="1:51" ht="12.9" customHeight="1">
      <c r="A1018" s="14"/>
      <c r="B1018" s="81"/>
      <c r="C1018" s="82"/>
      <c r="D1018" s="1766"/>
      <c r="E1018" s="1767"/>
      <c r="F1018" s="1767"/>
      <c r="G1018" s="1767"/>
      <c r="H1018" s="1767"/>
      <c r="I1018" s="1767"/>
      <c r="J1018" s="1767"/>
      <c r="K1018" s="1767"/>
      <c r="L1018" s="1767"/>
      <c r="M1018" s="1767"/>
      <c r="N1018" s="1767"/>
      <c r="O1018" s="1767"/>
      <c r="P1018" s="1767"/>
      <c r="Q1018" s="1767"/>
      <c r="R1018" s="1767"/>
      <c r="S1018" s="1767"/>
      <c r="T1018" s="1767"/>
      <c r="U1018" s="1767"/>
      <c r="V1018" s="1767"/>
      <c r="W1018" s="1767"/>
      <c r="X1018" s="1767"/>
      <c r="Y1018" s="1767"/>
      <c r="Z1018" s="1767"/>
      <c r="AA1018" s="1767"/>
      <c r="AB1018" s="1767"/>
      <c r="AC1018" s="1767"/>
      <c r="AD1018" s="1767"/>
      <c r="AE1018" s="1768"/>
      <c r="AF1018" s="1861"/>
      <c r="AG1018" s="1862"/>
      <c r="AH1018" s="1862"/>
      <c r="AI1018" s="1863"/>
      <c r="AJ1018" s="1788"/>
      <c r="AK1018" s="1789"/>
      <c r="AL1018" s="1789"/>
      <c r="AM1018" s="1789"/>
      <c r="AN1018" s="1789"/>
      <c r="AO1018" s="1789"/>
      <c r="AP1018" s="1789"/>
      <c r="AQ1018" s="1790"/>
      <c r="AR1018" s="68"/>
      <c r="AS1018" s="68"/>
      <c r="AT1018" s="68"/>
      <c r="AU1018" s="68"/>
      <c r="AV1018" s="68"/>
      <c r="AW1018" s="68"/>
      <c r="AX1018" s="68"/>
      <c r="AY1018" s="213">
        <f>IF(A1094="Yes",0.01,0)</f>
        <v>0</v>
      </c>
    </row>
    <row r="1019" spans="1:51" ht="12.9" customHeight="1">
      <c r="A1019" s="14"/>
      <c r="B1019" s="79"/>
      <c r="C1019" s="80" t="s">
        <v>223</v>
      </c>
      <c r="D1019" s="1801" t="s">
        <v>1401</v>
      </c>
      <c r="E1019" s="1802"/>
      <c r="F1019" s="1802"/>
      <c r="G1019" s="1802"/>
      <c r="H1019" s="1802"/>
      <c r="I1019" s="1802"/>
      <c r="J1019" s="1802"/>
      <c r="K1019" s="1802"/>
      <c r="L1019" s="1802"/>
      <c r="M1019" s="1802"/>
      <c r="N1019" s="1802"/>
      <c r="O1019" s="1802"/>
      <c r="P1019" s="1802"/>
      <c r="Q1019" s="1802"/>
      <c r="R1019" s="1802"/>
      <c r="S1019" s="1802"/>
      <c r="T1019" s="1802"/>
      <c r="U1019" s="1802"/>
      <c r="V1019" s="1802"/>
      <c r="W1019" s="1802"/>
      <c r="X1019" s="1802"/>
      <c r="Y1019" s="1802"/>
      <c r="Z1019" s="1802"/>
      <c r="AA1019" s="1802"/>
      <c r="AB1019" s="1802"/>
      <c r="AC1019" s="1802"/>
      <c r="AD1019" s="1802"/>
      <c r="AE1019" s="1803"/>
      <c r="AF1019" s="79"/>
      <c r="AG1019" s="1678" t="s">
        <v>676</v>
      </c>
      <c r="AH1019" s="1679"/>
      <c r="AI1019" s="87"/>
      <c r="AJ1019" s="1782">
        <f>ROUND(IF(AND(AG1019="Yes",J1023&lt;&gt;"N/A",AF1022&lt;&gt;""),MIN(AF1022,(0.15*AJ991)),0),0)</f>
        <v>0</v>
      </c>
      <c r="AK1019" s="1783"/>
      <c r="AL1019" s="1783"/>
      <c r="AM1019" s="1783"/>
      <c r="AN1019" s="1783"/>
      <c r="AO1019" s="1783"/>
      <c r="AP1019" s="1783"/>
      <c r="AQ1019" s="1784"/>
      <c r="AR1019" s="68"/>
      <c r="AS1019" s="68"/>
      <c r="AT1019" s="68"/>
      <c r="AU1019" s="68"/>
      <c r="AV1019" s="68"/>
      <c r="AW1019" s="68"/>
      <c r="AX1019" s="68"/>
      <c r="AY1019" s="213">
        <f>IF(A1098="Yes",0.02,0)</f>
        <v>0</v>
      </c>
    </row>
    <row r="1020" spans="1:51" ht="12.9" customHeight="1">
      <c r="A1020" s="14"/>
      <c r="B1020" s="81"/>
      <c r="C1020" s="84"/>
      <c r="D1020" s="1804"/>
      <c r="E1020" s="1805"/>
      <c r="F1020" s="1805"/>
      <c r="G1020" s="1805"/>
      <c r="H1020" s="1805"/>
      <c r="I1020" s="1805"/>
      <c r="J1020" s="1805"/>
      <c r="K1020" s="1805"/>
      <c r="L1020" s="1805"/>
      <c r="M1020" s="1805"/>
      <c r="N1020" s="1805"/>
      <c r="O1020" s="1805"/>
      <c r="P1020" s="1805"/>
      <c r="Q1020" s="1805"/>
      <c r="R1020" s="1805"/>
      <c r="S1020" s="1805"/>
      <c r="T1020" s="1805"/>
      <c r="U1020" s="1805"/>
      <c r="V1020" s="1805"/>
      <c r="W1020" s="1805"/>
      <c r="X1020" s="1805"/>
      <c r="Y1020" s="1805"/>
      <c r="Z1020" s="1805"/>
      <c r="AA1020" s="1805"/>
      <c r="AB1020" s="1805"/>
      <c r="AC1020" s="1805"/>
      <c r="AD1020" s="1805"/>
      <c r="AE1020" s="1806"/>
      <c r="AF1020" s="1821" t="str">
        <f>IF(AG1019="yes","Please Select Type and Enter Amount:","")</f>
        <v/>
      </c>
      <c r="AG1020" s="1822"/>
      <c r="AH1020" s="1822"/>
      <c r="AI1020" s="1823"/>
      <c r="AJ1020" s="1785"/>
      <c r="AK1020" s="1786"/>
      <c r="AL1020" s="1786"/>
      <c r="AM1020" s="1786"/>
      <c r="AN1020" s="1786"/>
      <c r="AO1020" s="1786"/>
      <c r="AP1020" s="1786"/>
      <c r="AQ1020" s="1787"/>
      <c r="AR1020" s="68"/>
      <c r="AS1020" s="68"/>
      <c r="AT1020" s="68"/>
      <c r="AU1020" s="68"/>
      <c r="AV1020" s="68"/>
      <c r="AW1020" s="68"/>
      <c r="AX1020" s="68"/>
      <c r="AY1020" s="214">
        <f>IF(A1103="Yes",0.02,0)</f>
        <v>0</v>
      </c>
    </row>
    <row r="1021" spans="1:51" ht="12.9" customHeight="1">
      <c r="A1021" s="14"/>
      <c r="B1021" s="81"/>
      <c r="C1021" s="84"/>
      <c r="D1021" s="1669" t="s">
        <v>1402</v>
      </c>
      <c r="E1021" s="1670"/>
      <c r="F1021" s="1670"/>
      <c r="G1021" s="1670"/>
      <c r="H1021" s="1670"/>
      <c r="I1021" s="1670"/>
      <c r="J1021" s="1670"/>
      <c r="K1021" s="1670"/>
      <c r="L1021" s="1670"/>
      <c r="M1021" s="1670"/>
      <c r="N1021" s="1670"/>
      <c r="O1021" s="1670"/>
      <c r="P1021" s="1670"/>
      <c r="Q1021" s="1670"/>
      <c r="R1021" s="1670"/>
      <c r="S1021" s="1670"/>
      <c r="T1021" s="1670"/>
      <c r="U1021" s="1670"/>
      <c r="V1021" s="1670"/>
      <c r="W1021" s="1670"/>
      <c r="X1021" s="1670"/>
      <c r="Y1021" s="1670"/>
      <c r="Z1021" s="1670"/>
      <c r="AA1021" s="1670"/>
      <c r="AB1021" s="1670"/>
      <c r="AC1021" s="1670"/>
      <c r="AD1021" s="1670"/>
      <c r="AE1021" s="1671"/>
      <c r="AF1021" s="1821"/>
      <c r="AG1021" s="1822"/>
      <c r="AH1021" s="1822"/>
      <c r="AI1021" s="1823"/>
      <c r="AJ1021" s="1785"/>
      <c r="AK1021" s="1786"/>
      <c r="AL1021" s="1786"/>
      <c r="AM1021" s="1786"/>
      <c r="AN1021" s="1786"/>
      <c r="AO1021" s="1786"/>
      <c r="AP1021" s="1786"/>
      <c r="AQ1021" s="1787"/>
      <c r="AR1021" s="68"/>
      <c r="AS1021" s="68"/>
      <c r="AT1021" s="68"/>
      <c r="AU1021" s="68"/>
      <c r="AV1021" s="68"/>
      <c r="AW1021" s="68"/>
      <c r="AX1021" s="68"/>
      <c r="AY1021" s="68"/>
    </row>
    <row r="1022" spans="1:51" ht="12.9" customHeight="1">
      <c r="A1022" s="14"/>
      <c r="B1022" s="81"/>
      <c r="C1022" s="84"/>
      <c r="D1022" s="1669"/>
      <c r="E1022" s="1670"/>
      <c r="F1022" s="1670"/>
      <c r="G1022" s="1670"/>
      <c r="H1022" s="1670"/>
      <c r="I1022" s="1670"/>
      <c r="J1022" s="1670"/>
      <c r="K1022" s="1670"/>
      <c r="L1022" s="1670"/>
      <c r="M1022" s="1670"/>
      <c r="N1022" s="1670"/>
      <c r="O1022" s="1670"/>
      <c r="P1022" s="1670"/>
      <c r="Q1022" s="1670"/>
      <c r="R1022" s="1670"/>
      <c r="S1022" s="1670"/>
      <c r="T1022" s="1670"/>
      <c r="U1022" s="1670"/>
      <c r="V1022" s="1670"/>
      <c r="W1022" s="1670"/>
      <c r="X1022" s="1670"/>
      <c r="Y1022" s="1670"/>
      <c r="Z1022" s="1670"/>
      <c r="AA1022" s="1670"/>
      <c r="AB1022" s="1670"/>
      <c r="AC1022" s="1670"/>
      <c r="AD1022" s="1670"/>
      <c r="AE1022" s="1671"/>
      <c r="AF1022" s="1769"/>
      <c r="AG1022" s="1769"/>
      <c r="AH1022" s="1769"/>
      <c r="AI1022" s="1769"/>
      <c r="AJ1022" s="1785"/>
      <c r="AK1022" s="1786"/>
      <c r="AL1022" s="1786"/>
      <c r="AM1022" s="1786"/>
      <c r="AN1022" s="1786"/>
      <c r="AO1022" s="1786"/>
      <c r="AP1022" s="1786"/>
      <c r="AQ1022" s="1787"/>
      <c r="AR1022" s="68"/>
      <c r="AS1022" s="68"/>
      <c r="AT1022" s="68"/>
      <c r="AU1022" s="68"/>
      <c r="AV1022" s="68"/>
      <c r="AW1022" s="68"/>
      <c r="AX1022" s="68"/>
      <c r="AY1022" s="68" t="str">
        <f>"Select items beginning on row #"&amp;TEXT(ROW(A1060),"#")&amp;" to claim this boost"</f>
        <v>Select items beginning on row #1060 to claim this boost</v>
      </c>
    </row>
    <row r="1023" spans="1:51" ht="12.9" customHeight="1">
      <c r="A1023" s="14"/>
      <c r="B1023" s="81"/>
      <c r="C1023" s="84"/>
      <c r="D1023" s="560" t="s">
        <v>359</v>
      </c>
      <c r="E1023" s="90"/>
      <c r="F1023" s="90"/>
      <c r="G1023" s="104"/>
      <c r="H1023" s="104"/>
      <c r="I1023" s="49"/>
      <c r="J1023" s="1813" t="s">
        <v>598</v>
      </c>
      <c r="K1023" s="1814"/>
      <c r="L1023" s="1814"/>
      <c r="M1023" s="1814"/>
      <c r="N1023" s="1814"/>
      <c r="O1023" s="1814"/>
      <c r="P1023" s="1814"/>
      <c r="Q1023" s="1814"/>
      <c r="R1023" s="1814"/>
      <c r="S1023" s="1814"/>
      <c r="T1023" s="1814"/>
      <c r="U1023" s="1814"/>
      <c r="V1023" s="1814"/>
      <c r="W1023" s="1814"/>
      <c r="X1023" s="1814"/>
      <c r="Y1023" s="1814"/>
      <c r="Z1023" s="1814"/>
      <c r="AA1023" s="1814"/>
      <c r="AB1023" s="1814"/>
      <c r="AC1023" s="1814"/>
      <c r="AD1023" s="1814"/>
      <c r="AE1023" s="1815"/>
      <c r="AF1023" s="1769"/>
      <c r="AG1023" s="1769"/>
      <c r="AH1023" s="1769"/>
      <c r="AI1023" s="1769"/>
      <c r="AJ1023" s="1788"/>
      <c r="AK1023" s="1789"/>
      <c r="AL1023" s="1789"/>
      <c r="AM1023" s="1789"/>
      <c r="AN1023" s="1789"/>
      <c r="AO1023" s="1789"/>
      <c r="AP1023" s="1789"/>
      <c r="AQ1023" s="1790"/>
      <c r="AR1023" s="68"/>
      <c r="AS1023" s="68"/>
      <c r="AT1023" s="68"/>
      <c r="AU1023" s="68"/>
      <c r="AV1023" s="68"/>
      <c r="AW1023" s="68"/>
      <c r="AX1023" s="68"/>
      <c r="AY1023" s="68"/>
    </row>
    <row r="1024" spans="1:51" ht="12.9" customHeight="1">
      <c r="A1024" s="14"/>
      <c r="B1024" s="79"/>
      <c r="C1024" s="80" t="s">
        <v>229</v>
      </c>
      <c r="D1024" s="1666" t="s">
        <v>1403</v>
      </c>
      <c r="E1024" s="1667"/>
      <c r="F1024" s="1667"/>
      <c r="G1024" s="1667"/>
      <c r="H1024" s="1667"/>
      <c r="I1024" s="1667"/>
      <c r="J1024" s="1667"/>
      <c r="K1024" s="1667"/>
      <c r="L1024" s="1667"/>
      <c r="M1024" s="1667"/>
      <c r="N1024" s="1667"/>
      <c r="O1024" s="1667"/>
      <c r="P1024" s="1667"/>
      <c r="Q1024" s="1667"/>
      <c r="R1024" s="1667"/>
      <c r="S1024" s="1667"/>
      <c r="T1024" s="1667"/>
      <c r="U1024" s="1667"/>
      <c r="V1024" s="1667"/>
      <c r="W1024" s="1667"/>
      <c r="X1024" s="1667"/>
      <c r="Y1024" s="1667"/>
      <c r="Z1024" s="1667"/>
      <c r="AA1024" s="1667"/>
      <c r="AB1024" s="1667"/>
      <c r="AC1024" s="1667"/>
      <c r="AD1024" s="1667"/>
      <c r="AE1024" s="1668"/>
      <c r="AF1024" s="79"/>
      <c r="AG1024" s="1678" t="s">
        <v>676</v>
      </c>
      <c r="AH1024" s="1679"/>
      <c r="AI1024" s="87"/>
      <c r="AJ1024" s="1782">
        <f>ROUND(IF(AG1024="Yes",AF1026,0),0)</f>
        <v>0</v>
      </c>
      <c r="AK1024" s="1783"/>
      <c r="AL1024" s="1783"/>
      <c r="AM1024" s="1783"/>
      <c r="AN1024" s="1783"/>
      <c r="AO1024" s="1783"/>
      <c r="AP1024" s="1783"/>
      <c r="AQ1024" s="1784"/>
      <c r="AR1024" s="68"/>
      <c r="AS1024" s="68"/>
      <c r="AT1024" s="68"/>
      <c r="AU1024" s="68"/>
      <c r="AV1024" s="68"/>
      <c r="AW1024" s="68"/>
      <c r="AX1024" s="68"/>
      <c r="AY1024" s="68"/>
    </row>
    <row r="1025" spans="1:51" ht="12.9" customHeight="1">
      <c r="A1025" s="14"/>
      <c r="B1025" s="73"/>
      <c r="C1025" s="74"/>
      <c r="D1025" s="1669" t="s">
        <v>1878</v>
      </c>
      <c r="E1025" s="1670"/>
      <c r="F1025" s="1670"/>
      <c r="G1025" s="1670"/>
      <c r="H1025" s="1670"/>
      <c r="I1025" s="1670"/>
      <c r="J1025" s="1670"/>
      <c r="K1025" s="1670"/>
      <c r="L1025" s="1670"/>
      <c r="M1025" s="1670"/>
      <c r="N1025" s="1670"/>
      <c r="O1025" s="1670"/>
      <c r="P1025" s="1670"/>
      <c r="Q1025" s="1670"/>
      <c r="R1025" s="1670"/>
      <c r="S1025" s="1670"/>
      <c r="T1025" s="1670"/>
      <c r="U1025" s="1670"/>
      <c r="V1025" s="1670"/>
      <c r="W1025" s="1670"/>
      <c r="X1025" s="1670"/>
      <c r="Y1025" s="1670"/>
      <c r="Z1025" s="1670"/>
      <c r="AA1025" s="1670"/>
      <c r="AB1025" s="1670"/>
      <c r="AC1025" s="1670"/>
      <c r="AD1025" s="1670"/>
      <c r="AE1025" s="1671"/>
      <c r="AF1025" s="1807" t="str">
        <f>IF(AG1024="yes","Enter Amount:","")</f>
        <v/>
      </c>
      <c r="AG1025" s="1808"/>
      <c r="AH1025" s="1808"/>
      <c r="AI1025" s="1809"/>
      <c r="AJ1025" s="1785"/>
      <c r="AK1025" s="1786"/>
      <c r="AL1025" s="1786"/>
      <c r="AM1025" s="1786"/>
      <c r="AN1025" s="1786"/>
      <c r="AO1025" s="1786"/>
      <c r="AP1025" s="1786"/>
      <c r="AQ1025" s="1787"/>
      <c r="AR1025" s="68"/>
      <c r="AS1025" s="68"/>
      <c r="AT1025" s="68"/>
      <c r="AU1025" s="68"/>
      <c r="AV1025" s="68"/>
      <c r="AW1025" s="68"/>
      <c r="AX1025" s="68"/>
      <c r="AY1025" s="68"/>
    </row>
    <row r="1026" spans="1:51" ht="12.9" customHeight="1">
      <c r="A1026" s="14"/>
      <c r="B1026" s="73"/>
      <c r="C1026" s="74"/>
      <c r="D1026" s="1669"/>
      <c r="E1026" s="1670"/>
      <c r="F1026" s="1670"/>
      <c r="G1026" s="1670"/>
      <c r="H1026" s="1670"/>
      <c r="I1026" s="1670"/>
      <c r="J1026" s="1670"/>
      <c r="K1026" s="1670"/>
      <c r="L1026" s="1670"/>
      <c r="M1026" s="1670"/>
      <c r="N1026" s="1670"/>
      <c r="O1026" s="1670"/>
      <c r="P1026" s="1670"/>
      <c r="Q1026" s="1670"/>
      <c r="R1026" s="1670"/>
      <c r="S1026" s="1670"/>
      <c r="T1026" s="1670"/>
      <c r="U1026" s="1670"/>
      <c r="V1026" s="1670"/>
      <c r="W1026" s="1670"/>
      <c r="X1026" s="1670"/>
      <c r="Y1026" s="1670"/>
      <c r="Z1026" s="1670"/>
      <c r="AA1026" s="1670"/>
      <c r="AB1026" s="1670"/>
      <c r="AC1026" s="1670"/>
      <c r="AD1026" s="1670"/>
      <c r="AE1026" s="1671"/>
      <c r="AF1026" s="1769"/>
      <c r="AG1026" s="1769"/>
      <c r="AH1026" s="1769"/>
      <c r="AI1026" s="1769"/>
      <c r="AJ1026" s="1785"/>
      <c r="AK1026" s="1786"/>
      <c r="AL1026" s="1786"/>
      <c r="AM1026" s="1786"/>
      <c r="AN1026" s="1786"/>
      <c r="AO1026" s="1786"/>
      <c r="AP1026" s="1786"/>
      <c r="AQ1026" s="1787"/>
      <c r="AR1026" s="68"/>
      <c r="AS1026" s="68"/>
      <c r="AT1026" s="68"/>
      <c r="AU1026" s="68"/>
      <c r="AV1026" s="68"/>
      <c r="AW1026" s="68"/>
      <c r="AX1026" s="68"/>
      <c r="AY1026" s="68"/>
    </row>
    <row r="1027" spans="1:51" ht="12.9" customHeight="1">
      <c r="A1027" s="14"/>
      <c r="B1027" s="85"/>
      <c r="C1027" s="84"/>
      <c r="D1027" s="1766"/>
      <c r="E1027" s="1767"/>
      <c r="F1027" s="1767"/>
      <c r="G1027" s="1767"/>
      <c r="H1027" s="1767"/>
      <c r="I1027" s="1767"/>
      <c r="J1027" s="1767"/>
      <c r="K1027" s="1767"/>
      <c r="L1027" s="1767"/>
      <c r="M1027" s="1767"/>
      <c r="N1027" s="1767"/>
      <c r="O1027" s="1767"/>
      <c r="P1027" s="1767"/>
      <c r="Q1027" s="1767"/>
      <c r="R1027" s="1767"/>
      <c r="S1027" s="1767"/>
      <c r="T1027" s="1767"/>
      <c r="U1027" s="1767"/>
      <c r="V1027" s="1767"/>
      <c r="W1027" s="1767"/>
      <c r="X1027" s="1767"/>
      <c r="Y1027" s="1767"/>
      <c r="Z1027" s="1767"/>
      <c r="AA1027" s="1767"/>
      <c r="AB1027" s="1767"/>
      <c r="AC1027" s="1767"/>
      <c r="AD1027" s="1767"/>
      <c r="AE1027" s="1768"/>
      <c r="AF1027" s="1769"/>
      <c r="AG1027" s="1769"/>
      <c r="AH1027" s="1769"/>
      <c r="AI1027" s="1769"/>
      <c r="AJ1027" s="1788"/>
      <c r="AK1027" s="1789"/>
      <c r="AL1027" s="1789"/>
      <c r="AM1027" s="1789"/>
      <c r="AN1027" s="1789"/>
      <c r="AO1027" s="1789"/>
      <c r="AP1027" s="1789"/>
      <c r="AQ1027" s="1790"/>
      <c r="AR1027" s="68"/>
      <c r="AS1027" s="68"/>
      <c r="AT1027" s="68"/>
      <c r="AU1027" s="68"/>
      <c r="AV1027" s="68"/>
      <c r="AW1027" s="68"/>
      <c r="AX1027" s="68"/>
      <c r="AY1027" s="68"/>
    </row>
    <row r="1028" spans="1:51" ht="12.9" customHeight="1">
      <c r="A1028" s="14"/>
      <c r="B1028" s="79"/>
      <c r="C1028" s="80" t="s">
        <v>234</v>
      </c>
      <c r="D1028" s="1692" t="s">
        <v>1404</v>
      </c>
      <c r="E1028" s="1693"/>
      <c r="F1028" s="1693"/>
      <c r="G1028" s="1693"/>
      <c r="H1028" s="1693"/>
      <c r="I1028" s="1693"/>
      <c r="J1028" s="1693"/>
      <c r="K1028" s="1693"/>
      <c r="L1028" s="1693"/>
      <c r="M1028" s="1693"/>
      <c r="N1028" s="1693"/>
      <c r="O1028" s="1693"/>
      <c r="P1028" s="1693"/>
      <c r="Q1028" s="1693"/>
      <c r="R1028" s="1693"/>
      <c r="S1028" s="1693"/>
      <c r="T1028" s="1693"/>
      <c r="U1028" s="1693"/>
      <c r="V1028" s="1693"/>
      <c r="W1028" s="1693"/>
      <c r="X1028" s="1693"/>
      <c r="Y1028" s="1693"/>
      <c r="Z1028" s="1693"/>
      <c r="AA1028" s="1693"/>
      <c r="AB1028" s="1693"/>
      <c r="AC1028" s="1693"/>
      <c r="AD1028" s="1693"/>
      <c r="AE1028" s="1694"/>
      <c r="AF1028" s="79"/>
      <c r="AG1028" s="1678" t="s">
        <v>552</v>
      </c>
      <c r="AH1028" s="1679"/>
      <c r="AI1028" s="87"/>
      <c r="AJ1028" s="1782">
        <f>ROUND(IF(AG1028="yes",(AJ991*0.1),0),0)</f>
        <v>29310763</v>
      </c>
      <c r="AK1028" s="1783"/>
      <c r="AL1028" s="1783"/>
      <c r="AM1028" s="1783"/>
      <c r="AN1028" s="1783"/>
      <c r="AO1028" s="1783"/>
      <c r="AP1028" s="1783"/>
      <c r="AQ1028" s="1784"/>
      <c r="AR1028" s="68"/>
      <c r="AS1028" s="68"/>
      <c r="AT1028" s="68"/>
      <c r="AU1028" s="68"/>
      <c r="AV1028" s="68"/>
      <c r="AW1028" s="68"/>
      <c r="AX1028" s="68"/>
      <c r="AY1028" s="68"/>
    </row>
    <row r="1029" spans="1:51" ht="12.9" customHeight="1">
      <c r="A1029" s="14"/>
      <c r="B1029" s="73"/>
      <c r="C1029" s="74"/>
      <c r="D1029" s="1669" t="s">
        <v>1405</v>
      </c>
      <c r="E1029" s="1670"/>
      <c r="F1029" s="1670"/>
      <c r="G1029" s="1670"/>
      <c r="H1029" s="1670"/>
      <c r="I1029" s="1670"/>
      <c r="J1029" s="1670"/>
      <c r="K1029" s="1670"/>
      <c r="L1029" s="1670"/>
      <c r="M1029" s="1670"/>
      <c r="N1029" s="1670"/>
      <c r="O1029" s="1670"/>
      <c r="P1029" s="1670"/>
      <c r="Q1029" s="1670"/>
      <c r="R1029" s="1670"/>
      <c r="S1029" s="1670"/>
      <c r="T1029" s="1670"/>
      <c r="U1029" s="1670"/>
      <c r="V1029" s="1670"/>
      <c r="W1029" s="1670"/>
      <c r="X1029" s="1670"/>
      <c r="Y1029" s="1670"/>
      <c r="Z1029" s="1670"/>
      <c r="AA1029" s="1670"/>
      <c r="AB1029" s="1670"/>
      <c r="AC1029" s="1670"/>
      <c r="AD1029" s="1670"/>
      <c r="AE1029" s="1671"/>
      <c r="AF1029" s="73"/>
      <c r="AG1029" s="14"/>
      <c r="AH1029" s="14"/>
      <c r="AI1029" s="83"/>
      <c r="AJ1029" s="1785"/>
      <c r="AK1029" s="1786"/>
      <c r="AL1029" s="1786"/>
      <c r="AM1029" s="1786"/>
      <c r="AN1029" s="1786"/>
      <c r="AO1029" s="1786"/>
      <c r="AP1029" s="1786"/>
      <c r="AQ1029" s="1787"/>
      <c r="AR1029" s="68"/>
      <c r="AS1029" s="68"/>
      <c r="AT1029" s="68"/>
      <c r="AU1029" s="68"/>
      <c r="AV1029" s="68"/>
      <c r="AW1029" s="68"/>
      <c r="AX1029" s="68"/>
      <c r="AY1029" s="68"/>
    </row>
    <row r="1030" spans="1:51" ht="12.9" customHeight="1">
      <c r="A1030" s="14"/>
      <c r="B1030" s="77"/>
      <c r="C1030" s="74"/>
      <c r="D1030" s="1766"/>
      <c r="E1030" s="1767"/>
      <c r="F1030" s="1767"/>
      <c r="G1030" s="1767"/>
      <c r="H1030" s="1767"/>
      <c r="I1030" s="1767"/>
      <c r="J1030" s="1767"/>
      <c r="K1030" s="1767"/>
      <c r="L1030" s="1767"/>
      <c r="M1030" s="1767"/>
      <c r="N1030" s="1767"/>
      <c r="O1030" s="1767"/>
      <c r="P1030" s="1767"/>
      <c r="Q1030" s="1767"/>
      <c r="R1030" s="1767"/>
      <c r="S1030" s="1767"/>
      <c r="T1030" s="1767"/>
      <c r="U1030" s="1767"/>
      <c r="V1030" s="1767"/>
      <c r="W1030" s="1767"/>
      <c r="X1030" s="1767"/>
      <c r="Y1030" s="1767"/>
      <c r="Z1030" s="1767"/>
      <c r="AA1030" s="1767"/>
      <c r="AB1030" s="1767"/>
      <c r="AC1030" s="1767"/>
      <c r="AD1030" s="1767"/>
      <c r="AE1030" s="1768"/>
      <c r="AF1030" s="73"/>
      <c r="AG1030" s="14"/>
      <c r="AH1030" s="14"/>
      <c r="AI1030" s="83"/>
      <c r="AJ1030" s="1788"/>
      <c r="AK1030" s="1789"/>
      <c r="AL1030" s="1789"/>
      <c r="AM1030" s="1789"/>
      <c r="AN1030" s="1789"/>
      <c r="AO1030" s="1789"/>
      <c r="AP1030" s="1789"/>
      <c r="AQ1030" s="1790"/>
      <c r="AR1030" s="68"/>
      <c r="AS1030" s="68"/>
      <c r="AT1030" s="68"/>
      <c r="AU1030" s="68"/>
      <c r="AV1030" s="68"/>
      <c r="AW1030" s="68"/>
      <c r="AX1030" s="68"/>
      <c r="AY1030" s="68"/>
    </row>
    <row r="1031" spans="1:51" ht="12.9" customHeight="1">
      <c r="A1031" s="14"/>
      <c r="B1031" s="73"/>
      <c r="C1031" s="367" t="s">
        <v>695</v>
      </c>
      <c r="D1031" s="1666" t="s">
        <v>1874</v>
      </c>
      <c r="E1031" s="1667"/>
      <c r="F1031" s="1667"/>
      <c r="G1031" s="1667"/>
      <c r="H1031" s="1667"/>
      <c r="I1031" s="1667"/>
      <c r="J1031" s="1667"/>
      <c r="K1031" s="1667"/>
      <c r="L1031" s="1667"/>
      <c r="M1031" s="1667"/>
      <c r="N1031" s="1667"/>
      <c r="O1031" s="1667"/>
      <c r="P1031" s="1667"/>
      <c r="Q1031" s="1667"/>
      <c r="R1031" s="1667"/>
      <c r="S1031" s="1667"/>
      <c r="T1031" s="1667"/>
      <c r="U1031" s="1667"/>
      <c r="V1031" s="1667"/>
      <c r="W1031" s="1667"/>
      <c r="X1031" s="1667"/>
      <c r="Y1031" s="1667"/>
      <c r="Z1031" s="1667"/>
      <c r="AA1031" s="1667"/>
      <c r="AB1031" s="1667"/>
      <c r="AC1031" s="1667"/>
      <c r="AD1031" s="1667"/>
      <c r="AE1031" s="1668"/>
      <c r="AF1031" s="79"/>
      <c r="AG1031" s="1678" t="s">
        <v>552</v>
      </c>
      <c r="AH1031" s="1679"/>
      <c r="AI1031" s="87"/>
      <c r="AJ1031" s="1782">
        <f>ROUND(IF(AG1031="yes",(AJ991*0.15),0),0)</f>
        <v>43966144</v>
      </c>
      <c r="AK1031" s="1783"/>
      <c r="AL1031" s="1783"/>
      <c r="AM1031" s="1783"/>
      <c r="AN1031" s="1783"/>
      <c r="AO1031" s="1783"/>
      <c r="AP1031" s="1783"/>
      <c r="AQ1031" s="1784"/>
      <c r="AR1031" s="68"/>
      <c r="AS1031" s="68"/>
      <c r="AT1031" s="68"/>
      <c r="AU1031" s="68"/>
      <c r="AV1031" s="68"/>
      <c r="AW1031" s="68"/>
      <c r="AX1031" s="68"/>
      <c r="AY1031" s="68"/>
    </row>
    <row r="1032" spans="1:51" ht="12.9" customHeight="1">
      <c r="A1032" s="14"/>
      <c r="B1032" s="73"/>
      <c r="C1032" s="74"/>
      <c r="D1032" s="1794" t="s">
        <v>1875</v>
      </c>
      <c r="E1032" s="1271"/>
      <c r="F1032" s="1271"/>
      <c r="G1032" s="1271"/>
      <c r="H1032" s="1271"/>
      <c r="I1032" s="1271"/>
      <c r="J1032" s="1271"/>
      <c r="K1032" s="1271"/>
      <c r="L1032" s="1271"/>
      <c r="M1032" s="1271"/>
      <c r="N1032" s="1271"/>
      <c r="O1032" s="1271"/>
      <c r="P1032" s="1271"/>
      <c r="Q1032" s="1271"/>
      <c r="R1032" s="1271"/>
      <c r="S1032" s="1271"/>
      <c r="T1032" s="1271"/>
      <c r="U1032" s="1271"/>
      <c r="V1032" s="1271"/>
      <c r="W1032" s="1271"/>
      <c r="X1032" s="1271"/>
      <c r="Y1032" s="1271"/>
      <c r="Z1032" s="1271"/>
      <c r="AA1032" s="1271"/>
      <c r="AB1032" s="1271"/>
      <c r="AC1032" s="1271"/>
      <c r="AD1032" s="1271"/>
      <c r="AE1032" s="1795"/>
      <c r="AF1032" s="950"/>
      <c r="AG1032" s="951"/>
      <c r="AH1032" s="951"/>
      <c r="AI1032" s="952"/>
      <c r="AJ1032" s="1785"/>
      <c r="AK1032" s="1786"/>
      <c r="AL1032" s="1786"/>
      <c r="AM1032" s="1786"/>
      <c r="AN1032" s="1786"/>
      <c r="AO1032" s="1786"/>
      <c r="AP1032" s="1786"/>
      <c r="AQ1032" s="1787"/>
      <c r="AR1032" s="68"/>
      <c r="AS1032" s="68"/>
      <c r="AT1032" s="68"/>
      <c r="AU1032" s="68"/>
      <c r="AV1032" s="68"/>
      <c r="AW1032" s="68"/>
      <c r="AX1032" s="68"/>
      <c r="AY1032" s="68"/>
    </row>
    <row r="1033" spans="1:51" ht="12.9" customHeight="1">
      <c r="A1033" s="14"/>
      <c r="B1033" s="73"/>
      <c r="C1033" s="74"/>
      <c r="D1033" s="1794"/>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795"/>
      <c r="AF1033" s="950"/>
      <c r="AG1033" s="951"/>
      <c r="AH1033" s="951"/>
      <c r="AI1033" s="952"/>
      <c r="AJ1033" s="1785"/>
      <c r="AK1033" s="1786"/>
      <c r="AL1033" s="1786"/>
      <c r="AM1033" s="1786"/>
      <c r="AN1033" s="1786"/>
      <c r="AO1033" s="1786"/>
      <c r="AP1033" s="1786"/>
      <c r="AQ1033" s="1787"/>
      <c r="AR1033" s="68"/>
      <c r="AS1033" s="68"/>
      <c r="AT1033" s="68"/>
      <c r="AU1033" s="68"/>
      <c r="AV1033" s="68"/>
      <c r="AW1033" s="68"/>
      <c r="AX1033" s="68"/>
      <c r="AY1033" s="68"/>
    </row>
    <row r="1034" spans="1:51" ht="12.9" customHeight="1">
      <c r="A1034" s="14"/>
      <c r="B1034" s="73"/>
      <c r="C1034" s="74"/>
      <c r="D1034" s="1796"/>
      <c r="E1034" s="1797"/>
      <c r="F1034" s="1797"/>
      <c r="G1034" s="1797"/>
      <c r="H1034" s="1797"/>
      <c r="I1034" s="1797"/>
      <c r="J1034" s="1797"/>
      <c r="K1034" s="1797"/>
      <c r="L1034" s="1797"/>
      <c r="M1034" s="1797"/>
      <c r="N1034" s="1797"/>
      <c r="O1034" s="1797"/>
      <c r="P1034" s="1797"/>
      <c r="Q1034" s="1797"/>
      <c r="R1034" s="1797"/>
      <c r="S1034" s="1797"/>
      <c r="T1034" s="1797"/>
      <c r="U1034" s="1797"/>
      <c r="V1034" s="1797"/>
      <c r="W1034" s="1797"/>
      <c r="X1034" s="1797"/>
      <c r="Y1034" s="1797"/>
      <c r="Z1034" s="1797"/>
      <c r="AA1034" s="1797"/>
      <c r="AB1034" s="1797"/>
      <c r="AC1034" s="1797"/>
      <c r="AD1034" s="1797"/>
      <c r="AE1034" s="1798"/>
      <c r="AF1034" s="953"/>
      <c r="AG1034" s="954"/>
      <c r="AH1034" s="954"/>
      <c r="AI1034" s="955"/>
      <c r="AJ1034" s="1788"/>
      <c r="AK1034" s="1789"/>
      <c r="AL1034" s="1789"/>
      <c r="AM1034" s="1789"/>
      <c r="AN1034" s="1789"/>
      <c r="AO1034" s="1789"/>
      <c r="AP1034" s="1789"/>
      <c r="AQ1034" s="1790"/>
      <c r="AR1034" s="68"/>
      <c r="AS1034" s="68"/>
      <c r="AT1034" s="68"/>
      <c r="AU1034" s="68"/>
      <c r="AV1034" s="68"/>
      <c r="AW1034" s="68"/>
      <c r="AX1034" s="68"/>
      <c r="AY1034" s="68"/>
    </row>
    <row r="1035" spans="1:51" ht="12.9" customHeight="1">
      <c r="A1035" s="14"/>
      <c r="B1035" s="73"/>
      <c r="C1035" s="367" t="s">
        <v>695</v>
      </c>
      <c r="D1035" s="1692" t="s">
        <v>1876</v>
      </c>
      <c r="E1035" s="1693"/>
      <c r="F1035" s="1693"/>
      <c r="G1035" s="1693"/>
      <c r="H1035" s="1693"/>
      <c r="I1035" s="1693"/>
      <c r="J1035" s="1693"/>
      <c r="K1035" s="1693"/>
      <c r="L1035" s="1693"/>
      <c r="M1035" s="1693"/>
      <c r="N1035" s="1693"/>
      <c r="O1035" s="1693"/>
      <c r="P1035" s="1693"/>
      <c r="Q1035" s="1693"/>
      <c r="R1035" s="1693"/>
      <c r="S1035" s="1693"/>
      <c r="T1035" s="1693"/>
      <c r="U1035" s="1693"/>
      <c r="V1035" s="1693"/>
      <c r="W1035" s="1693"/>
      <c r="X1035" s="1693"/>
      <c r="Y1035" s="1693"/>
      <c r="Z1035" s="1693"/>
      <c r="AA1035" s="1693"/>
      <c r="AB1035" s="1693"/>
      <c r="AC1035" s="1693"/>
      <c r="AD1035" s="1693"/>
      <c r="AE1035" s="1694"/>
      <c r="AF1035" s="73"/>
      <c r="AG1035" s="1799" t="s">
        <v>676</v>
      </c>
      <c r="AH1035" s="1800"/>
      <c r="AI1035" s="83"/>
      <c r="AJ1035" s="1782">
        <f>ROUND(IF(AND(AG1035="yes",AJ1031=0),(AJ991*0.1),0),0)</f>
        <v>0</v>
      </c>
      <c r="AK1035" s="1783"/>
      <c r="AL1035" s="1783"/>
      <c r="AM1035" s="1783"/>
      <c r="AN1035" s="1783"/>
      <c r="AO1035" s="1783"/>
      <c r="AP1035" s="1783"/>
      <c r="AQ1035" s="1784"/>
      <c r="AR1035" s="68"/>
      <c r="AS1035" s="68"/>
      <c r="AT1035" s="68"/>
      <c r="AU1035" s="68"/>
      <c r="AV1035" s="68"/>
      <c r="AW1035" s="68"/>
      <c r="AX1035" s="68"/>
      <c r="AY1035" s="68"/>
    </row>
    <row r="1036" spans="1:51" ht="12.9" customHeight="1">
      <c r="A1036" s="14"/>
      <c r="B1036" s="73"/>
      <c r="C1036" s="74"/>
      <c r="D1036" s="1794" t="s">
        <v>1877</v>
      </c>
      <c r="E1036" s="1271"/>
      <c r="F1036" s="1271"/>
      <c r="G1036" s="1271"/>
      <c r="H1036" s="1271"/>
      <c r="I1036" s="1271"/>
      <c r="J1036" s="1271"/>
      <c r="K1036" s="1271"/>
      <c r="L1036" s="1271"/>
      <c r="M1036" s="1271"/>
      <c r="N1036" s="1271"/>
      <c r="O1036" s="1271"/>
      <c r="P1036" s="1271"/>
      <c r="Q1036" s="1271"/>
      <c r="R1036" s="1271"/>
      <c r="S1036" s="1271"/>
      <c r="T1036" s="1271"/>
      <c r="U1036" s="1271"/>
      <c r="V1036" s="1271"/>
      <c r="W1036" s="1271"/>
      <c r="X1036" s="1271"/>
      <c r="Y1036" s="1271"/>
      <c r="Z1036" s="1271"/>
      <c r="AA1036" s="1271"/>
      <c r="AB1036" s="1271"/>
      <c r="AC1036" s="1271"/>
      <c r="AD1036" s="1271"/>
      <c r="AE1036" s="1795"/>
      <c r="AF1036" s="73"/>
      <c r="AG1036" s="14"/>
      <c r="AH1036" s="14"/>
      <c r="AI1036" s="83"/>
      <c r="AJ1036" s="1785"/>
      <c r="AK1036" s="1786"/>
      <c r="AL1036" s="1786"/>
      <c r="AM1036" s="1786"/>
      <c r="AN1036" s="1786"/>
      <c r="AO1036" s="1786"/>
      <c r="AP1036" s="1786"/>
      <c r="AQ1036" s="1787"/>
      <c r="AR1036" s="68"/>
      <c r="AS1036" s="68"/>
      <c r="AT1036" s="68"/>
      <c r="AU1036" s="68"/>
      <c r="AV1036" s="68"/>
      <c r="AW1036" s="68"/>
      <c r="AX1036" s="68"/>
      <c r="AY1036" s="68"/>
    </row>
    <row r="1037" spans="1:51" ht="12.9" customHeight="1">
      <c r="A1037" s="14"/>
      <c r="B1037" s="73"/>
      <c r="C1037" s="74"/>
      <c r="D1037" s="1794"/>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795"/>
      <c r="AF1037" s="73"/>
      <c r="AG1037" s="14"/>
      <c r="AH1037" s="14"/>
      <c r="AI1037" s="83"/>
      <c r="AJ1037" s="1785"/>
      <c r="AK1037" s="1786"/>
      <c r="AL1037" s="1786"/>
      <c r="AM1037" s="1786"/>
      <c r="AN1037" s="1786"/>
      <c r="AO1037" s="1786"/>
      <c r="AP1037" s="1786"/>
      <c r="AQ1037" s="1787"/>
      <c r="AR1037" s="68"/>
      <c r="AS1037" s="68"/>
      <c r="AT1037" s="68"/>
      <c r="AU1037" s="68"/>
      <c r="AV1037" s="68"/>
      <c r="AW1037" s="68"/>
      <c r="AX1037" s="68"/>
      <c r="AY1037" s="68"/>
    </row>
    <row r="1038" spans="1:51" ht="12.9" customHeight="1">
      <c r="A1038" s="14"/>
      <c r="B1038" s="73"/>
      <c r="C1038" s="74"/>
      <c r="D1038" s="1794"/>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795"/>
      <c r="AF1038" s="73"/>
      <c r="AG1038" s="14"/>
      <c r="AH1038" s="14"/>
      <c r="AI1038" s="83"/>
      <c r="AJ1038" s="1785"/>
      <c r="AK1038" s="1786"/>
      <c r="AL1038" s="1786"/>
      <c r="AM1038" s="1786"/>
      <c r="AN1038" s="1786"/>
      <c r="AO1038" s="1786"/>
      <c r="AP1038" s="1786"/>
      <c r="AQ1038" s="1787"/>
      <c r="AR1038" s="68"/>
      <c r="AS1038" s="68"/>
      <c r="AT1038" s="68"/>
      <c r="AU1038" s="68"/>
      <c r="AV1038" s="68"/>
      <c r="AW1038" s="68"/>
      <c r="AX1038" s="68"/>
      <c r="AY1038" s="68"/>
    </row>
    <row r="1039" spans="1:51" ht="12.9" customHeight="1">
      <c r="A1039" s="14"/>
      <c r="B1039" s="73"/>
      <c r="C1039" s="74"/>
      <c r="D1039" s="1796"/>
      <c r="E1039" s="1797"/>
      <c r="F1039" s="1797"/>
      <c r="G1039" s="1797"/>
      <c r="H1039" s="1797"/>
      <c r="I1039" s="1797"/>
      <c r="J1039" s="1797"/>
      <c r="K1039" s="1797"/>
      <c r="L1039" s="1797"/>
      <c r="M1039" s="1797"/>
      <c r="N1039" s="1797"/>
      <c r="O1039" s="1797"/>
      <c r="P1039" s="1797"/>
      <c r="Q1039" s="1797"/>
      <c r="R1039" s="1797"/>
      <c r="S1039" s="1797"/>
      <c r="T1039" s="1797"/>
      <c r="U1039" s="1797"/>
      <c r="V1039" s="1797"/>
      <c r="W1039" s="1797"/>
      <c r="X1039" s="1797"/>
      <c r="Y1039" s="1797"/>
      <c r="Z1039" s="1797"/>
      <c r="AA1039" s="1797"/>
      <c r="AB1039" s="1797"/>
      <c r="AC1039" s="1797"/>
      <c r="AD1039" s="1797"/>
      <c r="AE1039" s="1798"/>
      <c r="AF1039" s="73"/>
      <c r="AG1039" s="14"/>
      <c r="AH1039" s="14"/>
      <c r="AI1039" s="83"/>
      <c r="AJ1039" s="1785"/>
      <c r="AK1039" s="1786"/>
      <c r="AL1039" s="1786"/>
      <c r="AM1039" s="1786"/>
      <c r="AN1039" s="1786"/>
      <c r="AO1039" s="1786"/>
      <c r="AP1039" s="1786"/>
      <c r="AQ1039" s="1787"/>
      <c r="AR1039" s="68"/>
      <c r="AS1039" s="68"/>
      <c r="AT1039" s="68"/>
      <c r="AU1039" s="68"/>
      <c r="AV1039" s="68"/>
      <c r="AW1039" s="68"/>
      <c r="AX1039" s="68"/>
      <c r="AY1039" s="68"/>
    </row>
    <row r="1040" spans="1:51" ht="12.9" customHeight="1">
      <c r="A1040" s="14"/>
      <c r="B1040" s="79"/>
      <c r="C1040" s="131" t="s">
        <v>1033</v>
      </c>
      <c r="D1040" s="1666" t="s">
        <v>1406</v>
      </c>
      <c r="E1040" s="1667"/>
      <c r="F1040" s="1667"/>
      <c r="G1040" s="1667"/>
      <c r="H1040" s="1667"/>
      <c r="I1040" s="1667"/>
      <c r="J1040" s="1667"/>
      <c r="K1040" s="1667"/>
      <c r="L1040" s="1667"/>
      <c r="M1040" s="1667"/>
      <c r="N1040" s="1667"/>
      <c r="O1040" s="1667"/>
      <c r="P1040" s="1667"/>
      <c r="Q1040" s="1667"/>
      <c r="R1040" s="1667"/>
      <c r="S1040" s="1667"/>
      <c r="T1040" s="1667"/>
      <c r="U1040" s="1667"/>
      <c r="V1040" s="1667"/>
      <c r="W1040" s="1667"/>
      <c r="X1040" s="1667"/>
      <c r="Y1040" s="1667"/>
      <c r="Z1040" s="1667"/>
      <c r="AA1040" s="1667"/>
      <c r="AB1040" s="1667"/>
      <c r="AC1040" s="1667"/>
      <c r="AD1040" s="1667"/>
      <c r="AE1040" s="1668"/>
      <c r="AF1040" s="79"/>
      <c r="AG1040" s="1678" t="s">
        <v>676</v>
      </c>
      <c r="AH1040" s="1679"/>
      <c r="AI1040" s="87"/>
      <c r="AJ1040" s="1782">
        <f>ROUND(IF(AG1040="yes",(AJ991*0.1),0),0)</f>
        <v>0</v>
      </c>
      <c r="AK1040" s="1783"/>
      <c r="AL1040" s="1783"/>
      <c r="AM1040" s="1783"/>
      <c r="AN1040" s="1783"/>
      <c r="AO1040" s="1783"/>
      <c r="AP1040" s="1783"/>
      <c r="AQ1040" s="1784"/>
      <c r="AR1040" s="68"/>
      <c r="AS1040" s="68"/>
      <c r="AT1040" s="68"/>
      <c r="AU1040" s="68"/>
      <c r="AV1040" s="68"/>
      <c r="AW1040" s="68"/>
      <c r="AX1040" s="68"/>
      <c r="AY1040" s="68"/>
    </row>
    <row r="1041" spans="1:51" ht="12.9" customHeight="1">
      <c r="A1041" s="14"/>
      <c r="B1041" s="73"/>
      <c r="C1041" s="74"/>
      <c r="D1041" s="1669" t="s">
        <v>2502</v>
      </c>
      <c r="E1041" s="1670"/>
      <c r="F1041" s="1670"/>
      <c r="G1041" s="1670"/>
      <c r="H1041" s="1670"/>
      <c r="I1041" s="1670"/>
      <c r="J1041" s="1670"/>
      <c r="K1041" s="1670"/>
      <c r="L1041" s="1670"/>
      <c r="M1041" s="1670"/>
      <c r="N1041" s="1670"/>
      <c r="O1041" s="1670"/>
      <c r="P1041" s="1670"/>
      <c r="Q1041" s="1670"/>
      <c r="R1041" s="1670"/>
      <c r="S1041" s="1670"/>
      <c r="T1041" s="1670"/>
      <c r="U1041" s="1670"/>
      <c r="V1041" s="1670"/>
      <c r="W1041" s="1670"/>
      <c r="X1041" s="1670"/>
      <c r="Y1041" s="1670"/>
      <c r="Z1041" s="1670"/>
      <c r="AA1041" s="1670"/>
      <c r="AB1041" s="1670"/>
      <c r="AC1041" s="1670"/>
      <c r="AD1041" s="1670"/>
      <c r="AE1041" s="1671"/>
      <c r="AF1041" s="73"/>
      <c r="AG1041" s="14"/>
      <c r="AH1041" s="14"/>
      <c r="AI1041" s="83"/>
      <c r="AJ1041" s="1785"/>
      <c r="AK1041" s="1786"/>
      <c r="AL1041" s="1786"/>
      <c r="AM1041" s="1786"/>
      <c r="AN1041" s="1786"/>
      <c r="AO1041" s="1786"/>
      <c r="AP1041" s="1786"/>
      <c r="AQ1041" s="1787"/>
      <c r="AR1041" s="68"/>
      <c r="AS1041" s="68"/>
      <c r="AT1041" s="68"/>
      <c r="AU1041" s="68"/>
      <c r="AV1041" s="68"/>
      <c r="AW1041" s="68"/>
      <c r="AX1041" s="68"/>
      <c r="AY1041" s="68"/>
    </row>
    <row r="1042" spans="1:51" ht="12.9" customHeight="1">
      <c r="A1042" s="14"/>
      <c r="B1042" s="73"/>
      <c r="C1042" s="74"/>
      <c r="D1042" s="1669"/>
      <c r="E1042" s="1670"/>
      <c r="F1042" s="1670"/>
      <c r="G1042" s="1670"/>
      <c r="H1042" s="1670"/>
      <c r="I1042" s="1670"/>
      <c r="J1042" s="1670"/>
      <c r="K1042" s="1670"/>
      <c r="L1042" s="1670"/>
      <c r="M1042" s="1670"/>
      <c r="N1042" s="1670"/>
      <c r="O1042" s="1670"/>
      <c r="P1042" s="1670"/>
      <c r="Q1042" s="1670"/>
      <c r="R1042" s="1670"/>
      <c r="S1042" s="1670"/>
      <c r="T1042" s="1670"/>
      <c r="U1042" s="1670"/>
      <c r="V1042" s="1670"/>
      <c r="W1042" s="1670"/>
      <c r="X1042" s="1670"/>
      <c r="Y1042" s="1670"/>
      <c r="Z1042" s="1670"/>
      <c r="AA1042" s="1670"/>
      <c r="AB1042" s="1670"/>
      <c r="AC1042" s="1670"/>
      <c r="AD1042" s="1670"/>
      <c r="AE1042" s="1671"/>
      <c r="AF1042" s="73"/>
      <c r="AG1042" s="14"/>
      <c r="AH1042" s="14"/>
      <c r="AI1042" s="83"/>
      <c r="AJ1042" s="1785"/>
      <c r="AK1042" s="1786"/>
      <c r="AL1042" s="1786"/>
      <c r="AM1042" s="1786"/>
      <c r="AN1042" s="1786"/>
      <c r="AO1042" s="1786"/>
      <c r="AP1042" s="1786"/>
      <c r="AQ1042" s="1787"/>
      <c r="AR1042" s="68"/>
      <c r="AS1042" s="68"/>
      <c r="AT1042" s="68"/>
      <c r="AU1042" s="68"/>
      <c r="AV1042" s="68"/>
      <c r="AW1042" s="68"/>
      <c r="AX1042" s="68"/>
      <c r="AY1042" s="68"/>
    </row>
    <row r="1043" spans="1:51" ht="12.9" customHeight="1">
      <c r="A1043" s="14"/>
      <c r="B1043" s="73"/>
      <c r="C1043" s="74"/>
      <c r="D1043" s="1766"/>
      <c r="E1043" s="1767"/>
      <c r="F1043" s="1767"/>
      <c r="G1043" s="1767"/>
      <c r="H1043" s="1767"/>
      <c r="I1043" s="1767"/>
      <c r="J1043" s="1767"/>
      <c r="K1043" s="1767"/>
      <c r="L1043" s="1767"/>
      <c r="M1043" s="1767"/>
      <c r="N1043" s="1767"/>
      <c r="O1043" s="1767"/>
      <c r="P1043" s="1767"/>
      <c r="Q1043" s="1767"/>
      <c r="R1043" s="1767"/>
      <c r="S1043" s="1767"/>
      <c r="T1043" s="1767"/>
      <c r="U1043" s="1767"/>
      <c r="V1043" s="1767"/>
      <c r="W1043" s="1767"/>
      <c r="X1043" s="1767"/>
      <c r="Y1043" s="1767"/>
      <c r="Z1043" s="1767"/>
      <c r="AA1043" s="1767"/>
      <c r="AB1043" s="1767"/>
      <c r="AC1043" s="1767"/>
      <c r="AD1043" s="1767"/>
      <c r="AE1043" s="1768"/>
      <c r="AF1043" s="73"/>
      <c r="AG1043" s="14"/>
      <c r="AH1043" s="14"/>
      <c r="AI1043" s="83"/>
      <c r="AJ1043" s="1788"/>
      <c r="AK1043" s="1789"/>
      <c r="AL1043" s="1789"/>
      <c r="AM1043" s="1789"/>
      <c r="AN1043" s="1789"/>
      <c r="AO1043" s="1789"/>
      <c r="AP1043" s="1789"/>
      <c r="AQ1043" s="1790"/>
      <c r="AR1043" s="68"/>
      <c r="AS1043" s="68"/>
      <c r="AT1043" s="68"/>
      <c r="AU1043" s="68"/>
      <c r="AV1043" s="68"/>
      <c r="AW1043" s="68"/>
      <c r="AX1043" s="68"/>
      <c r="AY1043" s="68"/>
    </row>
    <row r="1044" spans="1:51" ht="12.9" customHeight="1">
      <c r="A1044" s="14"/>
      <c r="B1044" s="79"/>
      <c r="C1044" s="131" t="s">
        <v>1872</v>
      </c>
      <c r="D1044" s="1692" t="s">
        <v>2054</v>
      </c>
      <c r="E1044" s="1693"/>
      <c r="F1044" s="1693"/>
      <c r="G1044" s="1693"/>
      <c r="H1044" s="1693"/>
      <c r="I1044" s="1693"/>
      <c r="J1044" s="1693"/>
      <c r="K1044" s="1693"/>
      <c r="L1044" s="1693"/>
      <c r="M1044" s="1693"/>
      <c r="N1044" s="1693"/>
      <c r="O1044" s="1693"/>
      <c r="P1044" s="1693"/>
      <c r="Q1044" s="1693"/>
      <c r="R1044" s="1693"/>
      <c r="S1044" s="1693"/>
      <c r="T1044" s="1693"/>
      <c r="U1044" s="1693"/>
      <c r="V1044" s="1693"/>
      <c r="W1044" s="1693"/>
      <c r="X1044" s="1693"/>
      <c r="Y1044" s="1693"/>
      <c r="Z1044" s="1693"/>
      <c r="AA1044" s="1693"/>
      <c r="AB1044" s="1693"/>
      <c r="AC1044" s="1693"/>
      <c r="AD1044" s="1693"/>
      <c r="AE1044" s="1694"/>
      <c r="AF1044" s="79"/>
      <c r="AG1044" s="1676" t="str">
        <f>IF(X1047&gt;0,"Yes","No")</f>
        <v>Yes</v>
      </c>
      <c r="AH1044" s="1677"/>
      <c r="AI1044" s="87"/>
      <c r="AJ1044" s="1782">
        <f>IF((X1047=0),0,AY1004*AJ991)</f>
        <v>29310762.5</v>
      </c>
      <c r="AK1044" s="1783"/>
      <c r="AL1044" s="1783"/>
      <c r="AM1044" s="1783"/>
      <c r="AN1044" s="1783"/>
      <c r="AO1044" s="1783"/>
      <c r="AP1044" s="1783"/>
      <c r="AQ1044" s="1784"/>
      <c r="AR1044" s="68"/>
      <c r="AS1044" s="68"/>
      <c r="AT1044" s="68"/>
      <c r="AU1044" s="68"/>
      <c r="AV1044" s="68"/>
      <c r="AW1044" s="68"/>
      <c r="AX1044" s="68"/>
      <c r="AY1044" s="68"/>
    </row>
    <row r="1045" spans="1:51" ht="12.9" customHeight="1">
      <c r="A1045" s="14"/>
      <c r="B1045" s="73"/>
      <c r="C1045" s="476"/>
      <c r="D1045" s="1669" t="s">
        <v>1408</v>
      </c>
      <c r="E1045" s="1670"/>
      <c r="F1045" s="1670"/>
      <c r="G1045" s="1670"/>
      <c r="H1045" s="1670"/>
      <c r="I1045" s="1670"/>
      <c r="J1045" s="1670"/>
      <c r="K1045" s="1670"/>
      <c r="L1045" s="1670"/>
      <c r="M1045" s="1670"/>
      <c r="N1045" s="1670"/>
      <c r="O1045" s="1670"/>
      <c r="P1045" s="1670"/>
      <c r="Q1045" s="1670"/>
      <c r="R1045" s="1670"/>
      <c r="S1045" s="1670"/>
      <c r="T1045" s="1670"/>
      <c r="U1045" s="1670"/>
      <c r="V1045" s="1670"/>
      <c r="W1045" s="1670"/>
      <c r="X1045" s="1670"/>
      <c r="Y1045" s="1670"/>
      <c r="Z1045" s="1670"/>
      <c r="AA1045" s="1670"/>
      <c r="AB1045" s="1670"/>
      <c r="AC1045" s="1670"/>
      <c r="AD1045" s="1670"/>
      <c r="AE1045" s="1671"/>
      <c r="AF1045" s="73"/>
      <c r="AG1045" s="477"/>
      <c r="AH1045" s="477"/>
      <c r="AI1045" s="83"/>
      <c r="AJ1045" s="1785"/>
      <c r="AK1045" s="1786"/>
      <c r="AL1045" s="1786"/>
      <c r="AM1045" s="1786"/>
      <c r="AN1045" s="1786"/>
      <c r="AO1045" s="1786"/>
      <c r="AP1045" s="1786"/>
      <c r="AQ1045" s="1787"/>
      <c r="AR1045" s="68"/>
      <c r="AS1045" s="68"/>
      <c r="AT1045" s="68"/>
      <c r="AU1045" s="13"/>
      <c r="AV1045" s="68"/>
      <c r="AW1045" s="68"/>
      <c r="AX1045" s="68"/>
      <c r="AY1045" s="68"/>
    </row>
    <row r="1046" spans="1:51" ht="12.9" customHeight="1">
      <c r="A1046" s="14"/>
      <c r="B1046" s="73"/>
      <c r="C1046" s="476"/>
      <c r="D1046" s="1669"/>
      <c r="E1046" s="1670"/>
      <c r="F1046" s="1670"/>
      <c r="G1046" s="1670"/>
      <c r="H1046" s="1670"/>
      <c r="I1046" s="1670"/>
      <c r="J1046" s="1670"/>
      <c r="K1046" s="1670"/>
      <c r="L1046" s="1670"/>
      <c r="M1046" s="1670"/>
      <c r="N1046" s="1670"/>
      <c r="O1046" s="1670"/>
      <c r="P1046" s="1670"/>
      <c r="Q1046" s="1670"/>
      <c r="R1046" s="1670"/>
      <c r="S1046" s="1670"/>
      <c r="T1046" s="1670"/>
      <c r="U1046" s="1670"/>
      <c r="V1046" s="1670"/>
      <c r="W1046" s="1670"/>
      <c r="X1046" s="1670"/>
      <c r="Y1046" s="1670"/>
      <c r="Z1046" s="1670"/>
      <c r="AA1046" s="1670"/>
      <c r="AB1046" s="1670"/>
      <c r="AC1046" s="1670"/>
      <c r="AD1046" s="1670"/>
      <c r="AE1046" s="1671"/>
      <c r="AF1046" s="73"/>
      <c r="AG1046" s="477"/>
      <c r="AH1046" s="477"/>
      <c r="AI1046" s="83"/>
      <c r="AJ1046" s="1785"/>
      <c r="AK1046" s="1786"/>
      <c r="AL1046" s="1786"/>
      <c r="AM1046" s="1786"/>
      <c r="AN1046" s="1786"/>
      <c r="AO1046" s="1786"/>
      <c r="AP1046" s="1786"/>
      <c r="AQ1046" s="1787"/>
      <c r="AR1046" s="68"/>
      <c r="AS1046" s="68"/>
      <c r="AT1046" s="68"/>
      <c r="AU1046" s="13"/>
      <c r="AV1046" s="68"/>
      <c r="AW1046" s="68"/>
      <c r="AX1046" s="68"/>
      <c r="AY1046" s="68"/>
    </row>
    <row r="1047" spans="1:51" ht="12.9" customHeight="1">
      <c r="A1047" s="14"/>
      <c r="B1047" s="77"/>
      <c r="C1047" s="78"/>
      <c r="D1047" s="132" t="s">
        <v>990</v>
      </c>
      <c r="E1047" s="133"/>
      <c r="F1047" s="133"/>
      <c r="G1047" s="133"/>
      <c r="H1047" s="133"/>
      <c r="I1047" s="1674">
        <f>AY1002</f>
        <v>421</v>
      </c>
      <c r="J1047" s="1675"/>
      <c r="K1047" s="7"/>
      <c r="L1047" s="133"/>
      <c r="M1047" s="133"/>
      <c r="N1047" s="133"/>
      <c r="O1047" s="133"/>
      <c r="P1047" s="133"/>
      <c r="Q1047" s="133"/>
      <c r="R1047" s="133"/>
      <c r="S1047" s="133"/>
      <c r="T1047" s="133"/>
      <c r="U1047" s="133"/>
      <c r="V1047" s="134" t="s">
        <v>991</v>
      </c>
      <c r="W1047" s="48"/>
      <c r="X1047" s="1672">
        <f>BG632</f>
        <v>43</v>
      </c>
      <c r="Y1047" s="1673"/>
      <c r="Z1047" s="48"/>
      <c r="AA1047" s="48"/>
      <c r="AB1047" s="48"/>
      <c r="AC1047" s="48"/>
      <c r="AD1047" s="48"/>
      <c r="AE1047" s="49"/>
      <c r="AF1047" s="959"/>
      <c r="AG1047" s="960"/>
      <c r="AH1047" s="960"/>
      <c r="AI1047" s="961"/>
      <c r="AJ1047" s="1788"/>
      <c r="AK1047" s="1789"/>
      <c r="AL1047" s="1789"/>
      <c r="AM1047" s="1789"/>
      <c r="AN1047" s="1789"/>
      <c r="AO1047" s="1789"/>
      <c r="AP1047" s="1789"/>
      <c r="AQ1047" s="1790"/>
      <c r="AR1047" s="68"/>
      <c r="AS1047" s="68"/>
      <c r="AT1047" s="68"/>
      <c r="AU1047" s="14"/>
      <c r="AV1047" s="68"/>
      <c r="AW1047" s="68"/>
      <c r="AX1047" s="68"/>
      <c r="AY1047" s="68"/>
    </row>
    <row r="1048" spans="1:51" ht="12.9" customHeight="1">
      <c r="A1048" s="14"/>
      <c r="B1048" s="79"/>
      <c r="C1048" s="131" t="s">
        <v>1873</v>
      </c>
      <c r="D1048" s="1666" t="s">
        <v>2531</v>
      </c>
      <c r="E1048" s="1667"/>
      <c r="F1048" s="1667"/>
      <c r="G1048" s="1667"/>
      <c r="H1048" s="1667"/>
      <c r="I1048" s="1667"/>
      <c r="J1048" s="1667"/>
      <c r="K1048" s="1667"/>
      <c r="L1048" s="1667"/>
      <c r="M1048" s="1667"/>
      <c r="N1048" s="1667"/>
      <c r="O1048" s="1667"/>
      <c r="P1048" s="1667"/>
      <c r="Q1048" s="1667"/>
      <c r="R1048" s="1667"/>
      <c r="S1048" s="1667"/>
      <c r="T1048" s="1667"/>
      <c r="U1048" s="1667"/>
      <c r="V1048" s="1667"/>
      <c r="W1048" s="1667"/>
      <c r="X1048" s="1667"/>
      <c r="Y1048" s="1667"/>
      <c r="Z1048" s="1667"/>
      <c r="AA1048" s="1667"/>
      <c r="AB1048" s="1667"/>
      <c r="AC1048" s="1667"/>
      <c r="AD1048" s="1667"/>
      <c r="AE1048" s="1668"/>
      <c r="AF1048" s="73"/>
      <c r="AG1048" s="1676" t="str">
        <f>IF(X1051&gt;0,"Yes","No")</f>
        <v>Yes</v>
      </c>
      <c r="AH1048" s="1677"/>
      <c r="AI1048" s="83"/>
      <c r="AJ1048" s="1782">
        <f>IF((X1051=0),0,(2*AY1005)*AJ991)</f>
        <v>76207982.5</v>
      </c>
      <c r="AK1048" s="1783"/>
      <c r="AL1048" s="1783"/>
      <c r="AM1048" s="1783"/>
      <c r="AN1048" s="1783"/>
      <c r="AO1048" s="1783"/>
      <c r="AP1048" s="1783"/>
      <c r="AQ1048" s="1784"/>
      <c r="AR1048" s="68"/>
      <c r="AS1048" s="68"/>
      <c r="AT1048" s="68"/>
      <c r="AU1048" s="14"/>
      <c r="AV1048" s="68"/>
      <c r="AW1048" s="68"/>
      <c r="AX1048" s="68"/>
      <c r="AY1048" s="68"/>
    </row>
    <row r="1049" spans="1:51" ht="12.9" customHeight="1">
      <c r="A1049" s="14"/>
      <c r="B1049" s="73"/>
      <c r="C1049" s="476"/>
      <c r="D1049" s="1669" t="s">
        <v>1407</v>
      </c>
      <c r="E1049" s="1670"/>
      <c r="F1049" s="1670"/>
      <c r="G1049" s="1670"/>
      <c r="H1049" s="1670"/>
      <c r="I1049" s="1670"/>
      <c r="J1049" s="1670"/>
      <c r="K1049" s="1670"/>
      <c r="L1049" s="1670"/>
      <c r="M1049" s="1670"/>
      <c r="N1049" s="1670"/>
      <c r="O1049" s="1670"/>
      <c r="P1049" s="1670"/>
      <c r="Q1049" s="1670"/>
      <c r="R1049" s="1670"/>
      <c r="S1049" s="1670"/>
      <c r="T1049" s="1670"/>
      <c r="U1049" s="1670"/>
      <c r="V1049" s="1670"/>
      <c r="W1049" s="1670"/>
      <c r="X1049" s="1670"/>
      <c r="Y1049" s="1670"/>
      <c r="Z1049" s="1670"/>
      <c r="AA1049" s="1670"/>
      <c r="AB1049" s="1670"/>
      <c r="AC1049" s="1670"/>
      <c r="AD1049" s="1670"/>
      <c r="AE1049" s="1671"/>
      <c r="AF1049" s="73"/>
      <c r="AG1049" s="477"/>
      <c r="AH1049" s="477"/>
      <c r="AI1049" s="83"/>
      <c r="AJ1049" s="1785"/>
      <c r="AK1049" s="1786"/>
      <c r="AL1049" s="1786"/>
      <c r="AM1049" s="1786"/>
      <c r="AN1049" s="1786"/>
      <c r="AO1049" s="1786"/>
      <c r="AP1049" s="1786"/>
      <c r="AQ1049" s="1787"/>
      <c r="AR1049" s="68"/>
      <c r="AS1049" s="68"/>
      <c r="AT1049" s="68"/>
      <c r="AU1049" s="68"/>
      <c r="AV1049" s="68"/>
      <c r="AW1049" s="68"/>
      <c r="AX1049" s="68"/>
      <c r="AY1049" s="68"/>
    </row>
    <row r="1050" spans="1:51" ht="12.9" customHeight="1">
      <c r="A1050" s="14"/>
      <c r="B1050" s="73"/>
      <c r="C1050" s="83"/>
      <c r="D1050" s="1669"/>
      <c r="E1050" s="1670"/>
      <c r="F1050" s="1670"/>
      <c r="G1050" s="1670"/>
      <c r="H1050" s="1670"/>
      <c r="I1050" s="1670"/>
      <c r="J1050" s="1670"/>
      <c r="K1050" s="1670"/>
      <c r="L1050" s="1670"/>
      <c r="M1050" s="1670"/>
      <c r="N1050" s="1670"/>
      <c r="O1050" s="1670"/>
      <c r="P1050" s="1670"/>
      <c r="Q1050" s="1670"/>
      <c r="R1050" s="1670"/>
      <c r="S1050" s="1670"/>
      <c r="T1050" s="1670"/>
      <c r="U1050" s="1670"/>
      <c r="V1050" s="1670"/>
      <c r="W1050" s="1670"/>
      <c r="X1050" s="1670"/>
      <c r="Y1050" s="1670"/>
      <c r="Z1050" s="1670"/>
      <c r="AA1050" s="1670"/>
      <c r="AB1050" s="1670"/>
      <c r="AC1050" s="1670"/>
      <c r="AD1050" s="1670"/>
      <c r="AE1050" s="1671"/>
      <c r="AF1050" s="956"/>
      <c r="AG1050" s="957"/>
      <c r="AH1050" s="957"/>
      <c r="AI1050" s="958"/>
      <c r="AJ1050" s="1785"/>
      <c r="AK1050" s="1786"/>
      <c r="AL1050" s="1786"/>
      <c r="AM1050" s="1786"/>
      <c r="AN1050" s="1786"/>
      <c r="AO1050" s="1786"/>
      <c r="AP1050" s="1786"/>
      <c r="AQ1050" s="1787"/>
      <c r="AR1050" s="68"/>
      <c r="AS1050" s="68"/>
      <c r="AT1050" s="68"/>
      <c r="AU1050" s="68"/>
      <c r="AV1050" s="68"/>
      <c r="AW1050" s="68"/>
      <c r="AX1050" s="68"/>
      <c r="AY1050" s="68"/>
    </row>
    <row r="1051" spans="1:51" ht="12.9" customHeight="1">
      <c r="A1051" s="14"/>
      <c r="B1051" s="77"/>
      <c r="C1051" s="78"/>
      <c r="D1051" s="132" t="s">
        <v>990</v>
      </c>
      <c r="E1051" s="133"/>
      <c r="F1051" s="133"/>
      <c r="G1051" s="133"/>
      <c r="H1051" s="133"/>
      <c r="I1051" s="1674">
        <f>AY1002</f>
        <v>421</v>
      </c>
      <c r="J1051" s="1675"/>
      <c r="K1051" s="14"/>
      <c r="L1051" s="133"/>
      <c r="M1051" s="133"/>
      <c r="N1051" s="133"/>
      <c r="O1051" s="133"/>
      <c r="P1051" s="133"/>
      <c r="Q1051" s="133"/>
      <c r="R1051" s="133"/>
      <c r="S1051" s="133"/>
      <c r="T1051" s="133"/>
      <c r="U1051" s="133"/>
      <c r="V1051" s="134" t="s">
        <v>992</v>
      </c>
      <c r="X1051" s="1672">
        <f>BK632</f>
        <v>58</v>
      </c>
      <c r="Y1051" s="1673"/>
      <c r="AF1051" s="959"/>
      <c r="AG1051" s="960"/>
      <c r="AH1051" s="960"/>
      <c r="AI1051" s="961"/>
      <c r="AJ1051" s="1788"/>
      <c r="AK1051" s="1789"/>
      <c r="AL1051" s="1789"/>
      <c r="AM1051" s="1789"/>
      <c r="AN1051" s="1789"/>
      <c r="AO1051" s="1789"/>
      <c r="AP1051" s="1789"/>
      <c r="AQ1051" s="1790"/>
      <c r="AR1051" s="68"/>
      <c r="AS1051" s="68"/>
      <c r="AT1051" s="68"/>
      <c r="AU1051" s="68"/>
      <c r="AV1051" s="68"/>
      <c r="AW1051" s="68"/>
      <c r="AX1051" s="68"/>
      <c r="AY1051" s="68"/>
    </row>
    <row r="1052" spans="1:51" ht="12.9" customHeight="1">
      <c r="A1052" s="14"/>
      <c r="B1052" s="102"/>
      <c r="C1052" s="103"/>
      <c r="D1052" s="1664" t="s">
        <v>520</v>
      </c>
      <c r="E1052" s="1664"/>
      <c r="F1052" s="1664"/>
      <c r="G1052" s="1664"/>
      <c r="H1052" s="1664"/>
      <c r="I1052" s="1664"/>
      <c r="J1052" s="1664"/>
      <c r="K1052" s="1664"/>
      <c r="L1052" s="1664"/>
      <c r="M1052" s="1664"/>
      <c r="N1052" s="1664"/>
      <c r="O1052" s="1664"/>
      <c r="P1052" s="1664"/>
      <c r="Q1052" s="1664"/>
      <c r="R1052" s="1664"/>
      <c r="S1052" s="1664"/>
      <c r="T1052" s="1664"/>
      <c r="U1052" s="1664"/>
      <c r="V1052" s="1664"/>
      <c r="W1052" s="1664"/>
      <c r="X1052" s="1664"/>
      <c r="Y1052" s="1664"/>
      <c r="Z1052" s="1664"/>
      <c r="AA1052" s="1664"/>
      <c r="AB1052" s="1664"/>
      <c r="AC1052" s="1664"/>
      <c r="AD1052" s="1664"/>
      <c r="AE1052" s="1664"/>
      <c r="AF1052" s="1664"/>
      <c r="AG1052" s="1664"/>
      <c r="AH1052" s="1664"/>
      <c r="AI1052" s="1665"/>
      <c r="AJ1052" s="1686">
        <f>SUM(AJ991:AQ1051)</f>
        <v>471903277</v>
      </c>
      <c r="AK1052" s="1687"/>
      <c r="AL1052" s="1687"/>
      <c r="AM1052" s="1687"/>
      <c r="AN1052" s="1687"/>
      <c r="AO1052" s="1687"/>
      <c r="AP1052" s="1687"/>
      <c r="AQ1052" s="1688"/>
      <c r="AR1052" s="68"/>
      <c r="AS1052" s="68"/>
      <c r="AT1052" s="68"/>
      <c r="AU1052" s="68"/>
      <c r="AV1052" s="68"/>
      <c r="AW1052" s="68"/>
      <c r="AX1052" s="68"/>
      <c r="AY1052" s="68"/>
    </row>
    <row r="1053" spans="1:51" ht="12.9"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 customHeight="1">
      <c r="A1059" s="88"/>
      <c r="B1059" s="1871">
        <f>IF(ISNA(IF((AJ1019&gt;(AJ991*0.15)),"(f) cannot be greater than 15% of unadjusted eligible basis.",0)),"",(IF((AJ1019&gt;(AJ991*0.15)),"(f) cannot be greater than 15% of unadjusted eligible basis.",0)))</f>
        <v>0</v>
      </c>
      <c r="C1059" s="1871"/>
      <c r="D1059" s="1871"/>
      <c r="E1059" s="1871"/>
      <c r="F1059" s="1871"/>
      <c r="G1059" s="1871"/>
      <c r="H1059" s="1871"/>
      <c r="I1059" s="1871"/>
      <c r="J1059" s="1871"/>
      <c r="K1059" s="1871"/>
      <c r="L1059" s="1871"/>
      <c r="M1059" s="1871"/>
      <c r="N1059" s="1871"/>
      <c r="O1059" s="1871"/>
      <c r="P1059" s="1871"/>
      <c r="Q1059" s="1871"/>
      <c r="R1059" s="1871"/>
      <c r="S1059" s="1871"/>
      <c r="T1059" s="1871"/>
      <c r="U1059" s="1871"/>
      <c r="V1059" s="1871"/>
      <c r="W1059" s="1871"/>
      <c r="X1059" s="1871"/>
      <c r="Y1059" s="1871"/>
      <c r="Z1059" s="1871"/>
      <c r="AA1059" s="1871"/>
      <c r="AB1059" s="1871"/>
      <c r="AC1059" s="1871"/>
      <c r="AD1059" s="1871"/>
      <c r="AE1059" s="1871"/>
      <c r="AF1059" s="1871"/>
      <c r="AG1059" s="1871"/>
      <c r="AH1059" s="1871"/>
      <c r="AI1059" s="1871"/>
      <c r="AJ1059" s="1871"/>
      <c r="AK1059" s="1871"/>
      <c r="AL1059" s="1871"/>
      <c r="AM1059" s="1871"/>
      <c r="AN1059" s="1871"/>
      <c r="AO1059" s="1871"/>
      <c r="AP1059" s="1871"/>
      <c r="AQ1059" s="68"/>
      <c r="AR1059" s="68"/>
      <c r="AS1059" s="68"/>
      <c r="AT1059" s="68"/>
      <c r="AU1059" s="68"/>
      <c r="AV1059" s="68"/>
      <c r="AW1059" s="68"/>
      <c r="AX1059" s="68"/>
      <c r="AY1059" s="68"/>
    </row>
    <row r="1060" spans="1:51" ht="12.9" customHeight="1">
      <c r="A1060" s="1305" t="s">
        <v>802</v>
      </c>
      <c r="B1060" s="1305"/>
      <c r="C1060" s="1305"/>
      <c r="D1060" s="1305"/>
      <c r="E1060" s="1305"/>
      <c r="F1060" s="1305"/>
      <c r="G1060" s="1305"/>
      <c r="H1060" s="1305"/>
      <c r="I1060" s="1305"/>
      <c r="J1060" s="1305"/>
      <c r="K1060" s="1305"/>
      <c r="L1060" s="1305"/>
      <c r="M1060" s="1305"/>
      <c r="N1060" s="1305"/>
      <c r="O1060" s="1305"/>
      <c r="P1060" s="1305"/>
      <c r="Q1060" s="1305"/>
      <c r="R1060" s="1305"/>
      <c r="S1060" s="1305"/>
      <c r="T1060" s="1305"/>
      <c r="U1060" s="1305"/>
      <c r="V1060" s="1305"/>
      <c r="W1060" s="1305"/>
      <c r="X1060" s="1305"/>
      <c r="Y1060" s="1305"/>
      <c r="Z1060" s="1305"/>
      <c r="AA1060" s="1305"/>
      <c r="AB1060" s="1305"/>
      <c r="AC1060" s="1305"/>
      <c r="AD1060" s="1305"/>
      <c r="AE1060" s="1305"/>
      <c r="AF1060" s="1305"/>
      <c r="AG1060" s="1305"/>
      <c r="AH1060" s="1305"/>
      <c r="AI1060" s="1305"/>
      <c r="AJ1060" s="1305"/>
      <c r="AK1060" s="1305"/>
      <c r="AL1060" s="1305"/>
      <c r="AM1060" s="1305"/>
      <c r="AN1060" s="1305"/>
      <c r="AO1060" s="1305"/>
      <c r="AP1060" s="1305"/>
      <c r="AQ1060" s="1305"/>
      <c r="AR1060" s="13"/>
      <c r="AS1060" s="13"/>
      <c r="AT1060" s="13"/>
      <c r="AV1060" s="68"/>
      <c r="AW1060" s="68"/>
      <c r="AX1060" s="68"/>
      <c r="AY1060" s="68"/>
    </row>
    <row r="1061" spans="1:51" ht="12.9"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 customHeight="1">
      <c r="A1064" s="1415" t="s">
        <v>598</v>
      </c>
      <c r="B1064" s="1415"/>
      <c r="C1064" s="8">
        <v>1</v>
      </c>
      <c r="D1064" s="1265" t="s">
        <v>1132</v>
      </c>
      <c r="E1064" s="1265"/>
      <c r="F1064" s="1265"/>
      <c r="G1064" s="1265"/>
      <c r="H1064" s="1265"/>
      <c r="I1064" s="1265"/>
      <c r="J1064" s="1265"/>
      <c r="K1064" s="1265"/>
      <c r="L1064" s="1265"/>
      <c r="M1064" s="1265"/>
      <c r="N1064" s="1265"/>
      <c r="O1064" s="1265"/>
      <c r="P1064" s="1265"/>
      <c r="Q1064" s="1265"/>
      <c r="R1064" s="1265"/>
      <c r="S1064" s="1265"/>
      <c r="T1064" s="1265"/>
      <c r="U1064" s="1265"/>
      <c r="V1064" s="1265"/>
      <c r="W1064" s="1265"/>
      <c r="X1064" s="1265"/>
      <c r="Y1064" s="1265"/>
      <c r="Z1064" s="1265"/>
      <c r="AA1064" s="1265"/>
      <c r="AB1064" s="1265"/>
      <c r="AC1064" s="1265"/>
      <c r="AD1064" s="1265"/>
      <c r="AE1064" s="1265"/>
      <c r="AF1064" s="1265"/>
      <c r="AG1064" s="1265"/>
      <c r="AH1064" s="1265"/>
      <c r="AI1064" s="1265"/>
      <c r="AJ1064" s="1265"/>
      <c r="AK1064" s="1265"/>
      <c r="AL1064" s="68"/>
      <c r="AM1064" s="68"/>
      <c r="AN1064" s="68"/>
      <c r="AO1064" s="68"/>
      <c r="AP1064" s="68"/>
      <c r="AQ1064" s="68"/>
      <c r="AR1064" s="68"/>
      <c r="AS1064" s="68"/>
      <c r="AT1064" s="68"/>
      <c r="AV1064" s="68"/>
      <c r="AW1064" s="68"/>
      <c r="AX1064" s="68"/>
      <c r="AY1064" s="68"/>
    </row>
    <row r="1065" spans="1:51" ht="12.9" customHeight="1">
      <c r="A1065" s="1"/>
      <c r="B1065" s="1"/>
      <c r="C1065" s="8"/>
      <c r="D1065" s="1265"/>
      <c r="E1065" s="1265"/>
      <c r="F1065" s="1265"/>
      <c r="G1065" s="1265"/>
      <c r="H1065" s="1265"/>
      <c r="I1065" s="1265"/>
      <c r="J1065" s="1265"/>
      <c r="K1065" s="1265"/>
      <c r="L1065" s="1265"/>
      <c r="M1065" s="1265"/>
      <c r="N1065" s="1265"/>
      <c r="O1065" s="1265"/>
      <c r="P1065" s="1265"/>
      <c r="Q1065" s="1265"/>
      <c r="R1065" s="1265"/>
      <c r="S1065" s="1265"/>
      <c r="T1065" s="1265"/>
      <c r="U1065" s="1265"/>
      <c r="V1065" s="1265"/>
      <c r="W1065" s="1265"/>
      <c r="X1065" s="1265"/>
      <c r="Y1065" s="1265"/>
      <c r="Z1065" s="1265"/>
      <c r="AA1065" s="1265"/>
      <c r="AB1065" s="1265"/>
      <c r="AC1065" s="1265"/>
      <c r="AD1065" s="1265"/>
      <c r="AE1065" s="1265"/>
      <c r="AF1065" s="1265"/>
      <c r="AG1065" s="1265"/>
      <c r="AH1065" s="1265"/>
      <c r="AI1065" s="1265"/>
      <c r="AJ1065" s="1265"/>
      <c r="AK1065" s="1265"/>
      <c r="AL1065" s="68"/>
      <c r="AM1065" s="68"/>
      <c r="AN1065" s="68"/>
      <c r="AO1065" s="68"/>
      <c r="AP1065" s="68"/>
      <c r="AQ1065" s="68"/>
      <c r="AR1065" s="68"/>
      <c r="AS1065" s="68"/>
      <c r="AT1065" s="68"/>
      <c r="AV1065" s="68"/>
      <c r="AW1065" s="68"/>
      <c r="AX1065" s="68"/>
      <c r="AY1065" s="68"/>
    </row>
    <row r="1066" spans="1:51" ht="12.9" customHeight="1">
      <c r="A1066" s="1"/>
      <c r="B1066" s="1"/>
      <c r="C1066" s="8"/>
      <c r="D1066" s="1265"/>
      <c r="E1066" s="1265"/>
      <c r="F1066" s="1265"/>
      <c r="G1066" s="1265"/>
      <c r="H1066" s="1265"/>
      <c r="I1066" s="1265"/>
      <c r="J1066" s="1265"/>
      <c r="K1066" s="1265"/>
      <c r="L1066" s="1265"/>
      <c r="M1066" s="1265"/>
      <c r="N1066" s="1265"/>
      <c r="O1066" s="1265"/>
      <c r="P1066" s="1265"/>
      <c r="Q1066" s="1265"/>
      <c r="R1066" s="1265"/>
      <c r="S1066" s="1265"/>
      <c r="T1066" s="1265"/>
      <c r="U1066" s="1265"/>
      <c r="V1066" s="1265"/>
      <c r="W1066" s="1265"/>
      <c r="X1066" s="1265"/>
      <c r="Y1066" s="1265"/>
      <c r="Z1066" s="1265"/>
      <c r="AA1066" s="1265"/>
      <c r="AB1066" s="1265"/>
      <c r="AC1066" s="1265"/>
      <c r="AD1066" s="1265"/>
      <c r="AE1066" s="1265"/>
      <c r="AF1066" s="1265"/>
      <c r="AG1066" s="1265"/>
      <c r="AH1066" s="1265"/>
      <c r="AI1066" s="1265"/>
      <c r="AJ1066" s="1265"/>
      <c r="AK1066" s="1265"/>
      <c r="AL1066" s="68"/>
      <c r="AM1066" s="68"/>
      <c r="AN1066" s="68"/>
      <c r="AO1066" s="68"/>
      <c r="AP1066" s="68"/>
      <c r="AQ1066" s="68"/>
      <c r="AR1066" s="68"/>
      <c r="AS1066" s="68"/>
      <c r="AT1066" s="68"/>
      <c r="AV1066" s="68"/>
      <c r="AW1066" s="68"/>
      <c r="AX1066" s="68"/>
      <c r="AY1066" s="68"/>
    </row>
    <row r="1067" spans="1:51" ht="12.9" customHeight="1">
      <c r="A1067" s="1"/>
      <c r="B1067" s="1"/>
      <c r="C1067" s="8"/>
      <c r="D1067" s="1265"/>
      <c r="E1067" s="1265"/>
      <c r="F1067" s="1265"/>
      <c r="G1067" s="1265"/>
      <c r="H1067" s="1265"/>
      <c r="I1067" s="1265"/>
      <c r="J1067" s="1265"/>
      <c r="K1067" s="1265"/>
      <c r="L1067" s="1265"/>
      <c r="M1067" s="1265"/>
      <c r="N1067" s="1265"/>
      <c r="O1067" s="1265"/>
      <c r="P1067" s="1265"/>
      <c r="Q1067" s="1265"/>
      <c r="R1067" s="1265"/>
      <c r="S1067" s="1265"/>
      <c r="T1067" s="1265"/>
      <c r="U1067" s="1265"/>
      <c r="V1067" s="1265"/>
      <c r="W1067" s="1265"/>
      <c r="X1067" s="1265"/>
      <c r="Y1067" s="1265"/>
      <c r="Z1067" s="1265"/>
      <c r="AA1067" s="1265"/>
      <c r="AB1067" s="1265"/>
      <c r="AC1067" s="1265"/>
      <c r="AD1067" s="1265"/>
      <c r="AE1067" s="1265"/>
      <c r="AF1067" s="1265"/>
      <c r="AG1067" s="1265"/>
      <c r="AH1067" s="1265"/>
      <c r="AI1067" s="1265"/>
      <c r="AJ1067" s="1265"/>
      <c r="AK1067" s="1265"/>
      <c r="AL1067" s="68"/>
      <c r="AM1067" s="68"/>
      <c r="AN1067" s="68"/>
      <c r="AO1067" s="68"/>
      <c r="AP1067" s="68"/>
      <c r="AQ1067" s="68"/>
      <c r="AR1067" s="68"/>
      <c r="AS1067" s="68"/>
      <c r="AT1067" s="68"/>
      <c r="AV1067" s="68"/>
      <c r="AW1067" s="68"/>
      <c r="AX1067" s="68"/>
      <c r="AY1067" s="68"/>
    </row>
    <row r="1068" spans="1:51" ht="12.9" customHeight="1">
      <c r="A1068" s="1"/>
      <c r="B1068" s="1"/>
      <c r="C1068" s="8"/>
      <c r="D1068" s="1265"/>
      <c r="E1068" s="1265"/>
      <c r="F1068" s="1265"/>
      <c r="G1068" s="1265"/>
      <c r="H1068" s="1265"/>
      <c r="I1068" s="1265"/>
      <c r="J1068" s="1265"/>
      <c r="K1068" s="1265"/>
      <c r="L1068" s="1265"/>
      <c r="M1068" s="1265"/>
      <c r="N1068" s="1265"/>
      <c r="O1068" s="1265"/>
      <c r="P1068" s="1265"/>
      <c r="Q1068" s="1265"/>
      <c r="R1068" s="1265"/>
      <c r="S1068" s="1265"/>
      <c r="T1068" s="1265"/>
      <c r="U1068" s="1265"/>
      <c r="V1068" s="1265"/>
      <c r="W1068" s="1265"/>
      <c r="X1068" s="1265"/>
      <c r="Y1068" s="1265"/>
      <c r="Z1068" s="1265"/>
      <c r="AA1068" s="1265"/>
      <c r="AB1068" s="1265"/>
      <c r="AC1068" s="1265"/>
      <c r="AD1068" s="1265"/>
      <c r="AE1068" s="1265"/>
      <c r="AF1068" s="1265"/>
      <c r="AG1068" s="1265"/>
      <c r="AH1068" s="1265"/>
      <c r="AI1068" s="1265"/>
      <c r="AJ1068" s="1265"/>
      <c r="AK1068" s="1265"/>
      <c r="AL1068" s="68"/>
      <c r="AM1068" s="68"/>
      <c r="AN1068" s="68"/>
      <c r="AO1068" s="68"/>
      <c r="AP1068" s="68"/>
      <c r="AQ1068" s="68"/>
      <c r="AR1068" s="68"/>
      <c r="AS1068" s="68"/>
      <c r="AT1068" s="68"/>
      <c r="AV1068" s="68"/>
      <c r="AW1068" s="68"/>
      <c r="AX1068" s="68"/>
      <c r="AY1068" s="68"/>
    </row>
    <row r="1069" spans="1:51" ht="12.9" customHeight="1">
      <c r="A1069" s="2"/>
      <c r="B1069" s="25"/>
      <c r="C1069" s="8"/>
      <c r="D1069" s="1265"/>
      <c r="E1069" s="1265"/>
      <c r="F1069" s="1265"/>
      <c r="G1069" s="1265"/>
      <c r="H1069" s="1265"/>
      <c r="I1069" s="1265"/>
      <c r="J1069" s="1265"/>
      <c r="K1069" s="1265"/>
      <c r="L1069" s="1265"/>
      <c r="M1069" s="1265"/>
      <c r="N1069" s="1265"/>
      <c r="O1069" s="1265"/>
      <c r="P1069" s="1265"/>
      <c r="Q1069" s="1265"/>
      <c r="R1069" s="1265"/>
      <c r="S1069" s="1265"/>
      <c r="T1069" s="1265"/>
      <c r="U1069" s="1265"/>
      <c r="V1069" s="1265"/>
      <c r="W1069" s="1265"/>
      <c r="X1069" s="1265"/>
      <c r="Y1069" s="1265"/>
      <c r="Z1069" s="1265"/>
      <c r="AA1069" s="1265"/>
      <c r="AB1069" s="1265"/>
      <c r="AC1069" s="1265"/>
      <c r="AD1069" s="1265"/>
      <c r="AE1069" s="1265"/>
      <c r="AF1069" s="1265"/>
      <c r="AG1069" s="1265"/>
      <c r="AH1069" s="1265"/>
      <c r="AI1069" s="1265"/>
      <c r="AJ1069" s="1265"/>
      <c r="AK1069" s="1265"/>
      <c r="AL1069" s="68"/>
      <c r="AM1069" s="68"/>
      <c r="AN1069" s="68"/>
      <c r="AO1069" s="68"/>
      <c r="AP1069" s="68"/>
      <c r="AQ1069" s="68"/>
      <c r="AR1069" s="68"/>
      <c r="AS1069" s="68"/>
      <c r="AT1069" s="68"/>
      <c r="AV1069" s="68"/>
      <c r="AW1069" s="68"/>
      <c r="AX1069" s="68"/>
      <c r="AY1069" s="68"/>
    </row>
    <row r="1070" spans="1:51" ht="12.9" customHeight="1">
      <c r="A1070" s="1415" t="s">
        <v>598</v>
      </c>
      <c r="B1070" s="1415"/>
      <c r="C1070" s="8">
        <v>2</v>
      </c>
      <c r="D1070" s="1265" t="s">
        <v>1131</v>
      </c>
      <c r="E1070" s="1265"/>
      <c r="F1070" s="1265"/>
      <c r="G1070" s="1265"/>
      <c r="H1070" s="1265"/>
      <c r="I1070" s="1265"/>
      <c r="J1070" s="1265"/>
      <c r="K1070" s="1265"/>
      <c r="L1070" s="1265"/>
      <c r="M1070" s="1265"/>
      <c r="N1070" s="1265"/>
      <c r="O1070" s="1265"/>
      <c r="P1070" s="1265"/>
      <c r="Q1070" s="1265"/>
      <c r="R1070" s="1265"/>
      <c r="S1070" s="1265"/>
      <c r="T1070" s="1265"/>
      <c r="U1070" s="1265"/>
      <c r="V1070" s="1265"/>
      <c r="W1070" s="1265"/>
      <c r="X1070" s="1265"/>
      <c r="Y1070" s="1265"/>
      <c r="Z1070" s="1265"/>
      <c r="AA1070" s="1265"/>
      <c r="AB1070" s="1265"/>
      <c r="AC1070" s="1265"/>
      <c r="AD1070" s="1265"/>
      <c r="AE1070" s="1265"/>
      <c r="AF1070" s="1265"/>
      <c r="AG1070" s="1265"/>
      <c r="AH1070" s="1265"/>
      <c r="AI1070" s="1265"/>
      <c r="AJ1070" s="1265"/>
      <c r="AK1070" s="1265"/>
      <c r="AL1070" s="68"/>
      <c r="AM1070" s="68"/>
      <c r="AN1070" s="68"/>
      <c r="AO1070" s="68"/>
      <c r="AP1070" s="68"/>
      <c r="AQ1070" s="68"/>
      <c r="AR1070" s="68"/>
      <c r="AS1070" s="68"/>
      <c r="AT1070" s="68"/>
    </row>
    <row r="1071" spans="1:51" ht="12.9" customHeight="1">
      <c r="A1071" s="1"/>
      <c r="B1071" s="1"/>
      <c r="C1071" s="8"/>
      <c r="D1071" s="1265"/>
      <c r="E1071" s="1265"/>
      <c r="F1071" s="1265"/>
      <c r="G1071" s="1265"/>
      <c r="H1071" s="1265"/>
      <c r="I1071" s="1265"/>
      <c r="J1071" s="1265"/>
      <c r="K1071" s="1265"/>
      <c r="L1071" s="1265"/>
      <c r="M1071" s="1265"/>
      <c r="N1071" s="1265"/>
      <c r="O1071" s="1265"/>
      <c r="P1071" s="1265"/>
      <c r="Q1071" s="1265"/>
      <c r="R1071" s="1265"/>
      <c r="S1071" s="1265"/>
      <c r="T1071" s="1265"/>
      <c r="U1071" s="1265"/>
      <c r="V1071" s="1265"/>
      <c r="W1071" s="1265"/>
      <c r="X1071" s="1265"/>
      <c r="Y1071" s="1265"/>
      <c r="Z1071" s="1265"/>
      <c r="AA1071" s="1265"/>
      <c r="AB1071" s="1265"/>
      <c r="AC1071" s="1265"/>
      <c r="AD1071" s="1265"/>
      <c r="AE1071" s="1265"/>
      <c r="AF1071" s="1265"/>
      <c r="AG1071" s="1265"/>
      <c r="AH1071" s="1265"/>
      <c r="AI1071" s="1265"/>
      <c r="AJ1071" s="1265"/>
      <c r="AK1071" s="1265"/>
      <c r="AL1071" s="68"/>
      <c r="AM1071" s="68"/>
      <c r="AN1071" s="68"/>
      <c r="AO1071" s="68"/>
      <c r="AP1071" s="68"/>
      <c r="AQ1071" s="68"/>
      <c r="AR1071" s="68"/>
      <c r="AS1071" s="68"/>
      <c r="AT1071" s="68"/>
    </row>
    <row r="1072" spans="1:51" ht="12.9" customHeight="1">
      <c r="A1072" s="1"/>
      <c r="B1072" s="1"/>
      <c r="C1072" s="8"/>
      <c r="D1072" s="1265"/>
      <c r="E1072" s="1265"/>
      <c r="F1072" s="1265"/>
      <c r="G1072" s="1265"/>
      <c r="H1072" s="1265"/>
      <c r="I1072" s="1265"/>
      <c r="J1072" s="1265"/>
      <c r="K1072" s="1265"/>
      <c r="L1072" s="1265"/>
      <c r="M1072" s="1265"/>
      <c r="N1072" s="1265"/>
      <c r="O1072" s="1265"/>
      <c r="P1072" s="1265"/>
      <c r="Q1072" s="1265"/>
      <c r="R1072" s="1265"/>
      <c r="S1072" s="1265"/>
      <c r="T1072" s="1265"/>
      <c r="U1072" s="1265"/>
      <c r="V1072" s="1265"/>
      <c r="W1072" s="1265"/>
      <c r="X1072" s="1265"/>
      <c r="Y1072" s="1265"/>
      <c r="Z1072" s="1265"/>
      <c r="AA1072" s="1265"/>
      <c r="AB1072" s="1265"/>
      <c r="AC1072" s="1265"/>
      <c r="AD1072" s="1265"/>
      <c r="AE1072" s="1265"/>
      <c r="AF1072" s="1265"/>
      <c r="AG1072" s="1265"/>
      <c r="AH1072" s="1265"/>
      <c r="AI1072" s="1265"/>
      <c r="AJ1072" s="1265"/>
      <c r="AK1072" s="1265"/>
      <c r="AL1072" s="68"/>
      <c r="AM1072" s="68"/>
      <c r="AN1072" s="68"/>
      <c r="AO1072" s="68"/>
      <c r="AP1072" s="68"/>
      <c r="AQ1072" s="68"/>
      <c r="AR1072" s="68"/>
      <c r="AS1072" s="68"/>
      <c r="AT1072" s="68"/>
    </row>
    <row r="1073" spans="1:46" ht="12.9" customHeight="1">
      <c r="A1073" s="1"/>
      <c r="B1073" s="1"/>
      <c r="C1073" s="8"/>
      <c r="D1073" s="1265"/>
      <c r="E1073" s="1265"/>
      <c r="F1073" s="1265"/>
      <c r="G1073" s="1265"/>
      <c r="H1073" s="1265"/>
      <c r="I1073" s="1265"/>
      <c r="J1073" s="1265"/>
      <c r="K1073" s="1265"/>
      <c r="L1073" s="1265"/>
      <c r="M1073" s="1265"/>
      <c r="N1073" s="1265"/>
      <c r="O1073" s="1265"/>
      <c r="P1073" s="1265"/>
      <c r="Q1073" s="1265"/>
      <c r="R1073" s="1265"/>
      <c r="S1073" s="1265"/>
      <c r="T1073" s="1265"/>
      <c r="U1073" s="1265"/>
      <c r="V1073" s="1265"/>
      <c r="W1073" s="1265"/>
      <c r="X1073" s="1265"/>
      <c r="Y1073" s="1265"/>
      <c r="Z1073" s="1265"/>
      <c r="AA1073" s="1265"/>
      <c r="AB1073" s="1265"/>
      <c r="AC1073" s="1265"/>
      <c r="AD1073" s="1265"/>
      <c r="AE1073" s="1265"/>
      <c r="AF1073" s="1265"/>
      <c r="AG1073" s="1265"/>
      <c r="AH1073" s="1265"/>
      <c r="AI1073" s="1265"/>
      <c r="AJ1073" s="1265"/>
      <c r="AK1073" s="1265"/>
      <c r="AL1073" s="68"/>
      <c r="AM1073" s="68"/>
      <c r="AN1073" s="68"/>
      <c r="AO1073" s="68"/>
      <c r="AP1073" s="68"/>
      <c r="AQ1073" s="68"/>
      <c r="AR1073" s="68"/>
      <c r="AS1073" s="68"/>
      <c r="AT1073" s="68"/>
    </row>
    <row r="1074" spans="1:46" ht="12.9" hidden="1" customHeight="1">
      <c r="A1074" s="1"/>
      <c r="B1074" s="1"/>
      <c r="C1074" s="8"/>
      <c r="D1074" s="1265"/>
      <c r="E1074" s="1265"/>
      <c r="F1074" s="1265"/>
      <c r="G1074" s="1265"/>
      <c r="H1074" s="1265"/>
      <c r="I1074" s="1265"/>
      <c r="J1074" s="1265"/>
      <c r="K1074" s="1265"/>
      <c r="L1074" s="1265"/>
      <c r="M1074" s="1265"/>
      <c r="N1074" s="1265"/>
      <c r="O1074" s="1265"/>
      <c r="P1074" s="1265"/>
      <c r="Q1074" s="1265"/>
      <c r="R1074" s="1265"/>
      <c r="S1074" s="1265"/>
      <c r="T1074" s="1265"/>
      <c r="U1074" s="1265"/>
      <c r="V1074" s="1265"/>
      <c r="W1074" s="1265"/>
      <c r="X1074" s="1265"/>
      <c r="Y1074" s="1265"/>
      <c r="Z1074" s="1265"/>
      <c r="AA1074" s="1265"/>
      <c r="AB1074" s="1265"/>
      <c r="AC1074" s="1265"/>
      <c r="AD1074" s="1265"/>
      <c r="AE1074" s="1265"/>
      <c r="AF1074" s="1265"/>
      <c r="AG1074" s="1265"/>
      <c r="AH1074" s="1265"/>
      <c r="AI1074" s="1265"/>
      <c r="AJ1074" s="1265"/>
      <c r="AK1074" s="1265"/>
      <c r="AL1074" s="68"/>
      <c r="AM1074" s="68"/>
      <c r="AN1074" s="68"/>
      <c r="AO1074" s="68"/>
      <c r="AP1074" s="68"/>
      <c r="AQ1074" s="68"/>
      <c r="AR1074" s="68"/>
      <c r="AS1074" s="68"/>
      <c r="AT1074" s="68"/>
    </row>
    <row r="1075" spans="1:46" ht="12.9" customHeight="1">
      <c r="A1075" s="1"/>
      <c r="B1075" s="1"/>
      <c r="C1075" s="8"/>
      <c r="D1075" s="1265"/>
      <c r="E1075" s="1265"/>
      <c r="F1075" s="1265"/>
      <c r="G1075" s="1265"/>
      <c r="H1075" s="1265"/>
      <c r="I1075" s="1265"/>
      <c r="J1075" s="1265"/>
      <c r="K1075" s="1265"/>
      <c r="L1075" s="1265"/>
      <c r="M1075" s="1265"/>
      <c r="N1075" s="1265"/>
      <c r="O1075" s="1265"/>
      <c r="P1075" s="1265"/>
      <c r="Q1075" s="1265"/>
      <c r="R1075" s="1265"/>
      <c r="S1075" s="1265"/>
      <c r="T1075" s="1265"/>
      <c r="U1075" s="1265"/>
      <c r="V1075" s="1265"/>
      <c r="W1075" s="1265"/>
      <c r="X1075" s="1265"/>
      <c r="Y1075" s="1265"/>
      <c r="Z1075" s="1265"/>
      <c r="AA1075" s="1265"/>
      <c r="AB1075" s="1265"/>
      <c r="AC1075" s="1265"/>
      <c r="AD1075" s="1265"/>
      <c r="AE1075" s="1265"/>
      <c r="AF1075" s="1265"/>
      <c r="AG1075" s="1265"/>
      <c r="AH1075" s="1265"/>
      <c r="AI1075" s="1265"/>
      <c r="AJ1075" s="1265"/>
      <c r="AK1075" s="1265"/>
    </row>
    <row r="1076" spans="1:46" ht="12.9" customHeight="1">
      <c r="A1076" s="1415" t="s">
        <v>598</v>
      </c>
      <c r="B1076" s="1415"/>
      <c r="C1076" s="8">
        <v>3</v>
      </c>
      <c r="D1076" s="1265" t="s">
        <v>2456</v>
      </c>
      <c r="E1076" s="1265"/>
      <c r="F1076" s="1265"/>
      <c r="G1076" s="1265"/>
      <c r="H1076" s="1265"/>
      <c r="I1076" s="1265"/>
      <c r="J1076" s="1265"/>
      <c r="K1076" s="1265"/>
      <c r="L1076" s="1265"/>
      <c r="M1076" s="1265"/>
      <c r="N1076" s="1265"/>
      <c r="O1076" s="1265"/>
      <c r="P1076" s="1265"/>
      <c r="Q1076" s="1265"/>
      <c r="R1076" s="1265"/>
      <c r="S1076" s="1265"/>
      <c r="T1076" s="1265"/>
      <c r="U1076" s="1265"/>
      <c r="V1076" s="1265"/>
      <c r="W1076" s="1265"/>
      <c r="X1076" s="1265"/>
      <c r="Y1076" s="1265"/>
      <c r="Z1076" s="1265"/>
      <c r="AA1076" s="1265"/>
      <c r="AB1076" s="1265"/>
      <c r="AC1076" s="1265"/>
      <c r="AD1076" s="1265"/>
      <c r="AE1076" s="1265"/>
      <c r="AF1076" s="1265"/>
      <c r="AG1076" s="1265"/>
      <c r="AH1076" s="1265"/>
      <c r="AI1076" s="1265"/>
      <c r="AJ1076" s="1265"/>
      <c r="AK1076" s="1265"/>
    </row>
    <row r="1077" spans="1:46" ht="12.9" customHeight="1">
      <c r="A1077" s="4"/>
      <c r="B1077" s="4"/>
      <c r="C1077" s="8"/>
      <c r="D1077" s="1265"/>
      <c r="E1077" s="1265"/>
      <c r="F1077" s="1265"/>
      <c r="G1077" s="1265"/>
      <c r="H1077" s="1265"/>
      <c r="I1077" s="1265"/>
      <c r="J1077" s="1265"/>
      <c r="K1077" s="1265"/>
      <c r="L1077" s="1265"/>
      <c r="M1077" s="1265"/>
      <c r="N1077" s="1265"/>
      <c r="O1077" s="1265"/>
      <c r="P1077" s="1265"/>
      <c r="Q1077" s="1265"/>
      <c r="R1077" s="1265"/>
      <c r="S1077" s="1265"/>
      <c r="T1077" s="1265"/>
      <c r="U1077" s="1265"/>
      <c r="V1077" s="1265"/>
      <c r="W1077" s="1265"/>
      <c r="X1077" s="1265"/>
      <c r="Y1077" s="1265"/>
      <c r="Z1077" s="1265"/>
      <c r="AA1077" s="1265"/>
      <c r="AB1077" s="1265"/>
      <c r="AC1077" s="1265"/>
      <c r="AD1077" s="1265"/>
      <c r="AE1077" s="1265"/>
      <c r="AF1077" s="1265"/>
      <c r="AG1077" s="1265"/>
      <c r="AH1077" s="1265"/>
      <c r="AI1077" s="1265"/>
      <c r="AJ1077" s="1265"/>
      <c r="AK1077" s="1265"/>
    </row>
    <row r="1078" spans="1:46" ht="12.9" customHeight="1">
      <c r="A1078" s="4"/>
      <c r="B1078" s="4"/>
      <c r="C1078" s="8"/>
      <c r="D1078" s="1265"/>
      <c r="E1078" s="1265"/>
      <c r="F1078" s="1265"/>
      <c r="G1078" s="1265"/>
      <c r="H1078" s="1265"/>
      <c r="I1078" s="1265"/>
      <c r="J1078" s="1265"/>
      <c r="K1078" s="1265"/>
      <c r="L1078" s="1265"/>
      <c r="M1078" s="1265"/>
      <c r="N1078" s="1265"/>
      <c r="O1078" s="1265"/>
      <c r="P1078" s="1265"/>
      <c r="Q1078" s="1265"/>
      <c r="R1078" s="1265"/>
      <c r="S1078" s="1265"/>
      <c r="T1078" s="1265"/>
      <c r="U1078" s="1265"/>
      <c r="V1078" s="1265"/>
      <c r="W1078" s="1265"/>
      <c r="X1078" s="1265"/>
      <c r="Y1078" s="1265"/>
      <c r="Z1078" s="1265"/>
      <c r="AA1078" s="1265"/>
      <c r="AB1078" s="1265"/>
      <c r="AC1078" s="1265"/>
      <c r="AD1078" s="1265"/>
      <c r="AE1078" s="1265"/>
      <c r="AF1078" s="1265"/>
      <c r="AG1078" s="1265"/>
      <c r="AH1078" s="1265"/>
      <c r="AI1078" s="1265"/>
      <c r="AJ1078" s="1265"/>
      <c r="AK1078" s="1265"/>
    </row>
    <row r="1079" spans="1:46" ht="12.9" customHeight="1">
      <c r="A1079" s="35"/>
      <c r="B1079" s="25"/>
      <c r="C1079" s="8"/>
      <c r="D1079" s="1265"/>
      <c r="E1079" s="1265"/>
      <c r="F1079" s="1265"/>
      <c r="G1079" s="1265"/>
      <c r="H1079" s="1265"/>
      <c r="I1079" s="1265"/>
      <c r="J1079" s="1265"/>
      <c r="K1079" s="1265"/>
      <c r="L1079" s="1265"/>
      <c r="M1079" s="1265"/>
      <c r="N1079" s="1265"/>
      <c r="O1079" s="1265"/>
      <c r="P1079" s="1265"/>
      <c r="Q1079" s="1265"/>
      <c r="R1079" s="1265"/>
      <c r="S1079" s="1265"/>
      <c r="T1079" s="1265"/>
      <c r="U1079" s="1265"/>
      <c r="V1079" s="1265"/>
      <c r="W1079" s="1265"/>
      <c r="X1079" s="1265"/>
      <c r="Y1079" s="1265"/>
      <c r="Z1079" s="1265"/>
      <c r="AA1079" s="1265"/>
      <c r="AB1079" s="1265"/>
      <c r="AC1079" s="1265"/>
      <c r="AD1079" s="1265"/>
      <c r="AE1079" s="1265"/>
      <c r="AF1079" s="1265"/>
      <c r="AG1079" s="1265"/>
      <c r="AH1079" s="1265"/>
      <c r="AI1079" s="1265"/>
      <c r="AJ1079" s="1265"/>
      <c r="AK1079" s="1265"/>
    </row>
    <row r="1080" spans="1:46" ht="12.9" customHeight="1">
      <c r="A1080" s="35"/>
      <c r="B1080" s="25"/>
      <c r="C1080" s="8"/>
      <c r="D1080" s="1265"/>
      <c r="E1080" s="1265"/>
      <c r="F1080" s="1265"/>
      <c r="G1080" s="1265"/>
      <c r="H1080" s="1265"/>
      <c r="I1080" s="1265"/>
      <c r="J1080" s="1265"/>
      <c r="K1080" s="1265"/>
      <c r="L1080" s="1265"/>
      <c r="M1080" s="1265"/>
      <c r="N1080" s="1265"/>
      <c r="O1080" s="1265"/>
      <c r="P1080" s="1265"/>
      <c r="Q1080" s="1265"/>
      <c r="R1080" s="1265"/>
      <c r="S1080" s="1265"/>
      <c r="T1080" s="1265"/>
      <c r="U1080" s="1265"/>
      <c r="V1080" s="1265"/>
      <c r="W1080" s="1265"/>
      <c r="X1080" s="1265"/>
      <c r="Y1080" s="1265"/>
      <c r="Z1080" s="1265"/>
      <c r="AA1080" s="1265"/>
      <c r="AB1080" s="1265"/>
      <c r="AC1080" s="1265"/>
      <c r="AD1080" s="1265"/>
      <c r="AE1080" s="1265"/>
      <c r="AF1080" s="1265"/>
      <c r="AG1080" s="1265"/>
      <c r="AH1080" s="1265"/>
      <c r="AI1080" s="1265"/>
      <c r="AJ1080" s="1265"/>
      <c r="AK1080" s="1265"/>
    </row>
    <row r="1081" spans="1:46" ht="12.9" customHeight="1">
      <c r="A1081" s="35"/>
      <c r="B1081" s="25"/>
      <c r="C1081" s="8"/>
      <c r="D1081" s="1265"/>
      <c r="E1081" s="1265"/>
      <c r="F1081" s="1265"/>
      <c r="G1081" s="1265"/>
      <c r="H1081" s="1265"/>
      <c r="I1081" s="1265"/>
      <c r="J1081" s="1265"/>
      <c r="K1081" s="1265"/>
      <c r="L1081" s="1265"/>
      <c r="M1081" s="1265"/>
      <c r="N1081" s="1265"/>
      <c r="O1081" s="1265"/>
      <c r="P1081" s="1265"/>
      <c r="Q1081" s="1265"/>
      <c r="R1081" s="1265"/>
      <c r="S1081" s="1265"/>
      <c r="T1081" s="1265"/>
      <c r="U1081" s="1265"/>
      <c r="V1081" s="1265"/>
      <c r="W1081" s="1265"/>
      <c r="X1081" s="1265"/>
      <c r="Y1081" s="1265"/>
      <c r="Z1081" s="1265"/>
      <c r="AA1081" s="1265"/>
      <c r="AB1081" s="1265"/>
      <c r="AC1081" s="1265"/>
      <c r="AD1081" s="1265"/>
      <c r="AE1081" s="1265"/>
      <c r="AF1081" s="1265"/>
      <c r="AG1081" s="1265"/>
      <c r="AH1081" s="1265"/>
      <c r="AI1081" s="1265"/>
      <c r="AJ1081" s="1265"/>
      <c r="AK1081" s="1265"/>
    </row>
    <row r="1082" spans="1:46" ht="12.9" customHeight="1">
      <c r="A1082" s="35"/>
      <c r="B1082" s="25"/>
      <c r="C1082" s="8"/>
      <c r="D1082" s="1265"/>
      <c r="E1082" s="1265"/>
      <c r="F1082" s="1265"/>
      <c r="G1082" s="1265"/>
      <c r="H1082" s="1265"/>
      <c r="I1082" s="1265"/>
      <c r="J1082" s="1265"/>
      <c r="K1082" s="1265"/>
      <c r="L1082" s="1265"/>
      <c r="M1082" s="1265"/>
      <c r="N1082" s="1265"/>
      <c r="O1082" s="1265"/>
      <c r="P1082" s="1265"/>
      <c r="Q1082" s="1265"/>
      <c r="R1082" s="1265"/>
      <c r="S1082" s="1265"/>
      <c r="T1082" s="1265"/>
      <c r="U1082" s="1265"/>
      <c r="V1082" s="1265"/>
      <c r="W1082" s="1265"/>
      <c r="X1082" s="1265"/>
      <c r="Y1082" s="1265"/>
      <c r="Z1082" s="1265"/>
      <c r="AA1082" s="1265"/>
      <c r="AB1082" s="1265"/>
      <c r="AC1082" s="1265"/>
      <c r="AD1082" s="1265"/>
      <c r="AE1082" s="1265"/>
      <c r="AF1082" s="1265"/>
      <c r="AG1082" s="1265"/>
      <c r="AH1082" s="1265"/>
      <c r="AI1082" s="1265"/>
      <c r="AJ1082" s="1265"/>
      <c r="AK1082" s="1265"/>
    </row>
    <row r="1083" spans="1:46" ht="12.9" customHeight="1">
      <c r="A1083" s="1415" t="s">
        <v>598</v>
      </c>
      <c r="B1083" s="1415"/>
      <c r="C1083" s="8">
        <v>4</v>
      </c>
      <c r="D1083" s="1265" t="s">
        <v>1117</v>
      </c>
      <c r="E1083" s="1265"/>
      <c r="F1083" s="1265"/>
      <c r="G1083" s="1265"/>
      <c r="H1083" s="1265"/>
      <c r="I1083" s="1265"/>
      <c r="J1083" s="1265"/>
      <c r="K1083" s="1265"/>
      <c r="L1083" s="1265"/>
      <c r="M1083" s="1265"/>
      <c r="N1083" s="1265"/>
      <c r="O1083" s="1265"/>
      <c r="P1083" s="1265"/>
      <c r="Q1083" s="1265"/>
      <c r="R1083" s="1265"/>
      <c r="S1083" s="1265"/>
      <c r="T1083" s="1265"/>
      <c r="U1083" s="1265"/>
      <c r="V1083" s="1265"/>
      <c r="W1083" s="1265"/>
      <c r="X1083" s="1265"/>
      <c r="Y1083" s="1265"/>
      <c r="Z1083" s="1265"/>
      <c r="AA1083" s="1265"/>
      <c r="AB1083" s="1265"/>
      <c r="AC1083" s="1265"/>
      <c r="AD1083" s="1265"/>
      <c r="AE1083" s="1265"/>
      <c r="AF1083" s="1265"/>
      <c r="AG1083" s="1265"/>
      <c r="AH1083" s="1265"/>
      <c r="AI1083" s="1265"/>
      <c r="AJ1083" s="1265"/>
      <c r="AK1083" s="1265"/>
    </row>
    <row r="1084" spans="1:46" ht="12.9" customHeight="1">
      <c r="A1084" s="1"/>
      <c r="B1084" s="1"/>
      <c r="C1084" s="8"/>
      <c r="D1084" s="1265"/>
      <c r="E1084" s="1265"/>
      <c r="F1084" s="1265"/>
      <c r="G1084" s="1265"/>
      <c r="H1084" s="1265"/>
      <c r="I1084" s="1265"/>
      <c r="J1084" s="1265"/>
      <c r="K1084" s="1265"/>
      <c r="L1084" s="1265"/>
      <c r="M1084" s="1265"/>
      <c r="N1084" s="1265"/>
      <c r="O1084" s="1265"/>
      <c r="P1084" s="1265"/>
      <c r="Q1084" s="1265"/>
      <c r="R1084" s="1265"/>
      <c r="S1084" s="1265"/>
      <c r="T1084" s="1265"/>
      <c r="U1084" s="1265"/>
      <c r="V1084" s="1265"/>
      <c r="W1084" s="1265"/>
      <c r="X1084" s="1265"/>
      <c r="Y1084" s="1265"/>
      <c r="Z1084" s="1265"/>
      <c r="AA1084" s="1265"/>
      <c r="AB1084" s="1265"/>
      <c r="AC1084" s="1265"/>
      <c r="AD1084" s="1265"/>
      <c r="AE1084" s="1265"/>
      <c r="AF1084" s="1265"/>
      <c r="AG1084" s="1265"/>
      <c r="AH1084" s="1265"/>
      <c r="AI1084" s="1265"/>
      <c r="AJ1084" s="1265"/>
      <c r="AK1084" s="1265"/>
    </row>
    <row r="1085" spans="1:46" ht="12.9" customHeight="1">
      <c r="A1085" s="35"/>
      <c r="B1085" s="25"/>
      <c r="C1085" s="8"/>
      <c r="D1085" s="1265"/>
      <c r="E1085" s="1265"/>
      <c r="F1085" s="1265"/>
      <c r="G1085" s="1265"/>
      <c r="H1085" s="1265"/>
      <c r="I1085" s="1265"/>
      <c r="J1085" s="1265"/>
      <c r="K1085" s="1265"/>
      <c r="L1085" s="1265"/>
      <c r="M1085" s="1265"/>
      <c r="N1085" s="1265"/>
      <c r="O1085" s="1265"/>
      <c r="P1085" s="1265"/>
      <c r="Q1085" s="1265"/>
      <c r="R1085" s="1265"/>
      <c r="S1085" s="1265"/>
      <c r="T1085" s="1265"/>
      <c r="U1085" s="1265"/>
      <c r="V1085" s="1265"/>
      <c r="W1085" s="1265"/>
      <c r="X1085" s="1265"/>
      <c r="Y1085" s="1265"/>
      <c r="Z1085" s="1265"/>
      <c r="AA1085" s="1265"/>
      <c r="AB1085" s="1265"/>
      <c r="AC1085" s="1265"/>
      <c r="AD1085" s="1265"/>
      <c r="AE1085" s="1265"/>
      <c r="AF1085" s="1265"/>
      <c r="AG1085" s="1265"/>
      <c r="AH1085" s="1265"/>
      <c r="AI1085" s="1265"/>
      <c r="AJ1085" s="1265"/>
      <c r="AK1085" s="1265"/>
    </row>
    <row r="1086" spans="1:46" ht="12.9" customHeight="1">
      <c r="A1086" s="1415" t="s">
        <v>598</v>
      </c>
      <c r="B1086" s="1415"/>
      <c r="C1086" s="8">
        <v>5</v>
      </c>
      <c r="D1086" s="1265" t="s">
        <v>2457</v>
      </c>
      <c r="E1086" s="1265"/>
      <c r="F1086" s="1265"/>
      <c r="G1086" s="1265"/>
      <c r="H1086" s="1265"/>
      <c r="I1086" s="1265"/>
      <c r="J1086" s="1265"/>
      <c r="K1086" s="1265"/>
      <c r="L1086" s="1265"/>
      <c r="M1086" s="1265"/>
      <c r="N1086" s="1265"/>
      <c r="O1086" s="1265"/>
      <c r="P1086" s="1265"/>
      <c r="Q1086" s="1265"/>
      <c r="R1086" s="1265"/>
      <c r="S1086" s="1265"/>
      <c r="T1086" s="1265"/>
      <c r="U1086" s="1265"/>
      <c r="V1086" s="1265"/>
      <c r="W1086" s="1265"/>
      <c r="X1086" s="1265"/>
      <c r="Y1086" s="1265"/>
      <c r="Z1086" s="1265"/>
      <c r="AA1086" s="1265"/>
      <c r="AB1086" s="1265"/>
      <c r="AC1086" s="1265"/>
      <c r="AD1086" s="1265"/>
      <c r="AE1086" s="1265"/>
      <c r="AF1086" s="1265"/>
      <c r="AG1086" s="1265"/>
      <c r="AH1086" s="1265"/>
      <c r="AI1086" s="1265"/>
      <c r="AJ1086" s="1265"/>
      <c r="AK1086" s="1265"/>
    </row>
    <row r="1087" spans="1:46" ht="12.9" customHeight="1">
      <c r="A1087" s="1"/>
      <c r="B1087" s="1"/>
      <c r="C1087" s="8"/>
      <c r="D1087" s="1265"/>
      <c r="E1087" s="1265"/>
      <c r="F1087" s="1265"/>
      <c r="G1087" s="1265"/>
      <c r="H1087" s="1265"/>
      <c r="I1087" s="1265"/>
      <c r="J1087" s="1265"/>
      <c r="K1087" s="1265"/>
      <c r="L1087" s="1265"/>
      <c r="M1087" s="1265"/>
      <c r="N1087" s="1265"/>
      <c r="O1087" s="1265"/>
      <c r="P1087" s="1265"/>
      <c r="Q1087" s="1265"/>
      <c r="R1087" s="1265"/>
      <c r="S1087" s="1265"/>
      <c r="T1087" s="1265"/>
      <c r="U1087" s="1265"/>
      <c r="V1087" s="1265"/>
      <c r="W1087" s="1265"/>
      <c r="X1087" s="1265"/>
      <c r="Y1087" s="1265"/>
      <c r="Z1087" s="1265"/>
      <c r="AA1087" s="1265"/>
      <c r="AB1087" s="1265"/>
      <c r="AC1087" s="1265"/>
      <c r="AD1087" s="1265"/>
      <c r="AE1087" s="1265"/>
      <c r="AF1087" s="1265"/>
      <c r="AG1087" s="1265"/>
      <c r="AH1087" s="1265"/>
      <c r="AI1087" s="1265"/>
      <c r="AJ1087" s="1265"/>
      <c r="AK1087" s="1265"/>
    </row>
    <row r="1088" spans="1:46" ht="12.9" customHeight="1">
      <c r="A1088" s="1"/>
      <c r="B1088" s="1"/>
      <c r="C1088" s="8"/>
      <c r="D1088" s="1265"/>
      <c r="E1088" s="1265"/>
      <c r="F1088" s="1265"/>
      <c r="G1088" s="1265"/>
      <c r="H1088" s="1265"/>
      <c r="I1088" s="1265"/>
      <c r="J1088" s="1265"/>
      <c r="K1088" s="1265"/>
      <c r="L1088" s="1265"/>
      <c r="M1088" s="1265"/>
      <c r="N1088" s="1265"/>
      <c r="O1088" s="1265"/>
      <c r="P1088" s="1265"/>
      <c r="Q1088" s="1265"/>
      <c r="R1088" s="1265"/>
      <c r="S1088" s="1265"/>
      <c r="T1088" s="1265"/>
      <c r="U1088" s="1265"/>
      <c r="V1088" s="1265"/>
      <c r="W1088" s="1265"/>
      <c r="X1088" s="1265"/>
      <c r="Y1088" s="1265"/>
      <c r="Z1088" s="1265"/>
      <c r="AA1088" s="1265"/>
      <c r="AB1088" s="1265"/>
      <c r="AC1088" s="1265"/>
      <c r="AD1088" s="1265"/>
      <c r="AE1088" s="1265"/>
      <c r="AF1088" s="1265"/>
      <c r="AG1088" s="1265"/>
      <c r="AH1088" s="1265"/>
      <c r="AI1088" s="1265"/>
      <c r="AJ1088" s="1265"/>
      <c r="AK1088" s="1265"/>
    </row>
    <row r="1089" spans="1:37" ht="12.9" hidden="1" customHeight="1">
      <c r="A1089" s="1"/>
      <c r="B1089" s="1"/>
      <c r="C1089" s="8"/>
      <c r="D1089" s="1265"/>
      <c r="E1089" s="1265"/>
      <c r="F1089" s="1265"/>
      <c r="G1089" s="1265"/>
      <c r="H1089" s="1265"/>
      <c r="I1089" s="1265"/>
      <c r="J1089" s="1265"/>
      <c r="K1089" s="1265"/>
      <c r="L1089" s="1265"/>
      <c r="M1089" s="1265"/>
      <c r="N1089" s="1265"/>
      <c r="O1089" s="1265"/>
      <c r="P1089" s="1265"/>
      <c r="Q1089" s="1265"/>
      <c r="R1089" s="1265"/>
      <c r="S1089" s="1265"/>
      <c r="T1089" s="1265"/>
      <c r="U1089" s="1265"/>
      <c r="V1089" s="1265"/>
      <c r="W1089" s="1265"/>
      <c r="X1089" s="1265"/>
      <c r="Y1089" s="1265"/>
      <c r="Z1089" s="1265"/>
      <c r="AA1089" s="1265"/>
      <c r="AB1089" s="1265"/>
      <c r="AC1089" s="1265"/>
      <c r="AD1089" s="1265"/>
      <c r="AE1089" s="1265"/>
      <c r="AF1089" s="1265"/>
      <c r="AG1089" s="1265"/>
      <c r="AH1089" s="1265"/>
      <c r="AI1089" s="1265"/>
      <c r="AJ1089" s="1265"/>
      <c r="AK1089" s="1265"/>
    </row>
    <row r="1090" spans="1:37" ht="12.9" customHeight="1">
      <c r="A1090" s="35"/>
      <c r="B1090" s="25"/>
      <c r="C1090" s="8"/>
      <c r="D1090" s="1265"/>
      <c r="E1090" s="1265"/>
      <c r="F1090" s="1265"/>
      <c r="G1090" s="1265"/>
      <c r="H1090" s="1265"/>
      <c r="I1090" s="1265"/>
      <c r="J1090" s="1265"/>
      <c r="K1090" s="1265"/>
      <c r="L1090" s="1265"/>
      <c r="M1090" s="1265"/>
      <c r="N1090" s="1265"/>
      <c r="O1090" s="1265"/>
      <c r="P1090" s="1265"/>
      <c r="Q1090" s="1265"/>
      <c r="R1090" s="1265"/>
      <c r="S1090" s="1265"/>
      <c r="T1090" s="1265"/>
      <c r="U1090" s="1265"/>
      <c r="V1090" s="1265"/>
      <c r="W1090" s="1265"/>
      <c r="X1090" s="1265"/>
      <c r="Y1090" s="1265"/>
      <c r="Z1090" s="1265"/>
      <c r="AA1090" s="1265"/>
      <c r="AB1090" s="1265"/>
      <c r="AC1090" s="1265"/>
      <c r="AD1090" s="1265"/>
      <c r="AE1090" s="1265"/>
      <c r="AF1090" s="1265"/>
      <c r="AG1090" s="1265"/>
      <c r="AH1090" s="1265"/>
      <c r="AI1090" s="1265"/>
      <c r="AJ1090" s="1265"/>
      <c r="AK1090" s="1265"/>
    </row>
    <row r="1091" spans="1:37" ht="12.9" customHeight="1">
      <c r="A1091" s="1415" t="s">
        <v>598</v>
      </c>
      <c r="B1091" s="1415"/>
      <c r="C1091" s="8">
        <v>6</v>
      </c>
      <c r="D1091" s="1265" t="s">
        <v>1118</v>
      </c>
      <c r="E1091" s="1265"/>
      <c r="F1091" s="1265"/>
      <c r="G1091" s="1265"/>
      <c r="H1091" s="1265"/>
      <c r="I1091" s="1265"/>
      <c r="J1091" s="1265"/>
      <c r="K1091" s="1265"/>
      <c r="L1091" s="1265"/>
      <c r="M1091" s="1265"/>
      <c r="N1091" s="1265"/>
      <c r="O1091" s="1265"/>
      <c r="P1091" s="1265"/>
      <c r="Q1091" s="1265"/>
      <c r="R1091" s="1265"/>
      <c r="S1091" s="1265"/>
      <c r="T1091" s="1265"/>
      <c r="U1091" s="1265"/>
      <c r="V1091" s="1265"/>
      <c r="W1091" s="1265"/>
      <c r="X1091" s="1265"/>
      <c r="Y1091" s="1265"/>
      <c r="Z1091" s="1265"/>
      <c r="AA1091" s="1265"/>
      <c r="AB1091" s="1265"/>
      <c r="AC1091" s="1265"/>
      <c r="AD1091" s="1265"/>
      <c r="AE1091" s="1265"/>
      <c r="AF1091" s="1265"/>
      <c r="AG1091" s="1265"/>
      <c r="AH1091" s="1265"/>
      <c r="AI1091" s="1265"/>
      <c r="AJ1091" s="1265"/>
      <c r="AK1091" s="1265"/>
    </row>
    <row r="1092" spans="1:37" ht="12.9" customHeight="1">
      <c r="A1092" s="35"/>
      <c r="B1092" s="25"/>
      <c r="C1092" s="8"/>
      <c r="D1092" s="1265"/>
      <c r="E1092" s="1265"/>
      <c r="F1092" s="1265"/>
      <c r="G1092" s="1265"/>
      <c r="H1092" s="1265"/>
      <c r="I1092" s="1265"/>
      <c r="J1092" s="1265"/>
      <c r="K1092" s="1265"/>
      <c r="L1092" s="1265"/>
      <c r="M1092" s="1265"/>
      <c r="N1092" s="1265"/>
      <c r="O1092" s="1265"/>
      <c r="P1092" s="1265"/>
      <c r="Q1092" s="1265"/>
      <c r="R1092" s="1265"/>
      <c r="S1092" s="1265"/>
      <c r="T1092" s="1265"/>
      <c r="U1092" s="1265"/>
      <c r="V1092" s="1265"/>
      <c r="W1092" s="1265"/>
      <c r="X1092" s="1265"/>
      <c r="Y1092" s="1265"/>
      <c r="Z1092" s="1265"/>
      <c r="AA1092" s="1265"/>
      <c r="AB1092" s="1265"/>
      <c r="AC1092" s="1265"/>
      <c r="AD1092" s="1265"/>
      <c r="AE1092" s="1265"/>
      <c r="AF1092" s="1265"/>
      <c r="AG1092" s="1265"/>
      <c r="AH1092" s="1265"/>
      <c r="AI1092" s="1265"/>
      <c r="AJ1092" s="1265"/>
      <c r="AK1092" s="1265"/>
    </row>
    <row r="1093" spans="1:37" ht="12.9" customHeight="1">
      <c r="A1093" s="35"/>
      <c r="B1093" s="25"/>
      <c r="C1093" s="8"/>
      <c r="D1093" s="1265"/>
      <c r="E1093" s="1265"/>
      <c r="F1093" s="1265"/>
      <c r="G1093" s="1265"/>
      <c r="H1093" s="1265"/>
      <c r="I1093" s="1265"/>
      <c r="J1093" s="1265"/>
      <c r="K1093" s="1265"/>
      <c r="L1093" s="1265"/>
      <c r="M1093" s="1265"/>
      <c r="N1093" s="1265"/>
      <c r="O1093" s="1265"/>
      <c r="P1093" s="1265"/>
      <c r="Q1093" s="1265"/>
      <c r="R1093" s="1265"/>
      <c r="S1093" s="1265"/>
      <c r="T1093" s="1265"/>
      <c r="U1093" s="1265"/>
      <c r="V1093" s="1265"/>
      <c r="W1093" s="1265"/>
      <c r="X1093" s="1265"/>
      <c r="Y1093" s="1265"/>
      <c r="Z1093" s="1265"/>
      <c r="AA1093" s="1265"/>
      <c r="AB1093" s="1265"/>
      <c r="AC1093" s="1265"/>
      <c r="AD1093" s="1265"/>
      <c r="AE1093" s="1265"/>
      <c r="AF1093" s="1265"/>
      <c r="AG1093" s="1265"/>
      <c r="AH1093" s="1265"/>
      <c r="AI1093" s="1265"/>
      <c r="AJ1093" s="1265"/>
      <c r="AK1093" s="1265"/>
    </row>
    <row r="1094" spans="1:37" ht="12.9" customHeight="1">
      <c r="A1094" s="1415" t="s">
        <v>598</v>
      </c>
      <c r="B1094" s="1415"/>
      <c r="C1094" s="212">
        <v>7</v>
      </c>
      <c r="D1094" s="1265" t="s">
        <v>1120</v>
      </c>
      <c r="E1094" s="1265"/>
      <c r="F1094" s="1265"/>
      <c r="G1094" s="1265"/>
      <c r="H1094" s="1265"/>
      <c r="I1094" s="1265"/>
      <c r="J1094" s="1265"/>
      <c r="K1094" s="1265"/>
      <c r="L1094" s="1265"/>
      <c r="M1094" s="1265"/>
      <c r="N1094" s="1265"/>
      <c r="O1094" s="1265"/>
      <c r="P1094" s="1265"/>
      <c r="Q1094" s="1265"/>
      <c r="R1094" s="1265"/>
      <c r="S1094" s="1265"/>
      <c r="T1094" s="1265"/>
      <c r="U1094" s="1265"/>
      <c r="V1094" s="1265"/>
      <c r="W1094" s="1265"/>
      <c r="X1094" s="1265"/>
      <c r="Y1094" s="1265"/>
      <c r="Z1094" s="1265"/>
      <c r="AA1094" s="1265"/>
      <c r="AB1094" s="1265"/>
      <c r="AC1094" s="1265"/>
      <c r="AD1094" s="1265"/>
      <c r="AE1094" s="1265"/>
      <c r="AF1094" s="1265"/>
      <c r="AG1094" s="1265"/>
      <c r="AH1094" s="1265"/>
      <c r="AI1094" s="1265"/>
      <c r="AJ1094" s="1265"/>
      <c r="AK1094" s="1265"/>
    </row>
    <row r="1095" spans="1:37" ht="12.9" customHeight="1">
      <c r="A1095" s="1"/>
      <c r="B1095" s="1"/>
      <c r="C1095" s="212"/>
      <c r="D1095" s="1265"/>
      <c r="E1095" s="1265"/>
      <c r="F1095" s="1265"/>
      <c r="G1095" s="1265"/>
      <c r="H1095" s="1265"/>
      <c r="I1095" s="1265"/>
      <c r="J1095" s="1265"/>
      <c r="K1095" s="1265"/>
      <c r="L1095" s="1265"/>
      <c r="M1095" s="1265"/>
      <c r="N1095" s="1265"/>
      <c r="O1095" s="1265"/>
      <c r="P1095" s="1265"/>
      <c r="Q1095" s="1265"/>
      <c r="R1095" s="1265"/>
      <c r="S1095" s="1265"/>
      <c r="T1095" s="1265"/>
      <c r="U1095" s="1265"/>
      <c r="V1095" s="1265"/>
      <c r="W1095" s="1265"/>
      <c r="X1095" s="1265"/>
      <c r="Y1095" s="1265"/>
      <c r="Z1095" s="1265"/>
      <c r="AA1095" s="1265"/>
      <c r="AB1095" s="1265"/>
      <c r="AC1095" s="1265"/>
      <c r="AD1095" s="1265"/>
      <c r="AE1095" s="1265"/>
      <c r="AF1095" s="1265"/>
      <c r="AG1095" s="1265"/>
      <c r="AH1095" s="1265"/>
      <c r="AI1095" s="1265"/>
      <c r="AJ1095" s="1265"/>
      <c r="AK1095" s="1265"/>
    </row>
    <row r="1096" spans="1:37" ht="12.9" customHeight="1">
      <c r="A1096" s="1"/>
      <c r="B1096" s="1"/>
      <c r="C1096" s="212"/>
      <c r="D1096" s="1265"/>
      <c r="E1096" s="1265"/>
      <c r="F1096" s="1265"/>
      <c r="G1096" s="1265"/>
      <c r="H1096" s="1265"/>
      <c r="I1096" s="1265"/>
      <c r="J1096" s="1265"/>
      <c r="K1096" s="1265"/>
      <c r="L1096" s="1265"/>
      <c r="M1096" s="1265"/>
      <c r="N1096" s="1265"/>
      <c r="O1096" s="1265"/>
      <c r="P1096" s="1265"/>
      <c r="Q1096" s="1265"/>
      <c r="R1096" s="1265"/>
      <c r="S1096" s="1265"/>
      <c r="T1096" s="1265"/>
      <c r="U1096" s="1265"/>
      <c r="V1096" s="1265"/>
      <c r="W1096" s="1265"/>
      <c r="X1096" s="1265"/>
      <c r="Y1096" s="1265"/>
      <c r="Z1096" s="1265"/>
      <c r="AA1096" s="1265"/>
      <c r="AB1096" s="1265"/>
      <c r="AC1096" s="1265"/>
      <c r="AD1096" s="1265"/>
      <c r="AE1096" s="1265"/>
      <c r="AF1096" s="1265"/>
      <c r="AG1096" s="1265"/>
      <c r="AH1096" s="1265"/>
      <c r="AI1096" s="1265"/>
      <c r="AJ1096" s="1265"/>
      <c r="AK1096" s="1265"/>
    </row>
    <row r="1097" spans="1:37" ht="12.9" customHeight="1">
      <c r="A1097" s="35"/>
      <c r="B1097" s="25"/>
      <c r="C1097" s="212"/>
      <c r="D1097" s="1265"/>
      <c r="E1097" s="1265"/>
      <c r="F1097" s="1265"/>
      <c r="G1097" s="1265"/>
      <c r="H1097" s="1265"/>
      <c r="I1097" s="1265"/>
      <c r="J1097" s="1265"/>
      <c r="K1097" s="1265"/>
      <c r="L1097" s="1265"/>
      <c r="M1097" s="1265"/>
      <c r="N1097" s="1265"/>
      <c r="O1097" s="1265"/>
      <c r="P1097" s="1265"/>
      <c r="Q1097" s="1265"/>
      <c r="R1097" s="1265"/>
      <c r="S1097" s="1265"/>
      <c r="T1097" s="1265"/>
      <c r="U1097" s="1265"/>
      <c r="V1097" s="1265"/>
      <c r="W1097" s="1265"/>
      <c r="X1097" s="1265"/>
      <c r="Y1097" s="1265"/>
      <c r="Z1097" s="1265"/>
      <c r="AA1097" s="1265"/>
      <c r="AB1097" s="1265"/>
      <c r="AC1097" s="1265"/>
      <c r="AD1097" s="1265"/>
      <c r="AE1097" s="1265"/>
      <c r="AF1097" s="1265"/>
      <c r="AG1097" s="1265"/>
      <c r="AH1097" s="1265"/>
      <c r="AI1097" s="1265"/>
      <c r="AJ1097" s="1265"/>
      <c r="AK1097" s="1265"/>
    </row>
    <row r="1098" spans="1:37" ht="12.9" customHeight="1">
      <c r="A1098" s="1415" t="s">
        <v>598</v>
      </c>
      <c r="B1098" s="1415"/>
      <c r="C1098" s="212">
        <v>8</v>
      </c>
      <c r="D1098" s="1349" t="s">
        <v>1870</v>
      </c>
      <c r="E1098" s="1349"/>
      <c r="F1098" s="1349"/>
      <c r="G1098" s="1349"/>
      <c r="H1098" s="1349"/>
      <c r="I1098" s="1349"/>
      <c r="J1098" s="1349"/>
      <c r="K1098" s="1349"/>
      <c r="L1098" s="1349"/>
      <c r="M1098" s="1349"/>
      <c r="N1098" s="1349"/>
      <c r="O1098" s="1349"/>
      <c r="P1098" s="1349"/>
      <c r="Q1098" s="1349"/>
      <c r="R1098" s="1349"/>
      <c r="S1098" s="1349"/>
      <c r="T1098" s="1349"/>
      <c r="U1098" s="1349"/>
      <c r="V1098" s="1349"/>
      <c r="W1098" s="1349"/>
      <c r="X1098" s="1349"/>
      <c r="Y1098" s="1349"/>
      <c r="Z1098" s="1349"/>
      <c r="AA1098" s="1349"/>
      <c r="AB1098" s="1349"/>
      <c r="AC1098" s="1349"/>
      <c r="AD1098" s="1349"/>
      <c r="AE1098" s="1349"/>
      <c r="AF1098" s="1349"/>
      <c r="AG1098" s="1349"/>
      <c r="AH1098" s="1349"/>
      <c r="AI1098" s="1349"/>
      <c r="AJ1098" s="1349"/>
      <c r="AK1098" s="1349"/>
    </row>
    <row r="1099" spans="1:37" ht="12.9" customHeight="1">
      <c r="A1099" s="1"/>
      <c r="B1099" s="1"/>
      <c r="C1099" s="212"/>
      <c r="D1099" s="1349"/>
      <c r="E1099" s="1349"/>
      <c r="F1099" s="1349"/>
      <c r="G1099" s="1349"/>
      <c r="H1099" s="1349"/>
      <c r="I1099" s="1349"/>
      <c r="J1099" s="1349"/>
      <c r="K1099" s="1349"/>
      <c r="L1099" s="1349"/>
      <c r="M1099" s="1349"/>
      <c r="N1099" s="1349"/>
      <c r="O1099" s="1349"/>
      <c r="P1099" s="1349"/>
      <c r="Q1099" s="1349"/>
      <c r="R1099" s="1349"/>
      <c r="S1099" s="1349"/>
      <c r="T1099" s="1349"/>
      <c r="U1099" s="1349"/>
      <c r="V1099" s="1349"/>
      <c r="W1099" s="1349"/>
      <c r="X1099" s="1349"/>
      <c r="Y1099" s="1349"/>
      <c r="Z1099" s="1349"/>
      <c r="AA1099" s="1349"/>
      <c r="AB1099" s="1349"/>
      <c r="AC1099" s="1349"/>
      <c r="AD1099" s="1349"/>
      <c r="AE1099" s="1349"/>
      <c r="AF1099" s="1349"/>
      <c r="AG1099" s="1349"/>
      <c r="AH1099" s="1349"/>
      <c r="AI1099" s="1349"/>
      <c r="AJ1099" s="1349"/>
      <c r="AK1099" s="1349"/>
    </row>
    <row r="1100" spans="1:37" ht="12.9" customHeight="1">
      <c r="A1100" s="1"/>
      <c r="B1100" s="1"/>
      <c r="C1100" s="212"/>
      <c r="D1100" s="1349"/>
      <c r="E1100" s="1349"/>
      <c r="F1100" s="1349"/>
      <c r="G1100" s="1349"/>
      <c r="H1100" s="1349"/>
      <c r="I1100" s="1349"/>
      <c r="J1100" s="1349"/>
      <c r="K1100" s="1349"/>
      <c r="L1100" s="1349"/>
      <c r="M1100" s="1349"/>
      <c r="N1100" s="1349"/>
      <c r="O1100" s="1349"/>
      <c r="P1100" s="1349"/>
      <c r="Q1100" s="1349"/>
      <c r="R1100" s="1349"/>
      <c r="S1100" s="1349"/>
      <c r="T1100" s="1349"/>
      <c r="U1100" s="1349"/>
      <c r="V1100" s="1349"/>
      <c r="W1100" s="1349"/>
      <c r="X1100" s="1349"/>
      <c r="Y1100" s="1349"/>
      <c r="Z1100" s="1349"/>
      <c r="AA1100" s="1349"/>
      <c r="AB1100" s="1349"/>
      <c r="AC1100" s="1349"/>
      <c r="AD1100" s="1349"/>
      <c r="AE1100" s="1349"/>
      <c r="AF1100" s="1349"/>
      <c r="AG1100" s="1349"/>
      <c r="AH1100" s="1349"/>
      <c r="AI1100" s="1349"/>
      <c r="AJ1100" s="1349"/>
      <c r="AK1100" s="1349"/>
    </row>
    <row r="1101" spans="1:37" ht="0" hidden="1" customHeight="1">
      <c r="A1101" s="1"/>
      <c r="B1101" s="1"/>
      <c r="C1101" s="212"/>
      <c r="D1101" s="1349"/>
      <c r="E1101" s="1349"/>
      <c r="F1101" s="1349"/>
      <c r="G1101" s="1349"/>
      <c r="H1101" s="1349"/>
      <c r="I1101" s="1349"/>
      <c r="J1101" s="1349"/>
      <c r="K1101" s="1349"/>
      <c r="L1101" s="1349"/>
      <c r="M1101" s="1349"/>
      <c r="N1101" s="1349"/>
      <c r="O1101" s="1349"/>
      <c r="P1101" s="1349"/>
      <c r="Q1101" s="1349"/>
      <c r="R1101" s="1349"/>
      <c r="S1101" s="1349"/>
      <c r="T1101" s="1349"/>
      <c r="U1101" s="1349"/>
      <c r="V1101" s="1349"/>
      <c r="W1101" s="1349"/>
      <c r="X1101" s="1349"/>
      <c r="Y1101" s="1349"/>
      <c r="Z1101" s="1349"/>
      <c r="AA1101" s="1349"/>
      <c r="AB1101" s="1349"/>
      <c r="AC1101" s="1349"/>
      <c r="AD1101" s="1349"/>
      <c r="AE1101" s="1349"/>
      <c r="AF1101" s="1349"/>
      <c r="AG1101" s="1349"/>
      <c r="AH1101" s="1349"/>
      <c r="AI1101" s="1349"/>
      <c r="AJ1101" s="1349"/>
      <c r="AK1101" s="1349"/>
    </row>
    <row r="1102" spans="1:37" ht="0" hidden="1" customHeight="1">
      <c r="A1102" s="35"/>
      <c r="B1102" s="25"/>
      <c r="C1102" s="212"/>
      <c r="D1102" s="1349"/>
      <c r="E1102" s="1349"/>
      <c r="F1102" s="1349"/>
      <c r="G1102" s="1349"/>
      <c r="H1102" s="1349"/>
      <c r="I1102" s="1349"/>
      <c r="J1102" s="1349"/>
      <c r="K1102" s="1349"/>
      <c r="L1102" s="1349"/>
      <c r="M1102" s="1349"/>
      <c r="N1102" s="1349"/>
      <c r="O1102" s="1349"/>
      <c r="P1102" s="1349"/>
      <c r="Q1102" s="1349"/>
      <c r="R1102" s="1349"/>
      <c r="S1102" s="1349"/>
      <c r="T1102" s="1349"/>
      <c r="U1102" s="1349"/>
      <c r="V1102" s="1349"/>
      <c r="W1102" s="1349"/>
      <c r="X1102" s="1349"/>
      <c r="Y1102" s="1349"/>
      <c r="Z1102" s="1349"/>
      <c r="AA1102" s="1349"/>
      <c r="AB1102" s="1349"/>
      <c r="AC1102" s="1349"/>
      <c r="AD1102" s="1349"/>
      <c r="AE1102" s="1349"/>
      <c r="AF1102" s="1349"/>
      <c r="AG1102" s="1349"/>
      <c r="AH1102" s="1349"/>
      <c r="AI1102" s="1349"/>
      <c r="AJ1102" s="1349"/>
      <c r="AK1102" s="1349"/>
    </row>
    <row r="1103" spans="1:37" ht="0" hidden="1" customHeight="1">
      <c r="A1103" s="1415" t="s">
        <v>598</v>
      </c>
      <c r="B1103" s="1415"/>
      <c r="C1103" s="212">
        <v>9</v>
      </c>
      <c r="D1103" s="1265" t="s">
        <v>1119</v>
      </c>
      <c r="E1103" s="1265"/>
      <c r="F1103" s="1265"/>
      <c r="G1103" s="1265"/>
      <c r="H1103" s="1265"/>
      <c r="I1103" s="1265"/>
      <c r="J1103" s="1265"/>
      <c r="K1103" s="1265"/>
      <c r="L1103" s="1265"/>
      <c r="M1103" s="1265"/>
      <c r="N1103" s="1265"/>
      <c r="O1103" s="1265"/>
      <c r="P1103" s="1265"/>
      <c r="Q1103" s="1265"/>
      <c r="R1103" s="1265"/>
      <c r="S1103" s="1265"/>
      <c r="T1103" s="1265"/>
      <c r="U1103" s="1265"/>
      <c r="V1103" s="1265"/>
      <c r="W1103" s="1265"/>
      <c r="X1103" s="1265"/>
      <c r="Y1103" s="1265"/>
      <c r="Z1103" s="1265"/>
      <c r="AA1103" s="1265"/>
      <c r="AB1103" s="1265"/>
      <c r="AC1103" s="1265"/>
      <c r="AD1103" s="1265"/>
      <c r="AE1103" s="1265"/>
      <c r="AF1103" s="1265"/>
      <c r="AG1103" s="1265"/>
      <c r="AH1103" s="1265"/>
      <c r="AI1103" s="1265"/>
      <c r="AJ1103" s="1265"/>
      <c r="AK1103" s="1265"/>
    </row>
    <row r="1104" spans="1:37" ht="0" hidden="1" customHeight="1">
      <c r="A1104" s="35"/>
      <c r="B1104" s="25"/>
      <c r="C1104" s="212"/>
      <c r="D1104" s="1265"/>
      <c r="E1104" s="1265"/>
      <c r="F1104" s="1265"/>
      <c r="G1104" s="1265"/>
      <c r="H1104" s="1265"/>
      <c r="I1104" s="1265"/>
      <c r="J1104" s="1265"/>
      <c r="K1104" s="1265"/>
      <c r="L1104" s="1265"/>
      <c r="M1104" s="1265"/>
      <c r="N1104" s="1265"/>
      <c r="O1104" s="1265"/>
      <c r="P1104" s="1265"/>
      <c r="Q1104" s="1265"/>
      <c r="R1104" s="1265"/>
      <c r="S1104" s="1265"/>
      <c r="T1104" s="1265"/>
      <c r="U1104" s="1265"/>
      <c r="V1104" s="1265"/>
      <c r="W1104" s="1265"/>
      <c r="X1104" s="1265"/>
      <c r="Y1104" s="1265"/>
      <c r="Z1104" s="1265"/>
      <c r="AA1104" s="1265"/>
      <c r="AB1104" s="1265"/>
      <c r="AC1104" s="1265"/>
      <c r="AD1104" s="1265"/>
      <c r="AE1104" s="1265"/>
      <c r="AF1104" s="1265"/>
      <c r="AG1104" s="1265"/>
      <c r="AH1104" s="1265"/>
      <c r="AI1104" s="1265"/>
      <c r="AJ1104" s="1265"/>
      <c r="AK1104" s="1265"/>
    </row>
    <row r="1105" spans="4:37" ht="0" hidden="1" customHeight="1">
      <c r="D1105" s="1265"/>
      <c r="E1105" s="1265"/>
      <c r="F1105" s="1265"/>
      <c r="G1105" s="1265"/>
      <c r="H1105" s="1265"/>
      <c r="I1105" s="1265"/>
      <c r="J1105" s="1265"/>
      <c r="K1105" s="1265"/>
      <c r="L1105" s="1265"/>
      <c r="M1105" s="1265"/>
      <c r="N1105" s="1265"/>
      <c r="O1105" s="1265"/>
      <c r="P1105" s="1265"/>
      <c r="Q1105" s="1265"/>
      <c r="R1105" s="1265"/>
      <c r="S1105" s="1265"/>
      <c r="T1105" s="1265"/>
      <c r="U1105" s="1265"/>
      <c r="V1105" s="1265"/>
      <c r="W1105" s="1265"/>
      <c r="X1105" s="1265"/>
      <c r="Y1105" s="1265"/>
      <c r="Z1105" s="1265"/>
      <c r="AA1105" s="1265"/>
      <c r="AB1105" s="1265"/>
      <c r="AC1105" s="1265"/>
      <c r="AD1105" s="1265"/>
      <c r="AE1105" s="1265"/>
      <c r="AF1105" s="1265"/>
      <c r="AG1105" s="1265"/>
      <c r="AH1105" s="1265"/>
      <c r="AI1105" s="1265"/>
      <c r="AJ1105" s="1265"/>
      <c r="AK1105" s="1265"/>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20:AO720"/>
    <mergeCell ref="AK721:AO721"/>
    <mergeCell ref="O736:S736"/>
    <mergeCell ref="K738:N738"/>
    <mergeCell ref="K730:N730"/>
    <mergeCell ref="K731:N731"/>
    <mergeCell ref="T740:W740"/>
    <mergeCell ref="G741:J741"/>
    <mergeCell ref="AC734:AG734"/>
    <mergeCell ref="G684:R684"/>
    <mergeCell ref="T721:W721"/>
    <mergeCell ref="AA664:AK664"/>
    <mergeCell ref="O724:S724"/>
    <mergeCell ref="AK731:AO731"/>
    <mergeCell ref="AK738:AO738"/>
    <mergeCell ref="O726:S726"/>
    <mergeCell ref="K727:N727"/>
    <mergeCell ref="O731:S731"/>
    <mergeCell ref="O732:S732"/>
    <mergeCell ref="AH737:AJ737"/>
    <mergeCell ref="AH738:AJ738"/>
    <mergeCell ref="AC739:AG739"/>
    <mergeCell ref="G727:J727"/>
    <mergeCell ref="G735:J735"/>
    <mergeCell ref="K733:N733"/>
    <mergeCell ref="O727:S727"/>
    <mergeCell ref="AK722:AO722"/>
    <mergeCell ref="T731:W731"/>
    <mergeCell ref="X745:AB745"/>
    <mergeCell ref="X731:AB731"/>
    <mergeCell ref="AH727:AJ727"/>
    <mergeCell ref="AC724:AG724"/>
    <mergeCell ref="AC730:AG730"/>
    <mergeCell ref="O730:S730"/>
    <mergeCell ref="AB988:AI988"/>
    <mergeCell ref="AB989:AI989"/>
    <mergeCell ref="T725:W725"/>
    <mergeCell ref="AH733:AJ733"/>
    <mergeCell ref="G723:J723"/>
    <mergeCell ref="O725:S725"/>
    <mergeCell ref="AJ1044:AQ1047"/>
    <mergeCell ref="AJ1048:AQ1051"/>
    <mergeCell ref="U928:Z928"/>
    <mergeCell ref="AA928:AF928"/>
    <mergeCell ref="G737:J737"/>
    <mergeCell ref="AK740:AO740"/>
    <mergeCell ref="K726:N726"/>
    <mergeCell ref="AK749:AO749"/>
    <mergeCell ref="AK750:AO750"/>
    <mergeCell ref="AK751:AO751"/>
    <mergeCell ref="O776:S776"/>
    <mergeCell ref="O769:S772"/>
    <mergeCell ref="AK727:AO727"/>
    <mergeCell ref="X734:AB734"/>
    <mergeCell ref="X733:AB733"/>
    <mergeCell ref="G732:J732"/>
    <mergeCell ref="K728:N728"/>
    <mergeCell ref="AC735:AG735"/>
    <mergeCell ref="X732:AB732"/>
    <mergeCell ref="K734:N734"/>
    <mergeCell ref="T745:W745"/>
    <mergeCell ref="G736:J736"/>
    <mergeCell ref="K746:N746"/>
    <mergeCell ref="O746:S746"/>
    <mergeCell ref="T746:W746"/>
    <mergeCell ref="K747:N747"/>
    <mergeCell ref="P339:R339"/>
    <mergeCell ref="N363:O363"/>
    <mergeCell ref="G730:J730"/>
    <mergeCell ref="T736:W736"/>
    <mergeCell ref="G728:J728"/>
    <mergeCell ref="AK752:AO752"/>
    <mergeCell ref="A69:AT70"/>
    <mergeCell ref="A72:AT73"/>
    <mergeCell ref="A544:AT545"/>
    <mergeCell ref="A480:AT481"/>
    <mergeCell ref="T742:W742"/>
    <mergeCell ref="G612:R612"/>
    <mergeCell ref="P418:R418"/>
    <mergeCell ref="G589:L589"/>
    <mergeCell ref="AI561:AL561"/>
    <mergeCell ref="AE560:AH560"/>
    <mergeCell ref="A351:AT352"/>
    <mergeCell ref="H573:R573"/>
    <mergeCell ref="AI331:AK331"/>
    <mergeCell ref="N615:O615"/>
    <mergeCell ref="AK630:AN630"/>
    <mergeCell ref="T629:V629"/>
    <mergeCell ref="I392:N392"/>
    <mergeCell ref="M357:N357"/>
    <mergeCell ref="J385:U385"/>
    <mergeCell ref="W561:Y561"/>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B1059:AP1059"/>
    <mergeCell ref="C798:AN799"/>
    <mergeCell ref="T748:W748"/>
    <mergeCell ref="X747:AB747"/>
    <mergeCell ref="G738:J738"/>
    <mergeCell ref="X738:AB738"/>
    <mergeCell ref="AK743:AO743"/>
    <mergeCell ref="AK744:AO744"/>
    <mergeCell ref="D984:Q984"/>
    <mergeCell ref="D985:Q985"/>
    <mergeCell ref="Z899:AE899"/>
    <mergeCell ref="I949:T949"/>
    <mergeCell ref="D994:AE997"/>
    <mergeCell ref="D998:AE998"/>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R411:S411"/>
    <mergeCell ref="Q389:U389"/>
    <mergeCell ref="AJ357:AK357"/>
    <mergeCell ref="AG379:AH379"/>
    <mergeCell ref="AM558:AS558"/>
    <mergeCell ref="AM566:AS566"/>
    <mergeCell ref="AM556:AS556"/>
    <mergeCell ref="M358:N358"/>
    <mergeCell ref="V381:W381"/>
    <mergeCell ref="T555:V555"/>
    <mergeCell ref="W559:Y559"/>
    <mergeCell ref="P421:R421"/>
    <mergeCell ref="D438:AF438"/>
    <mergeCell ref="S392:U392"/>
    <mergeCell ref="H414:AE415"/>
    <mergeCell ref="AC542:AF542"/>
    <mergeCell ref="AI557:AL557"/>
    <mergeCell ref="AC525:AF525"/>
    <mergeCell ref="AE556:AH556"/>
    <mergeCell ref="Q558:S558"/>
    <mergeCell ref="AC538:AF538"/>
    <mergeCell ref="AC454:AF454"/>
    <mergeCell ref="AI555:AL555"/>
    <mergeCell ref="AG615:AH615"/>
    <mergeCell ref="W629:Y629"/>
    <mergeCell ref="M630:P630"/>
    <mergeCell ref="M631:P631"/>
    <mergeCell ref="G580:R580"/>
    <mergeCell ref="G647:L647"/>
    <mergeCell ref="W635:Y635"/>
    <mergeCell ref="B639:AN639"/>
    <mergeCell ref="B640:AN640"/>
    <mergeCell ref="B641:AN641"/>
    <mergeCell ref="G643:R643"/>
    <mergeCell ref="Z646:AK646"/>
    <mergeCell ref="C636:L636"/>
    <mergeCell ref="C637:L637"/>
    <mergeCell ref="C638:L638"/>
    <mergeCell ref="AC633:AE633"/>
    <mergeCell ref="AC634:AE634"/>
    <mergeCell ref="AC635:AE635"/>
    <mergeCell ref="W634:Y634"/>
    <mergeCell ref="AK636:AN636"/>
    <mergeCell ref="AF636:AJ636"/>
    <mergeCell ref="AF637:AJ637"/>
    <mergeCell ref="AF638:AJ638"/>
    <mergeCell ref="Q636:S636"/>
    <mergeCell ref="AF634:AJ634"/>
    <mergeCell ref="Q638:S638"/>
    <mergeCell ref="M634:P634"/>
    <mergeCell ref="T634:V634"/>
    <mergeCell ref="G611:R611"/>
    <mergeCell ref="Z602:AK602"/>
    <mergeCell ref="Z612:AK612"/>
    <mergeCell ref="Q635:S635"/>
    <mergeCell ref="Z670:AK670"/>
    <mergeCell ref="AG673:AH673"/>
    <mergeCell ref="C633:L633"/>
    <mergeCell ref="C634:L634"/>
    <mergeCell ref="M624:P626"/>
    <mergeCell ref="M627:P627"/>
    <mergeCell ref="M628:P628"/>
    <mergeCell ref="T631:V631"/>
    <mergeCell ref="T632:V632"/>
    <mergeCell ref="T633:V633"/>
    <mergeCell ref="AK634:AN634"/>
    <mergeCell ref="W632:Y632"/>
    <mergeCell ref="G602:R602"/>
    <mergeCell ref="N599:O599"/>
    <mergeCell ref="C562:L562"/>
    <mergeCell ref="Q560:S560"/>
    <mergeCell ref="Q565:S565"/>
    <mergeCell ref="Q561:S561"/>
    <mergeCell ref="Q637:S637"/>
    <mergeCell ref="W562:Y562"/>
    <mergeCell ref="W563:Y563"/>
    <mergeCell ref="W564:Y564"/>
    <mergeCell ref="M565:P565"/>
    <mergeCell ref="T563:V563"/>
    <mergeCell ref="Z564:AD564"/>
    <mergeCell ref="Z565:AD565"/>
    <mergeCell ref="Z572:AE572"/>
    <mergeCell ref="AM562:AS562"/>
    <mergeCell ref="AE565:AH565"/>
    <mergeCell ref="G655:L655"/>
    <mergeCell ref="H656:R656"/>
    <mergeCell ref="AH510:AK510"/>
    <mergeCell ref="AH514:AK514"/>
    <mergeCell ref="Z651:AK651"/>
    <mergeCell ref="AG649:AH649"/>
    <mergeCell ref="P572:R572"/>
    <mergeCell ref="G654:R654"/>
    <mergeCell ref="Q564:S564"/>
    <mergeCell ref="M564:P564"/>
    <mergeCell ref="C565:L565"/>
    <mergeCell ref="G670:R670"/>
    <mergeCell ref="AK635:AN635"/>
    <mergeCell ref="AF631:AJ631"/>
    <mergeCell ref="M633:P633"/>
    <mergeCell ref="AD412:AE412"/>
    <mergeCell ref="AA614:AK614"/>
    <mergeCell ref="M632:P632"/>
    <mergeCell ref="Q629:S629"/>
    <mergeCell ref="Q630:S630"/>
    <mergeCell ref="Q631:S631"/>
    <mergeCell ref="Q632:S632"/>
    <mergeCell ref="W630:Y630"/>
    <mergeCell ref="M629:P629"/>
    <mergeCell ref="W624:Y626"/>
    <mergeCell ref="W628:Y628"/>
    <mergeCell ref="Q633:S633"/>
    <mergeCell ref="Q634:S634"/>
    <mergeCell ref="AK627:AN627"/>
    <mergeCell ref="AF627:AJ627"/>
    <mergeCell ref="Z635:AB635"/>
    <mergeCell ref="AM565:AS565"/>
    <mergeCell ref="AE563:AH563"/>
    <mergeCell ref="AE559:AH559"/>
    <mergeCell ref="AK735:AO735"/>
    <mergeCell ref="T724:W724"/>
    <mergeCell ref="AE702:AF702"/>
    <mergeCell ref="AK728:AO728"/>
    <mergeCell ref="AK729:AO729"/>
    <mergeCell ref="AH732:AJ732"/>
    <mergeCell ref="C554:L554"/>
    <mergeCell ref="C555:L555"/>
    <mergeCell ref="AH528:AK528"/>
    <mergeCell ref="AH505:AK505"/>
    <mergeCell ref="Z559:AD559"/>
    <mergeCell ref="C556:L556"/>
    <mergeCell ref="M556:P556"/>
    <mergeCell ref="AC508:AF508"/>
    <mergeCell ref="AH537:AK537"/>
    <mergeCell ref="AC534:AF534"/>
    <mergeCell ref="Q556:S556"/>
    <mergeCell ref="AH542:AK542"/>
    <mergeCell ref="Z611:AK611"/>
    <mergeCell ref="AI562:AL562"/>
    <mergeCell ref="Z588:AK588"/>
    <mergeCell ref="Z578:AK578"/>
    <mergeCell ref="Z603:AK603"/>
    <mergeCell ref="AI605:AK605"/>
    <mergeCell ref="Z593:AK593"/>
    <mergeCell ref="G603:R603"/>
    <mergeCell ref="N607:O607"/>
    <mergeCell ref="P597:R597"/>
    <mergeCell ref="X729:AB729"/>
    <mergeCell ref="AC723:AG723"/>
    <mergeCell ref="G731:J731"/>
    <mergeCell ref="AC510:AF510"/>
    <mergeCell ref="AC733:AG733"/>
    <mergeCell ref="G671:L671"/>
    <mergeCell ref="G669:R669"/>
    <mergeCell ref="T718:W718"/>
    <mergeCell ref="O721:S721"/>
    <mergeCell ref="K722:N722"/>
    <mergeCell ref="K723:N723"/>
    <mergeCell ref="T723:W723"/>
    <mergeCell ref="K721:N721"/>
    <mergeCell ref="X737:AB737"/>
    <mergeCell ref="X724:AB724"/>
    <mergeCell ref="AH722:AJ722"/>
    <mergeCell ref="X735:AB735"/>
    <mergeCell ref="X736:AB736"/>
    <mergeCell ref="T735:W735"/>
    <mergeCell ref="T737:W737"/>
    <mergeCell ref="X739:AB739"/>
    <mergeCell ref="AH730:AJ730"/>
    <mergeCell ref="T733:W733"/>
    <mergeCell ref="O734:S734"/>
    <mergeCell ref="G729:J729"/>
    <mergeCell ref="AE698:AI698"/>
    <mergeCell ref="AC714:AG717"/>
    <mergeCell ref="AH720:AJ720"/>
    <mergeCell ref="X718:AB718"/>
    <mergeCell ref="AH714:AJ717"/>
    <mergeCell ref="AH725:AJ725"/>
    <mergeCell ref="G718:J718"/>
    <mergeCell ref="AE694:AF694"/>
    <mergeCell ref="AK726:AO726"/>
    <mergeCell ref="G667:R667"/>
    <mergeCell ref="AC731:AG731"/>
    <mergeCell ref="AC732:AG732"/>
    <mergeCell ref="A709:AT711"/>
    <mergeCell ref="G660:R660"/>
    <mergeCell ref="X714:AB717"/>
    <mergeCell ref="Z679:AE679"/>
    <mergeCell ref="H680:R680"/>
    <mergeCell ref="AC721:AG721"/>
    <mergeCell ref="AC722:AG722"/>
    <mergeCell ref="B726:F726"/>
    <mergeCell ref="N665:O665"/>
    <mergeCell ref="H672:R672"/>
    <mergeCell ref="G676:R676"/>
    <mergeCell ref="B714:F717"/>
    <mergeCell ref="AK723:AO723"/>
    <mergeCell ref="AK724:AO724"/>
    <mergeCell ref="AK725:AO725"/>
    <mergeCell ref="H688:R688"/>
    <mergeCell ref="Z675:AK675"/>
    <mergeCell ref="B718:F718"/>
    <mergeCell ref="B721:F721"/>
    <mergeCell ref="B719:F719"/>
    <mergeCell ref="AI687:AK687"/>
    <mergeCell ref="AE696:AI696"/>
    <mergeCell ref="AE693:AF693"/>
    <mergeCell ref="K718:N718"/>
    <mergeCell ref="AH721:AJ721"/>
    <mergeCell ref="AC720:AG720"/>
    <mergeCell ref="X719:AB719"/>
    <mergeCell ref="O720:S720"/>
    <mergeCell ref="B729:F729"/>
    <mergeCell ref="BS648:BW648"/>
    <mergeCell ref="CS652:CW652"/>
    <mergeCell ref="CX652:DB652"/>
    <mergeCell ref="DC652:DG652"/>
    <mergeCell ref="DC650:DG650"/>
    <mergeCell ref="DR654:DV654"/>
    <mergeCell ref="DR653:DV653"/>
    <mergeCell ref="DH651:DL651"/>
    <mergeCell ref="DM651:DQ651"/>
    <mergeCell ref="BN649:BR649"/>
    <mergeCell ref="BN648:BR648"/>
    <mergeCell ref="CM654:CQ654"/>
    <mergeCell ref="DH652:DL652"/>
    <mergeCell ref="DM652:DQ652"/>
    <mergeCell ref="CS653:CW653"/>
    <mergeCell ref="CX653:DB653"/>
    <mergeCell ref="DR649:DV649"/>
    <mergeCell ref="BN652:BR652"/>
    <mergeCell ref="BN653:BR653"/>
    <mergeCell ref="BN654:BR654"/>
    <mergeCell ref="CH652:CL652"/>
    <mergeCell ref="DR652:DV652"/>
    <mergeCell ref="CH653:CL653"/>
    <mergeCell ref="CH654:CL654"/>
    <mergeCell ref="CM652:CQ652"/>
    <mergeCell ref="CM653:CQ653"/>
    <mergeCell ref="CS654:CW654"/>
    <mergeCell ref="CM651:CQ651"/>
    <mergeCell ref="CC649:CG649"/>
    <mergeCell ref="CH649:CL649"/>
    <mergeCell ref="BS652:BW652"/>
    <mergeCell ref="Z687:AE687"/>
    <mergeCell ref="AH718:AJ718"/>
    <mergeCell ref="AC718:AG718"/>
    <mergeCell ref="AG681:AH681"/>
    <mergeCell ref="DX656:EB656"/>
    <mergeCell ref="EC656:EG656"/>
    <mergeCell ref="DX651:EB651"/>
    <mergeCell ref="EH656:EL656"/>
    <mergeCell ref="EM656:EQ656"/>
    <mergeCell ref="CM660:CQ660"/>
    <mergeCell ref="DX668:EB668"/>
    <mergeCell ref="EC668:EG668"/>
    <mergeCell ref="EH668:EL668"/>
    <mergeCell ref="EM668:EQ668"/>
    <mergeCell ref="DX654:EB654"/>
    <mergeCell ref="EC654:EG654"/>
    <mergeCell ref="EH654:EL654"/>
    <mergeCell ref="CS655:CW655"/>
    <mergeCell ref="EH653:EL653"/>
    <mergeCell ref="EM653:EQ653"/>
    <mergeCell ref="EM669:EQ669"/>
    <mergeCell ref="DX666:EB666"/>
    <mergeCell ref="CC660:CG660"/>
    <mergeCell ref="BS660:BW660"/>
    <mergeCell ref="CS651:CW651"/>
    <mergeCell ref="DR657:DV657"/>
    <mergeCell ref="CH660:CL660"/>
    <mergeCell ref="DM653:DQ653"/>
    <mergeCell ref="DH654:DL654"/>
    <mergeCell ref="AA656:AK656"/>
    <mergeCell ref="BS655:BW655"/>
    <mergeCell ref="BX655:CB655"/>
    <mergeCell ref="DH653:DL653"/>
    <mergeCell ref="CC650:CG650"/>
    <mergeCell ref="CC652:CG652"/>
    <mergeCell ref="CC653:CG653"/>
    <mergeCell ref="CC654:CG654"/>
    <mergeCell ref="CH650:CL650"/>
    <mergeCell ref="BS650:BW650"/>
    <mergeCell ref="BX653:CB653"/>
    <mergeCell ref="BX654:CB654"/>
    <mergeCell ref="BS653:BW653"/>
    <mergeCell ref="BX652:CB652"/>
    <mergeCell ref="CS650:CW650"/>
    <mergeCell ref="CH651:CL651"/>
    <mergeCell ref="AA672:AK672"/>
    <mergeCell ref="Z684:AK684"/>
    <mergeCell ref="BN651:BR651"/>
    <mergeCell ref="BN650:BR650"/>
    <mergeCell ref="DC653:DG653"/>
    <mergeCell ref="AH719:AJ719"/>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DH648:DL648"/>
    <mergeCell ref="DM648:DQ648"/>
    <mergeCell ref="CS649:CW649"/>
    <mergeCell ref="DC628:DG628"/>
    <mergeCell ref="DH628:DL628"/>
    <mergeCell ref="DM628:DQ628"/>
    <mergeCell ref="DC626:DG626"/>
    <mergeCell ref="BX648:CB648"/>
    <mergeCell ref="BX647:CB647"/>
    <mergeCell ref="CC638:CG638"/>
    <mergeCell ref="BX624:CB624"/>
    <mergeCell ref="CC624:CG624"/>
    <mergeCell ref="DC645:DG645"/>
    <mergeCell ref="CH640:CL640"/>
    <mergeCell ref="DM654:DQ654"/>
    <mergeCell ref="DH655:DL655"/>
    <mergeCell ref="CX655:DB655"/>
    <mergeCell ref="DC655:DG655"/>
    <mergeCell ref="DR655:DV655"/>
    <mergeCell ref="CC655:CG655"/>
    <mergeCell ref="CH655:CL655"/>
    <mergeCell ref="CM655:CQ655"/>
    <mergeCell ref="DM617:DQ617"/>
    <mergeCell ref="CC630:CG630"/>
    <mergeCell ref="DR648:DV648"/>
    <mergeCell ref="CX654:DB654"/>
    <mergeCell ref="DC654:DG654"/>
    <mergeCell ref="CC646:CG646"/>
    <mergeCell ref="DH647:DL647"/>
    <mergeCell ref="DM647:DQ647"/>
    <mergeCell ref="CC631:CG631"/>
    <mergeCell ref="DC651:DG651"/>
    <mergeCell ref="CM648:CQ648"/>
    <mergeCell ref="CS620:CW620"/>
    <mergeCell ref="CX620:DB620"/>
    <mergeCell ref="CH626:CL626"/>
    <mergeCell ref="CM626:CQ626"/>
    <mergeCell ref="CS624:CW624"/>
    <mergeCell ref="CM650:CQ650"/>
    <mergeCell ref="CS632:CW632"/>
    <mergeCell ref="CX632:DB632"/>
    <mergeCell ref="DH650:DL650"/>
    <mergeCell ref="CM647:CQ647"/>
    <mergeCell ref="CH647:CL647"/>
    <mergeCell ref="DM655:DQ655"/>
    <mergeCell ref="CM618:CQ618"/>
    <mergeCell ref="BX630:CB630"/>
    <mergeCell ref="CH621:CL621"/>
    <mergeCell ref="CM621:CQ621"/>
    <mergeCell ref="CC622:CG622"/>
    <mergeCell ref="CH622:CL622"/>
    <mergeCell ref="CM622:CQ622"/>
    <mergeCell ref="CM623:CQ623"/>
    <mergeCell ref="CC637:CG637"/>
    <mergeCell ref="BX641:CB641"/>
    <mergeCell ref="CC641:CG641"/>
    <mergeCell ref="CC639:CG639"/>
    <mergeCell ref="DC630:DG630"/>
    <mergeCell ref="CC618:CG618"/>
    <mergeCell ref="CH617:CL617"/>
    <mergeCell ref="CM640:CQ640"/>
    <mergeCell ref="CM639:CQ639"/>
    <mergeCell ref="CH628:CL628"/>
    <mergeCell ref="CM628:CQ628"/>
    <mergeCell ref="BX620:CB620"/>
    <mergeCell ref="BX650:CB650"/>
    <mergeCell ref="CH648:CL648"/>
    <mergeCell ref="CC648:CG648"/>
    <mergeCell ref="BX623:CB623"/>
    <mergeCell ref="CM629:CQ629"/>
    <mergeCell ref="CM620:CQ620"/>
    <mergeCell ref="CS646:CW646"/>
    <mergeCell ref="DM632:DQ632"/>
    <mergeCell ref="BX645:CB645"/>
    <mergeCell ref="CS627:CW627"/>
    <mergeCell ref="CH645:CL645"/>
    <mergeCell ref="CM641:CQ641"/>
    <mergeCell ref="DC646:DG646"/>
    <mergeCell ref="DM626:DQ626"/>
    <mergeCell ref="CH620:CL620"/>
    <mergeCell ref="BX632:CB632"/>
    <mergeCell ref="CM645:CQ645"/>
    <mergeCell ref="CH639:CL639"/>
    <mergeCell ref="BX631:CB631"/>
    <mergeCell ref="CX627:DB627"/>
    <mergeCell ref="DC627:DG627"/>
    <mergeCell ref="DH627:DL627"/>
    <mergeCell ref="DM627:DQ627"/>
    <mergeCell ref="CM649:CQ649"/>
    <mergeCell ref="CS647:CW647"/>
    <mergeCell ref="CX647:DB647"/>
    <mergeCell ref="DC647:DG647"/>
    <mergeCell ref="AF635:AJ635"/>
    <mergeCell ref="AO635:AS635"/>
    <mergeCell ref="DR619:DV619"/>
    <mergeCell ref="Z636:AB636"/>
    <mergeCell ref="Z637:AB637"/>
    <mergeCell ref="Z638:AB638"/>
    <mergeCell ref="W627:Y627"/>
    <mergeCell ref="Z624:AB626"/>
    <mergeCell ref="BN641:BR641"/>
    <mergeCell ref="BN637:BR637"/>
    <mergeCell ref="BS631:BW631"/>
    <mergeCell ref="BS637:BW637"/>
    <mergeCell ref="BE631:BF631"/>
    <mergeCell ref="BE630:BF630"/>
    <mergeCell ref="Z634:AB634"/>
    <mergeCell ref="CH632:CL632"/>
    <mergeCell ref="CX624:DB624"/>
    <mergeCell ref="AC637:AE637"/>
    <mergeCell ref="AC638:AE638"/>
    <mergeCell ref="DR631:DV631"/>
    <mergeCell ref="AO630:AS630"/>
    <mergeCell ref="AK624:AN626"/>
    <mergeCell ref="AC627:AE627"/>
    <mergeCell ref="BK619:BL619"/>
    <mergeCell ref="BN630:BR630"/>
    <mergeCell ref="BK630:BL630"/>
    <mergeCell ref="CC625:CG625"/>
    <mergeCell ref="CM632:CQ632"/>
    <mergeCell ref="CM637:CQ637"/>
    <mergeCell ref="CH630:CL630"/>
    <mergeCell ref="CC619:CG619"/>
    <mergeCell ref="BS620:BW620"/>
    <mergeCell ref="CX614:DB614"/>
    <mergeCell ref="DR616:DV616"/>
    <mergeCell ref="CX616:DB616"/>
    <mergeCell ref="CX615:DB615"/>
    <mergeCell ref="DC615:DG615"/>
    <mergeCell ref="DH615:DL615"/>
    <mergeCell ref="DR614:DV614"/>
    <mergeCell ref="DM615:DQ615"/>
    <mergeCell ref="DR615:DV615"/>
    <mergeCell ref="DC614:DG614"/>
    <mergeCell ref="DM621:DQ621"/>
    <mergeCell ref="DR621:DV621"/>
    <mergeCell ref="CS622:CW622"/>
    <mergeCell ref="DR630:DV630"/>
    <mergeCell ref="CM646:CQ646"/>
    <mergeCell ref="AO634:AS634"/>
    <mergeCell ref="BX637:CB637"/>
    <mergeCell ref="CH638:CL638"/>
    <mergeCell ref="CX645:DB645"/>
    <mergeCell ref="DH646:DL646"/>
    <mergeCell ref="DM646:DQ646"/>
    <mergeCell ref="DR646:DV646"/>
    <mergeCell ref="CS618:CW618"/>
    <mergeCell ref="CX618:DB618"/>
    <mergeCell ref="DC618:DG618"/>
    <mergeCell ref="DH645:DL645"/>
    <mergeCell ref="BX646:CB646"/>
    <mergeCell ref="DM645:DQ645"/>
    <mergeCell ref="DR645:DV645"/>
    <mergeCell ref="CC645:CG645"/>
    <mergeCell ref="CC617:CG617"/>
    <mergeCell ref="CM617:CQ617"/>
    <mergeCell ref="EC609:EG609"/>
    <mergeCell ref="EH609:EL609"/>
    <mergeCell ref="EM609:EQ609"/>
    <mergeCell ref="DM616:DQ616"/>
    <mergeCell ref="CS616:CW616"/>
    <mergeCell ref="CH631:CL631"/>
    <mergeCell ref="DX632:EB632"/>
    <mergeCell ref="EC632:EG632"/>
    <mergeCell ref="DC632:DG632"/>
    <mergeCell ref="DH632:DL632"/>
    <mergeCell ref="CM619:CQ619"/>
    <mergeCell ref="CH619:CL619"/>
    <mergeCell ref="CM633:CQ633"/>
    <mergeCell ref="CX622:DB622"/>
    <mergeCell ref="DC622:DG622"/>
    <mergeCell ref="DH622:DL622"/>
    <mergeCell ref="DM622:DQ622"/>
    <mergeCell ref="DR622:DV622"/>
    <mergeCell ref="EM619:EQ619"/>
    <mergeCell ref="CS614:CW614"/>
    <mergeCell ref="DH630:DL630"/>
    <mergeCell ref="DM618:DQ618"/>
    <mergeCell ref="DR618:DV618"/>
    <mergeCell ref="DH618:DL618"/>
    <mergeCell ref="DC610:DG610"/>
    <mergeCell ref="DH610:DL610"/>
    <mergeCell ref="CS611:CW611"/>
    <mergeCell ref="CX611:DB611"/>
    <mergeCell ref="DC611:DG611"/>
    <mergeCell ref="DH611:DL611"/>
    <mergeCell ref="DM613:DQ613"/>
    <mergeCell ref="DR613:DV613"/>
    <mergeCell ref="BS651:BW651"/>
    <mergeCell ref="CC647:CG647"/>
    <mergeCell ref="DR650:DV650"/>
    <mergeCell ref="BN617:BR617"/>
    <mergeCell ref="CX648:DB648"/>
    <mergeCell ref="DC648:DG648"/>
    <mergeCell ref="DR617:DV617"/>
    <mergeCell ref="BS645:BW645"/>
    <mergeCell ref="CS617:CW617"/>
    <mergeCell ref="BN625:BR625"/>
    <mergeCell ref="BN632:BR632"/>
    <mergeCell ref="BS649:BW649"/>
    <mergeCell ref="BX619:CB619"/>
    <mergeCell ref="BX618:CB618"/>
    <mergeCell ref="CH624:CL624"/>
    <mergeCell ref="CM624:CQ624"/>
    <mergeCell ref="CH623:CL623"/>
    <mergeCell ref="DC624:DG624"/>
    <mergeCell ref="BN647:BR647"/>
    <mergeCell ref="CH637:CL637"/>
    <mergeCell ref="CH641:CL641"/>
    <mergeCell ref="BX638:CB638"/>
    <mergeCell ref="BS618:BW618"/>
    <mergeCell ref="CS645:CW645"/>
    <mergeCell ref="CS630:CW630"/>
    <mergeCell ref="CX630:DB630"/>
    <mergeCell ref="CS631:CW631"/>
    <mergeCell ref="CX631:DB631"/>
    <mergeCell ref="CX649:DB649"/>
    <mergeCell ref="CS648:CW648"/>
    <mergeCell ref="CX651:DB651"/>
    <mergeCell ref="BX649:CB649"/>
    <mergeCell ref="CS615:CW615"/>
    <mergeCell ref="CC632:CG632"/>
    <mergeCell ref="DC631:DG631"/>
    <mergeCell ref="DM631:DQ631"/>
    <mergeCell ref="DH631:DL631"/>
    <mergeCell ref="DC649:DG649"/>
    <mergeCell ref="DH649:DL649"/>
    <mergeCell ref="EC615:EG615"/>
    <mergeCell ref="EH615:EL615"/>
    <mergeCell ref="DX612:EB612"/>
    <mergeCell ref="EC612:EG612"/>
    <mergeCell ref="EH612:EL612"/>
    <mergeCell ref="EM612:EQ612"/>
    <mergeCell ref="CX613:DB613"/>
    <mergeCell ref="DH624:DL624"/>
    <mergeCell ref="CC628:CG628"/>
    <mergeCell ref="DM630:DQ630"/>
    <mergeCell ref="DR632:DV632"/>
    <mergeCell ref="CX617:DB617"/>
    <mergeCell ref="DC617:DG617"/>
    <mergeCell ref="DH617:DL617"/>
    <mergeCell ref="EH647:EL647"/>
    <mergeCell ref="EM647:EQ647"/>
    <mergeCell ref="CM616:CQ616"/>
    <mergeCell ref="CC616:CG616"/>
    <mergeCell ref="CM630:CQ630"/>
    <mergeCell ref="CM631:CQ631"/>
    <mergeCell ref="EH641:EL641"/>
    <mergeCell ref="EM641:EQ641"/>
    <mergeCell ref="CS612:CW612"/>
    <mergeCell ref="CX612:DB612"/>
    <mergeCell ref="CS613:CW613"/>
    <mergeCell ref="DM650:DQ650"/>
    <mergeCell ref="DR647:DV647"/>
    <mergeCell ref="DR651:DV651"/>
    <mergeCell ref="DM649:DQ649"/>
    <mergeCell ref="ER647:EV647"/>
    <mergeCell ref="EW647:FA647"/>
    <mergeCell ref="EM650:EQ650"/>
    <mergeCell ref="EC651:EG651"/>
    <mergeCell ref="DX648:EB648"/>
    <mergeCell ref="EH643:EL643"/>
    <mergeCell ref="EM643:EQ643"/>
    <mergeCell ref="DX643:EB643"/>
    <mergeCell ref="EH618:EL618"/>
    <mergeCell ref="EM618:EQ618"/>
    <mergeCell ref="DR612:DV612"/>
    <mergeCell ref="DM612:DQ612"/>
    <mergeCell ref="DC616:DG616"/>
    <mergeCell ref="DH616:DL616"/>
    <mergeCell ref="ER619:EV619"/>
    <mergeCell ref="DC613:DG613"/>
    <mergeCell ref="DH614:DL614"/>
    <mergeCell ref="DM614:DQ614"/>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EW669:FA669"/>
    <mergeCell ref="EM667:EQ667"/>
    <mergeCell ref="ER667:EV667"/>
    <mergeCell ref="EW667:FA667"/>
    <mergeCell ref="ER670:EV670"/>
    <mergeCell ref="ER669:EV669"/>
    <mergeCell ref="ER668:EV668"/>
    <mergeCell ref="EC669:EG669"/>
    <mergeCell ref="EH669:EL669"/>
    <mergeCell ref="EC666:EG666"/>
    <mergeCell ref="EH666:EL666"/>
    <mergeCell ref="DX669:EB669"/>
    <mergeCell ref="EC670:EG670"/>
    <mergeCell ref="EH670:EL670"/>
    <mergeCell ref="EW670:FA670"/>
    <mergeCell ref="EM670:EQ670"/>
    <mergeCell ref="DX665:EB665"/>
    <mergeCell ref="EC665:EG665"/>
    <mergeCell ref="EH665:EL665"/>
    <mergeCell ref="EM665:EQ665"/>
    <mergeCell ref="ER665:EV665"/>
    <mergeCell ref="EM659:EQ659"/>
    <mergeCell ref="ER659:EV659"/>
    <mergeCell ref="EW659:FA659"/>
    <mergeCell ref="DX660:EB660"/>
    <mergeCell ref="EC660:EG660"/>
    <mergeCell ref="EH660:EL660"/>
    <mergeCell ref="EM660:EQ660"/>
    <mergeCell ref="EC648:EG648"/>
    <mergeCell ref="EC661:EG661"/>
    <mergeCell ref="EH661:EL661"/>
    <mergeCell ref="ER648:EV648"/>
    <mergeCell ref="ER653:EV653"/>
    <mergeCell ref="EM661:EQ661"/>
    <mergeCell ref="EH655:EL655"/>
    <mergeCell ref="EM655:EQ655"/>
    <mergeCell ref="DX653:EB653"/>
    <mergeCell ref="EW655:FA655"/>
    <mergeCell ref="EC653:EG653"/>
    <mergeCell ref="EW650:FA650"/>
    <mergeCell ref="EW648:FA648"/>
    <mergeCell ref="EW651:FA651"/>
    <mergeCell ref="EW649:FA649"/>
    <mergeCell ref="EW652:FA652"/>
    <mergeCell ref="ER655:EV655"/>
    <mergeCell ref="ER660:EV660"/>
    <mergeCell ref="EW660:FA660"/>
    <mergeCell ref="EC657:EG657"/>
    <mergeCell ref="EW665:FA665"/>
    <mergeCell ref="EW662:FA662"/>
    <mergeCell ref="EC642:EG642"/>
    <mergeCell ref="EH642:EL642"/>
    <mergeCell ref="EM642:EQ642"/>
    <mergeCell ref="ER642:EV642"/>
    <mergeCell ref="DX641:EB641"/>
    <mergeCell ref="EM648:EQ648"/>
    <mergeCell ref="EM654:EQ654"/>
    <mergeCell ref="ER654:EV654"/>
    <mergeCell ref="EM652:EQ652"/>
    <mergeCell ref="DX650:EB650"/>
    <mergeCell ref="EC650:EG650"/>
    <mergeCell ref="EC655:EG655"/>
    <mergeCell ref="EC649:EG649"/>
    <mergeCell ref="EC637:EG637"/>
    <mergeCell ref="EH637:EL637"/>
    <mergeCell ref="EM646:EQ646"/>
    <mergeCell ref="EW642:FA642"/>
    <mergeCell ref="EM640:EQ640"/>
    <mergeCell ref="ER650:EV650"/>
    <mergeCell ref="ER646:EV646"/>
    <mergeCell ref="EW646:FA646"/>
    <mergeCell ref="EM649:EQ649"/>
    <mergeCell ref="ER645:EV645"/>
    <mergeCell ref="EH648:EL648"/>
    <mergeCell ref="EH651:EL651"/>
    <mergeCell ref="EH650:EL650"/>
    <mergeCell ref="ER616:EV616"/>
    <mergeCell ref="EC639:EG639"/>
    <mergeCell ref="EH639:EL639"/>
    <mergeCell ref="EM639:EQ639"/>
    <mergeCell ref="EM637:EQ637"/>
    <mergeCell ref="EM644:EQ644"/>
    <mergeCell ref="ER644:EV644"/>
    <mergeCell ref="DX618:EB618"/>
    <mergeCell ref="EC618:EG618"/>
    <mergeCell ref="EW623:FA623"/>
    <mergeCell ref="DX624:EB624"/>
    <mergeCell ref="EW625:FA625"/>
    <mergeCell ref="DX626:EB626"/>
    <mergeCell ref="EC626:EG626"/>
    <mergeCell ref="EH626:EL626"/>
    <mergeCell ref="EM626:EQ626"/>
    <mergeCell ref="ER626:EV626"/>
    <mergeCell ref="EW619:FA619"/>
    <mergeCell ref="EC630:EG630"/>
    <mergeCell ref="EH630:EL630"/>
    <mergeCell ref="EM630:EQ630"/>
    <mergeCell ref="EM636:EQ636"/>
    <mergeCell ref="DX637:EB637"/>
    <mergeCell ref="EC627:EG627"/>
    <mergeCell ref="EH627:EL627"/>
    <mergeCell ref="EM627:EQ627"/>
    <mergeCell ref="ER627:EV627"/>
    <mergeCell ref="EW644:FA644"/>
    <mergeCell ref="EC641:EG641"/>
    <mergeCell ref="EC643:EG643"/>
    <mergeCell ref="EW639:FA639"/>
    <mergeCell ref="DX640:EB640"/>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12:EV612"/>
    <mergeCell ref="EH619:EL619"/>
    <mergeCell ref="ER618:EV618"/>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ER609:EV609"/>
    <mergeCell ref="EH614:EL614"/>
    <mergeCell ref="EM614:EQ614"/>
    <mergeCell ref="ER614:EV614"/>
    <mergeCell ref="EW614:FA614"/>
    <mergeCell ref="DX615:EB615"/>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AK718:AO718"/>
    <mergeCell ref="AK719:AO719"/>
    <mergeCell ref="CB796:CH796"/>
    <mergeCell ref="BN796:BO796"/>
    <mergeCell ref="DX607:EB607"/>
    <mergeCell ref="EC607:EG607"/>
    <mergeCell ref="EH607:EL607"/>
    <mergeCell ref="EM607:EQ607"/>
    <mergeCell ref="ER607:EV607"/>
    <mergeCell ref="EW607:FA607"/>
    <mergeCell ref="DX608:EB608"/>
    <mergeCell ref="EC608:EG608"/>
    <mergeCell ref="EH608:EL60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R600:EV600"/>
    <mergeCell ref="DX599:EB5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C599:EG599"/>
    <mergeCell ref="EH599:EL599"/>
    <mergeCell ref="EM599:EQ599"/>
    <mergeCell ref="ER599:EV599"/>
    <mergeCell ref="DX600:EB600"/>
    <mergeCell ref="EC600:EG600"/>
    <mergeCell ref="EH600:EL600"/>
    <mergeCell ref="EM600:EQ600"/>
    <mergeCell ref="AJ1012:AQ1014"/>
    <mergeCell ref="AJ1024:AQ1027"/>
    <mergeCell ref="AJ986:AQ986"/>
    <mergeCell ref="AJ987:AQ987"/>
    <mergeCell ref="B991:AI991"/>
    <mergeCell ref="R986:AA986"/>
    <mergeCell ref="M971:S971"/>
    <mergeCell ref="M960:S960"/>
    <mergeCell ref="M961:S961"/>
    <mergeCell ref="D1036:AE1039"/>
    <mergeCell ref="AJ1035:AQ103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J1015:AQ1018"/>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G1035:AH1035"/>
    <mergeCell ref="D1025:AE1027"/>
    <mergeCell ref="AJ1028:AQ1030"/>
    <mergeCell ref="AJ1000:AQ1005"/>
    <mergeCell ref="AJ1019:AQ1023"/>
    <mergeCell ref="D1019:AE1020"/>
    <mergeCell ref="AB990:AI990"/>
    <mergeCell ref="D1024:AE1024"/>
    <mergeCell ref="AF1025:AI1025"/>
    <mergeCell ref="AG1028:AH1028"/>
    <mergeCell ref="AG1024:AH1024"/>
    <mergeCell ref="AB987:AI987"/>
    <mergeCell ref="D987:Q987"/>
    <mergeCell ref="D988:Q988"/>
    <mergeCell ref="R987:AA987"/>
    <mergeCell ref="AA966:AG966"/>
    <mergeCell ref="AA972:AG972"/>
    <mergeCell ref="AE961:AK961"/>
    <mergeCell ref="AE958:AK958"/>
    <mergeCell ref="W973:AG973"/>
    <mergeCell ref="M972:S972"/>
    <mergeCell ref="AJ989:AQ989"/>
    <mergeCell ref="AJ985:AQ985"/>
    <mergeCell ref="AA967:AG967"/>
    <mergeCell ref="AE954:AK954"/>
    <mergeCell ref="R984:AA984"/>
    <mergeCell ref="A978:AT980"/>
    <mergeCell ref="AJ984:AQ984"/>
    <mergeCell ref="M974:S974"/>
    <mergeCell ref="M970:S970"/>
    <mergeCell ref="M955:S955"/>
    <mergeCell ref="AD759:AF759"/>
    <mergeCell ref="X749:AB749"/>
    <mergeCell ref="T972:Z972"/>
    <mergeCell ref="I946:T946"/>
    <mergeCell ref="J956:S956"/>
    <mergeCell ref="AC894:AH894"/>
    <mergeCell ref="AA932:AF932"/>
    <mergeCell ref="AH752:AJ752"/>
    <mergeCell ref="P816:Y816"/>
    <mergeCell ref="O795:S795"/>
    <mergeCell ref="AC791:AG791"/>
    <mergeCell ref="O790:S790"/>
    <mergeCell ref="T793:W793"/>
    <mergeCell ref="O783:S786"/>
    <mergeCell ref="O788:S788"/>
    <mergeCell ref="W871:AC871"/>
    <mergeCell ref="J793:N793"/>
    <mergeCell ref="AA929:AF929"/>
    <mergeCell ref="U930:Z930"/>
    <mergeCell ref="T794:W794"/>
    <mergeCell ref="T792:W792"/>
    <mergeCell ref="O777:S777"/>
    <mergeCell ref="X788:AB788"/>
    <mergeCell ref="M957:S957"/>
    <mergeCell ref="U929:Z929"/>
    <mergeCell ref="U924:Z924"/>
    <mergeCell ref="AA934:AF934"/>
    <mergeCell ref="AA917:AF917"/>
    <mergeCell ref="J774:N774"/>
    <mergeCell ref="O756:R756"/>
    <mergeCell ref="AG756:AJ756"/>
    <mergeCell ref="U831:X831"/>
    <mergeCell ref="B746:F746"/>
    <mergeCell ref="B747:F747"/>
    <mergeCell ref="B748:F748"/>
    <mergeCell ref="B749:F749"/>
    <mergeCell ref="B750:F750"/>
    <mergeCell ref="O747:S747"/>
    <mergeCell ref="T747:W747"/>
    <mergeCell ref="AC748:AG748"/>
    <mergeCell ref="T749:W749"/>
    <mergeCell ref="K750:N750"/>
    <mergeCell ref="X748:AB748"/>
    <mergeCell ref="B751:F751"/>
    <mergeCell ref="T750:W750"/>
    <mergeCell ref="K751:N751"/>
    <mergeCell ref="O751:S751"/>
    <mergeCell ref="T751:W751"/>
    <mergeCell ref="G753:J753"/>
    <mergeCell ref="C830:H830"/>
    <mergeCell ref="K737:N737"/>
    <mergeCell ref="F831:L831"/>
    <mergeCell ref="AH739:AJ739"/>
    <mergeCell ref="AH740:AJ740"/>
    <mergeCell ref="M831:P831"/>
    <mergeCell ref="B734:F734"/>
    <mergeCell ref="Q831:T831"/>
    <mergeCell ref="X740:AB740"/>
    <mergeCell ref="C828:H828"/>
    <mergeCell ref="M828:P828"/>
    <mergeCell ref="C827:H827"/>
    <mergeCell ref="K743:N743"/>
    <mergeCell ref="O743:S743"/>
    <mergeCell ref="T743:W743"/>
    <mergeCell ref="J787:N787"/>
    <mergeCell ref="C826:H826"/>
    <mergeCell ref="O794:S794"/>
    <mergeCell ref="X775:AB775"/>
    <mergeCell ref="X776:AB776"/>
    <mergeCell ref="AC775:AG775"/>
    <mergeCell ref="K749:N749"/>
    <mergeCell ref="B745:F745"/>
    <mergeCell ref="B754:AH755"/>
    <mergeCell ref="K739:N739"/>
    <mergeCell ref="O745:S745"/>
    <mergeCell ref="B740:F740"/>
    <mergeCell ref="M830:P830"/>
    <mergeCell ref="T787:W787"/>
    <mergeCell ref="T788:W788"/>
    <mergeCell ref="T789:W789"/>
    <mergeCell ref="Q830:T830"/>
    <mergeCell ref="D1086:AK1090"/>
    <mergeCell ref="D1091:AK1093"/>
    <mergeCell ref="G686:R686"/>
    <mergeCell ref="N689:O689"/>
    <mergeCell ref="G734:J734"/>
    <mergeCell ref="AJ988:AQ988"/>
    <mergeCell ref="O737:S737"/>
    <mergeCell ref="O738:S738"/>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D1083:AK1085"/>
    <mergeCell ref="M878:V878"/>
    <mergeCell ref="Q825:T825"/>
    <mergeCell ref="W870:AC870"/>
    <mergeCell ref="C832:L832"/>
    <mergeCell ref="AE955:AK955"/>
    <mergeCell ref="AA946:AF946"/>
    <mergeCell ref="AC893:AH893"/>
    <mergeCell ref="W855:AC855"/>
    <mergeCell ref="AC892:AH892"/>
    <mergeCell ref="A1103:B1103"/>
    <mergeCell ref="G725:J725"/>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AC789:AG789"/>
    <mergeCell ref="AC790:AG790"/>
    <mergeCell ref="B732:F732"/>
    <mergeCell ref="J794:N794"/>
    <mergeCell ref="J789:N789"/>
    <mergeCell ref="AC831:AF831"/>
    <mergeCell ref="Y825:AB825"/>
    <mergeCell ref="AC825:AF825"/>
    <mergeCell ref="AG827:AJ827"/>
    <mergeCell ref="M826:P826"/>
    <mergeCell ref="M871:V871"/>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T752:W752"/>
    <mergeCell ref="J776:N776"/>
    <mergeCell ref="M874:V874"/>
    <mergeCell ref="R985:AA985"/>
    <mergeCell ref="M958:S958"/>
    <mergeCell ref="E885:AB885"/>
    <mergeCell ref="AH736:AJ736"/>
    <mergeCell ref="AH735:AJ735"/>
    <mergeCell ref="M846:V846"/>
    <mergeCell ref="W843:AC843"/>
    <mergeCell ref="J849:V849"/>
    <mergeCell ref="BG975:BL975"/>
    <mergeCell ref="AA949:AF949"/>
    <mergeCell ref="BD906:BE906"/>
    <mergeCell ref="BD907:BE907"/>
    <mergeCell ref="U946:Z946"/>
    <mergeCell ref="U918:Z918"/>
    <mergeCell ref="BG848:BL848"/>
    <mergeCell ref="AH731:AJ731"/>
    <mergeCell ref="BN660:BR660"/>
    <mergeCell ref="BN646:BR646"/>
    <mergeCell ref="AC883:AH883"/>
    <mergeCell ref="Z901:AE901"/>
    <mergeCell ref="W863:AC863"/>
    <mergeCell ref="P655:R655"/>
    <mergeCell ref="Z653:AK653"/>
    <mergeCell ref="Z652:AK652"/>
    <mergeCell ref="P647:R647"/>
    <mergeCell ref="AI647:AK647"/>
    <mergeCell ref="AC889:AH889"/>
    <mergeCell ref="Y830:AB830"/>
    <mergeCell ref="U921:Z921"/>
    <mergeCell ref="AA923:AF923"/>
    <mergeCell ref="M968:S968"/>
    <mergeCell ref="Z686:AK686"/>
    <mergeCell ref="U927:Z927"/>
    <mergeCell ref="U947:Z947"/>
    <mergeCell ref="U934:Z934"/>
    <mergeCell ref="AA922:AF922"/>
    <mergeCell ref="AB916:AE916"/>
    <mergeCell ref="AA921:AF921"/>
    <mergeCell ref="X746:AB746"/>
    <mergeCell ref="X789:AB789"/>
    <mergeCell ref="BI841:BL841"/>
    <mergeCell ref="AC823:AF824"/>
    <mergeCell ref="Z816:AE816"/>
    <mergeCell ref="AC773:AG773"/>
    <mergeCell ref="AC725:AG725"/>
    <mergeCell ref="AC726:AG726"/>
    <mergeCell ref="AC830:AF830"/>
    <mergeCell ref="Y828:AB828"/>
    <mergeCell ref="BX660:CB660"/>
    <mergeCell ref="AC769:AG772"/>
    <mergeCell ref="Y832:AB832"/>
    <mergeCell ref="BX651:CB651"/>
    <mergeCell ref="CC651:CG651"/>
    <mergeCell ref="Y827:AB827"/>
    <mergeCell ref="X725:AB725"/>
    <mergeCell ref="AH753:AJ753"/>
    <mergeCell ref="AK745:AO745"/>
    <mergeCell ref="Z662:AK662"/>
    <mergeCell ref="Z659:AK659"/>
    <mergeCell ref="Z671:AE671"/>
    <mergeCell ref="Z668:AK668"/>
    <mergeCell ref="U829:X829"/>
    <mergeCell ref="U828:X828"/>
    <mergeCell ref="AG828:AJ828"/>
    <mergeCell ref="Z807:AE807"/>
    <mergeCell ref="X769:AB772"/>
    <mergeCell ref="T769:W772"/>
    <mergeCell ref="AC793:AG793"/>
    <mergeCell ref="U832:X832"/>
    <mergeCell ref="AC797:AG797"/>
    <mergeCell ref="AC787:AG787"/>
    <mergeCell ref="T791:W79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DH613:DL613"/>
    <mergeCell ref="DC612:DG612"/>
    <mergeCell ref="CX610:DB610"/>
    <mergeCell ref="CM611:CQ611"/>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M599:DQ599"/>
    <mergeCell ref="DM601:DQ601"/>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H604:CL604"/>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X596:DB596"/>
    <mergeCell ref="BK605:BL605"/>
    <mergeCell ref="CM597:CQ597"/>
    <mergeCell ref="CM600:CQ600"/>
    <mergeCell ref="T559:V559"/>
    <mergeCell ref="AH515:AK515"/>
    <mergeCell ref="AC516:AF516"/>
    <mergeCell ref="Z557:AD557"/>
    <mergeCell ref="AC528:AF528"/>
    <mergeCell ref="B551:L553"/>
    <mergeCell ref="DH596:DL596"/>
    <mergeCell ref="G587:R587"/>
    <mergeCell ref="G578:R578"/>
    <mergeCell ref="CM596:CQ596"/>
    <mergeCell ref="BX596:CB596"/>
    <mergeCell ref="T562:V562"/>
    <mergeCell ref="AG583:AH583"/>
    <mergeCell ref="AM555:AS555"/>
    <mergeCell ref="Z587:AK587"/>
    <mergeCell ref="AH529:AK529"/>
    <mergeCell ref="AH534:AK534"/>
    <mergeCell ref="AH522:AK522"/>
    <mergeCell ref="AC541:AF541"/>
    <mergeCell ref="AH518:AK518"/>
    <mergeCell ref="G572:L572"/>
    <mergeCell ref="Z581:AE581"/>
    <mergeCell ref="M554:P554"/>
    <mergeCell ref="AH519:AK519"/>
    <mergeCell ref="AH536:AK536"/>
    <mergeCell ref="AI559:AL559"/>
    <mergeCell ref="AH520:AK520"/>
    <mergeCell ref="AC537:AF537"/>
    <mergeCell ref="AH539:AK539"/>
    <mergeCell ref="AH541:AK541"/>
    <mergeCell ref="AE554:AH554"/>
    <mergeCell ref="Z556:AD556"/>
    <mergeCell ref="AF418:AH418"/>
    <mergeCell ref="Z434:AA434"/>
    <mergeCell ref="AM561:AS561"/>
    <mergeCell ref="C561:L561"/>
    <mergeCell ref="G586:R586"/>
    <mergeCell ref="W560:Y560"/>
    <mergeCell ref="T560:V560"/>
    <mergeCell ref="G570:R570"/>
    <mergeCell ref="Z561:AD561"/>
    <mergeCell ref="G577:R577"/>
    <mergeCell ref="AA573:AK573"/>
    <mergeCell ref="AC535:AF535"/>
    <mergeCell ref="AI554:AL554"/>
    <mergeCell ref="AC521:AF521"/>
    <mergeCell ref="AH495:AK495"/>
    <mergeCell ref="T556:V556"/>
    <mergeCell ref="AC520:AF520"/>
    <mergeCell ref="AC527:AF527"/>
    <mergeCell ref="Z577:AK577"/>
    <mergeCell ref="T558:V558"/>
    <mergeCell ref="G581:L581"/>
    <mergeCell ref="C564:L564"/>
    <mergeCell ref="AM563:AS563"/>
    <mergeCell ref="B566:AL566"/>
    <mergeCell ref="N583:O583"/>
    <mergeCell ref="D468:V468"/>
    <mergeCell ref="W558:Y558"/>
    <mergeCell ref="AE558:AH558"/>
    <mergeCell ref="P581:R581"/>
    <mergeCell ref="AI572:AK572"/>
    <mergeCell ref="AA582:AK582"/>
    <mergeCell ref="AC503:AF503"/>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I560:AL560"/>
    <mergeCell ref="Z586:AK586"/>
    <mergeCell ref="T561:V561"/>
    <mergeCell ref="AE425:AF425"/>
    <mergeCell ref="AI564:AL564"/>
    <mergeCell ref="G597:L597"/>
    <mergeCell ref="AG591:AH591"/>
    <mergeCell ref="P605:R605"/>
    <mergeCell ref="AF574:AK574"/>
    <mergeCell ref="Z585:AK585"/>
    <mergeCell ref="AC630:AE630"/>
    <mergeCell ref="AC631:AE631"/>
    <mergeCell ref="AC632:AE632"/>
    <mergeCell ref="Q627:S627"/>
    <mergeCell ref="Q628:S628"/>
    <mergeCell ref="G610:R610"/>
    <mergeCell ref="Z605:AE605"/>
    <mergeCell ref="Z609:AK609"/>
    <mergeCell ref="G609:R609"/>
    <mergeCell ref="AI613:AK613"/>
    <mergeCell ref="G579:R579"/>
    <mergeCell ref="G593:R593"/>
    <mergeCell ref="AF632:AJ632"/>
    <mergeCell ref="Z568:AK568"/>
    <mergeCell ref="Z571:AK571"/>
    <mergeCell ref="P589:R589"/>
    <mergeCell ref="Z613:AE613"/>
    <mergeCell ref="Z580:AK580"/>
    <mergeCell ref="Z569:AK569"/>
    <mergeCell ref="T630:V630"/>
    <mergeCell ref="AK631:AN631"/>
    <mergeCell ref="AK632:AN632"/>
    <mergeCell ref="Z604:AK604"/>
    <mergeCell ref="Z610:AK610"/>
    <mergeCell ref="CH612:CL612"/>
    <mergeCell ref="BI611:BJ611"/>
    <mergeCell ref="BE613:BF613"/>
    <mergeCell ref="BE608:BF608"/>
    <mergeCell ref="BS617:BW617"/>
    <mergeCell ref="BS613:BW613"/>
    <mergeCell ref="BK612:BL612"/>
    <mergeCell ref="BG612:BH612"/>
    <mergeCell ref="BE609:BF609"/>
    <mergeCell ref="BE607:BF607"/>
    <mergeCell ref="BX617:CB617"/>
    <mergeCell ref="CH615:CL615"/>
    <mergeCell ref="CC615:CG615"/>
    <mergeCell ref="BK614:BL614"/>
    <mergeCell ref="BK613:BL613"/>
    <mergeCell ref="CH616:CL616"/>
    <mergeCell ref="CH614:CL614"/>
    <mergeCell ref="BX613:CB613"/>
    <mergeCell ref="CC613:CG613"/>
    <mergeCell ref="BG614:BH614"/>
    <mergeCell ref="BK611:BL611"/>
    <mergeCell ref="BG608:BH608"/>
    <mergeCell ref="BI614:BJ614"/>
    <mergeCell ref="BS615:BW615"/>
    <mergeCell ref="BX616:CB616"/>
    <mergeCell ref="BG616:BH616"/>
    <mergeCell ref="BG617:BH617"/>
    <mergeCell ref="CM598:CQ598"/>
    <mergeCell ref="CM599:CQ599"/>
    <mergeCell ref="Z597:AE597"/>
    <mergeCell ref="CM612:CQ612"/>
    <mergeCell ref="CM613:CQ613"/>
    <mergeCell ref="CM614:CQ614"/>
    <mergeCell ref="CM615:CQ615"/>
    <mergeCell ref="BG615:BH615"/>
    <mergeCell ref="CH610:CL610"/>
    <mergeCell ref="CH608:CL608"/>
    <mergeCell ref="CC612:CG612"/>
    <mergeCell ref="BS614:BW614"/>
    <mergeCell ref="BE614:BF614"/>
    <mergeCell ref="BS610:BW610"/>
    <mergeCell ref="BE612:BF612"/>
    <mergeCell ref="BX611:CB611"/>
    <mergeCell ref="BX614:CB614"/>
    <mergeCell ref="BE597:BF597"/>
    <mergeCell ref="CH599:CL599"/>
    <mergeCell ref="BX599:CB599"/>
    <mergeCell ref="CC600:CG600"/>
    <mergeCell ref="BE601:BF601"/>
    <mergeCell ref="BE598:BF598"/>
    <mergeCell ref="BX600:CB600"/>
    <mergeCell ref="BG602:BH602"/>
    <mergeCell ref="CC611:CG611"/>
    <mergeCell ref="BS612:BW612"/>
    <mergeCell ref="BE611:BF611"/>
    <mergeCell ref="BN613:BR613"/>
    <mergeCell ref="BN611:BR611"/>
    <mergeCell ref="BN614:BR614"/>
    <mergeCell ref="BN612:BR612"/>
    <mergeCell ref="G613:L613"/>
    <mergeCell ref="A617:AT618"/>
    <mergeCell ref="BE617:BF617"/>
    <mergeCell ref="P613:R613"/>
    <mergeCell ref="G594:R594"/>
    <mergeCell ref="Z594:AK594"/>
    <mergeCell ref="G601:R601"/>
    <mergeCell ref="H590:R590"/>
    <mergeCell ref="N591:O591"/>
    <mergeCell ref="AA590:AK590"/>
    <mergeCell ref="BG606:BH606"/>
    <mergeCell ref="BX604:CB604"/>
    <mergeCell ref="AI589:AK589"/>
    <mergeCell ref="Z596:AK596"/>
    <mergeCell ref="H598:R598"/>
    <mergeCell ref="BK598:BL598"/>
    <mergeCell ref="BG596:BH596"/>
    <mergeCell ref="BS599:BW599"/>
    <mergeCell ref="BG610:BH610"/>
    <mergeCell ref="BG601:BH601"/>
    <mergeCell ref="BN603:BR603"/>
    <mergeCell ref="BN606:BR606"/>
    <mergeCell ref="BK606:BL606"/>
    <mergeCell ref="BI605:BJ605"/>
    <mergeCell ref="AA606:AK606"/>
    <mergeCell ref="BG600:BH600"/>
    <mergeCell ref="BE610:BF610"/>
    <mergeCell ref="BG603:BH603"/>
    <mergeCell ref="BG598:BH598"/>
    <mergeCell ref="H606:R606"/>
    <mergeCell ref="BN596:BR596"/>
    <mergeCell ref="BG599:BH599"/>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15:BL615"/>
    <mergeCell ref="BN615:BR615"/>
    <mergeCell ref="BK616:BL616"/>
    <mergeCell ref="BS616:BW616"/>
    <mergeCell ref="C628:L628"/>
    <mergeCell ref="Z631:AB631"/>
    <mergeCell ref="AF624:AJ626"/>
    <mergeCell ref="W633:Y633"/>
    <mergeCell ref="Z630:AB630"/>
    <mergeCell ref="AK633:AN633"/>
    <mergeCell ref="BS647:BW647"/>
    <mergeCell ref="BN645:BR645"/>
    <mergeCell ref="BN621:BR621"/>
    <mergeCell ref="BK625:BL625"/>
    <mergeCell ref="BE624:BF624"/>
    <mergeCell ref="BE628:BF628"/>
    <mergeCell ref="BE627:BF627"/>
    <mergeCell ref="AO638:AS638"/>
    <mergeCell ref="BG623:BH623"/>
    <mergeCell ref="BI618:BJ618"/>
    <mergeCell ref="BK618:BL618"/>
    <mergeCell ref="BG632:BH632"/>
    <mergeCell ref="BK632:BL632"/>
    <mergeCell ref="BS619:BW619"/>
    <mergeCell ref="BG618:BH618"/>
    <mergeCell ref="BN620:BR620"/>
    <mergeCell ref="CC621:CG621"/>
    <mergeCell ref="BI622:BJ622"/>
    <mergeCell ref="BK622:BL622"/>
    <mergeCell ref="BX607:CB607"/>
    <mergeCell ref="BS609:BW609"/>
    <mergeCell ref="AO632:AS632"/>
    <mergeCell ref="BI613:BJ613"/>
    <mergeCell ref="BG613:BH613"/>
    <mergeCell ref="CC614:CG614"/>
    <mergeCell ref="BS621:BW621"/>
    <mergeCell ref="BX621:CB621"/>
    <mergeCell ref="BN622:BR622"/>
    <mergeCell ref="BS630:BW630"/>
    <mergeCell ref="BN639:BR639"/>
    <mergeCell ref="BN640:BR640"/>
    <mergeCell ref="W636:Y636"/>
    <mergeCell ref="W637:Y637"/>
    <mergeCell ref="AO629:AS629"/>
    <mergeCell ref="AF630:AJ630"/>
    <mergeCell ref="BK631:BL631"/>
    <mergeCell ref="BN631:BR631"/>
    <mergeCell ref="BN638:BR638"/>
    <mergeCell ref="BS623:BW623"/>
    <mergeCell ref="BS625:BW625"/>
    <mergeCell ref="AF628:AJ628"/>
    <mergeCell ref="Z627:AB627"/>
    <mergeCell ref="AC636:AE636"/>
    <mergeCell ref="W631:Y631"/>
    <mergeCell ref="AK629:AN629"/>
    <mergeCell ref="AO636:AS636"/>
    <mergeCell ref="AO627:AS627"/>
    <mergeCell ref="BI623:BJ623"/>
    <mergeCell ref="BK623:BL623"/>
    <mergeCell ref="W638:Y638"/>
    <mergeCell ref="AC624:AE626"/>
    <mergeCell ref="AK628:AN628"/>
    <mergeCell ref="AK637:AN637"/>
    <mergeCell ref="AK638:AN638"/>
    <mergeCell ref="AF633:AJ633"/>
    <mergeCell ref="AC629:AE629"/>
    <mergeCell ref="BG627:BH627"/>
    <mergeCell ref="BI627:BJ627"/>
    <mergeCell ref="BK627:BL627"/>
    <mergeCell ref="BI625:BJ625"/>
    <mergeCell ref="G645:R645"/>
    <mergeCell ref="B624:L626"/>
    <mergeCell ref="AO631:AS631"/>
    <mergeCell ref="BG629:BH629"/>
    <mergeCell ref="BI629:BJ629"/>
    <mergeCell ref="BK629:BL629"/>
    <mergeCell ref="BE626:BF626"/>
    <mergeCell ref="BG626:BH626"/>
    <mergeCell ref="BI626:BJ626"/>
    <mergeCell ref="BE623:BF623"/>
    <mergeCell ref="BE621:BF621"/>
    <mergeCell ref="BG621:BH621"/>
    <mergeCell ref="AO641:AS641"/>
    <mergeCell ref="G644:R644"/>
    <mergeCell ref="Z645:AK645"/>
    <mergeCell ref="Z647:AE647"/>
    <mergeCell ref="AO633:AS633"/>
    <mergeCell ref="AO628:AS628"/>
    <mergeCell ref="AO639:AS639"/>
    <mergeCell ref="BG630:BH630"/>
    <mergeCell ref="AO637:AS637"/>
    <mergeCell ref="BI621:BJ621"/>
    <mergeCell ref="BI630:BJ630"/>
    <mergeCell ref="BE629:BF629"/>
    <mergeCell ref="AO624:AS626"/>
    <mergeCell ref="AF629:AJ629"/>
    <mergeCell ref="BK621:BL621"/>
    <mergeCell ref="BE622:BF622"/>
    <mergeCell ref="BG622:BH622"/>
    <mergeCell ref="T624:V626"/>
    <mergeCell ref="T627:V627"/>
    <mergeCell ref="T628:V628"/>
    <mergeCell ref="U919:Z919"/>
    <mergeCell ref="M967:S967"/>
    <mergeCell ref="AA971:AG971"/>
    <mergeCell ref="AA919:AF919"/>
    <mergeCell ref="AA918:AF918"/>
    <mergeCell ref="D1064:AK1069"/>
    <mergeCell ref="AC891:AH891"/>
    <mergeCell ref="C893:AB893"/>
    <mergeCell ref="AG832:AJ832"/>
    <mergeCell ref="W844:AC844"/>
    <mergeCell ref="AC832:AF832"/>
    <mergeCell ref="W874:AC874"/>
    <mergeCell ref="W857:AC857"/>
    <mergeCell ref="W842:AC842"/>
    <mergeCell ref="W847:AC847"/>
    <mergeCell ref="D1070:AK1075"/>
    <mergeCell ref="B990:AA990"/>
    <mergeCell ref="D993:AE993"/>
    <mergeCell ref="D999:AE999"/>
    <mergeCell ref="AA938:AF938"/>
    <mergeCell ref="AA939:AF939"/>
    <mergeCell ref="U944:Z944"/>
    <mergeCell ref="AA933:AF933"/>
    <mergeCell ref="U920:Z920"/>
    <mergeCell ref="U942:Z942"/>
    <mergeCell ref="AA948:AF948"/>
    <mergeCell ref="U940:Z940"/>
    <mergeCell ref="AA942:AF942"/>
    <mergeCell ref="A909:AT910"/>
    <mergeCell ref="U937:Z937"/>
    <mergeCell ref="D1000:AE1000"/>
    <mergeCell ref="W878:AC878"/>
    <mergeCell ref="D1045:AE1046"/>
    <mergeCell ref="D1049:AE1050"/>
    <mergeCell ref="X1047:Y1047"/>
    <mergeCell ref="X1051:Y1051"/>
    <mergeCell ref="I1047:J1047"/>
    <mergeCell ref="I1051:J1051"/>
    <mergeCell ref="AG1048:AH1048"/>
    <mergeCell ref="AG1040:AH1040"/>
    <mergeCell ref="AB956:AK956"/>
    <mergeCell ref="U948:Z948"/>
    <mergeCell ref="AA968:AG968"/>
    <mergeCell ref="U949:Z949"/>
    <mergeCell ref="AA974:AG974"/>
    <mergeCell ref="AA944:AF944"/>
    <mergeCell ref="AJ1052:AQ1052"/>
    <mergeCell ref="AA935:AF935"/>
    <mergeCell ref="D1076:AK1082"/>
    <mergeCell ref="AE957:AK957"/>
    <mergeCell ref="D1001:AE1005"/>
    <mergeCell ref="D1010:AE1010"/>
    <mergeCell ref="D1011:AE1011"/>
    <mergeCell ref="AF1026:AI1027"/>
    <mergeCell ref="T971:Z971"/>
    <mergeCell ref="AA940:AF940"/>
    <mergeCell ref="AA943:AF943"/>
    <mergeCell ref="M959:S959"/>
    <mergeCell ref="AA970:AG970"/>
    <mergeCell ref="AB984:AI984"/>
    <mergeCell ref="AB985:AI985"/>
    <mergeCell ref="AB986:AI986"/>
    <mergeCell ref="D986:Q986"/>
    <mergeCell ref="R988:AA988"/>
    <mergeCell ref="U922:Z922"/>
    <mergeCell ref="U914:Z91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U917:Z917"/>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D1052:AI1052"/>
    <mergeCell ref="D1048:AE1048"/>
    <mergeCell ref="AC890:AH890"/>
    <mergeCell ref="F936:T936"/>
    <mergeCell ref="U936:Z936"/>
    <mergeCell ref="AA936:AF936"/>
    <mergeCell ref="F941:T941"/>
    <mergeCell ref="U941:Z941"/>
    <mergeCell ref="AA941:AF941"/>
    <mergeCell ref="BD905:BF905"/>
    <mergeCell ref="BD904:BF904"/>
    <mergeCell ref="U923:Z923"/>
    <mergeCell ref="BD909:BE909"/>
    <mergeCell ref="U938:Z938"/>
    <mergeCell ref="U939:Z939"/>
    <mergeCell ref="F935:T935"/>
    <mergeCell ref="U935:Z935"/>
    <mergeCell ref="F943:T943"/>
    <mergeCell ref="U943:Z943"/>
    <mergeCell ref="F931:T931"/>
    <mergeCell ref="BD902:BE902"/>
    <mergeCell ref="AA924:AF924"/>
    <mergeCell ref="Z900:AE900"/>
    <mergeCell ref="F915:T916"/>
    <mergeCell ref="AA930:AF930"/>
    <mergeCell ref="U931:Z931"/>
    <mergeCell ref="AA931:AF931"/>
    <mergeCell ref="F937:T937"/>
    <mergeCell ref="F938:T938"/>
    <mergeCell ref="F939:T939"/>
    <mergeCell ref="AA920:AF920"/>
    <mergeCell ref="F929:T929"/>
    <mergeCell ref="F930:T930"/>
    <mergeCell ref="AA927:AF927"/>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C886:AH886"/>
    <mergeCell ref="AC887:AH887"/>
    <mergeCell ref="M832:P832"/>
    <mergeCell ref="W866:AC866"/>
    <mergeCell ref="T773:W773"/>
    <mergeCell ref="W859:AC859"/>
    <mergeCell ref="J773:N773"/>
    <mergeCell ref="O773:S773"/>
    <mergeCell ref="O796:S796"/>
    <mergeCell ref="U825:X825"/>
    <mergeCell ref="M823:P824"/>
    <mergeCell ref="Z817:AE817"/>
    <mergeCell ref="X795:AB795"/>
    <mergeCell ref="Z818:AE818"/>
    <mergeCell ref="AC826:AF826"/>
    <mergeCell ref="AC827:AF827"/>
    <mergeCell ref="O797:S797"/>
    <mergeCell ref="Q827:T827"/>
    <mergeCell ref="Y826:AB826"/>
    <mergeCell ref="Z813:AE813"/>
    <mergeCell ref="W846:AC846"/>
    <mergeCell ref="W852:AC852"/>
    <mergeCell ref="Q828:T828"/>
    <mergeCell ref="Q832:T832"/>
    <mergeCell ref="AC776:AG776"/>
    <mergeCell ref="AC792:AG792"/>
    <mergeCell ref="O787:S787"/>
    <mergeCell ref="M827:P827"/>
    <mergeCell ref="J797:N797"/>
    <mergeCell ref="J795:N795"/>
    <mergeCell ref="AC774:AG774"/>
    <mergeCell ref="O775:S775"/>
    <mergeCell ref="X790:AB790"/>
    <mergeCell ref="AG823:AJ824"/>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X794:AB794"/>
    <mergeCell ref="T796:W796"/>
    <mergeCell ref="X774:AB774"/>
    <mergeCell ref="U823:X824"/>
    <mergeCell ref="Z806:AE806"/>
    <mergeCell ref="J775:N775"/>
    <mergeCell ref="AG830:AJ830"/>
    <mergeCell ref="J788:N788"/>
    <mergeCell ref="X777:AB777"/>
    <mergeCell ref="M825:P825"/>
    <mergeCell ref="U826:X826"/>
    <mergeCell ref="T776:W776"/>
    <mergeCell ref="AC796:AG796"/>
    <mergeCell ref="AC788:AG788"/>
    <mergeCell ref="Y801:AC801"/>
    <mergeCell ref="Y800:AC800"/>
    <mergeCell ref="J792:N792"/>
    <mergeCell ref="O774:S774"/>
    <mergeCell ref="X791:AB791"/>
    <mergeCell ref="X750:AB750"/>
    <mergeCell ref="AC749:AG749"/>
    <mergeCell ref="AC750:AG750"/>
    <mergeCell ref="AC751:AG751"/>
    <mergeCell ref="K752:N752"/>
    <mergeCell ref="O750:S750"/>
    <mergeCell ref="AK748:AO748"/>
    <mergeCell ref="G679:L679"/>
    <mergeCell ref="O714:S717"/>
    <mergeCell ref="T720:W720"/>
    <mergeCell ref="AK742:AO742"/>
    <mergeCell ref="K719:N719"/>
    <mergeCell ref="AK746:AO746"/>
    <mergeCell ref="AK747:AO747"/>
    <mergeCell ref="T728:W728"/>
    <mergeCell ref="AC740:AG740"/>
    <mergeCell ref="AC741:AG741"/>
    <mergeCell ref="AC737:AG737"/>
    <mergeCell ref="T732:W732"/>
    <mergeCell ref="G752:J752"/>
    <mergeCell ref="T741:W741"/>
    <mergeCell ref="G740:J740"/>
    <mergeCell ref="K740:N740"/>
    <mergeCell ref="K745:N745"/>
    <mergeCell ref="X743:AB743"/>
    <mergeCell ref="X744:AB744"/>
    <mergeCell ref="AH743:AJ743"/>
    <mergeCell ref="AH744:AJ744"/>
    <mergeCell ref="AH750:AJ750"/>
    <mergeCell ref="AH751:AJ751"/>
    <mergeCell ref="AH749:AJ749"/>
    <mergeCell ref="AH742:AJ742"/>
    <mergeCell ref="J769:N772"/>
    <mergeCell ref="T734:W734"/>
    <mergeCell ref="O749:S749"/>
    <mergeCell ref="X730:AB730"/>
    <mergeCell ref="AA680:AK680"/>
    <mergeCell ref="K720:N720"/>
    <mergeCell ref="W703:AK703"/>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O741:S741"/>
    <mergeCell ref="T774:W774"/>
    <mergeCell ref="J779:K779"/>
    <mergeCell ref="X742:AB742"/>
    <mergeCell ref="AC783:AG786"/>
    <mergeCell ref="J791:N791"/>
    <mergeCell ref="X792:AB792"/>
    <mergeCell ref="X751:AB751"/>
    <mergeCell ref="AC752:AG752"/>
    <mergeCell ref="G721:J721"/>
    <mergeCell ref="G722:J722"/>
    <mergeCell ref="N673:O673"/>
    <mergeCell ref="G687:L687"/>
    <mergeCell ref="T722:W722"/>
    <mergeCell ref="N649:O649"/>
    <mergeCell ref="K729:N729"/>
    <mergeCell ref="Z677:AK677"/>
    <mergeCell ref="G720:J720"/>
    <mergeCell ref="G653:R653"/>
    <mergeCell ref="P663:R663"/>
    <mergeCell ref="G724:J724"/>
    <mergeCell ref="AG665:AH665"/>
    <mergeCell ref="T729:W729"/>
    <mergeCell ref="AH728:AJ728"/>
    <mergeCell ref="G678:R678"/>
    <mergeCell ref="P679:R679"/>
    <mergeCell ref="Z676:AK676"/>
    <mergeCell ref="W700:AK700"/>
    <mergeCell ref="Z683:AK683"/>
    <mergeCell ref="AA688:AK688"/>
    <mergeCell ref="AC719:AG719"/>
    <mergeCell ref="G677:R677"/>
    <mergeCell ref="Z678:AK678"/>
    <mergeCell ref="O722:S722"/>
    <mergeCell ref="O723:S723"/>
    <mergeCell ref="X723:AB723"/>
    <mergeCell ref="K714:N717"/>
    <mergeCell ref="G651:R651"/>
    <mergeCell ref="G652:R652"/>
    <mergeCell ref="Z655:AE655"/>
    <mergeCell ref="AK714:AO717"/>
    <mergeCell ref="Q562:S562"/>
    <mergeCell ref="AC533:AF533"/>
    <mergeCell ref="T551:V553"/>
    <mergeCell ref="W551:Y553"/>
    <mergeCell ref="AH533:AK533"/>
    <mergeCell ref="AH532:AK532"/>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N657:O657"/>
    <mergeCell ref="Z660:AK660"/>
    <mergeCell ref="G663:L663"/>
    <mergeCell ref="T739:W739"/>
    <mergeCell ref="AG657:AH657"/>
    <mergeCell ref="G661:R661"/>
    <mergeCell ref="G685:R685"/>
    <mergeCell ref="AH724:AJ724"/>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AI178:AK178"/>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L274:AJ274"/>
    <mergeCell ref="H289:R289"/>
    <mergeCell ref="H291:M291"/>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W469:Y469"/>
    <mergeCell ref="H339:M339"/>
    <mergeCell ref="AA317:AK317"/>
    <mergeCell ref="H329:R329"/>
    <mergeCell ref="O529:AA529"/>
    <mergeCell ref="Q394:U394"/>
    <mergeCell ref="AH509:AK509"/>
    <mergeCell ref="AC513:AF513"/>
    <mergeCell ref="D473:V473"/>
    <mergeCell ref="AC504:AF504"/>
    <mergeCell ref="S489:AK490"/>
    <mergeCell ref="AH500:AK500"/>
    <mergeCell ref="M563:P563"/>
    <mergeCell ref="AI565:AL565"/>
    <mergeCell ref="AC526:AF526"/>
    <mergeCell ref="AH531:AK531"/>
    <mergeCell ref="AH540:AK540"/>
    <mergeCell ref="AC515:AF515"/>
    <mergeCell ref="AC514:AF514"/>
    <mergeCell ref="AH538:AK538"/>
    <mergeCell ref="Z551:AD553"/>
    <mergeCell ref="AA333:AK333"/>
    <mergeCell ref="W466:Y466"/>
    <mergeCell ref="W473:Y473"/>
    <mergeCell ref="D469:V469"/>
    <mergeCell ref="M551:P553"/>
    <mergeCell ref="AA336:AK336"/>
    <mergeCell ref="H333:R333"/>
    <mergeCell ref="S405:AJ405"/>
    <mergeCell ref="AC539:AF539"/>
    <mergeCell ref="Z555:AD555"/>
    <mergeCell ref="B514:H516"/>
    <mergeCell ref="AC522:AF522"/>
    <mergeCell ref="B517:H519"/>
    <mergeCell ref="AC524:AF524"/>
    <mergeCell ref="AH516:AK516"/>
    <mergeCell ref="AH524:AK524"/>
    <mergeCell ref="AH525:AK525"/>
    <mergeCell ref="Q491:AK491"/>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CC602:CG602"/>
    <mergeCell ref="BI601:BJ601"/>
    <mergeCell ref="BI600:BJ600"/>
    <mergeCell ref="BN600:BR600"/>
    <mergeCell ref="BN597:BR597"/>
    <mergeCell ref="BG597:BH597"/>
    <mergeCell ref="BI597:BJ597"/>
    <mergeCell ref="BK596:BL596"/>
    <mergeCell ref="AA598:AK598"/>
    <mergeCell ref="BE604:BF604"/>
    <mergeCell ref="CC603:CG603"/>
    <mergeCell ref="BS598:BW598"/>
    <mergeCell ref="BK602:BL602"/>
    <mergeCell ref="BN602:BR602"/>
    <mergeCell ref="BS606:BW606"/>
    <mergeCell ref="BI603:BJ603"/>
    <mergeCell ref="CC609:CG609"/>
    <mergeCell ref="BK609:BL609"/>
    <mergeCell ref="BI606:BJ606"/>
    <mergeCell ref="BI608:BJ608"/>
    <mergeCell ref="BI599:BJ599"/>
    <mergeCell ref="BN601:BR601"/>
    <mergeCell ref="BX608:CB608"/>
    <mergeCell ref="BK601:BL601"/>
    <mergeCell ref="BK600:BL600"/>
    <mergeCell ref="CC598:CG598"/>
    <mergeCell ref="CC601:CG601"/>
    <mergeCell ref="BS604:BW604"/>
    <mergeCell ref="BS602:BW602"/>
    <mergeCell ref="BI607:BJ607"/>
    <mergeCell ref="CC599:CG599"/>
    <mergeCell ref="CC605:CG605"/>
    <mergeCell ref="CC597:CG597"/>
    <mergeCell ref="G604:R604"/>
    <mergeCell ref="BX603:CB603"/>
    <mergeCell ref="CH613:CL613"/>
    <mergeCell ref="BK603:BL603"/>
    <mergeCell ref="BE620:BF620"/>
    <mergeCell ref="BG620:BH620"/>
    <mergeCell ref="BI620:BJ620"/>
    <mergeCell ref="BK620:BL620"/>
    <mergeCell ref="CC620:CG620"/>
    <mergeCell ref="BE603:BF603"/>
    <mergeCell ref="BE615:BF615"/>
    <mergeCell ref="BG619:BH619"/>
    <mergeCell ref="CH618:CL618"/>
    <mergeCell ref="BI619:BJ619"/>
    <mergeCell ref="CH611:CL611"/>
    <mergeCell ref="BS611:BW611"/>
    <mergeCell ref="BG609:BH609"/>
    <mergeCell ref="BI610:BJ610"/>
    <mergeCell ref="CC606:CG606"/>
    <mergeCell ref="BI602:BJ602"/>
    <mergeCell ref="BI598:BJ598"/>
    <mergeCell ref="BK599:BL599"/>
    <mergeCell ref="BN599:BR599"/>
    <mergeCell ref="BI609:BJ609"/>
    <mergeCell ref="BX606:CB606"/>
    <mergeCell ref="BX602:CB602"/>
    <mergeCell ref="CC610:CG610"/>
    <mergeCell ref="CC607:CG607"/>
    <mergeCell ref="BS608:BW608"/>
    <mergeCell ref="BN608:BR608"/>
    <mergeCell ref="BI604:BJ604"/>
    <mergeCell ref="BS627:BW627"/>
    <mergeCell ref="BG628:BH628"/>
    <mergeCell ref="BI628:BJ628"/>
    <mergeCell ref="BK628:BL628"/>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BX610:CB610"/>
    <mergeCell ref="M635:P635"/>
    <mergeCell ref="M636:P636"/>
    <mergeCell ref="M637:P637"/>
    <mergeCell ref="M638:P638"/>
    <mergeCell ref="C627:L627"/>
    <mergeCell ref="C635:L635"/>
    <mergeCell ref="H614:R614"/>
    <mergeCell ref="Z632:AB632"/>
    <mergeCell ref="BN618:BR618"/>
    <mergeCell ref="BK617:BL617"/>
    <mergeCell ref="BG631:BH631"/>
    <mergeCell ref="BI631:BJ631"/>
    <mergeCell ref="AO640:AS640"/>
    <mergeCell ref="BN626:BR626"/>
    <mergeCell ref="BS622:BW622"/>
    <mergeCell ref="BX622:CB622"/>
    <mergeCell ref="BN619:BR619"/>
    <mergeCell ref="BX612:CB612"/>
    <mergeCell ref="BX615:CB615"/>
    <mergeCell ref="BK610:BL610"/>
    <mergeCell ref="BG611:BH611"/>
    <mergeCell ref="BK607:BL607"/>
    <mergeCell ref="BN607:BR607"/>
    <mergeCell ref="BS607:BW607"/>
    <mergeCell ref="BN609:BR609"/>
    <mergeCell ref="BN610:BR610"/>
    <mergeCell ref="BI612:BJ612"/>
    <mergeCell ref="BG604:BH604"/>
    <mergeCell ref="BG605:BH605"/>
    <mergeCell ref="AG607:AH607"/>
    <mergeCell ref="BS605:BW605"/>
    <mergeCell ref="BX605:CB605"/>
    <mergeCell ref="BG607:BH607"/>
    <mergeCell ref="BN616:BR616"/>
    <mergeCell ref="BE618:BF618"/>
    <mergeCell ref="BE619:BF619"/>
    <mergeCell ref="BI616:BJ616"/>
    <mergeCell ref="BI617:BJ617"/>
    <mergeCell ref="BE616:BF616"/>
    <mergeCell ref="BE606:BF606"/>
    <mergeCell ref="Q557:S557"/>
    <mergeCell ref="AM551:AS553"/>
    <mergeCell ref="AE551:AH553"/>
    <mergeCell ref="AI551:AL553"/>
    <mergeCell ref="AE555:AH555"/>
    <mergeCell ref="Q555:S555"/>
    <mergeCell ref="AI558:AL558"/>
    <mergeCell ref="C557:L557"/>
    <mergeCell ref="AM560:AS560"/>
    <mergeCell ref="BE600:BF600"/>
    <mergeCell ref="G588:R588"/>
    <mergeCell ref="Z554:AD554"/>
    <mergeCell ref="M555:P555"/>
    <mergeCell ref="AM559:AS559"/>
    <mergeCell ref="T565:V565"/>
    <mergeCell ref="C560:L560"/>
    <mergeCell ref="Z560:AD560"/>
    <mergeCell ref="AI563:AL563"/>
    <mergeCell ref="Z562:AD562"/>
    <mergeCell ref="Z563:AD563"/>
    <mergeCell ref="W557:Y557"/>
    <mergeCell ref="AE561:AH561"/>
    <mergeCell ref="M560:P560"/>
    <mergeCell ref="Q563:S563"/>
    <mergeCell ref="AE562:AH562"/>
    <mergeCell ref="T554:V554"/>
    <mergeCell ref="Q554:S554"/>
    <mergeCell ref="AM557:AS557"/>
    <mergeCell ref="AE557:AH557"/>
    <mergeCell ref="BE605:BF605"/>
    <mergeCell ref="G605:L605"/>
    <mergeCell ref="AH513:AK513"/>
    <mergeCell ref="B520:H542"/>
    <mergeCell ref="AC512:AF512"/>
    <mergeCell ref="AH512:AK512"/>
    <mergeCell ref="AC531:AF531"/>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M356:N356"/>
    <mergeCell ref="L280:AD280"/>
    <mergeCell ref="H299:M299"/>
    <mergeCell ref="AA332:AF332"/>
    <mergeCell ref="G474:V474"/>
    <mergeCell ref="W474:Y474"/>
    <mergeCell ref="H340:M340"/>
    <mergeCell ref="I410:AE410"/>
    <mergeCell ref="Z432:AA432"/>
    <mergeCell ref="Q487:AK487"/>
    <mergeCell ref="Q486:AK486"/>
    <mergeCell ref="AA320:AK320"/>
    <mergeCell ref="AA337:AK337"/>
    <mergeCell ref="H327:R327"/>
    <mergeCell ref="AG444:AJ444"/>
    <mergeCell ref="D472:V472"/>
    <mergeCell ref="W472:Y472"/>
    <mergeCell ref="W418:Y41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H502:AK502"/>
    <mergeCell ref="AC499:AK499"/>
    <mergeCell ref="W468:Y468"/>
    <mergeCell ref="B503:H508"/>
    <mergeCell ref="AH508:AK508"/>
    <mergeCell ref="Q494:AK494"/>
    <mergeCell ref="AC455:AF455"/>
    <mergeCell ref="F457:AB458"/>
    <mergeCell ref="S401:U401"/>
    <mergeCell ref="AH507:AK507"/>
    <mergeCell ref="D466:V466"/>
    <mergeCell ref="D444:AF444"/>
    <mergeCell ref="AG448:AJ448"/>
    <mergeCell ref="AJ356:AK356"/>
    <mergeCell ref="AG390:AJ390"/>
    <mergeCell ref="Q391:U391"/>
    <mergeCell ref="AD377:AE377"/>
    <mergeCell ref="AC371:AF371"/>
    <mergeCell ref="Q390:U390"/>
    <mergeCell ref="E368:AH369"/>
    <mergeCell ref="Q365:AG365"/>
    <mergeCell ref="L508:AB508"/>
    <mergeCell ref="AG446:AJ446"/>
    <mergeCell ref="D440:AF440"/>
    <mergeCell ref="J387:U387"/>
    <mergeCell ref="AC505:AF505"/>
    <mergeCell ref="W467:Y467"/>
    <mergeCell ref="D406:AJ407"/>
    <mergeCell ref="W470:Y470"/>
    <mergeCell ref="D471:V471"/>
    <mergeCell ref="AG439:AJ439"/>
    <mergeCell ref="AG443:AJ443"/>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H328:R328"/>
    <mergeCell ref="AI397:AJ397"/>
    <mergeCell ref="T399:AJ399"/>
    <mergeCell ref="AI323:AK323"/>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AG437:AJ437"/>
    <mergeCell ref="B725:F725"/>
    <mergeCell ref="B724:F724"/>
    <mergeCell ref="B728:F728"/>
    <mergeCell ref="X728:AB728"/>
    <mergeCell ref="D449:AF449"/>
    <mergeCell ref="B501:H502"/>
    <mergeCell ref="O523:AA523"/>
    <mergeCell ref="AC519:AF519"/>
    <mergeCell ref="AE424:AF424"/>
    <mergeCell ref="AG689:AH689"/>
    <mergeCell ref="R705:T705"/>
    <mergeCell ref="AH521:AK521"/>
    <mergeCell ref="AC530:AF530"/>
    <mergeCell ref="O526:AA526"/>
    <mergeCell ref="AC529:AF529"/>
    <mergeCell ref="AH530:AK530"/>
    <mergeCell ref="AH506:AK506"/>
    <mergeCell ref="D465:V465"/>
    <mergeCell ref="AC509:AF509"/>
    <mergeCell ref="AC456:AF456"/>
    <mergeCell ref="AH503:AK503"/>
    <mergeCell ref="AC500:AF500"/>
    <mergeCell ref="Q485:AK485"/>
    <mergeCell ref="AC523:AF523"/>
    <mergeCell ref="D441:AF441"/>
    <mergeCell ref="AG447:AJ447"/>
    <mergeCell ref="O520:AA520"/>
    <mergeCell ref="AG450:AJ450"/>
    <mergeCell ref="J704:X704"/>
    <mergeCell ref="AH726:AJ726"/>
    <mergeCell ref="B720:F720"/>
    <mergeCell ref="BX627:CB627"/>
    <mergeCell ref="CC627:CG627"/>
    <mergeCell ref="CH627:CL627"/>
    <mergeCell ref="CM627:CQ627"/>
    <mergeCell ref="BS626:BW626"/>
    <mergeCell ref="BX626:CB626"/>
    <mergeCell ref="CC626:CG626"/>
    <mergeCell ref="CS628:CW628"/>
    <mergeCell ref="BK626:BL626"/>
    <mergeCell ref="CS623:CW623"/>
    <mergeCell ref="CX623:DB623"/>
    <mergeCell ref="DC623:DG623"/>
    <mergeCell ref="T719:W719"/>
    <mergeCell ref="Z669:AK669"/>
    <mergeCell ref="E707:AK707"/>
    <mergeCell ref="W706:AK706"/>
    <mergeCell ref="G719:J719"/>
    <mergeCell ref="O718:S718"/>
    <mergeCell ref="G714:J717"/>
    <mergeCell ref="G668:R668"/>
    <mergeCell ref="P671:R671"/>
    <mergeCell ref="P687:R687"/>
    <mergeCell ref="J705:O705"/>
    <mergeCell ref="Z654:AK654"/>
    <mergeCell ref="BE625:BF625"/>
    <mergeCell ref="BG625:BH625"/>
    <mergeCell ref="BG624:BH624"/>
    <mergeCell ref="BI624:BJ624"/>
    <mergeCell ref="BN623:BR623"/>
    <mergeCell ref="BN624:BR624"/>
    <mergeCell ref="BS624:BW624"/>
    <mergeCell ref="BN627:BR627"/>
    <mergeCell ref="B722:F722"/>
    <mergeCell ref="T714:W717"/>
    <mergeCell ref="O719:S719"/>
    <mergeCell ref="DH623:DL623"/>
    <mergeCell ref="DM623:DQ623"/>
    <mergeCell ref="DR623:DV623"/>
    <mergeCell ref="BN628:BR628"/>
    <mergeCell ref="BS628:BW628"/>
    <mergeCell ref="BX628:CB628"/>
    <mergeCell ref="DC620:DG620"/>
    <mergeCell ref="DH620:DL620"/>
    <mergeCell ref="DM620:DQ620"/>
    <mergeCell ref="BK624:BL624"/>
    <mergeCell ref="DM624:DQ624"/>
    <mergeCell ref="DX620:EB620"/>
    <mergeCell ref="EC620:EG620"/>
    <mergeCell ref="EH620:EL620"/>
    <mergeCell ref="DR620:DV620"/>
    <mergeCell ref="CS621:CW621"/>
    <mergeCell ref="CX621:DB621"/>
    <mergeCell ref="DC621:DG621"/>
    <mergeCell ref="DH621:DL621"/>
    <mergeCell ref="DR628:DV628"/>
    <mergeCell ref="CS629:CW629"/>
    <mergeCell ref="CX629:DB629"/>
    <mergeCell ref="DC629:DG629"/>
    <mergeCell ref="DH629:DL629"/>
    <mergeCell ref="DM629:DQ629"/>
    <mergeCell ref="DR629:DV629"/>
    <mergeCell ref="EC659:EG659"/>
    <mergeCell ref="EH659:EL659"/>
    <mergeCell ref="EH640:EL64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C629:EG629"/>
    <mergeCell ref="EH629:EL629"/>
    <mergeCell ref="EM629:EQ629"/>
    <mergeCell ref="ER625:EV625"/>
    <mergeCell ref="DH626:DL626"/>
    <mergeCell ref="CX628:DB628"/>
    <mergeCell ref="EW626:FA626"/>
    <mergeCell ref="DX627:EB627"/>
    <mergeCell ref="ER628:EV628"/>
    <mergeCell ref="EW628:FA628"/>
    <mergeCell ref="EC625:EG625"/>
    <mergeCell ref="EH625:EL625"/>
    <mergeCell ref="EM625:EQ625"/>
    <mergeCell ref="DR626:DV626"/>
    <mergeCell ref="DR627:DV627"/>
    <mergeCell ref="DX629:EB629"/>
    <mergeCell ref="ER629:EV629"/>
    <mergeCell ref="EW629:FA629"/>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R640:EV640"/>
    <mergeCell ref="ER639:EV639"/>
    <mergeCell ref="EW637:FA637"/>
    <mergeCell ref="EC645:EG645"/>
    <mergeCell ref="EW653:FA653"/>
    <mergeCell ref="DX649:EB649"/>
    <mergeCell ref="EH649:EL649"/>
    <mergeCell ref="DX655:EB655"/>
    <mergeCell ref="EW654:FA654"/>
    <mergeCell ref="DX647:EB647"/>
    <mergeCell ref="EC647:EG647"/>
    <mergeCell ref="DX645:EB645"/>
    <mergeCell ref="EW641:FA641"/>
    <mergeCell ref="EW635:FA635"/>
    <mergeCell ref="EW643:FA643"/>
    <mergeCell ref="DX644:EB644"/>
    <mergeCell ref="EC644:EG644"/>
    <mergeCell ref="EH644:EL644"/>
    <mergeCell ref="ER641:EV641"/>
    <mergeCell ref="EC640:EG640"/>
    <mergeCell ref="ER643:EV643"/>
    <mergeCell ref="ER651:EV651"/>
    <mergeCell ref="ER652:EV652"/>
    <mergeCell ref="EM651:EQ651"/>
    <mergeCell ref="ER649:EV649"/>
    <mergeCell ref="DX652:EB652"/>
    <mergeCell ref="EC652:EG652"/>
    <mergeCell ref="EH652:EL652"/>
    <mergeCell ref="EW631:FA631"/>
    <mergeCell ref="EC636:EG636"/>
    <mergeCell ref="EH636:EL636"/>
    <mergeCell ref="DX636:EB636"/>
    <mergeCell ref="ER636:EV636"/>
    <mergeCell ref="EW636:FA636"/>
    <mergeCell ref="ER637:EV637"/>
    <mergeCell ref="DX639:EB639"/>
    <mergeCell ref="EW638:FA638"/>
    <mergeCell ref="EW640:FA640"/>
    <mergeCell ref="EW645:FA645"/>
    <mergeCell ref="DX646:EB646"/>
    <mergeCell ref="EC646:EG646"/>
    <mergeCell ref="EH646:EL646"/>
    <mergeCell ref="EH645:EL645"/>
    <mergeCell ref="EM645:EQ645"/>
    <mergeCell ref="DX642:EB642"/>
    <mergeCell ref="DX663:EB663"/>
    <mergeCell ref="EC663:EG663"/>
    <mergeCell ref="EH663:EL663"/>
    <mergeCell ref="EM663:EQ663"/>
    <mergeCell ref="ER663:EV663"/>
    <mergeCell ref="EW663:FA663"/>
    <mergeCell ref="ER656:EV656"/>
    <mergeCell ref="DX661:EB661"/>
    <mergeCell ref="EH657:EL657"/>
    <mergeCell ref="EM657:EQ657"/>
    <mergeCell ref="ER657:EV657"/>
    <mergeCell ref="DX664:EB664"/>
    <mergeCell ref="EC664:EG664"/>
    <mergeCell ref="EH664:EL664"/>
    <mergeCell ref="ER661:EV661"/>
    <mergeCell ref="EW661:FA661"/>
    <mergeCell ref="EM662:EQ662"/>
    <mergeCell ref="ER662:EV662"/>
    <mergeCell ref="DX658:EB658"/>
    <mergeCell ref="EC658:EG658"/>
    <mergeCell ref="EH658:EL658"/>
    <mergeCell ref="EW657:FA657"/>
    <mergeCell ref="DX659:EB659"/>
    <mergeCell ref="EW656:FA656"/>
    <mergeCell ref="DX657:EB657"/>
    <mergeCell ref="B723:F723"/>
    <mergeCell ref="AK739:AO739"/>
    <mergeCell ref="O735:S735"/>
    <mergeCell ref="AC736:AG736"/>
    <mergeCell ref="T738:W738"/>
    <mergeCell ref="T744:W744"/>
    <mergeCell ref="B741:F741"/>
    <mergeCell ref="AK732:AO732"/>
    <mergeCell ref="AK733:AO733"/>
    <mergeCell ref="AK734:AO734"/>
    <mergeCell ref="B742:F742"/>
    <mergeCell ref="B743:F743"/>
    <mergeCell ref="B744:F744"/>
    <mergeCell ref="AH741:AJ741"/>
    <mergeCell ref="AK741:AO741"/>
    <mergeCell ref="AK736:AO736"/>
    <mergeCell ref="AH734:AJ734"/>
    <mergeCell ref="G739:J739"/>
    <mergeCell ref="B739:F739"/>
    <mergeCell ref="K735:N735"/>
    <mergeCell ref="K736:N736"/>
    <mergeCell ref="O739:S739"/>
    <mergeCell ref="B736:F736"/>
    <mergeCell ref="X741:AB741"/>
    <mergeCell ref="T727:W727"/>
    <mergeCell ref="K741:N741"/>
    <mergeCell ref="O740:S740"/>
    <mergeCell ref="AH729:AJ729"/>
    <mergeCell ref="AK730:AO730"/>
    <mergeCell ref="AC729:AG729"/>
    <mergeCell ref="O728:S728"/>
    <mergeCell ref="O729:S729"/>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90" zoomScaleNormal="90" workbookViewId="0">
      <pane xSplit="1" topLeftCell="B1" activePane="topRight" state="frozen"/>
      <selection pane="topRight" activeCell="S30" sqref="S30"/>
    </sheetView>
  </sheetViews>
  <sheetFormatPr defaultColWidth="0" defaultRowHeight="11.4" zeroHeight="1"/>
  <cols>
    <col min="1" max="1" width="35.6640625" style="199"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556</v>
      </c>
      <c r="B1" s="125"/>
      <c r="C1" s="125"/>
      <c r="D1" s="125"/>
      <c r="E1" s="126"/>
      <c r="F1" s="1880" t="s">
        <v>628</v>
      </c>
      <c r="G1" s="1881"/>
      <c r="H1" s="1881"/>
      <c r="I1" s="1881"/>
      <c r="J1" s="1881"/>
      <c r="K1" s="1881"/>
      <c r="L1" s="1881"/>
      <c r="M1" s="1881"/>
      <c r="N1" s="1881"/>
      <c r="O1" s="1881"/>
      <c r="P1" s="1881"/>
      <c r="Q1" s="1881"/>
      <c r="R1" s="1882"/>
      <c r="S1" s="112"/>
      <c r="T1" s="111"/>
      <c r="U1" s="113"/>
    </row>
    <row r="2" spans="1:21" s="138" customFormat="1" ht="71.25" customHeight="1">
      <c r="A2" s="137"/>
      <c r="B2" s="138" t="s">
        <v>23</v>
      </c>
      <c r="C2" s="138" t="s">
        <v>374</v>
      </c>
      <c r="D2" s="138" t="s">
        <v>373</v>
      </c>
      <c r="E2" s="138" t="s">
        <v>24</v>
      </c>
      <c r="F2" s="139" t="str">
        <f>Application!B627&amp;Application!C627</f>
        <v>1)Citibank Tax-Exempt Permanent Loan</v>
      </c>
      <c r="G2" s="139" t="str">
        <f>Application!B628&amp;Application!C628</f>
        <v>2)GP Loan</v>
      </c>
      <c r="H2" s="139" t="str">
        <f>Application!B629&amp;Application!C629</f>
        <v>3)Lease Up Income</v>
      </c>
      <c r="I2" s="139" t="str">
        <f>Application!B630&amp;Application!C630</f>
        <v>4)Deferred Developer Fee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16350000</v>
      </c>
      <c r="C4" s="147">
        <v>16350000</v>
      </c>
      <c r="D4" s="147"/>
      <c r="E4" s="147">
        <f>B4-SUM(F4:I4)</f>
        <v>16350000</v>
      </c>
      <c r="F4" s="147"/>
      <c r="G4" s="147"/>
      <c r="H4" s="147"/>
      <c r="I4" s="147"/>
      <c r="J4" s="147"/>
      <c r="K4" s="147"/>
      <c r="L4" s="147"/>
      <c r="M4" s="147"/>
      <c r="N4" s="147"/>
      <c r="O4" s="147"/>
      <c r="P4" s="147"/>
      <c r="Q4" s="147"/>
      <c r="R4" s="550">
        <f>SUM(E4:Q4)</f>
        <v>16350000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ht="12">
      <c r="A8" s="149" t="s">
        <v>600</v>
      </c>
      <c r="B8" s="146">
        <f>SUM(C8:D8)</f>
        <v>16350000</v>
      </c>
      <c r="C8" s="146">
        <f t="shared" ref="C8:Q8" si="0">SUM(C4:C7)</f>
        <v>16350000</v>
      </c>
      <c r="D8" s="146">
        <f t="shared" si="0"/>
        <v>0</v>
      </c>
      <c r="E8" s="146">
        <f t="shared" si="0"/>
        <v>16350000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16350000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ht="12">
      <c r="A11" s="149" t="s">
        <v>603</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ht="12">
      <c r="A12" s="149" t="s">
        <v>84</v>
      </c>
      <c r="B12" s="146">
        <f t="shared" ref="B12:Q12" si="2">SUM(B8+B11)</f>
        <v>16350000</v>
      </c>
      <c r="C12" s="146">
        <f t="shared" si="2"/>
        <v>16350000</v>
      </c>
      <c r="D12" s="146">
        <f t="shared" si="2"/>
        <v>0</v>
      </c>
      <c r="E12" s="146">
        <f t="shared" si="2"/>
        <v>16350000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16350000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2586037</v>
      </c>
      <c r="C29" s="147">
        <f>2286037+300000</f>
        <v>2586037</v>
      </c>
      <c r="D29" s="147"/>
      <c r="E29" s="147"/>
      <c r="F29" s="147">
        <f>B29</f>
        <v>2586037</v>
      </c>
      <c r="G29" s="147"/>
      <c r="H29" s="147"/>
      <c r="I29" s="147"/>
      <c r="J29" s="147"/>
      <c r="K29" s="147"/>
      <c r="L29" s="147"/>
      <c r="M29" s="147"/>
      <c r="N29" s="147"/>
      <c r="O29" s="147"/>
      <c r="P29" s="147"/>
      <c r="Q29" s="147"/>
      <c r="R29" s="550">
        <f t="shared" ref="R29:R37" si="7">SUM(E29:Q29)</f>
        <v>2586037</v>
      </c>
      <c r="S29" s="147">
        <f>R29</f>
        <v>2586037</v>
      </c>
      <c r="T29" s="147"/>
      <c r="U29" s="143"/>
    </row>
    <row r="30" spans="1:21" s="144" customFormat="1">
      <c r="A30" s="145" t="s">
        <v>606</v>
      </c>
      <c r="B30" s="146">
        <f t="shared" si="6"/>
        <v>90085053</v>
      </c>
      <c r="C30" s="147">
        <f>89155453+929600</f>
        <v>90085053</v>
      </c>
      <c r="D30" s="147"/>
      <c r="E30" s="147"/>
      <c r="F30" s="147">
        <f>B30</f>
        <v>90085053</v>
      </c>
      <c r="G30" s="147"/>
      <c r="H30" s="147"/>
      <c r="I30" s="147"/>
      <c r="J30" s="147"/>
      <c r="K30" s="147"/>
      <c r="L30" s="147"/>
      <c r="M30" s="147"/>
      <c r="N30" s="147"/>
      <c r="O30" s="147"/>
      <c r="P30" s="147"/>
      <c r="Q30" s="147"/>
      <c r="R30" s="550">
        <f t="shared" si="7"/>
        <v>90085053</v>
      </c>
      <c r="S30" s="147">
        <v>89155453</v>
      </c>
      <c r="T30" s="147"/>
      <c r="U30" s="143"/>
    </row>
    <row r="31" spans="1:21" s="144" customFormat="1">
      <c r="A31" s="145" t="s">
        <v>607</v>
      </c>
      <c r="B31" s="146">
        <f t="shared" si="6"/>
        <v>5630574</v>
      </c>
      <c r="C31" s="147">
        <v>5630574</v>
      </c>
      <c r="D31" s="147"/>
      <c r="E31" s="147"/>
      <c r="F31" s="147">
        <f>Application!AO627-SUM('Sources and Uses Budget'!F29:F30)</f>
        <v>1411715</v>
      </c>
      <c r="G31" s="147">
        <f>B31-F31</f>
        <v>4218859</v>
      </c>
      <c r="H31" s="147"/>
      <c r="I31" s="147"/>
      <c r="J31" s="147"/>
      <c r="K31" s="147"/>
      <c r="L31" s="147"/>
      <c r="M31" s="147"/>
      <c r="N31" s="147"/>
      <c r="O31" s="147"/>
      <c r="P31" s="147"/>
      <c r="Q31" s="147"/>
      <c r="R31" s="550">
        <f t="shared" si="7"/>
        <v>5630574</v>
      </c>
      <c r="S31" s="147">
        <f t="shared" ref="S31:S36" si="8">R31</f>
        <v>5630574</v>
      </c>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f t="shared" si="8"/>
        <v>0</v>
      </c>
      <c r="T32" s="147"/>
      <c r="U32" s="143"/>
    </row>
    <row r="33" spans="1:21" s="144" customFormat="1">
      <c r="A33" s="145" t="s">
        <v>138</v>
      </c>
      <c r="B33" s="146">
        <f t="shared" si="6"/>
        <v>3397522</v>
      </c>
      <c r="C33" s="147">
        <v>3397522</v>
      </c>
      <c r="D33" s="147"/>
      <c r="E33" s="147"/>
      <c r="F33" s="147"/>
      <c r="G33" s="147">
        <f>C33</f>
        <v>3397522</v>
      </c>
      <c r="H33" s="147"/>
      <c r="I33" s="147"/>
      <c r="J33" s="147"/>
      <c r="K33" s="147"/>
      <c r="L33" s="147"/>
      <c r="M33" s="147"/>
      <c r="N33" s="147"/>
      <c r="O33" s="147"/>
      <c r="P33" s="147"/>
      <c r="Q33" s="147"/>
      <c r="R33" s="550">
        <f t="shared" si="7"/>
        <v>3397522</v>
      </c>
      <c r="S33" s="147">
        <f t="shared" si="8"/>
        <v>3397522</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f t="shared" si="8"/>
        <v>0</v>
      </c>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f t="shared" si="8"/>
        <v>0</v>
      </c>
      <c r="T35" s="147"/>
      <c r="U35" s="143"/>
    </row>
    <row r="36" spans="1:21" s="144" customFormat="1">
      <c r="A36" s="304" t="s">
        <v>1751</v>
      </c>
      <c r="B36" s="146">
        <f t="shared" si="6"/>
        <v>0</v>
      </c>
      <c r="C36" s="147"/>
      <c r="D36" s="147"/>
      <c r="E36" s="147"/>
      <c r="F36" s="147"/>
      <c r="G36" s="147"/>
      <c r="H36" s="147"/>
      <c r="I36" s="147"/>
      <c r="J36" s="147"/>
      <c r="K36" s="147"/>
      <c r="L36" s="147"/>
      <c r="M36" s="147"/>
      <c r="N36" s="147"/>
      <c r="O36" s="147"/>
      <c r="P36" s="147"/>
      <c r="Q36" s="147"/>
      <c r="R36" s="550">
        <f t="shared" si="7"/>
        <v>0</v>
      </c>
      <c r="S36" s="147">
        <f t="shared" si="8"/>
        <v>0</v>
      </c>
      <c r="T36" s="147"/>
      <c r="U36" s="143"/>
    </row>
    <row r="37" spans="1:21" s="144" customFormat="1">
      <c r="A37" s="1193" t="s">
        <v>2666</v>
      </c>
      <c r="B37" s="146">
        <f t="shared" si="6"/>
        <v>882114</v>
      </c>
      <c r="C37" s="147">
        <v>882114</v>
      </c>
      <c r="D37" s="147"/>
      <c r="E37" s="147"/>
      <c r="F37" s="147"/>
      <c r="G37" s="147">
        <f>B37</f>
        <v>882114</v>
      </c>
      <c r="H37" s="147"/>
      <c r="I37" s="147"/>
      <c r="J37" s="147"/>
      <c r="K37" s="147"/>
      <c r="L37" s="147"/>
      <c r="M37" s="147"/>
      <c r="N37" s="147"/>
      <c r="O37" s="147"/>
      <c r="P37" s="147"/>
      <c r="Q37" s="147"/>
      <c r="R37" s="550">
        <f t="shared" si="7"/>
        <v>882114</v>
      </c>
      <c r="S37" s="147">
        <v>0</v>
      </c>
      <c r="T37" s="147"/>
      <c r="U37" s="143"/>
    </row>
    <row r="38" spans="1:21" s="144" customFormat="1" ht="12">
      <c r="A38" s="149" t="s">
        <v>143</v>
      </c>
      <c r="B38" s="146">
        <f t="shared" si="6"/>
        <v>102581300</v>
      </c>
      <c r="C38" s="146">
        <f>SUM(C29:C37)</f>
        <v>102581300</v>
      </c>
      <c r="D38" s="146">
        <f t="shared" ref="D38:Q38" si="9">SUM(D29:D37)</f>
        <v>0</v>
      </c>
      <c r="E38" s="146">
        <f t="shared" si="9"/>
        <v>0</v>
      </c>
      <c r="F38" s="146">
        <f t="shared" si="9"/>
        <v>94082805</v>
      </c>
      <c r="G38" s="146">
        <f t="shared" si="9"/>
        <v>8498495</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102581300</v>
      </c>
      <c r="S38" s="150">
        <f>SUM(S29:S37)</f>
        <v>100769586</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5262999</v>
      </c>
      <c r="C40" s="147">
        <v>5262999</v>
      </c>
      <c r="D40" s="147"/>
      <c r="E40" s="147"/>
      <c r="F40" s="147"/>
      <c r="G40" s="147">
        <f>B40</f>
        <v>5262999</v>
      </c>
      <c r="H40" s="147"/>
      <c r="I40" s="147"/>
      <c r="J40" s="147"/>
      <c r="K40" s="147"/>
      <c r="L40" s="147"/>
      <c r="M40" s="147"/>
      <c r="N40" s="147"/>
      <c r="O40" s="147"/>
      <c r="P40" s="147"/>
      <c r="Q40" s="147"/>
      <c r="R40" s="550">
        <f>SUM(E40:Q40)</f>
        <v>5262999</v>
      </c>
      <c r="S40" s="147">
        <f>R40</f>
        <v>5262999</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f>R41</f>
        <v>0</v>
      </c>
      <c r="T41" s="147"/>
      <c r="U41" s="143"/>
    </row>
    <row r="42" spans="1:21" s="144" customFormat="1" ht="12">
      <c r="A42" s="149" t="s">
        <v>147</v>
      </c>
      <c r="B42" s="146">
        <f>SUM(C42:D42)</f>
        <v>5262999</v>
      </c>
      <c r="C42" s="146">
        <f>SUM(C39:C41)</f>
        <v>5262999</v>
      </c>
      <c r="D42" s="146">
        <f>SUM(D39:D41)</f>
        <v>0</v>
      </c>
      <c r="E42" s="146">
        <f t="shared" ref="E42:T42" si="10">SUM(E40:E41)</f>
        <v>0</v>
      </c>
      <c r="F42" s="146">
        <f t="shared" si="10"/>
        <v>0</v>
      </c>
      <c r="G42" s="146">
        <f t="shared" si="10"/>
        <v>5262999</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5262999</v>
      </c>
      <c r="S42" s="150">
        <f t="shared" si="10"/>
        <v>5262999</v>
      </c>
      <c r="T42" s="150">
        <f t="shared" si="10"/>
        <v>0</v>
      </c>
      <c r="U42" s="143"/>
    </row>
    <row r="43" spans="1:21" s="144" customFormat="1" ht="12">
      <c r="A43" s="149" t="s">
        <v>148</v>
      </c>
      <c r="B43" s="146">
        <f>SUM(C43:D43)</f>
        <v>0</v>
      </c>
      <c r="C43" s="147"/>
      <c r="D43" s="147"/>
      <c r="E43" s="147"/>
      <c r="F43" s="147"/>
      <c r="G43" s="147"/>
      <c r="H43" s="147"/>
      <c r="I43" s="147"/>
      <c r="J43" s="147"/>
      <c r="K43" s="147"/>
      <c r="L43" s="147"/>
      <c r="M43" s="147"/>
      <c r="N43" s="147"/>
      <c r="O43" s="147"/>
      <c r="P43" s="147"/>
      <c r="Q43" s="147"/>
      <c r="R43" s="550">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16154336</v>
      </c>
      <c r="C45" s="147">
        <v>16154336</v>
      </c>
      <c r="D45" s="147"/>
      <c r="E45" s="147">
        <f>B45-G45</f>
        <v>12715830</v>
      </c>
      <c r="F45" s="147"/>
      <c r="G45" s="147">
        <f>Application!AO628-13461494-300000</f>
        <v>3438506</v>
      </c>
      <c r="H45" s="147"/>
      <c r="I45" s="147"/>
      <c r="J45" s="147"/>
      <c r="K45" s="147"/>
      <c r="L45" s="147"/>
      <c r="M45" s="147"/>
      <c r="N45" s="147"/>
      <c r="O45" s="147"/>
      <c r="P45" s="147"/>
      <c r="Q45" s="147"/>
      <c r="R45" s="550">
        <f t="shared" ref="R45:R53" si="12">SUM(E45:Q45)</f>
        <v>16154336</v>
      </c>
      <c r="S45" s="147">
        <v>12923469</v>
      </c>
      <c r="T45" s="147"/>
      <c r="U45" s="143"/>
    </row>
    <row r="46" spans="1:21" s="144" customFormat="1">
      <c r="A46" s="145" t="s">
        <v>151</v>
      </c>
      <c r="B46" s="146">
        <f t="shared" si="11"/>
        <v>1017811</v>
      </c>
      <c r="C46" s="147">
        <f>982811+30000+5000</f>
        <v>1017811</v>
      </c>
      <c r="D46" s="1014"/>
      <c r="E46" s="147">
        <f>B46</f>
        <v>1017811</v>
      </c>
      <c r="F46" s="147"/>
      <c r="G46" s="147"/>
      <c r="H46" s="147"/>
      <c r="I46" s="147"/>
      <c r="J46" s="147"/>
      <c r="K46" s="147"/>
      <c r="L46" s="147"/>
      <c r="M46" s="147"/>
      <c r="N46" s="147"/>
      <c r="O46" s="147"/>
      <c r="P46" s="147"/>
      <c r="Q46" s="147"/>
      <c r="R46" s="550">
        <f t="shared" si="12"/>
        <v>1017811</v>
      </c>
      <c r="S46" s="147">
        <v>1017811</v>
      </c>
      <c r="T46" s="147"/>
      <c r="U46" s="143"/>
    </row>
    <row r="47" spans="1:21" s="144" customFormat="1">
      <c r="A47" s="198" t="s">
        <v>152</v>
      </c>
      <c r="B47" s="146">
        <f t="shared" si="11"/>
        <v>0</v>
      </c>
      <c r="C47" s="147"/>
      <c r="D47" s="147"/>
      <c r="E47" s="147"/>
      <c r="F47" s="147"/>
      <c r="G47" s="147"/>
      <c r="H47" s="147"/>
      <c r="I47" s="147"/>
      <c r="J47" s="147"/>
      <c r="K47" s="147"/>
      <c r="L47" s="147"/>
      <c r="M47" s="147"/>
      <c r="N47" s="147"/>
      <c r="O47" s="147"/>
      <c r="P47" s="147"/>
      <c r="Q47" s="147"/>
      <c r="R47" s="550">
        <f t="shared" si="12"/>
        <v>0</v>
      </c>
      <c r="S47" s="147">
        <f t="shared" ref="S47:S52" si="13">R47</f>
        <v>0</v>
      </c>
      <c r="T47" s="147"/>
      <c r="U47" s="143"/>
    </row>
    <row r="48" spans="1:21" s="144" customFormat="1">
      <c r="A48" s="145" t="s">
        <v>153</v>
      </c>
      <c r="B48" s="146">
        <f t="shared" si="11"/>
        <v>491406</v>
      </c>
      <c r="C48" s="147">
        <f>245703*2</f>
        <v>491406</v>
      </c>
      <c r="D48" s="147"/>
      <c r="E48" s="147">
        <f>B48</f>
        <v>491406</v>
      </c>
      <c r="F48" s="147"/>
      <c r="G48" s="147"/>
      <c r="H48" s="147"/>
      <c r="I48" s="147"/>
      <c r="J48" s="147"/>
      <c r="K48" s="147"/>
      <c r="L48" s="147"/>
      <c r="M48" s="147"/>
      <c r="N48" s="147"/>
      <c r="O48" s="147"/>
      <c r="P48" s="147"/>
      <c r="Q48" s="147"/>
      <c r="R48" s="550">
        <f t="shared" si="12"/>
        <v>491406</v>
      </c>
      <c r="S48" s="147">
        <f t="shared" si="13"/>
        <v>491406</v>
      </c>
      <c r="T48" s="147"/>
      <c r="U48" s="143"/>
    </row>
    <row r="49" spans="1:21" s="144" customFormat="1">
      <c r="A49" s="145" t="s">
        <v>57</v>
      </c>
      <c r="B49" s="146">
        <f t="shared" si="11"/>
        <v>0</v>
      </c>
      <c r="C49" s="147"/>
      <c r="D49" s="147"/>
      <c r="E49" s="147"/>
      <c r="F49" s="147"/>
      <c r="G49" s="147"/>
      <c r="H49" s="147"/>
      <c r="I49" s="147"/>
      <c r="J49" s="147"/>
      <c r="K49" s="147"/>
      <c r="L49" s="147"/>
      <c r="M49" s="147"/>
      <c r="N49" s="147"/>
      <c r="O49" s="147"/>
      <c r="P49" s="147"/>
      <c r="Q49" s="147"/>
      <c r="R49" s="550">
        <f t="shared" si="12"/>
        <v>0</v>
      </c>
      <c r="S49" s="147">
        <f t="shared" si="13"/>
        <v>0</v>
      </c>
      <c r="T49" s="147"/>
      <c r="U49" s="143"/>
    </row>
    <row r="50" spans="1:21" s="144" customFormat="1">
      <c r="A50" s="145" t="s">
        <v>156</v>
      </c>
      <c r="B50" s="146">
        <f t="shared" si="11"/>
        <v>0</v>
      </c>
      <c r="C50" s="147"/>
      <c r="D50" s="147"/>
      <c r="E50" s="147"/>
      <c r="F50" s="147"/>
      <c r="G50" s="147"/>
      <c r="H50" s="147"/>
      <c r="I50" s="147"/>
      <c r="J50" s="147"/>
      <c r="K50" s="147"/>
      <c r="L50" s="147"/>
      <c r="M50" s="147"/>
      <c r="N50" s="147"/>
      <c r="O50" s="147"/>
      <c r="P50" s="147"/>
      <c r="Q50" s="147"/>
      <c r="R50" s="550">
        <f t="shared" si="12"/>
        <v>0</v>
      </c>
      <c r="S50" s="147">
        <f t="shared" si="13"/>
        <v>0</v>
      </c>
      <c r="T50" s="147"/>
      <c r="U50" s="143"/>
    </row>
    <row r="51" spans="1:21" s="144" customFormat="1">
      <c r="A51" s="304" t="s">
        <v>154</v>
      </c>
      <c r="B51" s="146">
        <f t="shared" si="11"/>
        <v>0</v>
      </c>
      <c r="C51" s="147"/>
      <c r="D51" s="147"/>
      <c r="E51" s="147"/>
      <c r="F51" s="147"/>
      <c r="G51" s="147"/>
      <c r="H51" s="147"/>
      <c r="I51" s="147"/>
      <c r="J51" s="147"/>
      <c r="K51" s="147"/>
      <c r="L51" s="147"/>
      <c r="M51" s="147"/>
      <c r="N51" s="147"/>
      <c r="O51" s="147"/>
      <c r="P51" s="147"/>
      <c r="Q51" s="147"/>
      <c r="R51" s="550">
        <f t="shared" si="12"/>
        <v>0</v>
      </c>
      <c r="S51" s="147">
        <f t="shared" si="13"/>
        <v>0</v>
      </c>
      <c r="T51" s="147"/>
      <c r="U51" s="143"/>
    </row>
    <row r="52" spans="1:21" s="144" customFormat="1">
      <c r="A52" s="145" t="s">
        <v>155</v>
      </c>
      <c r="B52" s="146">
        <f t="shared" si="11"/>
        <v>2131880</v>
      </c>
      <c r="C52" s="147">
        <v>2131880</v>
      </c>
      <c r="D52" s="147"/>
      <c r="E52" s="147"/>
      <c r="F52" s="147"/>
      <c r="G52" s="147"/>
      <c r="H52" s="147">
        <f>B52</f>
        <v>2131880</v>
      </c>
      <c r="I52" s="147"/>
      <c r="J52" s="147"/>
      <c r="K52" s="147"/>
      <c r="L52" s="147"/>
      <c r="M52" s="147"/>
      <c r="N52" s="147"/>
      <c r="O52" s="147"/>
      <c r="P52" s="147"/>
      <c r="Q52" s="147"/>
      <c r="R52" s="550">
        <f t="shared" si="12"/>
        <v>2131880</v>
      </c>
      <c r="S52" s="147">
        <f t="shared" si="13"/>
        <v>2131880</v>
      </c>
      <c r="T52" s="147"/>
      <c r="U52" s="143"/>
    </row>
    <row r="53" spans="1:21" s="144" customFormat="1">
      <c r="A53" s="1193" t="s">
        <v>2671</v>
      </c>
      <c r="B53" s="146">
        <f t="shared" si="11"/>
        <v>1500000</v>
      </c>
      <c r="C53" s="147">
        <v>1500000</v>
      </c>
      <c r="D53" s="1014"/>
      <c r="E53" s="147">
        <f>B53-H53</f>
        <v>964819</v>
      </c>
      <c r="F53" s="147"/>
      <c r="G53" s="147"/>
      <c r="H53" s="147">
        <f>Application!AO629-'Sources and Uses Budget'!B52</f>
        <v>535181</v>
      </c>
      <c r="I53" s="147"/>
      <c r="J53" s="147"/>
      <c r="K53" s="147"/>
      <c r="L53" s="147"/>
      <c r="M53" s="147"/>
      <c r="N53" s="147"/>
      <c r="O53" s="147"/>
      <c r="P53" s="147"/>
      <c r="Q53" s="147"/>
      <c r="R53" s="550">
        <f t="shared" si="12"/>
        <v>1500000</v>
      </c>
      <c r="S53" s="147">
        <v>153581</v>
      </c>
      <c r="T53" s="147"/>
      <c r="U53" s="143"/>
    </row>
    <row r="54" spans="1:21" s="153" customFormat="1" ht="12">
      <c r="A54" s="149" t="s">
        <v>157</v>
      </c>
      <c r="B54" s="150">
        <f>SUM(C54:D54)</f>
        <v>21295433</v>
      </c>
      <c r="C54" s="150">
        <f t="shared" ref="C54:T54" si="14">SUM(C45:C53)</f>
        <v>21295433</v>
      </c>
      <c r="D54" s="150">
        <f t="shared" si="14"/>
        <v>0</v>
      </c>
      <c r="E54" s="150">
        <f t="shared" si="14"/>
        <v>15189866</v>
      </c>
      <c r="F54" s="150">
        <f t="shared" si="14"/>
        <v>0</v>
      </c>
      <c r="G54" s="150">
        <f t="shared" si="14"/>
        <v>3438506</v>
      </c>
      <c r="H54" s="150">
        <f t="shared" si="14"/>
        <v>2667061</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70">
        <f t="shared" si="14"/>
        <v>21295433</v>
      </c>
      <c r="S54" s="150">
        <f t="shared" si="14"/>
        <v>16718147</v>
      </c>
      <c r="T54" s="150">
        <f t="shared" si="14"/>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982811</v>
      </c>
      <c r="C56" s="147">
        <v>982811</v>
      </c>
      <c r="D56" s="147"/>
      <c r="E56" s="147">
        <f>B56</f>
        <v>982811</v>
      </c>
      <c r="F56" s="147"/>
      <c r="G56" s="147"/>
      <c r="H56" s="147"/>
      <c r="I56" s="147"/>
      <c r="J56" s="147"/>
      <c r="K56" s="147"/>
      <c r="L56" s="147"/>
      <c r="M56" s="147"/>
      <c r="N56" s="147"/>
      <c r="O56" s="147"/>
      <c r="P56" s="147"/>
      <c r="Q56" s="147"/>
      <c r="R56" s="550">
        <f t="shared" ref="R56:R61" si="16">SUM(E56:Q56)</f>
        <v>982811</v>
      </c>
      <c r="S56" s="148"/>
      <c r="T56" s="148"/>
      <c r="U56" s="143"/>
    </row>
    <row r="57" spans="1:21" s="204" customFormat="1">
      <c r="A57" s="198" t="s">
        <v>152</v>
      </c>
      <c r="B57" s="205">
        <f t="shared" si="15"/>
        <v>0</v>
      </c>
      <c r="C57" s="202"/>
      <c r="D57" s="202"/>
      <c r="E57" s="202"/>
      <c r="F57" s="202"/>
      <c r="G57" s="202"/>
      <c r="H57" s="202"/>
      <c r="I57" s="202"/>
      <c r="J57" s="202"/>
      <c r="K57" s="202"/>
      <c r="L57" s="202"/>
      <c r="M57" s="202"/>
      <c r="N57" s="202"/>
      <c r="O57" s="202"/>
      <c r="P57" s="202"/>
      <c r="Q57" s="202"/>
      <c r="R57" s="550">
        <f t="shared" si="16"/>
        <v>0</v>
      </c>
      <c r="S57" s="206"/>
      <c r="T57" s="206"/>
      <c r="U57" s="203"/>
    </row>
    <row r="58" spans="1:21" s="144" customFormat="1">
      <c r="A58" s="145" t="s">
        <v>156</v>
      </c>
      <c r="B58" s="146">
        <f t="shared" si="15"/>
        <v>0</v>
      </c>
      <c r="C58" s="147"/>
      <c r="D58" s="147"/>
      <c r="E58" s="147"/>
      <c r="F58" s="147"/>
      <c r="G58" s="147"/>
      <c r="H58" s="147"/>
      <c r="I58" s="147"/>
      <c r="J58" s="147"/>
      <c r="K58" s="147"/>
      <c r="L58" s="147"/>
      <c r="M58" s="147"/>
      <c r="N58" s="147"/>
      <c r="O58" s="147"/>
      <c r="P58" s="147"/>
      <c r="Q58" s="147"/>
      <c r="R58" s="550">
        <f t="shared" si="16"/>
        <v>0</v>
      </c>
      <c r="S58" s="148"/>
      <c r="T58" s="148"/>
      <c r="U58" s="143"/>
    </row>
    <row r="59" spans="1:21" s="144" customFormat="1">
      <c r="A59" s="304" t="s">
        <v>154</v>
      </c>
      <c r="B59" s="146">
        <f t="shared" si="15"/>
        <v>0</v>
      </c>
      <c r="C59" s="147"/>
      <c r="D59" s="147"/>
      <c r="E59" s="147"/>
      <c r="F59" s="147"/>
      <c r="G59" s="147"/>
      <c r="H59" s="147"/>
      <c r="I59" s="147"/>
      <c r="J59" s="147"/>
      <c r="K59" s="147"/>
      <c r="L59" s="147"/>
      <c r="M59" s="147"/>
      <c r="N59" s="147"/>
      <c r="O59" s="147"/>
      <c r="P59" s="147"/>
      <c r="Q59" s="147"/>
      <c r="R59" s="550">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50">
        <f t="shared" si="16"/>
        <v>0</v>
      </c>
      <c r="S60" s="148"/>
      <c r="T60" s="148"/>
      <c r="U60" s="143"/>
    </row>
    <row r="61" spans="1:21" s="144" customFormat="1">
      <c r="A61" s="1193" t="s">
        <v>34</v>
      </c>
      <c r="B61" s="146">
        <f t="shared" si="15"/>
        <v>0</v>
      </c>
      <c r="C61" s="147"/>
      <c r="D61" s="147"/>
      <c r="E61" s="147"/>
      <c r="F61" s="147"/>
      <c r="G61" s="147"/>
      <c r="H61" s="147"/>
      <c r="I61" s="147"/>
      <c r="J61" s="147"/>
      <c r="K61" s="147"/>
      <c r="L61" s="147"/>
      <c r="M61" s="147"/>
      <c r="N61" s="147"/>
      <c r="O61" s="147"/>
      <c r="P61" s="147"/>
      <c r="Q61" s="147"/>
      <c r="R61" s="550">
        <f t="shared" si="16"/>
        <v>0</v>
      </c>
      <c r="S61" s="148"/>
      <c r="T61" s="148"/>
      <c r="U61" s="143"/>
    </row>
    <row r="62" spans="1:21" s="144" customFormat="1" ht="13.65" customHeight="1">
      <c r="A62" s="149" t="s">
        <v>301</v>
      </c>
      <c r="B62" s="146">
        <f>SUM(C62:D62)</f>
        <v>982811</v>
      </c>
      <c r="C62" s="146">
        <f t="shared" ref="C62:R62" si="17">SUM(C56:C61)</f>
        <v>982811</v>
      </c>
      <c r="D62" s="146">
        <f t="shared" si="17"/>
        <v>0</v>
      </c>
      <c r="E62" s="146">
        <f t="shared" si="17"/>
        <v>982811</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70">
        <f t="shared" si="17"/>
        <v>982811</v>
      </c>
      <c r="S62" s="148"/>
      <c r="T62" s="148"/>
      <c r="U62" s="143"/>
    </row>
    <row r="63" spans="1:21" s="144" customFormat="1">
      <c r="A63" s="154" t="s">
        <v>302</v>
      </c>
      <c r="B63" s="146">
        <f t="shared" ref="B63:R63" si="18">SUM(B8+B11+B13+B14+B15+B26+B27+B38+B42+B43+B54+B62)</f>
        <v>146472543</v>
      </c>
      <c r="C63" s="146">
        <f t="shared" si="18"/>
        <v>146472543</v>
      </c>
      <c r="D63" s="146">
        <f t="shared" si="18"/>
        <v>0</v>
      </c>
      <c r="E63" s="146">
        <f t="shared" si="18"/>
        <v>32522677</v>
      </c>
      <c r="F63" s="146">
        <f t="shared" si="18"/>
        <v>94082805</v>
      </c>
      <c r="G63" s="146">
        <f t="shared" si="18"/>
        <v>17200000</v>
      </c>
      <c r="H63" s="146">
        <f t="shared" si="18"/>
        <v>2667061</v>
      </c>
      <c r="I63" s="146">
        <f t="shared" si="18"/>
        <v>0</v>
      </c>
      <c r="J63" s="146">
        <f t="shared" si="18"/>
        <v>0</v>
      </c>
      <c r="K63" s="146">
        <f t="shared" si="18"/>
        <v>0</v>
      </c>
      <c r="L63" s="146">
        <f t="shared" si="18"/>
        <v>0</v>
      </c>
      <c r="M63" s="146">
        <f t="shared" si="18"/>
        <v>0</v>
      </c>
      <c r="N63" s="146">
        <f t="shared" si="18"/>
        <v>0</v>
      </c>
      <c r="O63" s="146">
        <f t="shared" si="18"/>
        <v>0</v>
      </c>
      <c r="P63" s="146">
        <f t="shared" si="18"/>
        <v>0</v>
      </c>
      <c r="Q63" s="146">
        <f t="shared" si="18"/>
        <v>0</v>
      </c>
      <c r="R63" s="370">
        <f t="shared" si="18"/>
        <v>146472543</v>
      </c>
      <c r="S63" s="146">
        <f>SUM(S10+S13+S14+S15+S26+S27+S38+S42+S43+S54)</f>
        <v>122750732</v>
      </c>
      <c r="T63" s="146">
        <f>SUM(T11+T13+T14+T15+T26+T27+T38+T42+T43+T54)</f>
        <v>0</v>
      </c>
      <c r="U63" s="143"/>
    </row>
    <row r="64" spans="1:21" s="144" customFormat="1" ht="22.8">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158000</v>
      </c>
      <c r="C65" s="147">
        <f>65000+25000+50000+8000+10000</f>
        <v>158000</v>
      </c>
      <c r="D65" s="147"/>
      <c r="E65" s="147">
        <f>B65</f>
        <v>158000</v>
      </c>
      <c r="F65" s="147"/>
      <c r="G65" s="147"/>
      <c r="H65" s="147"/>
      <c r="I65" s="147"/>
      <c r="J65" s="147"/>
      <c r="K65" s="147"/>
      <c r="L65" s="147"/>
      <c r="M65" s="147"/>
      <c r="N65" s="147"/>
      <c r="O65" s="147"/>
      <c r="P65" s="147"/>
      <c r="Q65" s="147"/>
      <c r="R65" s="550">
        <f>SUM(E65:Q65)</f>
        <v>158000</v>
      </c>
      <c r="S65" s="147">
        <v>79000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f t="shared" ref="S66:S69" si="19">R66</f>
        <v>0</v>
      </c>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f t="shared" si="19"/>
        <v>0</v>
      </c>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f t="shared" si="19"/>
        <v>0</v>
      </c>
      <c r="T68" s="147"/>
      <c r="U68" s="143"/>
    </row>
    <row r="69" spans="1:21" s="144" customFormat="1">
      <c r="A69" s="1193" t="s">
        <v>2668</v>
      </c>
      <c r="B69" s="146">
        <f>SUM(C69+D69)</f>
        <v>1700000</v>
      </c>
      <c r="C69" s="147">
        <v>1700000</v>
      </c>
      <c r="D69" s="147"/>
      <c r="E69" s="147">
        <f>B69</f>
        <v>1700000</v>
      </c>
      <c r="F69" s="147"/>
      <c r="G69" s="147"/>
      <c r="H69" s="147"/>
      <c r="I69" s="147"/>
      <c r="J69" s="147"/>
      <c r="K69" s="147"/>
      <c r="L69" s="147"/>
      <c r="M69" s="147"/>
      <c r="N69" s="147"/>
      <c r="O69" s="147"/>
      <c r="P69" s="147"/>
      <c r="Q69" s="147"/>
      <c r="R69" s="550">
        <f>SUM(E69:Q69)</f>
        <v>1700000</v>
      </c>
      <c r="S69" s="147">
        <f t="shared" si="19"/>
        <v>1700000</v>
      </c>
      <c r="T69" s="147"/>
      <c r="U69" s="143"/>
    </row>
    <row r="70" spans="1:21" s="144" customFormat="1" ht="12">
      <c r="A70" s="149" t="s">
        <v>1756</v>
      </c>
      <c r="B70" s="146">
        <f>SUM(C70:D70)</f>
        <v>1858000</v>
      </c>
      <c r="C70" s="146">
        <f>SUM(C65:C69)</f>
        <v>1858000</v>
      </c>
      <c r="D70" s="146">
        <f>SUM(D65:D69)</f>
        <v>0</v>
      </c>
      <c r="E70" s="146">
        <f t="shared" ref="E70:T70" si="20">SUM(E65:E69)</f>
        <v>1858000</v>
      </c>
      <c r="F70" s="146">
        <f t="shared" si="20"/>
        <v>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70">
        <f t="shared" si="20"/>
        <v>1858000</v>
      </c>
      <c r="S70" s="150">
        <f t="shared" si="20"/>
        <v>1779000</v>
      </c>
      <c r="T70" s="150">
        <f t="shared" si="20"/>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2359580</v>
      </c>
      <c r="C75" s="147">
        <v>2359580</v>
      </c>
      <c r="D75" s="147"/>
      <c r="E75" s="147">
        <f>B75</f>
        <v>2359580</v>
      </c>
      <c r="F75" s="147"/>
      <c r="G75" s="147"/>
      <c r="H75" s="147"/>
      <c r="I75" s="147"/>
      <c r="J75" s="147"/>
      <c r="K75" s="147"/>
      <c r="L75" s="147"/>
      <c r="M75" s="147"/>
      <c r="N75" s="147"/>
      <c r="O75" s="147"/>
      <c r="P75" s="147"/>
      <c r="Q75" s="147"/>
      <c r="R75" s="550">
        <f>SUM(E75:Q75)</f>
        <v>2359580</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ht="12">
      <c r="A77" s="149" t="s">
        <v>613</v>
      </c>
      <c r="B77" s="146">
        <f>SUM(C77:D77)</f>
        <v>2359580</v>
      </c>
      <c r="C77" s="146">
        <f>SUM(C72:C76)</f>
        <v>2359580</v>
      </c>
      <c r="D77" s="146">
        <f>SUM(D72:D76)</f>
        <v>0</v>
      </c>
      <c r="E77" s="146">
        <f t="shared" ref="E77:Q77" si="21">SUM(E72:E76)</f>
        <v>2359580</v>
      </c>
      <c r="F77" s="146">
        <f t="shared" si="21"/>
        <v>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70">
        <f>SUM(R72:R76)</f>
        <v>2359580</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7287543</v>
      </c>
      <c r="C79" s="147">
        <v>7287543</v>
      </c>
      <c r="D79" s="147"/>
      <c r="E79" s="147">
        <f>B79</f>
        <v>7287543</v>
      </c>
      <c r="F79" s="147"/>
      <c r="G79" s="147"/>
      <c r="H79" s="147"/>
      <c r="I79" s="147"/>
      <c r="J79" s="147"/>
      <c r="K79" s="147"/>
      <c r="L79" s="147"/>
      <c r="M79" s="147"/>
      <c r="N79" s="147"/>
      <c r="O79" s="147"/>
      <c r="P79" s="147"/>
      <c r="Q79" s="147"/>
      <c r="R79" s="550">
        <f>SUM(E79:Q79)</f>
        <v>7287543</v>
      </c>
      <c r="S79" s="147">
        <f>R79</f>
        <v>7287543</v>
      </c>
      <c r="T79" s="147"/>
      <c r="U79" s="143"/>
    </row>
    <row r="80" spans="1:21" s="144" customFormat="1">
      <c r="A80" s="304" t="s">
        <v>58</v>
      </c>
      <c r="B80" s="146">
        <f>SUM(C80:D80)</f>
        <v>1454691</v>
      </c>
      <c r="C80" s="147">
        <v>1454691</v>
      </c>
      <c r="D80" s="147"/>
      <c r="E80" s="147">
        <f>B80</f>
        <v>1454691</v>
      </c>
      <c r="F80" s="147"/>
      <c r="G80" s="147"/>
      <c r="H80" s="147"/>
      <c r="I80" s="147"/>
      <c r="J80" s="147"/>
      <c r="K80" s="147"/>
      <c r="L80" s="147"/>
      <c r="M80" s="147"/>
      <c r="N80" s="147"/>
      <c r="O80" s="147"/>
      <c r="P80" s="147"/>
      <c r="Q80" s="147"/>
      <c r="R80" s="550">
        <f>SUM(E80:Q80)</f>
        <v>1454691</v>
      </c>
      <c r="S80" s="147">
        <v>1454691</v>
      </c>
      <c r="T80" s="147"/>
      <c r="U80" s="143"/>
    </row>
    <row r="81" spans="1:21" s="144" customFormat="1" ht="12">
      <c r="A81" s="149" t="s">
        <v>1314</v>
      </c>
      <c r="B81" s="146">
        <f>SUM(C81:D81)</f>
        <v>8742234</v>
      </c>
      <c r="C81" s="543">
        <f>SUM(C79:C80)</f>
        <v>8742234</v>
      </c>
      <c r="D81" s="543">
        <f t="shared" ref="D81:T81" si="22">SUM(D79:D80)</f>
        <v>0</v>
      </c>
      <c r="E81" s="543">
        <f t="shared" si="22"/>
        <v>8742234</v>
      </c>
      <c r="F81" s="543">
        <f t="shared" si="22"/>
        <v>0</v>
      </c>
      <c r="G81" s="543">
        <f t="shared" si="22"/>
        <v>0</v>
      </c>
      <c r="H81" s="543">
        <f t="shared" si="22"/>
        <v>0</v>
      </c>
      <c r="I81" s="543">
        <f t="shared" si="22"/>
        <v>0</v>
      </c>
      <c r="J81" s="543">
        <f t="shared" si="22"/>
        <v>0</v>
      </c>
      <c r="K81" s="543">
        <f t="shared" si="22"/>
        <v>0</v>
      </c>
      <c r="L81" s="543">
        <f t="shared" si="22"/>
        <v>0</v>
      </c>
      <c r="M81" s="543">
        <f t="shared" si="22"/>
        <v>0</v>
      </c>
      <c r="N81" s="543">
        <f t="shared" si="22"/>
        <v>0</v>
      </c>
      <c r="O81" s="543">
        <f t="shared" si="22"/>
        <v>0</v>
      </c>
      <c r="P81" s="543">
        <f t="shared" si="22"/>
        <v>0</v>
      </c>
      <c r="Q81" s="543">
        <f t="shared" si="22"/>
        <v>0</v>
      </c>
      <c r="R81" s="543">
        <f t="shared" si="22"/>
        <v>8742234</v>
      </c>
      <c r="S81" s="543">
        <f t="shared" si="22"/>
        <v>8742234</v>
      </c>
      <c r="T81" s="543">
        <f t="shared" si="22"/>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65" customHeight="1">
      <c r="A83" s="145" t="s">
        <v>2409</v>
      </c>
      <c r="B83" s="146">
        <f t="shared" ref="B83:B95" si="23">SUM(C83+D83)</f>
        <v>235931</v>
      </c>
      <c r="C83" s="147">
        <f>170000+64931+1000</f>
        <v>235931</v>
      </c>
      <c r="D83" s="147"/>
      <c r="E83" s="147">
        <f>B83</f>
        <v>235931</v>
      </c>
      <c r="F83" s="147"/>
      <c r="G83" s="147"/>
      <c r="H83" s="147"/>
      <c r="I83" s="147"/>
      <c r="J83" s="147"/>
      <c r="K83" s="147"/>
      <c r="L83" s="147"/>
      <c r="M83" s="147"/>
      <c r="N83" s="147"/>
      <c r="O83" s="147"/>
      <c r="P83" s="147"/>
      <c r="Q83" s="147"/>
      <c r="R83" s="550">
        <f t="shared" ref="R83:R95" si="24">SUM(E83:Q83)</f>
        <v>235931</v>
      </c>
      <c r="S83" s="148"/>
      <c r="T83" s="148"/>
      <c r="U83" s="143"/>
    </row>
    <row r="84" spans="1:21" s="144" customFormat="1">
      <c r="A84" s="145" t="s">
        <v>775</v>
      </c>
      <c r="B84" s="146">
        <f t="shared" si="23"/>
        <v>0</v>
      </c>
      <c r="C84" s="147"/>
      <c r="D84" s="147"/>
      <c r="E84" s="147"/>
      <c r="F84" s="147"/>
      <c r="G84" s="147"/>
      <c r="H84" s="147"/>
      <c r="I84" s="147"/>
      <c r="J84" s="147"/>
      <c r="K84" s="147"/>
      <c r="L84" s="147"/>
      <c r="M84" s="147"/>
      <c r="N84" s="147"/>
      <c r="O84" s="147"/>
      <c r="P84" s="147"/>
      <c r="Q84" s="147"/>
      <c r="R84" s="550">
        <f t="shared" si="24"/>
        <v>0</v>
      </c>
      <c r="S84" s="147">
        <f>R84</f>
        <v>0</v>
      </c>
      <c r="T84" s="147"/>
      <c r="U84" s="143"/>
    </row>
    <row r="85" spans="1:21" s="144" customFormat="1">
      <c r="A85" s="145" t="s">
        <v>776</v>
      </c>
      <c r="B85" s="146">
        <f t="shared" si="23"/>
        <v>0</v>
      </c>
      <c r="C85" s="147"/>
      <c r="D85" s="147"/>
      <c r="E85" s="147"/>
      <c r="F85" s="147"/>
      <c r="G85" s="147"/>
      <c r="H85" s="147"/>
      <c r="I85" s="147"/>
      <c r="J85" s="147"/>
      <c r="K85" s="147"/>
      <c r="L85" s="147"/>
      <c r="M85" s="147"/>
      <c r="N85" s="147"/>
      <c r="O85" s="147"/>
      <c r="P85" s="147"/>
      <c r="Q85" s="147"/>
      <c r="R85" s="550">
        <f t="shared" si="24"/>
        <v>0</v>
      </c>
      <c r="S85" s="147">
        <f t="shared" ref="S85:S87" si="25">R85</f>
        <v>0</v>
      </c>
      <c r="T85" s="147"/>
      <c r="U85" s="143"/>
    </row>
    <row r="86" spans="1:21" s="144" customFormat="1">
      <c r="A86" s="145" t="s">
        <v>777</v>
      </c>
      <c r="B86" s="146">
        <f t="shared" si="23"/>
        <v>3143912</v>
      </c>
      <c r="C86" s="147">
        <f>2843912+600000-300000</f>
        <v>3143912</v>
      </c>
      <c r="D86" s="147"/>
      <c r="E86" s="147">
        <f>B86</f>
        <v>3143912</v>
      </c>
      <c r="F86" s="147"/>
      <c r="G86" s="147"/>
      <c r="H86" s="147"/>
      <c r="I86" s="147"/>
      <c r="J86" s="147"/>
      <c r="K86" s="147"/>
      <c r="L86" s="147"/>
      <c r="M86" s="147"/>
      <c r="N86" s="147"/>
      <c r="O86" s="147"/>
      <c r="P86" s="147"/>
      <c r="Q86" s="147"/>
      <c r="R86" s="550">
        <f t="shared" si="24"/>
        <v>3143912</v>
      </c>
      <c r="S86" s="147">
        <f t="shared" si="25"/>
        <v>3143912</v>
      </c>
      <c r="T86" s="147"/>
      <c r="U86" s="143"/>
    </row>
    <row r="87" spans="1:21" s="144" customFormat="1">
      <c r="A87" s="145" t="s">
        <v>778</v>
      </c>
      <c r="B87" s="146">
        <f t="shared" si="23"/>
        <v>0</v>
      </c>
      <c r="C87" s="147"/>
      <c r="D87" s="147"/>
      <c r="E87" s="147"/>
      <c r="F87" s="147"/>
      <c r="G87" s="147"/>
      <c r="H87" s="147"/>
      <c r="I87" s="147"/>
      <c r="J87" s="147"/>
      <c r="K87" s="147"/>
      <c r="L87" s="147"/>
      <c r="M87" s="147"/>
      <c r="N87" s="147"/>
      <c r="O87" s="147"/>
      <c r="P87" s="147"/>
      <c r="Q87" s="147"/>
      <c r="R87" s="550">
        <f t="shared" si="24"/>
        <v>0</v>
      </c>
      <c r="S87" s="147">
        <f t="shared" si="25"/>
        <v>0</v>
      </c>
      <c r="T87" s="147"/>
      <c r="U87" s="143"/>
    </row>
    <row r="88" spans="1:21" s="144" customFormat="1">
      <c r="A88" s="145" t="s">
        <v>779</v>
      </c>
      <c r="B88" s="146">
        <f t="shared" si="23"/>
        <v>869656</v>
      </c>
      <c r="C88" s="147">
        <f>350000+519656</f>
        <v>869656</v>
      </c>
      <c r="D88" s="147"/>
      <c r="E88" s="147">
        <f>B88</f>
        <v>869656</v>
      </c>
      <c r="F88" s="147"/>
      <c r="G88" s="147"/>
      <c r="H88" s="147"/>
      <c r="I88" s="147"/>
      <c r="J88" s="147"/>
      <c r="K88" s="147"/>
      <c r="L88" s="147"/>
      <c r="M88" s="147"/>
      <c r="N88" s="147"/>
      <c r="O88" s="147"/>
      <c r="P88" s="147"/>
      <c r="Q88" s="147"/>
      <c r="R88" s="550">
        <f t="shared" si="24"/>
        <v>869656</v>
      </c>
      <c r="S88" s="148"/>
      <c r="T88" s="148"/>
      <c r="U88" s="143"/>
    </row>
    <row r="89" spans="1:21" s="144" customFormat="1">
      <c r="A89" s="145" t="s">
        <v>780</v>
      </c>
      <c r="B89" s="146">
        <f t="shared" si="23"/>
        <v>2000000</v>
      </c>
      <c r="C89" s="147">
        <v>2000000</v>
      </c>
      <c r="D89" s="147"/>
      <c r="E89" s="147">
        <f>B89</f>
        <v>2000000</v>
      </c>
      <c r="F89" s="147"/>
      <c r="G89" s="147"/>
      <c r="H89" s="147"/>
      <c r="I89" s="147"/>
      <c r="J89" s="147"/>
      <c r="K89" s="147"/>
      <c r="L89" s="147"/>
      <c r="M89" s="147"/>
      <c r="N89" s="147"/>
      <c r="O89" s="147"/>
      <c r="P89" s="147"/>
      <c r="Q89" s="147"/>
      <c r="R89" s="550">
        <f t="shared" si="24"/>
        <v>2000000</v>
      </c>
      <c r="S89" s="147">
        <f>R89</f>
        <v>2000000</v>
      </c>
      <c r="T89" s="147"/>
      <c r="U89" s="143"/>
    </row>
    <row r="90" spans="1:21" s="144" customFormat="1">
      <c r="A90" s="145" t="s">
        <v>781</v>
      </c>
      <c r="B90" s="146">
        <f t="shared" si="23"/>
        <v>2500</v>
      </c>
      <c r="C90" s="147">
        <v>2500</v>
      </c>
      <c r="D90" s="147"/>
      <c r="E90" s="147">
        <f>B90</f>
        <v>2500</v>
      </c>
      <c r="F90" s="147"/>
      <c r="G90" s="147"/>
      <c r="H90" s="147"/>
      <c r="I90" s="147"/>
      <c r="J90" s="147"/>
      <c r="K90" s="147"/>
      <c r="L90" s="147"/>
      <c r="M90" s="147"/>
      <c r="N90" s="147"/>
      <c r="O90" s="147"/>
      <c r="P90" s="147"/>
      <c r="Q90" s="147"/>
      <c r="R90" s="550">
        <f t="shared" si="24"/>
        <v>2500</v>
      </c>
      <c r="S90" s="147">
        <v>0</v>
      </c>
      <c r="T90" s="147"/>
      <c r="U90" s="143"/>
    </row>
    <row r="91" spans="1:21" s="144" customFormat="1">
      <c r="A91" s="145" t="s">
        <v>372</v>
      </c>
      <c r="B91" s="146">
        <f t="shared" si="23"/>
        <v>0</v>
      </c>
      <c r="C91" s="147"/>
      <c r="D91" s="147"/>
      <c r="E91" s="147"/>
      <c r="F91" s="147"/>
      <c r="G91" s="147"/>
      <c r="H91" s="147"/>
      <c r="I91" s="147"/>
      <c r="J91" s="147"/>
      <c r="K91" s="147"/>
      <c r="L91" s="147"/>
      <c r="M91" s="147"/>
      <c r="N91" s="147"/>
      <c r="O91" s="147"/>
      <c r="P91" s="147"/>
      <c r="Q91" s="147"/>
      <c r="R91" s="550">
        <f t="shared" si="24"/>
        <v>0</v>
      </c>
      <c r="S91" s="147">
        <f t="shared" ref="S91:S92" si="26">R91</f>
        <v>0</v>
      </c>
      <c r="T91" s="147"/>
      <c r="U91" s="143"/>
    </row>
    <row r="92" spans="1:21" s="144" customFormat="1">
      <c r="A92" s="304" t="s">
        <v>1316</v>
      </c>
      <c r="B92" s="146">
        <f t="shared" si="23"/>
        <v>0</v>
      </c>
      <c r="C92" s="147"/>
      <c r="D92" s="147"/>
      <c r="E92" s="147"/>
      <c r="F92" s="147"/>
      <c r="G92" s="147"/>
      <c r="H92" s="147"/>
      <c r="I92" s="147"/>
      <c r="J92" s="147"/>
      <c r="K92" s="147"/>
      <c r="L92" s="147"/>
      <c r="M92" s="147"/>
      <c r="N92" s="147"/>
      <c r="O92" s="147"/>
      <c r="P92" s="147"/>
      <c r="Q92" s="147"/>
      <c r="R92" s="550">
        <f t="shared" si="24"/>
        <v>0</v>
      </c>
      <c r="S92" s="147">
        <f t="shared" si="26"/>
        <v>0</v>
      </c>
      <c r="T92" s="147"/>
      <c r="U92" s="143"/>
    </row>
    <row r="93" spans="1:21" s="144" customFormat="1">
      <c r="A93" s="1193" t="s">
        <v>2670</v>
      </c>
      <c r="B93" s="146">
        <f t="shared" si="23"/>
        <v>1270000</v>
      </c>
      <c r="C93" s="147">
        <v>1270000</v>
      </c>
      <c r="D93" s="147"/>
      <c r="E93" s="147">
        <f>B93</f>
        <v>1270000</v>
      </c>
      <c r="F93" s="147"/>
      <c r="G93" s="147"/>
      <c r="H93" s="147"/>
      <c r="I93" s="147"/>
      <c r="J93" s="147"/>
      <c r="K93" s="147"/>
      <c r="L93" s="147"/>
      <c r="M93" s="147"/>
      <c r="N93" s="147"/>
      <c r="O93" s="147"/>
      <c r="P93" s="147"/>
      <c r="Q93" s="147"/>
      <c r="R93" s="550">
        <f t="shared" si="24"/>
        <v>1270000</v>
      </c>
      <c r="S93" s="147">
        <v>1270000</v>
      </c>
      <c r="T93" s="147"/>
      <c r="U93" s="143"/>
    </row>
    <row r="94" spans="1:21" s="144" customFormat="1">
      <c r="A94" s="1193" t="s">
        <v>2667</v>
      </c>
      <c r="B94" s="146">
        <f t="shared" si="23"/>
        <v>849919</v>
      </c>
      <c r="C94" s="147">
        <v>849919</v>
      </c>
      <c r="D94" s="147"/>
      <c r="E94" s="147">
        <f>B94</f>
        <v>849919</v>
      </c>
      <c r="F94" s="147"/>
      <c r="G94" s="147"/>
      <c r="H94" s="147"/>
      <c r="I94" s="147"/>
      <c r="J94" s="147"/>
      <c r="K94" s="147"/>
      <c r="L94" s="147"/>
      <c r="M94" s="147"/>
      <c r="N94" s="147"/>
      <c r="O94" s="147"/>
      <c r="P94" s="147"/>
      <c r="Q94" s="147"/>
      <c r="R94" s="550">
        <f t="shared" si="24"/>
        <v>849919</v>
      </c>
      <c r="S94" s="147">
        <v>849919</v>
      </c>
      <c r="T94" s="147"/>
      <c r="U94" s="143"/>
    </row>
    <row r="95" spans="1:21" s="144" customFormat="1">
      <c r="A95" s="1193" t="s">
        <v>2669</v>
      </c>
      <c r="B95" s="146">
        <f t="shared" si="23"/>
        <v>8088681</v>
      </c>
      <c r="C95" s="147">
        <f>456500+283961+75000+15000+10000-2500+8276619-982811-43088</f>
        <v>8088681</v>
      </c>
      <c r="D95" s="147"/>
      <c r="E95" s="147">
        <f>B95</f>
        <v>8088681</v>
      </c>
      <c r="F95" s="147"/>
      <c r="G95" s="147"/>
      <c r="H95" s="147"/>
      <c r="I95" s="147"/>
      <c r="J95" s="147"/>
      <c r="K95" s="147"/>
      <c r="L95" s="147"/>
      <c r="M95" s="147"/>
      <c r="N95" s="147"/>
      <c r="O95" s="147"/>
      <c r="P95" s="147"/>
      <c r="Q95" s="147"/>
      <c r="R95" s="550">
        <f t="shared" si="24"/>
        <v>8088681</v>
      </c>
      <c r="S95" s="147">
        <v>0</v>
      </c>
      <c r="T95" s="147"/>
      <c r="U95" s="143"/>
    </row>
    <row r="96" spans="1:21" s="144" customFormat="1" ht="12">
      <c r="A96" s="149" t="s">
        <v>782</v>
      </c>
      <c r="B96" s="146">
        <f>SUM(C96:D96)</f>
        <v>16460599</v>
      </c>
      <c r="C96" s="146">
        <f t="shared" ref="C96:R96" si="27">SUM(C83:C95)</f>
        <v>16460599</v>
      </c>
      <c r="D96" s="146">
        <f t="shared" si="27"/>
        <v>0</v>
      </c>
      <c r="E96" s="146">
        <f t="shared" si="27"/>
        <v>16460599</v>
      </c>
      <c r="F96" s="146">
        <f t="shared" si="27"/>
        <v>0</v>
      </c>
      <c r="G96" s="146">
        <f t="shared" si="27"/>
        <v>0</v>
      </c>
      <c r="H96" s="146">
        <f t="shared" si="27"/>
        <v>0</v>
      </c>
      <c r="I96" s="146">
        <f t="shared" si="27"/>
        <v>0</v>
      </c>
      <c r="J96" s="146">
        <f t="shared" si="27"/>
        <v>0</v>
      </c>
      <c r="K96" s="146">
        <f t="shared" si="27"/>
        <v>0</v>
      </c>
      <c r="L96" s="146">
        <f t="shared" si="27"/>
        <v>0</v>
      </c>
      <c r="M96" s="146">
        <f t="shared" si="27"/>
        <v>0</v>
      </c>
      <c r="N96" s="146">
        <f t="shared" si="27"/>
        <v>0</v>
      </c>
      <c r="O96" s="146">
        <f t="shared" si="27"/>
        <v>0</v>
      </c>
      <c r="P96" s="146">
        <f t="shared" si="27"/>
        <v>0</v>
      </c>
      <c r="Q96" s="146">
        <f t="shared" si="27"/>
        <v>0</v>
      </c>
      <c r="R96" s="370">
        <f t="shared" si="27"/>
        <v>16460599</v>
      </c>
      <c r="S96" s="150">
        <f>SUM(S84:S87,S89:S95)</f>
        <v>7263831</v>
      </c>
      <c r="T96" s="146">
        <f>SUM(T84:T87,T89:T95)</f>
        <v>0</v>
      </c>
      <c r="U96" s="143"/>
    </row>
    <row r="97" spans="1:21" s="144" customFormat="1" ht="12">
      <c r="A97" s="149" t="s">
        <v>783</v>
      </c>
      <c r="B97" s="146">
        <f>SUM(C97:D97)</f>
        <v>175892956</v>
      </c>
      <c r="C97" s="146">
        <f t="shared" ref="C97:R97" si="28">SUM(C63+C70+C77+C81+C96)</f>
        <v>175892956</v>
      </c>
      <c r="D97" s="146">
        <f t="shared" si="28"/>
        <v>0</v>
      </c>
      <c r="E97" s="146">
        <f t="shared" si="28"/>
        <v>61943090</v>
      </c>
      <c r="F97" s="146">
        <f t="shared" si="28"/>
        <v>94082805</v>
      </c>
      <c r="G97" s="146">
        <f t="shared" si="28"/>
        <v>17200000</v>
      </c>
      <c r="H97" s="146">
        <f t="shared" si="28"/>
        <v>2667061</v>
      </c>
      <c r="I97" s="146">
        <f t="shared" si="28"/>
        <v>0</v>
      </c>
      <c r="J97" s="146">
        <f t="shared" si="28"/>
        <v>0</v>
      </c>
      <c r="K97" s="146">
        <f t="shared" si="28"/>
        <v>0</v>
      </c>
      <c r="L97" s="146">
        <f t="shared" si="28"/>
        <v>0</v>
      </c>
      <c r="M97" s="146">
        <f t="shared" si="28"/>
        <v>0</v>
      </c>
      <c r="N97" s="146">
        <f t="shared" si="28"/>
        <v>0</v>
      </c>
      <c r="O97" s="146">
        <f t="shared" si="28"/>
        <v>0</v>
      </c>
      <c r="P97" s="146">
        <f t="shared" si="28"/>
        <v>0</v>
      </c>
      <c r="Q97" s="146">
        <f t="shared" si="28"/>
        <v>0</v>
      </c>
      <c r="R97" s="146">
        <f t="shared" si="28"/>
        <v>175892956</v>
      </c>
      <c r="S97" s="146">
        <f>SUM(S63+S70+S81+S96)</f>
        <v>140535797</v>
      </c>
      <c r="T97" s="146">
        <f>SUM(T63+T70+T81+T96)</f>
        <v>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28107159</v>
      </c>
      <c r="C99" s="1014">
        <v>28107159</v>
      </c>
      <c r="D99" s="1014"/>
      <c r="E99" s="1014">
        <f>B99-I99</f>
        <v>1410320</v>
      </c>
      <c r="F99" s="147"/>
      <c r="G99" s="147"/>
      <c r="H99" s="147"/>
      <c r="I99" s="147">
        <f>Application!AO630</f>
        <v>26696839</v>
      </c>
      <c r="J99" s="147"/>
      <c r="K99" s="147"/>
      <c r="L99" s="147"/>
      <c r="M99" s="147"/>
      <c r="N99" s="147"/>
      <c r="O99" s="147"/>
      <c r="P99" s="147"/>
      <c r="Q99" s="147"/>
      <c r="R99" s="550">
        <f>SUM(E99:Q99)</f>
        <v>28107159</v>
      </c>
      <c r="S99" s="147">
        <f>R99</f>
        <v>28107159</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f t="shared" ref="S100:S103" si="29">R100</f>
        <v>0</v>
      </c>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f t="shared" si="29"/>
        <v>0</v>
      </c>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f t="shared" si="29"/>
        <v>0</v>
      </c>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f t="shared" si="29"/>
        <v>0</v>
      </c>
      <c r="T103" s="147"/>
      <c r="U103" s="143"/>
    </row>
    <row r="104" spans="1:21" s="144" customFormat="1" ht="12">
      <c r="A104" s="149" t="s">
        <v>787</v>
      </c>
      <c r="B104" s="146">
        <f>SUM(C104:D104)</f>
        <v>28107159</v>
      </c>
      <c r="C104" s="146">
        <f>SUM(C99:C103)</f>
        <v>28107159</v>
      </c>
      <c r="D104" s="146">
        <f t="shared" ref="D104:T104" si="30">SUM(D99:D103)</f>
        <v>0</v>
      </c>
      <c r="E104" s="146">
        <f t="shared" si="30"/>
        <v>1410320</v>
      </c>
      <c r="F104" s="146">
        <f t="shared" si="30"/>
        <v>0</v>
      </c>
      <c r="G104" s="146">
        <f t="shared" si="30"/>
        <v>0</v>
      </c>
      <c r="H104" s="146">
        <f t="shared" si="30"/>
        <v>0</v>
      </c>
      <c r="I104" s="146">
        <f t="shared" si="30"/>
        <v>26696839</v>
      </c>
      <c r="J104" s="146">
        <f t="shared" si="30"/>
        <v>0</v>
      </c>
      <c r="K104" s="146">
        <f t="shared" si="30"/>
        <v>0</v>
      </c>
      <c r="L104" s="146">
        <f t="shared" si="30"/>
        <v>0</v>
      </c>
      <c r="M104" s="146">
        <f t="shared" si="30"/>
        <v>0</v>
      </c>
      <c r="N104" s="146">
        <f t="shared" si="30"/>
        <v>0</v>
      </c>
      <c r="O104" s="146">
        <f t="shared" si="30"/>
        <v>0</v>
      </c>
      <c r="P104" s="146">
        <f t="shared" si="30"/>
        <v>0</v>
      </c>
      <c r="Q104" s="146">
        <f t="shared" si="30"/>
        <v>0</v>
      </c>
      <c r="R104" s="370">
        <f t="shared" si="30"/>
        <v>28107159</v>
      </c>
      <c r="S104" s="150">
        <f t="shared" si="30"/>
        <v>28107159</v>
      </c>
      <c r="T104" s="150">
        <f t="shared" si="30"/>
        <v>0</v>
      </c>
      <c r="U104" s="143"/>
    </row>
    <row r="105" spans="1:21" s="144" customFormat="1" ht="12">
      <c r="A105" s="149" t="s">
        <v>788</v>
      </c>
      <c r="B105" s="150">
        <f>SUM(C105:D105)</f>
        <v>204000115</v>
      </c>
      <c r="C105" s="150">
        <f t="shared" ref="C105:R105" si="31">SUM(C97+C104)</f>
        <v>204000115</v>
      </c>
      <c r="D105" s="150">
        <f t="shared" si="31"/>
        <v>0</v>
      </c>
      <c r="E105" s="150">
        <f t="shared" si="31"/>
        <v>63353410</v>
      </c>
      <c r="F105" s="150">
        <f t="shared" si="31"/>
        <v>94082805</v>
      </c>
      <c r="G105" s="150">
        <f t="shared" si="31"/>
        <v>17200000</v>
      </c>
      <c r="H105" s="150">
        <f t="shared" si="31"/>
        <v>2667061</v>
      </c>
      <c r="I105" s="150">
        <f t="shared" si="31"/>
        <v>26696839</v>
      </c>
      <c r="J105" s="150">
        <f t="shared" si="31"/>
        <v>0</v>
      </c>
      <c r="K105" s="150">
        <f t="shared" si="31"/>
        <v>0</v>
      </c>
      <c r="L105" s="150">
        <f t="shared" si="31"/>
        <v>0</v>
      </c>
      <c r="M105" s="150">
        <f t="shared" si="31"/>
        <v>0</v>
      </c>
      <c r="N105" s="150">
        <f t="shared" si="31"/>
        <v>0</v>
      </c>
      <c r="O105" s="150">
        <f t="shared" si="31"/>
        <v>0</v>
      </c>
      <c r="P105" s="150">
        <f t="shared" si="31"/>
        <v>0</v>
      </c>
      <c r="Q105" s="150">
        <f t="shared" si="31"/>
        <v>0</v>
      </c>
      <c r="R105" s="370">
        <f t="shared" si="31"/>
        <v>204000115</v>
      </c>
      <c r="S105" s="150">
        <f>S97+S104</f>
        <v>168642956</v>
      </c>
      <c r="T105" s="150">
        <f>T97+T104</f>
        <v>0</v>
      </c>
      <c r="U105" s="143"/>
    </row>
    <row r="106" spans="1:21" ht="12">
      <c r="A106" s="548" t="s">
        <v>1043</v>
      </c>
      <c r="B106" s="157"/>
      <c r="C106" s="157"/>
      <c r="D106" s="157"/>
      <c r="H106" s="159" t="s">
        <v>92</v>
      </c>
      <c r="I106" s="159"/>
      <c r="J106" s="159"/>
      <c r="R106" s="160" t="s">
        <v>93</v>
      </c>
      <c r="S106" s="147"/>
      <c r="T106" s="147"/>
    </row>
    <row r="107" spans="1:21" ht="12">
      <c r="A107" s="157" t="s">
        <v>183</v>
      </c>
      <c r="C107" s="157"/>
      <c r="D107" s="157"/>
      <c r="I107" s="162" t="s">
        <v>350</v>
      </c>
      <c r="J107" s="162"/>
      <c r="R107" s="160" t="s">
        <v>94</v>
      </c>
      <c r="S107" s="150">
        <f>S105+S106</f>
        <v>168642956</v>
      </c>
      <c r="T107" s="150">
        <f>T105+T106</f>
        <v>0</v>
      </c>
    </row>
    <row r="108" spans="1:21" s="201" customFormat="1" ht="12">
      <c r="A108" s="162" t="s">
        <v>890</v>
      </c>
      <c r="B108" s="157"/>
      <c r="C108" s="157"/>
      <c r="D108" s="157"/>
      <c r="E108" s="323">
        <f>Application!AO640</f>
        <v>63353410</v>
      </c>
      <c r="F108" s="323">
        <f>Application!AO627</f>
        <v>94082805</v>
      </c>
      <c r="G108" s="323">
        <f>Application!AO628</f>
        <v>17200000</v>
      </c>
      <c r="H108" s="323">
        <f>Application!AO629</f>
        <v>2667061</v>
      </c>
      <c r="I108" s="323">
        <f>Application!AO630</f>
        <v>26696839</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99999999999999" customHeight="1">
      <c r="A109" s="157"/>
      <c r="B109" s="157"/>
      <c r="C109" s="157"/>
      <c r="D109" s="157"/>
    </row>
    <row r="110" spans="1:21" ht="12">
      <c r="A110" s="162" t="s">
        <v>976</v>
      </c>
      <c r="B110" s="157"/>
      <c r="C110" s="157"/>
      <c r="D110" s="157"/>
    </row>
    <row r="111" spans="1:21" ht="12">
      <c r="A111" s="156" t="s">
        <v>977</v>
      </c>
      <c r="B111" s="157"/>
      <c r="C111" s="157"/>
      <c r="D111" s="157"/>
    </row>
    <row r="112" spans="1:21" ht="12" customHeight="1">
      <c r="A112" s="336"/>
      <c r="B112" s="157"/>
      <c r="C112" s="157"/>
      <c r="D112" s="157"/>
    </row>
    <row r="113" spans="1:21" ht="12">
      <c r="A113" s="156" t="s">
        <v>1042</v>
      </c>
      <c r="B113" s="157"/>
      <c r="C113" s="157"/>
      <c r="D113" s="157"/>
    </row>
    <row r="114" spans="1:21" ht="12">
      <c r="A114" s="156" t="s">
        <v>2410</v>
      </c>
      <c r="B114" s="157"/>
      <c r="C114" s="157"/>
      <c r="D114" s="157"/>
    </row>
    <row r="115" spans="1:21" ht="12" customHeight="1">
      <c r="A115" s="336"/>
      <c r="B115" s="157"/>
      <c r="C115" s="157"/>
      <c r="D115" s="157"/>
    </row>
    <row r="116" spans="1:21" ht="12">
      <c r="A116" s="373" t="s">
        <v>1045</v>
      </c>
      <c r="B116" s="157"/>
      <c r="C116" s="157"/>
      <c r="D116" s="157"/>
    </row>
    <row r="117" spans="1:21" ht="12">
      <c r="A117" s="373" t="s">
        <v>1329</v>
      </c>
      <c r="B117" s="157"/>
      <c r="C117" s="157"/>
      <c r="D117" s="157"/>
    </row>
    <row r="118" spans="1:21" ht="12">
      <c r="A118" s="373" t="s">
        <v>1044</v>
      </c>
      <c r="B118" s="157"/>
      <c r="C118" s="157"/>
      <c r="D118" s="157"/>
    </row>
    <row r="119" spans="1:21" ht="12">
      <c r="A119" s="373" t="s">
        <v>1046</v>
      </c>
      <c r="B119" s="157"/>
      <c r="C119" s="157"/>
      <c r="D119" s="157"/>
    </row>
    <row r="120" spans="1:21" ht="12" customHeight="1">
      <c r="A120" s="372"/>
      <c r="B120" s="157"/>
      <c r="C120" s="157"/>
      <c r="D120" s="157"/>
    </row>
    <row r="121" spans="1:21" ht="15.6">
      <c r="A121" s="366" t="s">
        <v>1028</v>
      </c>
      <c r="B121" s="157"/>
      <c r="C121" s="157"/>
      <c r="D121" s="157"/>
    </row>
    <row r="122" spans="1:21">
      <c r="A122" s="353" t="s">
        <v>1012</v>
      </c>
      <c r="B122" s="352"/>
      <c r="C122" s="352"/>
      <c r="D122" s="1884" t="s">
        <v>1013</v>
      </c>
      <c r="E122" s="1884"/>
      <c r="F122" s="1884"/>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76" t="s">
        <v>1330</v>
      </c>
      <c r="E123" s="1563"/>
      <c r="F123" s="1563"/>
      <c r="G123" s="1563"/>
      <c r="H123" s="1563"/>
      <c r="I123" s="1563"/>
      <c r="J123" s="1563"/>
      <c r="K123" s="1563"/>
      <c r="L123" s="1563"/>
      <c r="M123" s="1563"/>
      <c r="N123" s="1563"/>
      <c r="O123" s="1563"/>
      <c r="P123" s="1563"/>
      <c r="Q123" s="1563"/>
      <c r="R123" s="1563"/>
      <c r="S123" s="1563"/>
      <c r="T123" s="352"/>
      <c r="U123" s="354"/>
    </row>
    <row r="124" spans="1:21" ht="13.2">
      <c r="A124" s="117" t="s">
        <v>1015</v>
      </c>
      <c r="B124" s="361"/>
      <c r="C124" s="117"/>
      <c r="D124" s="1563"/>
      <c r="E124" s="1563"/>
      <c r="F124" s="1563"/>
      <c r="G124" s="1563"/>
      <c r="H124" s="1563"/>
      <c r="I124" s="1563"/>
      <c r="J124" s="1563"/>
      <c r="K124" s="1563"/>
      <c r="L124" s="1563"/>
      <c r="M124" s="1563"/>
      <c r="N124" s="1563"/>
      <c r="O124" s="1563"/>
      <c r="P124" s="1563"/>
      <c r="Q124" s="1563"/>
      <c r="R124" s="1563"/>
      <c r="S124" s="1563"/>
      <c r="T124" s="352"/>
      <c r="U124" s="354"/>
    </row>
    <row r="125" spans="1:21" ht="13.2">
      <c r="A125" s="117" t="s">
        <v>1016</v>
      </c>
      <c r="B125" s="361"/>
      <c r="C125" s="117"/>
      <c r="D125" s="1563"/>
      <c r="E125" s="1563"/>
      <c r="F125" s="1563"/>
      <c r="G125" s="1563"/>
      <c r="H125" s="1563"/>
      <c r="I125" s="1563"/>
      <c r="J125" s="1563"/>
      <c r="K125" s="1563"/>
      <c r="L125" s="1563"/>
      <c r="M125" s="1563"/>
      <c r="N125" s="1563"/>
      <c r="O125" s="1563"/>
      <c r="P125" s="1563"/>
      <c r="Q125" s="1563"/>
      <c r="R125" s="1563"/>
      <c r="S125" s="1563"/>
      <c r="T125" s="352"/>
      <c r="U125" s="354"/>
    </row>
    <row r="126" spans="1:21" ht="13.2">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3.2">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3.2">
      <c r="A128" s="117" t="s">
        <v>1019</v>
      </c>
      <c r="B128" s="361"/>
      <c r="C128" s="117"/>
      <c r="D128" s="1879"/>
      <c r="E128" s="1879"/>
      <c r="F128" s="1879"/>
      <c r="G128" s="1879"/>
      <c r="H128" s="1879"/>
      <c r="I128" s="117"/>
      <c r="J128" s="1875"/>
      <c r="K128" s="1875"/>
      <c r="L128" s="117"/>
      <c r="M128" s="117"/>
      <c r="N128" s="117"/>
      <c r="O128" s="117"/>
      <c r="P128" s="117"/>
      <c r="Q128" s="117"/>
      <c r="R128" s="117"/>
      <c r="S128" s="117"/>
      <c r="T128" s="352"/>
      <c r="U128" s="354"/>
    </row>
    <row r="129" spans="1:21" ht="13.2">
      <c r="A129" s="117" t="s">
        <v>300</v>
      </c>
      <c r="B129" s="361"/>
      <c r="C129" s="117"/>
      <c r="D129" s="1883" t="s">
        <v>1020</v>
      </c>
      <c r="E129" s="1883"/>
      <c r="F129" s="1883"/>
      <c r="G129" s="1883"/>
      <c r="H129" s="1883"/>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2">
      <c r="A131" s="363" t="s">
        <v>1022</v>
      </c>
      <c r="B131" s="362">
        <f>SUM(B123:B129)</f>
        <v>0</v>
      </c>
      <c r="C131" s="117"/>
      <c r="D131" s="1480"/>
      <c r="E131" s="1480"/>
      <c r="F131" s="1480"/>
      <c r="G131" s="1480"/>
      <c r="H131" s="1480"/>
      <c r="I131" s="117"/>
      <c r="J131" s="1480"/>
      <c r="K131" s="1480"/>
      <c r="L131" s="1480"/>
      <c r="M131" s="1480"/>
      <c r="N131" s="117"/>
      <c r="O131" s="117"/>
      <c r="P131" s="117"/>
      <c r="Q131" s="117"/>
      <c r="R131" s="117"/>
      <c r="S131" s="117"/>
      <c r="T131" s="352"/>
      <c r="U131" s="354"/>
    </row>
    <row r="132" spans="1:21" ht="12" customHeight="1">
      <c r="A132" s="364"/>
      <c r="B132" s="117"/>
      <c r="C132" s="117"/>
      <c r="D132" s="1877" t="s">
        <v>1023</v>
      </c>
      <c r="E132" s="1877"/>
      <c r="F132" s="1877"/>
      <c r="G132" s="1877"/>
      <c r="H132" s="1877"/>
      <c r="I132" s="117"/>
      <c r="J132" s="1877" t="s">
        <v>1024</v>
      </c>
      <c r="K132" s="1877"/>
      <c r="L132" s="1877"/>
      <c r="M132" s="187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2">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2">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2">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8"/>
      <c r="B138" s="1879"/>
      <c r="C138" s="1879"/>
      <c r="D138" s="356"/>
      <c r="E138" s="1875"/>
      <c r="F138" s="1875"/>
      <c r="G138" s="117"/>
      <c r="H138" s="117"/>
      <c r="I138" s="117"/>
      <c r="J138" s="117"/>
      <c r="K138" s="117"/>
      <c r="L138" s="117"/>
      <c r="M138" s="117"/>
      <c r="N138" s="117"/>
      <c r="O138" s="117"/>
      <c r="P138" s="117"/>
      <c r="Q138" s="117"/>
      <c r="R138" s="117"/>
      <c r="S138" s="117"/>
      <c r="T138" s="358"/>
      <c r="U138" s="359"/>
    </row>
    <row r="139" spans="1:21" ht="13.2">
      <c r="A139" s="1874" t="s">
        <v>1027</v>
      </c>
      <c r="B139" s="1874"/>
      <c r="C139" s="1874"/>
      <c r="D139" s="356"/>
      <c r="E139" s="117" t="s">
        <v>1021</v>
      </c>
      <c r="F139" s="117"/>
      <c r="G139" s="117"/>
      <c r="H139" s="117"/>
      <c r="I139" s="117"/>
      <c r="J139" s="117"/>
      <c r="K139" s="117"/>
      <c r="L139" s="117"/>
      <c r="M139" s="117"/>
      <c r="N139" s="117"/>
      <c r="O139" s="117"/>
      <c r="P139" s="117"/>
      <c r="Q139" s="117"/>
      <c r="R139" s="117"/>
      <c r="S139" s="117"/>
      <c r="T139" s="358"/>
      <c r="U139" s="359"/>
    </row>
    <row r="140" spans="1:21" ht="13.2">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8" workbookViewId="0">
      <selection activeCell="D15" sqref="D15"/>
    </sheetView>
  </sheetViews>
  <sheetFormatPr defaultColWidth="0" defaultRowHeight="12" zeroHeight="1"/>
  <cols>
    <col min="1" max="1" width="32.6640625" style="428" customWidth="1"/>
    <col min="2" max="3" width="12.109375" style="424" customWidth="1"/>
    <col min="4" max="6" width="12.88671875" style="424" customWidth="1"/>
    <col min="7" max="9" width="12.109375" style="424" customWidth="1"/>
    <col min="10" max="10" width="12.109375" style="425" customWidth="1"/>
    <col min="11" max="11" width="8.88671875" style="426" hidden="1" customWidth="1"/>
    <col min="12" max="21" width="8.88671875" style="424" hidden="1" customWidth="1"/>
    <col min="22" max="23" width="0" style="424" hidden="1"/>
    <col min="24" max="256" width="8.88671875" style="424" hidden="1"/>
    <col min="257" max="257" width="32.6640625" style="424" hidden="1" customWidth="1"/>
    <col min="258" max="259" width="12.109375" style="424" hidden="1" customWidth="1"/>
    <col min="260" max="260" width="12.88671875" style="424" hidden="1" customWidth="1"/>
    <col min="261" max="266" width="12.109375" style="424" hidden="1" customWidth="1"/>
    <col min="267" max="277" width="8.88671875" style="424" hidden="1" customWidth="1"/>
    <col min="278" max="512" width="8.88671875" style="424" hidden="1"/>
    <col min="513" max="513" width="32.6640625" style="424" hidden="1" customWidth="1"/>
    <col min="514" max="515" width="12.109375" style="424" hidden="1" customWidth="1"/>
    <col min="516" max="516" width="12.88671875" style="424" hidden="1" customWidth="1"/>
    <col min="517" max="522" width="12.109375" style="424" hidden="1" customWidth="1"/>
    <col min="523" max="533" width="8.88671875" style="424" hidden="1" customWidth="1"/>
    <col min="534" max="768" width="8.88671875" style="424" hidden="1"/>
    <col min="769" max="769" width="32.6640625" style="424" hidden="1" customWidth="1"/>
    <col min="770" max="771" width="12.109375" style="424" hidden="1" customWidth="1"/>
    <col min="772" max="772" width="12.88671875" style="424" hidden="1" customWidth="1"/>
    <col min="773" max="778" width="12.109375" style="424" hidden="1" customWidth="1"/>
    <col min="779" max="789" width="8.88671875" style="424" hidden="1" customWidth="1"/>
    <col min="790" max="1024" width="8.88671875" style="424" hidden="1"/>
    <col min="1025" max="1025" width="32.6640625" style="424" hidden="1" customWidth="1"/>
    <col min="1026" max="1027" width="12.109375" style="424" hidden="1" customWidth="1"/>
    <col min="1028" max="1028" width="12.88671875" style="424" hidden="1" customWidth="1"/>
    <col min="1029" max="1034" width="12.109375" style="424" hidden="1" customWidth="1"/>
    <col min="1035" max="1045" width="8.88671875" style="424" hidden="1" customWidth="1"/>
    <col min="1046" max="1280" width="8.88671875" style="424" hidden="1"/>
    <col min="1281" max="1281" width="32.6640625" style="424" hidden="1" customWidth="1"/>
    <col min="1282" max="1283" width="12.109375" style="424" hidden="1" customWidth="1"/>
    <col min="1284" max="1284" width="12.88671875" style="424" hidden="1" customWidth="1"/>
    <col min="1285" max="1290" width="12.109375" style="424" hidden="1" customWidth="1"/>
    <col min="1291" max="1301" width="8.88671875" style="424" hidden="1" customWidth="1"/>
    <col min="1302" max="1536" width="8.88671875" style="424" hidden="1"/>
    <col min="1537" max="1537" width="32.6640625" style="424" hidden="1" customWidth="1"/>
    <col min="1538" max="1539" width="12.109375" style="424" hidden="1" customWidth="1"/>
    <col min="1540" max="1540" width="12.88671875" style="424" hidden="1" customWidth="1"/>
    <col min="1541" max="1546" width="12.109375" style="424" hidden="1" customWidth="1"/>
    <col min="1547" max="1557" width="8.88671875" style="424" hidden="1" customWidth="1"/>
    <col min="1558" max="1792" width="8.88671875" style="424" hidden="1"/>
    <col min="1793" max="1793" width="32.6640625" style="424" hidden="1" customWidth="1"/>
    <col min="1794" max="1795" width="12.109375" style="424" hidden="1" customWidth="1"/>
    <col min="1796" max="1796" width="12.88671875" style="424" hidden="1" customWidth="1"/>
    <col min="1797" max="1802" width="12.109375" style="424" hidden="1" customWidth="1"/>
    <col min="1803" max="1813" width="8.88671875" style="424" hidden="1" customWidth="1"/>
    <col min="1814" max="2048" width="8.88671875" style="424" hidden="1"/>
    <col min="2049" max="2049" width="32.6640625" style="424" hidden="1" customWidth="1"/>
    <col min="2050" max="2051" width="12.109375" style="424" hidden="1" customWidth="1"/>
    <col min="2052" max="2052" width="12.88671875" style="424" hidden="1" customWidth="1"/>
    <col min="2053" max="2058" width="12.109375" style="424" hidden="1" customWidth="1"/>
    <col min="2059" max="2069" width="8.88671875" style="424" hidden="1" customWidth="1"/>
    <col min="2070" max="2304" width="8.88671875" style="424" hidden="1"/>
    <col min="2305" max="2305" width="32.6640625" style="424" hidden="1" customWidth="1"/>
    <col min="2306" max="2307" width="12.109375" style="424" hidden="1" customWidth="1"/>
    <col min="2308" max="2308" width="12.88671875" style="424" hidden="1" customWidth="1"/>
    <col min="2309" max="2314" width="12.109375" style="424" hidden="1" customWidth="1"/>
    <col min="2315" max="2325" width="8.88671875" style="424" hidden="1" customWidth="1"/>
    <col min="2326" max="2560" width="8.88671875" style="424" hidden="1"/>
    <col min="2561" max="2561" width="32.6640625" style="424" hidden="1" customWidth="1"/>
    <col min="2562" max="2563" width="12.109375" style="424" hidden="1" customWidth="1"/>
    <col min="2564" max="2564" width="12.88671875" style="424" hidden="1" customWidth="1"/>
    <col min="2565" max="2570" width="12.109375" style="424" hidden="1" customWidth="1"/>
    <col min="2571" max="2581" width="8.88671875" style="424" hidden="1" customWidth="1"/>
    <col min="2582" max="2816" width="8.88671875" style="424" hidden="1"/>
    <col min="2817" max="2817" width="32.6640625" style="424" hidden="1" customWidth="1"/>
    <col min="2818" max="2819" width="12.109375" style="424" hidden="1" customWidth="1"/>
    <col min="2820" max="2820" width="12.88671875" style="424" hidden="1" customWidth="1"/>
    <col min="2821" max="2826" width="12.109375" style="424" hidden="1" customWidth="1"/>
    <col min="2827" max="2837" width="8.88671875" style="424" hidden="1" customWidth="1"/>
    <col min="2838" max="3072" width="8.88671875" style="424" hidden="1"/>
    <col min="3073" max="3073" width="32.6640625" style="424" hidden="1" customWidth="1"/>
    <col min="3074" max="3075" width="12.109375" style="424" hidden="1" customWidth="1"/>
    <col min="3076" max="3076" width="12.88671875" style="424" hidden="1" customWidth="1"/>
    <col min="3077" max="3082" width="12.109375" style="424" hidden="1" customWidth="1"/>
    <col min="3083" max="3093" width="8.88671875" style="424" hidden="1" customWidth="1"/>
    <col min="3094" max="3328" width="8.88671875" style="424" hidden="1"/>
    <col min="3329" max="3329" width="32.6640625" style="424" hidden="1" customWidth="1"/>
    <col min="3330" max="3331" width="12.109375" style="424" hidden="1" customWidth="1"/>
    <col min="3332" max="3332" width="12.88671875" style="424" hidden="1" customWidth="1"/>
    <col min="3333" max="3338" width="12.109375" style="424" hidden="1" customWidth="1"/>
    <col min="3339" max="3349" width="8.88671875" style="424" hidden="1" customWidth="1"/>
    <col min="3350" max="3584" width="8.88671875" style="424" hidden="1"/>
    <col min="3585" max="3585" width="32.6640625" style="424" hidden="1" customWidth="1"/>
    <col min="3586" max="3587" width="12.109375" style="424" hidden="1" customWidth="1"/>
    <col min="3588" max="3588" width="12.88671875" style="424" hidden="1" customWidth="1"/>
    <col min="3589" max="3594" width="12.109375" style="424" hidden="1" customWidth="1"/>
    <col min="3595" max="3605" width="8.88671875" style="424" hidden="1" customWidth="1"/>
    <col min="3606" max="3840" width="8.88671875" style="424" hidden="1"/>
    <col min="3841" max="3841" width="32.6640625" style="424" hidden="1" customWidth="1"/>
    <col min="3842" max="3843" width="12.109375" style="424" hidden="1" customWidth="1"/>
    <col min="3844" max="3844" width="12.88671875" style="424" hidden="1" customWidth="1"/>
    <col min="3845" max="3850" width="12.109375" style="424" hidden="1" customWidth="1"/>
    <col min="3851" max="3861" width="8.88671875" style="424" hidden="1" customWidth="1"/>
    <col min="3862" max="4096" width="8.88671875" style="424" hidden="1"/>
    <col min="4097" max="4097" width="32.6640625" style="424" hidden="1" customWidth="1"/>
    <col min="4098" max="4099" width="12.109375" style="424" hidden="1" customWidth="1"/>
    <col min="4100" max="4100" width="12.88671875" style="424" hidden="1" customWidth="1"/>
    <col min="4101" max="4106" width="12.109375" style="424" hidden="1" customWidth="1"/>
    <col min="4107" max="4117" width="8.88671875" style="424" hidden="1" customWidth="1"/>
    <col min="4118" max="4352" width="8.88671875" style="424" hidden="1"/>
    <col min="4353" max="4353" width="32.6640625" style="424" hidden="1" customWidth="1"/>
    <col min="4354" max="4355" width="12.109375" style="424" hidden="1" customWidth="1"/>
    <col min="4356" max="4356" width="12.88671875" style="424" hidden="1" customWidth="1"/>
    <col min="4357" max="4362" width="12.109375" style="424" hidden="1" customWidth="1"/>
    <col min="4363" max="4373" width="8.88671875" style="424" hidden="1" customWidth="1"/>
    <col min="4374" max="4608" width="8.88671875" style="424" hidden="1"/>
    <col min="4609" max="4609" width="32.6640625" style="424" hidden="1" customWidth="1"/>
    <col min="4610" max="4611" width="12.109375" style="424" hidden="1" customWidth="1"/>
    <col min="4612" max="4612" width="12.88671875" style="424" hidden="1" customWidth="1"/>
    <col min="4613" max="4618" width="12.109375" style="424" hidden="1" customWidth="1"/>
    <col min="4619" max="4629" width="8.88671875" style="424" hidden="1" customWidth="1"/>
    <col min="4630" max="4864" width="8.88671875" style="424" hidden="1"/>
    <col min="4865" max="4865" width="32.6640625" style="424" hidden="1" customWidth="1"/>
    <col min="4866" max="4867" width="12.109375" style="424" hidden="1" customWidth="1"/>
    <col min="4868" max="4868" width="12.88671875" style="424" hidden="1" customWidth="1"/>
    <col min="4869" max="4874" width="12.109375" style="424" hidden="1" customWidth="1"/>
    <col min="4875" max="4885" width="8.88671875" style="424" hidden="1" customWidth="1"/>
    <col min="4886" max="5120" width="8.88671875" style="424" hidden="1"/>
    <col min="5121" max="5121" width="32.6640625" style="424" hidden="1" customWidth="1"/>
    <col min="5122" max="5123" width="12.109375" style="424" hidden="1" customWidth="1"/>
    <col min="5124" max="5124" width="12.88671875" style="424" hidden="1" customWidth="1"/>
    <col min="5125" max="5130" width="12.109375" style="424" hidden="1" customWidth="1"/>
    <col min="5131" max="5141" width="8.88671875" style="424" hidden="1" customWidth="1"/>
    <col min="5142" max="5376" width="8.88671875" style="424" hidden="1"/>
    <col min="5377" max="5377" width="32.6640625" style="424" hidden="1" customWidth="1"/>
    <col min="5378" max="5379" width="12.109375" style="424" hidden="1" customWidth="1"/>
    <col min="5380" max="5380" width="12.88671875" style="424" hidden="1" customWidth="1"/>
    <col min="5381" max="5386" width="12.109375" style="424" hidden="1" customWidth="1"/>
    <col min="5387" max="5397" width="8.88671875" style="424" hidden="1" customWidth="1"/>
    <col min="5398" max="5632" width="8.88671875" style="424" hidden="1"/>
    <col min="5633" max="5633" width="32.6640625" style="424" hidden="1" customWidth="1"/>
    <col min="5634" max="5635" width="12.109375" style="424" hidden="1" customWidth="1"/>
    <col min="5636" max="5636" width="12.88671875" style="424" hidden="1" customWidth="1"/>
    <col min="5637" max="5642" width="12.109375" style="424" hidden="1" customWidth="1"/>
    <col min="5643" max="5653" width="8.88671875" style="424" hidden="1" customWidth="1"/>
    <col min="5654" max="5888" width="8.88671875" style="424" hidden="1"/>
    <col min="5889" max="5889" width="32.6640625" style="424" hidden="1" customWidth="1"/>
    <col min="5890" max="5891" width="12.109375" style="424" hidden="1" customWidth="1"/>
    <col min="5892" max="5892" width="12.88671875" style="424" hidden="1" customWidth="1"/>
    <col min="5893" max="5898" width="12.109375" style="424" hidden="1" customWidth="1"/>
    <col min="5899" max="5909" width="8.88671875" style="424" hidden="1" customWidth="1"/>
    <col min="5910" max="6144" width="8.88671875" style="424" hidden="1"/>
    <col min="6145" max="6145" width="32.6640625" style="424" hidden="1" customWidth="1"/>
    <col min="6146" max="6147" width="12.109375" style="424" hidden="1" customWidth="1"/>
    <col min="6148" max="6148" width="12.88671875" style="424" hidden="1" customWidth="1"/>
    <col min="6149" max="6154" width="12.109375" style="424" hidden="1" customWidth="1"/>
    <col min="6155" max="6165" width="8.88671875" style="424" hidden="1" customWidth="1"/>
    <col min="6166" max="6400" width="8.88671875" style="424" hidden="1"/>
    <col min="6401" max="6401" width="32.6640625" style="424" hidden="1" customWidth="1"/>
    <col min="6402" max="6403" width="12.109375" style="424" hidden="1" customWidth="1"/>
    <col min="6404" max="6404" width="12.88671875" style="424" hidden="1" customWidth="1"/>
    <col min="6405" max="6410" width="12.109375" style="424" hidden="1" customWidth="1"/>
    <col min="6411" max="6421" width="8.88671875" style="424" hidden="1" customWidth="1"/>
    <col min="6422" max="6656" width="8.88671875" style="424" hidden="1"/>
    <col min="6657" max="6657" width="32.6640625" style="424" hidden="1" customWidth="1"/>
    <col min="6658" max="6659" width="12.109375" style="424" hidden="1" customWidth="1"/>
    <col min="6660" max="6660" width="12.88671875" style="424" hidden="1" customWidth="1"/>
    <col min="6661" max="6666" width="12.109375" style="424" hidden="1" customWidth="1"/>
    <col min="6667" max="6677" width="8.88671875" style="424" hidden="1" customWidth="1"/>
    <col min="6678" max="6912" width="8.88671875" style="424" hidden="1"/>
    <col min="6913" max="6913" width="32.6640625" style="424" hidden="1" customWidth="1"/>
    <col min="6914" max="6915" width="12.109375" style="424" hidden="1" customWidth="1"/>
    <col min="6916" max="6916" width="12.88671875" style="424" hidden="1" customWidth="1"/>
    <col min="6917" max="6922" width="12.109375" style="424" hidden="1" customWidth="1"/>
    <col min="6923" max="6933" width="8.88671875" style="424" hidden="1" customWidth="1"/>
    <col min="6934" max="7168" width="8.88671875" style="424" hidden="1"/>
    <col min="7169" max="7169" width="32.6640625" style="424" hidden="1" customWidth="1"/>
    <col min="7170" max="7171" width="12.109375" style="424" hidden="1" customWidth="1"/>
    <col min="7172" max="7172" width="12.88671875" style="424" hidden="1" customWidth="1"/>
    <col min="7173" max="7178" width="12.109375" style="424" hidden="1" customWidth="1"/>
    <col min="7179" max="7189" width="8.88671875" style="424" hidden="1" customWidth="1"/>
    <col min="7190" max="7424" width="8.88671875" style="424" hidden="1"/>
    <col min="7425" max="7425" width="32.6640625" style="424" hidden="1" customWidth="1"/>
    <col min="7426" max="7427" width="12.109375" style="424" hidden="1" customWidth="1"/>
    <col min="7428" max="7428" width="12.88671875" style="424" hidden="1" customWidth="1"/>
    <col min="7429" max="7434" width="12.109375" style="424" hidden="1" customWidth="1"/>
    <col min="7435" max="7445" width="8.88671875" style="424" hidden="1" customWidth="1"/>
    <col min="7446" max="7680" width="8.88671875" style="424" hidden="1"/>
    <col min="7681" max="7681" width="32.6640625" style="424" hidden="1" customWidth="1"/>
    <col min="7682" max="7683" width="12.109375" style="424" hidden="1" customWidth="1"/>
    <col min="7684" max="7684" width="12.88671875" style="424" hidden="1" customWidth="1"/>
    <col min="7685" max="7690" width="12.109375" style="424" hidden="1" customWidth="1"/>
    <col min="7691" max="7701" width="8.88671875" style="424" hidden="1" customWidth="1"/>
    <col min="7702" max="7936" width="8.88671875" style="424" hidden="1"/>
    <col min="7937" max="7937" width="32.6640625" style="424" hidden="1" customWidth="1"/>
    <col min="7938" max="7939" width="12.109375" style="424" hidden="1" customWidth="1"/>
    <col min="7940" max="7940" width="12.88671875" style="424" hidden="1" customWidth="1"/>
    <col min="7941" max="7946" width="12.109375" style="424" hidden="1" customWidth="1"/>
    <col min="7947" max="7957" width="8.88671875" style="424" hidden="1" customWidth="1"/>
    <col min="7958" max="8192" width="8.88671875" style="424" hidden="1"/>
    <col min="8193" max="8193" width="32.6640625" style="424" hidden="1" customWidth="1"/>
    <col min="8194" max="8195" width="12.109375" style="424" hidden="1" customWidth="1"/>
    <col min="8196" max="8196" width="12.88671875" style="424" hidden="1" customWidth="1"/>
    <col min="8197" max="8202" width="12.109375" style="424" hidden="1" customWidth="1"/>
    <col min="8203" max="8213" width="8.88671875" style="424" hidden="1" customWidth="1"/>
    <col min="8214" max="8448" width="8.88671875" style="424" hidden="1"/>
    <col min="8449" max="8449" width="32.6640625" style="424" hidden="1" customWidth="1"/>
    <col min="8450" max="8451" width="12.109375" style="424" hidden="1" customWidth="1"/>
    <col min="8452" max="8452" width="12.88671875" style="424" hidden="1" customWidth="1"/>
    <col min="8453" max="8458" width="12.109375" style="424" hidden="1" customWidth="1"/>
    <col min="8459" max="8469" width="8.88671875" style="424" hidden="1" customWidth="1"/>
    <col min="8470" max="8704" width="8.88671875" style="424" hidden="1"/>
    <col min="8705" max="8705" width="32.6640625" style="424" hidden="1" customWidth="1"/>
    <col min="8706" max="8707" width="12.109375" style="424" hidden="1" customWidth="1"/>
    <col min="8708" max="8708" width="12.88671875" style="424" hidden="1" customWidth="1"/>
    <col min="8709" max="8714" width="12.109375" style="424" hidden="1" customWidth="1"/>
    <col min="8715" max="8725" width="8.88671875" style="424" hidden="1" customWidth="1"/>
    <col min="8726" max="8960" width="8.88671875" style="424" hidden="1"/>
    <col min="8961" max="8961" width="32.6640625" style="424" hidden="1" customWidth="1"/>
    <col min="8962" max="8963" width="12.109375" style="424" hidden="1" customWidth="1"/>
    <col min="8964" max="8964" width="12.88671875" style="424" hidden="1" customWidth="1"/>
    <col min="8965" max="8970" width="12.109375" style="424" hidden="1" customWidth="1"/>
    <col min="8971" max="8981" width="8.88671875" style="424" hidden="1" customWidth="1"/>
    <col min="8982" max="9216" width="8.88671875" style="424" hidden="1"/>
    <col min="9217" max="9217" width="32.6640625" style="424" hidden="1" customWidth="1"/>
    <col min="9218" max="9219" width="12.109375" style="424" hidden="1" customWidth="1"/>
    <col min="9220" max="9220" width="12.88671875" style="424" hidden="1" customWidth="1"/>
    <col min="9221" max="9226" width="12.109375" style="424" hidden="1" customWidth="1"/>
    <col min="9227" max="9237" width="8.88671875" style="424" hidden="1" customWidth="1"/>
    <col min="9238" max="9472" width="8.88671875" style="424" hidden="1"/>
    <col min="9473" max="9473" width="32.6640625" style="424" hidden="1" customWidth="1"/>
    <col min="9474" max="9475" width="12.109375" style="424" hidden="1" customWidth="1"/>
    <col min="9476" max="9476" width="12.88671875" style="424" hidden="1" customWidth="1"/>
    <col min="9477" max="9482" width="12.109375" style="424" hidden="1" customWidth="1"/>
    <col min="9483" max="9493" width="8.88671875" style="424" hidden="1" customWidth="1"/>
    <col min="9494" max="9728" width="8.88671875" style="424" hidden="1"/>
    <col min="9729" max="9729" width="32.6640625" style="424" hidden="1" customWidth="1"/>
    <col min="9730" max="9731" width="12.109375" style="424" hidden="1" customWidth="1"/>
    <col min="9732" max="9732" width="12.88671875" style="424" hidden="1" customWidth="1"/>
    <col min="9733" max="9738" width="12.109375" style="424" hidden="1" customWidth="1"/>
    <col min="9739" max="9749" width="8.88671875" style="424" hidden="1" customWidth="1"/>
    <col min="9750" max="9984" width="8.88671875" style="424" hidden="1"/>
    <col min="9985" max="9985" width="32.6640625" style="424" hidden="1" customWidth="1"/>
    <col min="9986" max="9987" width="12.109375" style="424" hidden="1" customWidth="1"/>
    <col min="9988" max="9988" width="12.88671875" style="424" hidden="1" customWidth="1"/>
    <col min="9989" max="9994" width="12.109375" style="424" hidden="1" customWidth="1"/>
    <col min="9995" max="10005" width="8.88671875" style="424" hidden="1" customWidth="1"/>
    <col min="10006" max="10240" width="8.88671875" style="424" hidden="1"/>
    <col min="10241" max="10241" width="32.6640625" style="424" hidden="1" customWidth="1"/>
    <col min="10242" max="10243" width="12.109375" style="424" hidden="1" customWidth="1"/>
    <col min="10244" max="10244" width="12.88671875" style="424" hidden="1" customWidth="1"/>
    <col min="10245" max="10250" width="12.109375" style="424" hidden="1" customWidth="1"/>
    <col min="10251" max="10261" width="8.88671875" style="424" hidden="1" customWidth="1"/>
    <col min="10262" max="10496" width="8.88671875" style="424" hidden="1"/>
    <col min="10497" max="10497" width="32.6640625" style="424" hidden="1" customWidth="1"/>
    <col min="10498" max="10499" width="12.109375" style="424" hidden="1" customWidth="1"/>
    <col min="10500" max="10500" width="12.88671875" style="424" hidden="1" customWidth="1"/>
    <col min="10501" max="10506" width="12.109375" style="424" hidden="1" customWidth="1"/>
    <col min="10507" max="10517" width="8.88671875" style="424" hidden="1" customWidth="1"/>
    <col min="10518" max="10752" width="8.88671875" style="424" hidden="1"/>
    <col min="10753" max="10753" width="32.6640625" style="424" hidden="1" customWidth="1"/>
    <col min="10754" max="10755" width="12.109375" style="424" hidden="1" customWidth="1"/>
    <col min="10756" max="10756" width="12.88671875" style="424" hidden="1" customWidth="1"/>
    <col min="10757" max="10762" width="12.109375" style="424" hidden="1" customWidth="1"/>
    <col min="10763" max="10773" width="8.88671875" style="424" hidden="1" customWidth="1"/>
    <col min="10774" max="11008" width="8.88671875" style="424" hidden="1"/>
    <col min="11009" max="11009" width="32.6640625" style="424" hidden="1" customWidth="1"/>
    <col min="11010" max="11011" width="12.109375" style="424" hidden="1" customWidth="1"/>
    <col min="11012" max="11012" width="12.88671875" style="424" hidden="1" customWidth="1"/>
    <col min="11013" max="11018" width="12.109375" style="424" hidden="1" customWidth="1"/>
    <col min="11019" max="11029" width="8.88671875" style="424" hidden="1" customWidth="1"/>
    <col min="11030" max="11264" width="8.88671875" style="424" hidden="1"/>
    <col min="11265" max="11265" width="32.6640625" style="424" hidden="1" customWidth="1"/>
    <col min="11266" max="11267" width="12.109375" style="424" hidden="1" customWidth="1"/>
    <col min="11268" max="11268" width="12.88671875" style="424" hidden="1" customWidth="1"/>
    <col min="11269" max="11274" width="12.109375" style="424" hidden="1" customWidth="1"/>
    <col min="11275" max="11285" width="8.88671875" style="424" hidden="1" customWidth="1"/>
    <col min="11286" max="11520" width="8.88671875" style="424" hidden="1"/>
    <col min="11521" max="11521" width="32.6640625" style="424" hidden="1" customWidth="1"/>
    <col min="11522" max="11523" width="12.109375" style="424" hidden="1" customWidth="1"/>
    <col min="11524" max="11524" width="12.88671875" style="424" hidden="1" customWidth="1"/>
    <col min="11525" max="11530" width="12.109375" style="424" hidden="1" customWidth="1"/>
    <col min="11531" max="11541" width="8.88671875" style="424" hidden="1" customWidth="1"/>
    <col min="11542" max="11776" width="8.88671875" style="424" hidden="1"/>
    <col min="11777" max="11777" width="32.6640625" style="424" hidden="1" customWidth="1"/>
    <col min="11778" max="11779" width="12.109375" style="424" hidden="1" customWidth="1"/>
    <col min="11780" max="11780" width="12.88671875" style="424" hidden="1" customWidth="1"/>
    <col min="11781" max="11786" width="12.109375" style="424" hidden="1" customWidth="1"/>
    <col min="11787" max="11797" width="8.88671875" style="424" hidden="1" customWidth="1"/>
    <col min="11798" max="12032" width="8.88671875" style="424" hidden="1"/>
    <col min="12033" max="12033" width="32.6640625" style="424" hidden="1" customWidth="1"/>
    <col min="12034" max="12035" width="12.109375" style="424" hidden="1" customWidth="1"/>
    <col min="12036" max="12036" width="12.88671875" style="424" hidden="1" customWidth="1"/>
    <col min="12037" max="12042" width="12.109375" style="424" hidden="1" customWidth="1"/>
    <col min="12043" max="12053" width="8.88671875" style="424" hidden="1" customWidth="1"/>
    <col min="12054" max="12288" width="8.88671875" style="424" hidden="1"/>
    <col min="12289" max="12289" width="32.6640625" style="424" hidden="1" customWidth="1"/>
    <col min="12290" max="12291" width="12.109375" style="424" hidden="1" customWidth="1"/>
    <col min="12292" max="12292" width="12.88671875" style="424" hidden="1" customWidth="1"/>
    <col min="12293" max="12298" width="12.109375" style="424" hidden="1" customWidth="1"/>
    <col min="12299" max="12309" width="8.88671875" style="424" hidden="1" customWidth="1"/>
    <col min="12310" max="12544" width="8.88671875" style="424" hidden="1"/>
    <col min="12545" max="12545" width="32.6640625" style="424" hidden="1" customWidth="1"/>
    <col min="12546" max="12547" width="12.109375" style="424" hidden="1" customWidth="1"/>
    <col min="12548" max="12548" width="12.88671875" style="424" hidden="1" customWidth="1"/>
    <col min="12549" max="12554" width="12.109375" style="424" hidden="1" customWidth="1"/>
    <col min="12555" max="12565" width="8.88671875" style="424" hidden="1" customWidth="1"/>
    <col min="12566" max="12800" width="8.88671875" style="424" hidden="1"/>
    <col min="12801" max="12801" width="32.6640625" style="424" hidden="1" customWidth="1"/>
    <col min="12802" max="12803" width="12.109375" style="424" hidden="1" customWidth="1"/>
    <col min="12804" max="12804" width="12.88671875" style="424" hidden="1" customWidth="1"/>
    <col min="12805" max="12810" width="12.109375" style="424" hidden="1" customWidth="1"/>
    <col min="12811" max="12821" width="8.88671875" style="424" hidden="1" customWidth="1"/>
    <col min="12822" max="13056" width="8.88671875" style="424" hidden="1"/>
    <col min="13057" max="13057" width="32.6640625" style="424" hidden="1" customWidth="1"/>
    <col min="13058" max="13059" width="12.109375" style="424" hidden="1" customWidth="1"/>
    <col min="13060" max="13060" width="12.88671875" style="424" hidden="1" customWidth="1"/>
    <col min="13061" max="13066" width="12.109375" style="424" hidden="1" customWidth="1"/>
    <col min="13067" max="13077" width="8.88671875" style="424" hidden="1" customWidth="1"/>
    <col min="13078" max="13312" width="8.88671875" style="424" hidden="1"/>
    <col min="13313" max="13313" width="32.6640625" style="424" hidden="1" customWidth="1"/>
    <col min="13314" max="13315" width="12.109375" style="424" hidden="1" customWidth="1"/>
    <col min="13316" max="13316" width="12.88671875" style="424" hidden="1" customWidth="1"/>
    <col min="13317" max="13322" width="12.109375" style="424" hidden="1" customWidth="1"/>
    <col min="13323" max="13333" width="8.88671875" style="424" hidden="1" customWidth="1"/>
    <col min="13334" max="13568" width="8.88671875" style="424" hidden="1"/>
    <col min="13569" max="13569" width="32.6640625" style="424" hidden="1" customWidth="1"/>
    <col min="13570" max="13571" width="12.109375" style="424" hidden="1" customWidth="1"/>
    <col min="13572" max="13572" width="12.88671875" style="424" hidden="1" customWidth="1"/>
    <col min="13573" max="13578" width="12.109375" style="424" hidden="1" customWidth="1"/>
    <col min="13579" max="13589" width="8.88671875" style="424" hidden="1" customWidth="1"/>
    <col min="13590" max="13824" width="8.88671875" style="424" hidden="1"/>
    <col min="13825" max="13825" width="32.6640625" style="424" hidden="1" customWidth="1"/>
    <col min="13826" max="13827" width="12.109375" style="424" hidden="1" customWidth="1"/>
    <col min="13828" max="13828" width="12.88671875" style="424" hidden="1" customWidth="1"/>
    <col min="13829" max="13834" width="12.109375" style="424" hidden="1" customWidth="1"/>
    <col min="13835" max="13845" width="8.88671875" style="424" hidden="1" customWidth="1"/>
    <col min="13846" max="14080" width="8.88671875" style="424" hidden="1"/>
    <col min="14081" max="14081" width="32.6640625" style="424" hidden="1" customWidth="1"/>
    <col min="14082" max="14083" width="12.109375" style="424" hidden="1" customWidth="1"/>
    <col min="14084" max="14084" width="12.88671875" style="424" hidden="1" customWidth="1"/>
    <col min="14085" max="14090" width="12.109375" style="424" hidden="1" customWidth="1"/>
    <col min="14091" max="14101" width="8.88671875" style="424" hidden="1" customWidth="1"/>
    <col min="14102" max="14336" width="8.88671875" style="424" hidden="1"/>
    <col min="14337" max="14337" width="32.6640625" style="424" hidden="1" customWidth="1"/>
    <col min="14338" max="14339" width="12.109375" style="424" hidden="1" customWidth="1"/>
    <col min="14340" max="14340" width="12.88671875" style="424" hidden="1" customWidth="1"/>
    <col min="14341" max="14346" width="12.109375" style="424" hidden="1" customWidth="1"/>
    <col min="14347" max="14357" width="8.88671875" style="424" hidden="1" customWidth="1"/>
    <col min="14358" max="14592" width="8.88671875" style="424" hidden="1"/>
    <col min="14593" max="14593" width="32.6640625" style="424" hidden="1" customWidth="1"/>
    <col min="14594" max="14595" width="12.109375" style="424" hidden="1" customWidth="1"/>
    <col min="14596" max="14596" width="12.88671875" style="424" hidden="1" customWidth="1"/>
    <col min="14597" max="14602" width="12.109375" style="424" hidden="1" customWidth="1"/>
    <col min="14603" max="14613" width="8.88671875" style="424" hidden="1" customWidth="1"/>
    <col min="14614" max="14848" width="8.88671875" style="424" hidden="1"/>
    <col min="14849" max="14849" width="32.6640625" style="424" hidden="1" customWidth="1"/>
    <col min="14850" max="14851" width="12.109375" style="424" hidden="1" customWidth="1"/>
    <col min="14852" max="14852" width="12.88671875" style="424" hidden="1" customWidth="1"/>
    <col min="14853" max="14858" width="12.109375" style="424" hidden="1" customWidth="1"/>
    <col min="14859" max="14869" width="8.88671875" style="424" hidden="1" customWidth="1"/>
    <col min="14870" max="15104" width="8.88671875" style="424" hidden="1"/>
    <col min="15105" max="15105" width="32.6640625" style="424" hidden="1" customWidth="1"/>
    <col min="15106" max="15107" width="12.109375" style="424" hidden="1" customWidth="1"/>
    <col min="15108" max="15108" width="12.88671875" style="424" hidden="1" customWidth="1"/>
    <col min="15109" max="15114" width="12.109375" style="424" hidden="1" customWidth="1"/>
    <col min="15115" max="15125" width="8.88671875" style="424" hidden="1" customWidth="1"/>
    <col min="15126" max="15360" width="8.88671875" style="424" hidden="1"/>
    <col min="15361" max="15361" width="32.6640625" style="424" hidden="1" customWidth="1"/>
    <col min="15362" max="15363" width="12.109375" style="424" hidden="1" customWidth="1"/>
    <col min="15364" max="15364" width="12.88671875" style="424" hidden="1" customWidth="1"/>
    <col min="15365" max="15370" width="12.109375" style="424" hidden="1" customWidth="1"/>
    <col min="15371" max="15381" width="8.88671875" style="424" hidden="1" customWidth="1"/>
    <col min="15382" max="15616" width="8.88671875" style="424" hidden="1"/>
    <col min="15617" max="15617" width="32.6640625" style="424" hidden="1" customWidth="1"/>
    <col min="15618" max="15619" width="12.109375" style="424" hidden="1" customWidth="1"/>
    <col min="15620" max="15620" width="12.88671875" style="424" hidden="1" customWidth="1"/>
    <col min="15621" max="15626" width="12.109375" style="424" hidden="1" customWidth="1"/>
    <col min="15627" max="15637" width="8.88671875" style="424" hidden="1" customWidth="1"/>
    <col min="15638" max="15872" width="8.88671875" style="424" hidden="1"/>
    <col min="15873" max="15873" width="32.6640625" style="424" hidden="1" customWidth="1"/>
    <col min="15874" max="15875" width="12.109375" style="424" hidden="1" customWidth="1"/>
    <col min="15876" max="15876" width="12.88671875" style="424" hidden="1" customWidth="1"/>
    <col min="15877" max="15882" width="12.109375" style="424" hidden="1" customWidth="1"/>
    <col min="15883" max="15893" width="8.88671875" style="424" hidden="1" customWidth="1"/>
    <col min="15894" max="16128" width="8.88671875" style="424" hidden="1"/>
    <col min="16129" max="16129" width="32.6640625" style="424" hidden="1" customWidth="1"/>
    <col min="16130" max="16131" width="12.109375" style="424" hidden="1" customWidth="1"/>
    <col min="16132" max="16132" width="12.88671875" style="424" hidden="1" customWidth="1"/>
    <col min="16133" max="16138" width="12.109375" style="424" hidden="1" customWidth="1"/>
    <col min="16139" max="16149" width="8.88671875" style="424" hidden="1" customWidth="1"/>
    <col min="16150" max="16384" width="8.88671875" style="424" hidden="1"/>
  </cols>
  <sheetData>
    <row r="1" spans="1:11" s="387" customFormat="1" ht="13.2">
      <c r="A1" s="1887" t="s">
        <v>1333</v>
      </c>
      <c r="B1" s="1888"/>
      <c r="C1" s="1888"/>
      <c r="D1" s="1888"/>
      <c r="E1" s="1888"/>
      <c r="F1" s="1888"/>
      <c r="G1" s="1888"/>
      <c r="H1" s="1888"/>
      <c r="I1" s="1888"/>
      <c r="J1" s="1889"/>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ht="11.4">
      <c r="A3" s="388" t="s">
        <v>26</v>
      </c>
      <c r="B3" s="389"/>
      <c r="C3" s="389"/>
      <c r="D3" s="389"/>
      <c r="E3" s="389"/>
      <c r="F3" s="389"/>
      <c r="G3" s="389"/>
      <c r="H3" s="389"/>
      <c r="I3" s="389"/>
      <c r="J3" s="389"/>
      <c r="K3" s="390"/>
    </row>
    <row r="4" spans="1:11" s="391" customFormat="1" ht="11.4">
      <c r="A4" s="395" t="s">
        <v>27</v>
      </c>
      <c r="B4" s="392">
        <f>'Sources and Uses Budget'!C4</f>
        <v>16350000</v>
      </c>
      <c r="C4" s="393"/>
      <c r="D4" s="393">
        <f>B4</f>
        <v>16350000</v>
      </c>
      <c r="E4" s="394"/>
      <c r="F4" s="394"/>
      <c r="G4" s="394"/>
      <c r="H4" s="394"/>
      <c r="I4" s="394"/>
      <c r="J4" s="394"/>
      <c r="K4" s="390"/>
    </row>
    <row r="5" spans="1:11" s="391" customFormat="1" ht="11.4">
      <c r="A5" s="395" t="s">
        <v>28</v>
      </c>
      <c r="B5" s="392">
        <f>'Sources and Uses Budget'!C5</f>
        <v>0</v>
      </c>
      <c r="C5" s="393"/>
      <c r="D5" s="393"/>
      <c r="E5" s="394"/>
      <c r="F5" s="394"/>
      <c r="G5" s="394"/>
      <c r="H5" s="394"/>
      <c r="I5" s="394"/>
      <c r="J5" s="394"/>
      <c r="K5" s="390"/>
    </row>
    <row r="6" spans="1:11" s="391" customFormat="1" ht="11.4">
      <c r="A6" s="395" t="s">
        <v>29</v>
      </c>
      <c r="B6" s="392">
        <f>'Sources and Uses Budget'!C6</f>
        <v>0</v>
      </c>
      <c r="C6" s="393"/>
      <c r="D6" s="393"/>
      <c r="E6" s="394"/>
      <c r="F6" s="394"/>
      <c r="G6" s="394"/>
      <c r="H6" s="394"/>
      <c r="I6" s="394"/>
      <c r="J6" s="394"/>
      <c r="K6" s="390"/>
    </row>
    <row r="7" spans="1:11" s="391" customFormat="1" ht="11.4">
      <c r="A7" s="395" t="s">
        <v>97</v>
      </c>
      <c r="B7" s="392">
        <f>'Sources and Uses Budget'!C7</f>
        <v>0</v>
      </c>
      <c r="C7" s="393"/>
      <c r="D7" s="393"/>
      <c r="E7" s="394"/>
      <c r="F7" s="394"/>
      <c r="G7" s="394"/>
      <c r="H7" s="394"/>
      <c r="I7" s="394"/>
      <c r="J7" s="394"/>
      <c r="K7" s="390"/>
    </row>
    <row r="8" spans="1:11" s="391" customFormat="1">
      <c r="A8" s="396" t="s">
        <v>600</v>
      </c>
      <c r="B8" s="392">
        <f>'Sources and Uses Budget'!C8</f>
        <v>16350000</v>
      </c>
      <c r="C8" s="392">
        <f>SUM(C4:C7)</f>
        <v>0</v>
      </c>
      <c r="D8" s="392">
        <f>SUM(D4:D7)</f>
        <v>16350000</v>
      </c>
      <c r="E8" s="394"/>
      <c r="F8" s="394"/>
      <c r="G8" s="394"/>
      <c r="H8" s="394"/>
      <c r="I8" s="394"/>
      <c r="J8" s="394"/>
      <c r="K8" s="390"/>
    </row>
    <row r="9" spans="1:11" s="391" customFormat="1" ht="11.4">
      <c r="A9" s="395" t="s">
        <v>601</v>
      </c>
      <c r="B9" s="392">
        <f>'Sources and Uses Budget'!C9</f>
        <v>0</v>
      </c>
      <c r="C9" s="393"/>
      <c r="D9" s="393"/>
      <c r="E9" s="394"/>
      <c r="F9" s="394"/>
      <c r="G9" s="394"/>
      <c r="H9" s="392">
        <f>'Sources and Uses Budget'!T9</f>
        <v>0</v>
      </c>
      <c r="I9" s="393"/>
      <c r="J9" s="393"/>
      <c r="K9" s="390"/>
    </row>
    <row r="10" spans="1:11" s="391" customFormat="1" ht="11.4">
      <c r="A10" s="395" t="s">
        <v>602</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603</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16350000</v>
      </c>
      <c r="C12" s="392">
        <f>SUM(C8+C11)</f>
        <v>0</v>
      </c>
      <c r="D12" s="392">
        <f>SUM(D8+D11)</f>
        <v>16350000</v>
      </c>
      <c r="E12" s="394"/>
      <c r="F12" s="394"/>
      <c r="G12" s="394"/>
      <c r="H12" s="394"/>
      <c r="I12" s="394"/>
      <c r="J12" s="394"/>
      <c r="K12" s="390"/>
    </row>
    <row r="13" spans="1:11" s="391" customFormat="1" ht="11.4">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ht="11.4">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ht="11.4">
      <c r="A16" s="388" t="s">
        <v>604</v>
      </c>
      <c r="B16" s="389"/>
      <c r="C16" s="389"/>
      <c r="D16" s="389"/>
      <c r="E16" s="389"/>
      <c r="F16" s="389"/>
      <c r="G16" s="389"/>
      <c r="H16" s="389"/>
      <c r="I16" s="389"/>
      <c r="J16" s="389"/>
      <c r="K16" s="390"/>
    </row>
    <row r="17" spans="1:11" s="391" customFormat="1" ht="11.4">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ht="11.4">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ht="11.4">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ht="11.4">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1.4">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1.4">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1.4">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1.4">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ht="11.4">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1.4">
      <c r="A28" s="388" t="s">
        <v>142</v>
      </c>
      <c r="B28" s="389"/>
      <c r="C28" s="389"/>
      <c r="D28" s="389"/>
      <c r="E28" s="389"/>
      <c r="F28" s="389"/>
      <c r="G28" s="389"/>
      <c r="H28" s="389"/>
      <c r="I28" s="389"/>
      <c r="J28" s="389"/>
      <c r="K28" s="390"/>
    </row>
    <row r="29" spans="1:11" s="391" customFormat="1" ht="11.4">
      <c r="A29" s="145" t="s">
        <v>605</v>
      </c>
      <c r="B29" s="392">
        <f>'Sources and Uses Budget'!C29</f>
        <v>2586037</v>
      </c>
      <c r="C29" s="393"/>
      <c r="D29" s="393">
        <f>B29</f>
        <v>2586037</v>
      </c>
      <c r="E29" s="392">
        <f>'Sources and Uses Budget'!S29</f>
        <v>2586037</v>
      </c>
      <c r="F29" s="393"/>
      <c r="G29" s="393">
        <f>E29</f>
        <v>2586037</v>
      </c>
      <c r="H29" s="392">
        <f>'Sources and Uses Budget'!T29</f>
        <v>0</v>
      </c>
      <c r="I29" s="393"/>
      <c r="J29" s="393"/>
      <c r="K29" s="390"/>
    </row>
    <row r="30" spans="1:11" s="391" customFormat="1" ht="11.4">
      <c r="A30" s="145" t="s">
        <v>606</v>
      </c>
      <c r="B30" s="392">
        <f>'Sources and Uses Budget'!C30</f>
        <v>90085053</v>
      </c>
      <c r="C30" s="393"/>
      <c r="D30" s="393">
        <f t="shared" ref="D30:D31" si="0">B30</f>
        <v>90085053</v>
      </c>
      <c r="E30" s="392">
        <f>'Sources and Uses Budget'!S30</f>
        <v>89155453</v>
      </c>
      <c r="F30" s="393"/>
      <c r="G30" s="393">
        <f>E30</f>
        <v>89155453</v>
      </c>
      <c r="H30" s="392">
        <f>'Sources and Uses Budget'!T30</f>
        <v>0</v>
      </c>
      <c r="I30" s="393"/>
      <c r="J30" s="393"/>
      <c r="K30" s="390"/>
    </row>
    <row r="31" spans="1:11" s="391" customFormat="1" ht="11.4">
      <c r="A31" s="145" t="s">
        <v>607</v>
      </c>
      <c r="B31" s="392">
        <f>'Sources and Uses Budget'!C31</f>
        <v>5630574</v>
      </c>
      <c r="C31" s="393"/>
      <c r="D31" s="393">
        <f t="shared" si="0"/>
        <v>5630574</v>
      </c>
      <c r="E31" s="392">
        <f>'Sources and Uses Budget'!S31</f>
        <v>5630574</v>
      </c>
      <c r="F31" s="393"/>
      <c r="G31" s="393">
        <f>E31</f>
        <v>5630574</v>
      </c>
      <c r="H31" s="392">
        <f>'Sources and Uses Budget'!T31</f>
        <v>0</v>
      </c>
      <c r="I31" s="393"/>
      <c r="J31" s="393"/>
      <c r="K31" s="390"/>
    </row>
    <row r="32" spans="1:11" s="391" customFormat="1" ht="11.4">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ht="11.4">
      <c r="A33" s="145" t="s">
        <v>138</v>
      </c>
      <c r="B33" s="392">
        <f>'Sources and Uses Budget'!C33</f>
        <v>3397522</v>
      </c>
      <c r="C33" s="393"/>
      <c r="D33" s="393">
        <f>B33</f>
        <v>3397522</v>
      </c>
      <c r="E33" s="392">
        <f>'Sources and Uses Budget'!S33</f>
        <v>3397522</v>
      </c>
      <c r="F33" s="393"/>
      <c r="G33" s="393">
        <f>E33</f>
        <v>3397522</v>
      </c>
      <c r="H33" s="392">
        <f>'Sources and Uses Budget'!T33</f>
        <v>0</v>
      </c>
      <c r="I33" s="393"/>
      <c r="J33" s="393"/>
      <c r="K33" s="390"/>
    </row>
    <row r="34" spans="1:11" s="391" customFormat="1" ht="11.4">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1.4">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ht="11.4">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ht="11.4">
      <c r="A37" s="395" t="str">
        <f>'Sources and Uses Budget'!$A37</f>
        <v>Other: Preconstruction</v>
      </c>
      <c r="B37" s="392">
        <f>'Sources and Uses Budget'!C37</f>
        <v>882114</v>
      </c>
      <c r="C37" s="393"/>
      <c r="D37" s="393">
        <f>B37</f>
        <v>882114</v>
      </c>
      <c r="E37" s="392">
        <f>'Sources and Uses Budget'!S37</f>
        <v>0</v>
      </c>
      <c r="F37" s="393"/>
      <c r="G37" s="393">
        <f>E37</f>
        <v>0</v>
      </c>
      <c r="H37" s="392">
        <f>'Sources and Uses Budget'!T37</f>
        <v>0</v>
      </c>
      <c r="I37" s="393"/>
      <c r="J37" s="393"/>
      <c r="K37" s="390"/>
    </row>
    <row r="38" spans="1:11" s="391" customFormat="1">
      <c r="A38" s="396" t="s">
        <v>143</v>
      </c>
      <c r="B38" s="392">
        <f>'Sources and Uses Budget'!C38</f>
        <v>102581300</v>
      </c>
      <c r="C38" s="392">
        <f>SUM(C29:C37)</f>
        <v>0</v>
      </c>
      <c r="D38" s="392">
        <f>SUM(D29:D37)</f>
        <v>102581300</v>
      </c>
      <c r="E38" s="392">
        <f>'Sources and Uses Budget'!S38</f>
        <v>100769586</v>
      </c>
      <c r="F38" s="398">
        <f>SUM(F29:F37)</f>
        <v>0</v>
      </c>
      <c r="G38" s="398">
        <f>SUM(G29:G37)</f>
        <v>100769586</v>
      </c>
      <c r="H38" s="392">
        <f>'Sources and Uses Budget'!T38</f>
        <v>0</v>
      </c>
      <c r="I38" s="398">
        <f>SUM(I29:I37)</f>
        <v>0</v>
      </c>
      <c r="J38" s="398">
        <f>SUM(J29:J37)</f>
        <v>0</v>
      </c>
      <c r="K38" s="390"/>
    </row>
    <row r="39" spans="1:11" s="391" customFormat="1" ht="11.4">
      <c r="A39" s="388" t="s">
        <v>144</v>
      </c>
      <c r="B39" s="389"/>
      <c r="C39" s="389"/>
      <c r="D39" s="389"/>
      <c r="E39" s="389"/>
      <c r="F39" s="389"/>
      <c r="G39" s="389"/>
      <c r="H39" s="389"/>
      <c r="I39" s="389"/>
      <c r="J39" s="389"/>
      <c r="K39" s="390"/>
    </row>
    <row r="40" spans="1:11" s="391" customFormat="1" ht="11.4">
      <c r="A40" s="395" t="s">
        <v>145</v>
      </c>
      <c r="B40" s="392">
        <f>'Sources and Uses Budget'!C40</f>
        <v>5262999</v>
      </c>
      <c r="C40" s="393"/>
      <c r="D40" s="393">
        <f>B40</f>
        <v>5262999</v>
      </c>
      <c r="E40" s="392">
        <f>'Sources and Uses Budget'!S40</f>
        <v>5262999</v>
      </c>
      <c r="F40" s="393"/>
      <c r="G40" s="393">
        <f>E40</f>
        <v>5262999</v>
      </c>
      <c r="H40" s="392">
        <f>'Sources and Uses Budget'!T40</f>
        <v>0</v>
      </c>
      <c r="I40" s="393"/>
      <c r="J40" s="393"/>
      <c r="K40" s="390"/>
    </row>
    <row r="41" spans="1:11" s="391" customFormat="1" ht="11.4">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5262999</v>
      </c>
      <c r="C42" s="392">
        <f>SUM(C39:C41)</f>
        <v>0</v>
      </c>
      <c r="D42" s="392">
        <f>SUM(D39:D41)</f>
        <v>5262999</v>
      </c>
      <c r="E42" s="392">
        <f>'Sources and Uses Budget'!S42</f>
        <v>5262999</v>
      </c>
      <c r="F42" s="398">
        <f>SUM(F40:F41)</f>
        <v>0</v>
      </c>
      <c r="G42" s="398">
        <f>SUM(G40:G41)</f>
        <v>5262999</v>
      </c>
      <c r="H42" s="392">
        <f>'Sources and Uses Budget'!T42</f>
        <v>0</v>
      </c>
      <c r="I42" s="398">
        <f>SUM(I40:I41)</f>
        <v>0</v>
      </c>
      <c r="J42" s="398">
        <f>SUM(J40:J41)</f>
        <v>0</v>
      </c>
      <c r="K42" s="390"/>
    </row>
    <row r="43" spans="1:11" s="391" customFormat="1">
      <c r="A43" s="396" t="s">
        <v>148</v>
      </c>
      <c r="B43" s="392">
        <f>'Sources and Uses Budget'!C43</f>
        <v>0</v>
      </c>
      <c r="C43" s="393"/>
      <c r="D43" s="393"/>
      <c r="E43" s="392">
        <f>'Sources and Uses Budget'!S43</f>
        <v>0</v>
      </c>
      <c r="F43" s="393"/>
      <c r="G43" s="393"/>
      <c r="H43" s="392">
        <f>'Sources and Uses Budget'!T43</f>
        <v>0</v>
      </c>
      <c r="I43" s="393"/>
      <c r="J43" s="393"/>
      <c r="K43" s="390"/>
    </row>
    <row r="44" spans="1:11" s="391" customFormat="1" ht="11.4">
      <c r="A44" s="388" t="s">
        <v>149</v>
      </c>
      <c r="B44" s="389"/>
      <c r="C44" s="389"/>
      <c r="D44" s="389"/>
      <c r="E44" s="389"/>
      <c r="F44" s="389"/>
      <c r="G44" s="389"/>
      <c r="H44" s="389"/>
      <c r="I44" s="389"/>
      <c r="J44" s="389"/>
      <c r="K44" s="390"/>
    </row>
    <row r="45" spans="1:11" s="391" customFormat="1" ht="11.4">
      <c r="A45" s="395" t="s">
        <v>150</v>
      </c>
      <c r="B45" s="392">
        <f>'Sources and Uses Budget'!C45</f>
        <v>16154336</v>
      </c>
      <c r="C45" s="393"/>
      <c r="D45" s="393">
        <f>B45</f>
        <v>16154336</v>
      </c>
      <c r="E45" s="392">
        <f>'Sources and Uses Budget'!S45</f>
        <v>12923469</v>
      </c>
      <c r="F45" s="393"/>
      <c r="G45" s="393">
        <f>E45</f>
        <v>12923469</v>
      </c>
      <c r="H45" s="392">
        <f>'Sources and Uses Budget'!T45</f>
        <v>0</v>
      </c>
      <c r="I45" s="393"/>
      <c r="J45" s="393"/>
      <c r="K45" s="390"/>
    </row>
    <row r="46" spans="1:11" s="391" customFormat="1" ht="11.4">
      <c r="A46" s="395" t="s">
        <v>151</v>
      </c>
      <c r="B46" s="392">
        <f>'Sources and Uses Budget'!C46</f>
        <v>1017811</v>
      </c>
      <c r="C46" s="393"/>
      <c r="D46" s="393">
        <f>B46</f>
        <v>1017811</v>
      </c>
      <c r="E46" s="392">
        <f>'Sources and Uses Budget'!S46</f>
        <v>1017811</v>
      </c>
      <c r="F46" s="393"/>
      <c r="G46" s="393">
        <f>E46</f>
        <v>1017811</v>
      </c>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ht="11.4">
      <c r="A48" s="395" t="s">
        <v>153</v>
      </c>
      <c r="B48" s="392">
        <f>'Sources and Uses Budget'!C48</f>
        <v>491406</v>
      </c>
      <c r="C48" s="393"/>
      <c r="D48" s="393">
        <f>B48</f>
        <v>491406</v>
      </c>
      <c r="E48" s="392">
        <f>'Sources and Uses Budget'!S48</f>
        <v>491406</v>
      </c>
      <c r="F48" s="393"/>
      <c r="G48" s="393">
        <f>E48</f>
        <v>491406</v>
      </c>
      <c r="H48" s="392">
        <f>'Sources and Uses Budget'!T48</f>
        <v>0</v>
      </c>
      <c r="I48" s="393"/>
      <c r="J48" s="393"/>
      <c r="K48" s="390"/>
    </row>
    <row r="49" spans="1:11" s="391" customFormat="1" ht="11.4">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ht="11.4">
      <c r="A50" s="395" t="s">
        <v>156</v>
      </c>
      <c r="B50" s="392">
        <f>'Sources and Uses Budget'!C50</f>
        <v>0</v>
      </c>
      <c r="C50" s="393"/>
      <c r="D50" s="393"/>
      <c r="E50" s="392">
        <f>'Sources and Uses Budget'!S50</f>
        <v>0</v>
      </c>
      <c r="F50" s="393"/>
      <c r="G50" s="393"/>
      <c r="H50" s="392">
        <f>'Sources and Uses Budget'!T50</f>
        <v>0</v>
      </c>
      <c r="I50" s="393"/>
      <c r="J50" s="393"/>
      <c r="K50" s="390"/>
    </row>
    <row r="51" spans="1:11" s="391" customFormat="1" ht="11.4">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ht="11.4">
      <c r="A52" s="395" t="s">
        <v>155</v>
      </c>
      <c r="B52" s="392">
        <f>'Sources and Uses Budget'!C52</f>
        <v>2131880</v>
      </c>
      <c r="C52" s="393"/>
      <c r="D52" s="393">
        <f>B52</f>
        <v>2131880</v>
      </c>
      <c r="E52" s="392">
        <f>'Sources and Uses Budget'!S52</f>
        <v>2131880</v>
      </c>
      <c r="F52" s="393"/>
      <c r="G52" s="393">
        <f>E52</f>
        <v>2131880</v>
      </c>
      <c r="H52" s="392">
        <f>'Sources and Uses Budget'!T52</f>
        <v>0</v>
      </c>
      <c r="I52" s="393"/>
      <c r="J52" s="393"/>
      <c r="K52" s="390"/>
    </row>
    <row r="53" spans="1:11" s="391" customFormat="1" ht="11.4">
      <c r="A53" s="395" t="str">
        <f>'Sources and Uses Budget'!$A53</f>
        <v>Other: Cost of Issuance Contingency</v>
      </c>
      <c r="B53" s="392">
        <f>'Sources and Uses Budget'!C53</f>
        <v>1500000</v>
      </c>
      <c r="C53" s="393"/>
      <c r="D53" s="393">
        <f>B53</f>
        <v>1500000</v>
      </c>
      <c r="E53" s="392">
        <f>'Sources and Uses Budget'!S53</f>
        <v>153581</v>
      </c>
      <c r="F53" s="393"/>
      <c r="G53" s="393">
        <f>E53</f>
        <v>153581</v>
      </c>
      <c r="H53" s="392">
        <f>'Sources and Uses Budget'!T53</f>
        <v>0</v>
      </c>
      <c r="I53" s="393"/>
      <c r="J53" s="393"/>
      <c r="K53" s="390"/>
    </row>
    <row r="54" spans="1:11" s="400" customFormat="1">
      <c r="A54" s="396" t="s">
        <v>157</v>
      </c>
      <c r="B54" s="392">
        <f>'Sources and Uses Budget'!C54</f>
        <v>21295433</v>
      </c>
      <c r="C54" s="398">
        <f>SUM(C45:C53)</f>
        <v>0</v>
      </c>
      <c r="D54" s="398">
        <f>SUM(D45:D53)</f>
        <v>21295433</v>
      </c>
      <c r="E54" s="392">
        <f>'Sources and Uses Budget'!S54</f>
        <v>16718147</v>
      </c>
      <c r="F54" s="398">
        <f>SUM(F45:F53)</f>
        <v>0</v>
      </c>
      <c r="G54" s="398">
        <f>SUM(G45:G53)</f>
        <v>16718147</v>
      </c>
      <c r="H54" s="392">
        <f>'Sources and Uses Budget'!T54</f>
        <v>0</v>
      </c>
      <c r="I54" s="398">
        <f>SUM(I45:I53)</f>
        <v>0</v>
      </c>
      <c r="J54" s="398">
        <f>SUM(J45:J53)</f>
        <v>0</v>
      </c>
      <c r="K54" s="399"/>
    </row>
    <row r="55" spans="1:11" s="391" customFormat="1" ht="11.4">
      <c r="A55" s="388" t="s">
        <v>418</v>
      </c>
      <c r="B55" s="389"/>
      <c r="C55" s="389"/>
      <c r="D55" s="389"/>
      <c r="E55" s="389"/>
      <c r="F55" s="389"/>
      <c r="G55" s="389"/>
      <c r="H55" s="389"/>
      <c r="I55" s="389"/>
      <c r="J55" s="389"/>
      <c r="K55" s="390"/>
    </row>
    <row r="56" spans="1:11" s="391" customFormat="1" ht="11.4">
      <c r="A56" s="395" t="s">
        <v>158</v>
      </c>
      <c r="B56" s="392">
        <f>'Sources and Uses Budget'!C56</f>
        <v>982811</v>
      </c>
      <c r="C56" s="393"/>
      <c r="D56" s="393">
        <f>B56</f>
        <v>982811</v>
      </c>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ht="11.4">
      <c r="A58" s="395" t="s">
        <v>156</v>
      </c>
      <c r="B58" s="392">
        <f>'Sources and Uses Budget'!C58</f>
        <v>0</v>
      </c>
      <c r="C58" s="393"/>
      <c r="D58" s="393"/>
      <c r="E58" s="394"/>
      <c r="F58" s="394"/>
      <c r="G58" s="394"/>
      <c r="H58" s="394"/>
      <c r="I58" s="394"/>
      <c r="J58" s="394"/>
      <c r="K58" s="390"/>
    </row>
    <row r="59" spans="1:11" s="391" customFormat="1" ht="11.4">
      <c r="A59" s="395" t="s">
        <v>154</v>
      </c>
      <c r="B59" s="392">
        <f>'Sources and Uses Budget'!C59</f>
        <v>0</v>
      </c>
      <c r="C59" s="393"/>
      <c r="D59" s="393"/>
      <c r="E59" s="394"/>
      <c r="F59" s="394"/>
      <c r="G59" s="394"/>
      <c r="H59" s="394"/>
      <c r="I59" s="394"/>
      <c r="J59" s="394"/>
      <c r="K59" s="390"/>
    </row>
    <row r="60" spans="1:11" s="391" customFormat="1" ht="11.4">
      <c r="A60" s="395" t="s">
        <v>155</v>
      </c>
      <c r="B60" s="392">
        <f>'Sources and Uses Budget'!C60</f>
        <v>0</v>
      </c>
      <c r="C60" s="393"/>
      <c r="D60" s="393"/>
      <c r="E60" s="394"/>
      <c r="F60" s="394"/>
      <c r="G60" s="394"/>
      <c r="H60" s="394"/>
      <c r="I60" s="394"/>
      <c r="J60" s="394"/>
      <c r="K60" s="390"/>
    </row>
    <row r="61" spans="1:11" s="391" customFormat="1" ht="11.4">
      <c r="A61" s="395" t="str">
        <f>'Sources and Uses Budget'!$A61</f>
        <v>Other: (Specify)</v>
      </c>
      <c r="B61" s="392">
        <f>'Sources and Uses Budget'!C61</f>
        <v>0</v>
      </c>
      <c r="C61" s="393"/>
      <c r="D61" s="393"/>
      <c r="E61" s="394"/>
      <c r="F61" s="394"/>
      <c r="G61" s="394"/>
      <c r="H61" s="394"/>
      <c r="I61" s="394"/>
      <c r="J61" s="394"/>
      <c r="K61" s="390"/>
    </row>
    <row r="62" spans="1:11" s="391" customFormat="1" ht="13.65" customHeight="1">
      <c r="A62" s="396" t="s">
        <v>301</v>
      </c>
      <c r="B62" s="392">
        <f>'Sources and Uses Budget'!C62</f>
        <v>982811</v>
      </c>
      <c r="C62" s="392">
        <f>SUM(C56:C61)</f>
        <v>0</v>
      </c>
      <c r="D62" s="392">
        <f>SUM(D56:D61)</f>
        <v>982811</v>
      </c>
      <c r="E62" s="394"/>
      <c r="F62" s="394"/>
      <c r="G62" s="394"/>
      <c r="H62" s="394"/>
      <c r="I62" s="394"/>
      <c r="J62" s="394"/>
      <c r="K62" s="390"/>
    </row>
    <row r="63" spans="1:11" s="391" customFormat="1" ht="11.4">
      <c r="A63" s="401" t="s">
        <v>302</v>
      </c>
      <c r="B63" s="392">
        <f>'Sources and Uses Budget'!C63</f>
        <v>146472543</v>
      </c>
      <c r="C63" s="392">
        <f>SUM(C8+C11+C13+C14+C15+C26+C27+C38+C42+C43+C54+C62)</f>
        <v>0</v>
      </c>
      <c r="D63" s="392">
        <f>SUM(D8+D11+D13+D14+D15+D26+D27+D38+D42+D43+D54+D62)</f>
        <v>146472543</v>
      </c>
      <c r="E63" s="392">
        <f>'Sources and Uses Budget'!S63</f>
        <v>122750732</v>
      </c>
      <c r="F63" s="392">
        <f>SUM(F10+F13+F14+F15+F26+F27+F38+F42+F43+F54)</f>
        <v>0</v>
      </c>
      <c r="G63" s="392">
        <f>SUM(G10+G13+G14+G15+G26+G27+G38+G42+G43+G54)</f>
        <v>122750732</v>
      </c>
      <c r="H63" s="392">
        <f>'Sources and Uses Budget'!T63</f>
        <v>0</v>
      </c>
      <c r="I63" s="392">
        <f>SUM(I11+I13+I14+I15+I26+I27+I38+I42+I43+I54)</f>
        <v>0</v>
      </c>
      <c r="J63" s="392">
        <f>SUM(J11+J13+J14+J15+J26+J27+J38+J42+J43+J54)</f>
        <v>0</v>
      </c>
      <c r="K63" s="390"/>
    </row>
    <row r="64" spans="1:11" s="391" customFormat="1" ht="22.8">
      <c r="A64" s="141" t="s">
        <v>1755</v>
      </c>
      <c r="B64" s="389"/>
      <c r="C64" s="389"/>
      <c r="D64" s="389"/>
      <c r="E64" s="389"/>
      <c r="F64" s="389"/>
      <c r="G64" s="389"/>
      <c r="H64" s="389"/>
      <c r="I64" s="389"/>
      <c r="J64" s="389"/>
      <c r="K64" s="390"/>
    </row>
    <row r="65" spans="1:11" s="391" customFormat="1" ht="11.4">
      <c r="A65" s="145" t="s">
        <v>170</v>
      </c>
      <c r="B65" s="392">
        <f>'Sources and Uses Budget'!C65</f>
        <v>158000</v>
      </c>
      <c r="C65" s="393"/>
      <c r="D65" s="393">
        <f>B65</f>
        <v>158000</v>
      </c>
      <c r="E65" s="392">
        <f>'Sources and Uses Budget'!S65</f>
        <v>79000</v>
      </c>
      <c r="F65" s="393"/>
      <c r="G65" s="393">
        <f>E65</f>
        <v>79000</v>
      </c>
      <c r="H65" s="392">
        <f>'Sources and Uses Budget'!T65</f>
        <v>0</v>
      </c>
      <c r="I65" s="393"/>
      <c r="J65" s="393"/>
      <c r="K65" s="390"/>
    </row>
    <row r="66" spans="1:11" s="391" customFormat="1" ht="22.8">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ht="11.4">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ht="11.4">
      <c r="A69" s="395" t="str">
        <f>'Sources and Uses Budget'!$A69</f>
        <v>Other: Owner Legal</v>
      </c>
      <c r="B69" s="392">
        <f>'Sources and Uses Budget'!C69</f>
        <v>1700000</v>
      </c>
      <c r="C69" s="393"/>
      <c r="D69" s="393">
        <f>B69</f>
        <v>1700000</v>
      </c>
      <c r="E69" s="392">
        <f>'Sources and Uses Budget'!S69</f>
        <v>1700000</v>
      </c>
      <c r="F69" s="393"/>
      <c r="G69" s="393">
        <f>E69</f>
        <v>1700000</v>
      </c>
      <c r="H69" s="392">
        <f>'Sources and Uses Budget'!T69</f>
        <v>0</v>
      </c>
      <c r="I69" s="393"/>
      <c r="J69" s="393"/>
      <c r="K69" s="390"/>
    </row>
    <row r="70" spans="1:11" s="391" customFormat="1">
      <c r="A70" s="396" t="s">
        <v>608</v>
      </c>
      <c r="B70" s="392">
        <f>'Sources and Uses Budget'!C70</f>
        <v>1858000</v>
      </c>
      <c r="C70" s="392">
        <f>SUM(C64:C69)</f>
        <v>0</v>
      </c>
      <c r="D70" s="392">
        <f>SUM(D64:D69)</f>
        <v>1858000</v>
      </c>
      <c r="E70" s="392">
        <f>'Sources and Uses Budget'!S70</f>
        <v>1779000</v>
      </c>
      <c r="F70" s="398">
        <f>SUM(F65:F69)</f>
        <v>0</v>
      </c>
      <c r="G70" s="398">
        <f>SUM(G65:G69)</f>
        <v>1779000</v>
      </c>
      <c r="H70" s="392">
        <f>'Sources and Uses Budget'!T70</f>
        <v>0</v>
      </c>
      <c r="I70" s="398">
        <f>SUM(I65:I69)</f>
        <v>0</v>
      </c>
      <c r="J70" s="398">
        <f>SUM(J65:J69)</f>
        <v>0</v>
      </c>
      <c r="K70" s="390"/>
    </row>
    <row r="71" spans="1:11" s="391" customFormat="1" ht="11.4">
      <c r="A71" s="388" t="s">
        <v>609</v>
      </c>
      <c r="B71" s="389"/>
      <c r="C71" s="389"/>
      <c r="D71" s="389"/>
      <c r="E71" s="389"/>
      <c r="F71" s="389"/>
      <c r="G71" s="389"/>
      <c r="H71" s="389"/>
      <c r="I71" s="389"/>
      <c r="J71" s="389"/>
      <c r="K71" s="390"/>
    </row>
    <row r="72" spans="1:11" s="391" customFormat="1" ht="11.4">
      <c r="A72" s="395" t="s">
        <v>610</v>
      </c>
      <c r="B72" s="392">
        <f>'Sources and Uses Budget'!C72</f>
        <v>0</v>
      </c>
      <c r="C72" s="393"/>
      <c r="D72" s="393"/>
      <c r="E72" s="394"/>
      <c r="F72" s="394"/>
      <c r="G72" s="394"/>
      <c r="H72" s="394"/>
      <c r="I72" s="394"/>
      <c r="J72" s="394"/>
      <c r="K72" s="390"/>
    </row>
    <row r="73" spans="1:11" s="391" customFormat="1" ht="11.4">
      <c r="A73" s="395" t="s">
        <v>611</v>
      </c>
      <c r="B73" s="392">
        <f>'Sources and Uses Budget'!C73</f>
        <v>0</v>
      </c>
      <c r="C73" s="393"/>
      <c r="D73" s="393"/>
      <c r="E73" s="394"/>
      <c r="F73" s="394"/>
      <c r="G73" s="394"/>
      <c r="H73" s="394"/>
      <c r="I73" s="394"/>
      <c r="J73" s="394"/>
      <c r="K73" s="390"/>
    </row>
    <row r="74" spans="1:11" s="391" customFormat="1" ht="11.4">
      <c r="A74" s="397" t="s">
        <v>1006</v>
      </c>
      <c r="B74" s="392">
        <f>'Sources and Uses Budget'!C74</f>
        <v>0</v>
      </c>
      <c r="C74" s="393"/>
      <c r="D74" s="393"/>
      <c r="E74" s="394"/>
      <c r="F74" s="394"/>
      <c r="G74" s="394"/>
      <c r="H74" s="394"/>
      <c r="I74" s="394"/>
      <c r="J74" s="394"/>
      <c r="K74" s="390"/>
    </row>
    <row r="75" spans="1:11" s="391" customFormat="1" ht="11.4">
      <c r="A75" s="395" t="s">
        <v>612</v>
      </c>
      <c r="B75" s="392">
        <f>'Sources and Uses Budget'!C75</f>
        <v>2359580</v>
      </c>
      <c r="C75" s="393"/>
      <c r="D75" s="393">
        <f>B75</f>
        <v>2359580</v>
      </c>
      <c r="E75" s="394"/>
      <c r="F75" s="394"/>
      <c r="G75" s="394"/>
      <c r="H75" s="394"/>
      <c r="I75" s="394"/>
      <c r="J75" s="394"/>
      <c r="K75" s="390"/>
    </row>
    <row r="76" spans="1:11" s="391" customFormat="1" ht="11.4">
      <c r="A76" s="395" t="str">
        <f>'Sources and Uses Budget'!$A76</f>
        <v>Other: (Specify)</v>
      </c>
      <c r="B76" s="392">
        <f>'Sources and Uses Budget'!C76</f>
        <v>0</v>
      </c>
      <c r="C76" s="393"/>
      <c r="D76" s="393"/>
      <c r="E76" s="394"/>
      <c r="F76" s="394"/>
      <c r="G76" s="394"/>
      <c r="H76" s="394"/>
      <c r="I76" s="394"/>
      <c r="J76" s="394"/>
      <c r="K76" s="390"/>
    </row>
    <row r="77" spans="1:11" s="391" customFormat="1">
      <c r="A77" s="396" t="s">
        <v>613</v>
      </c>
      <c r="B77" s="392">
        <f>'Sources and Uses Budget'!C77</f>
        <v>2359580</v>
      </c>
      <c r="C77" s="392">
        <f>SUM(C72:C76)</f>
        <v>0</v>
      </c>
      <c r="D77" s="392">
        <f>SUM(D72:D76)</f>
        <v>2359580</v>
      </c>
      <c r="E77" s="394"/>
      <c r="F77" s="394"/>
      <c r="G77" s="394"/>
      <c r="H77" s="394"/>
      <c r="I77" s="394"/>
      <c r="J77" s="394"/>
      <c r="K77" s="390"/>
    </row>
    <row r="78" spans="1:11" s="391" customFormat="1" ht="11.4">
      <c r="A78" s="388" t="s">
        <v>1315</v>
      </c>
      <c r="B78" s="389"/>
      <c r="C78" s="389"/>
      <c r="D78" s="389"/>
      <c r="E78" s="389"/>
      <c r="F78" s="389"/>
      <c r="G78" s="389"/>
      <c r="H78" s="389"/>
      <c r="I78" s="389"/>
      <c r="J78" s="389"/>
      <c r="K78" s="390"/>
    </row>
    <row r="79" spans="1:11" s="391" customFormat="1" ht="11.4">
      <c r="A79" s="395" t="s">
        <v>1317</v>
      </c>
      <c r="B79" s="392">
        <f>'Sources and Uses Budget'!C79</f>
        <v>7287543</v>
      </c>
      <c r="C79" s="393"/>
      <c r="D79" s="393">
        <f>B79</f>
        <v>7287543</v>
      </c>
      <c r="E79" s="392">
        <f>'Sources and Uses Budget'!S79</f>
        <v>7287543</v>
      </c>
      <c r="F79" s="393"/>
      <c r="G79" s="393">
        <f>E79</f>
        <v>7287543</v>
      </c>
      <c r="H79" s="392">
        <f>'Sources and Uses Budget'!T79</f>
        <v>0</v>
      </c>
      <c r="I79" s="393"/>
      <c r="J79" s="393"/>
      <c r="K79" s="390"/>
    </row>
    <row r="80" spans="1:11" s="391" customFormat="1" ht="11.4">
      <c r="A80" s="395" t="s">
        <v>58</v>
      </c>
      <c r="B80" s="392">
        <f>'Sources and Uses Budget'!C80</f>
        <v>1454691</v>
      </c>
      <c r="C80" s="393"/>
      <c r="D80" s="393">
        <f>B80</f>
        <v>1454691</v>
      </c>
      <c r="E80" s="392">
        <f>'Sources and Uses Budget'!S80</f>
        <v>1454691</v>
      </c>
      <c r="F80" s="393"/>
      <c r="G80" s="393">
        <f>E80</f>
        <v>1454691</v>
      </c>
      <c r="H80" s="392">
        <f>'Sources and Uses Budget'!T80</f>
        <v>0</v>
      </c>
      <c r="I80" s="393"/>
      <c r="J80" s="393"/>
      <c r="K80" s="390"/>
    </row>
    <row r="81" spans="1:11" s="391" customFormat="1">
      <c r="A81" s="396" t="s">
        <v>1314</v>
      </c>
      <c r="B81" s="392">
        <f>'Sources and Uses Budget'!C81</f>
        <v>8742234</v>
      </c>
      <c r="C81" s="392">
        <f>SUM(C79:C80)</f>
        <v>0</v>
      </c>
      <c r="D81" s="392">
        <f>SUM(D79:D80)</f>
        <v>8742234</v>
      </c>
      <c r="E81" s="392">
        <f>'Sources and Uses Budget'!S81</f>
        <v>8742234</v>
      </c>
      <c r="F81" s="392">
        <f>SUM(F79:F80)</f>
        <v>0</v>
      </c>
      <c r="G81" s="392">
        <f>SUM(G79:G80)</f>
        <v>8742234</v>
      </c>
      <c r="H81" s="392">
        <f>'Sources and Uses Budget'!T81</f>
        <v>0</v>
      </c>
      <c r="I81" s="392">
        <f>SUM(I79:I80)</f>
        <v>0</v>
      </c>
      <c r="J81" s="392">
        <f>SUM(J79:J80)</f>
        <v>0</v>
      </c>
      <c r="K81" s="390"/>
    </row>
    <row r="82" spans="1:11" s="391" customFormat="1" ht="11.4">
      <c r="A82" s="388" t="s">
        <v>773</v>
      </c>
      <c r="B82" s="389"/>
      <c r="C82" s="389"/>
      <c r="D82" s="389"/>
      <c r="E82" s="389"/>
      <c r="F82" s="389"/>
      <c r="G82" s="389"/>
      <c r="H82" s="389"/>
      <c r="I82" s="389"/>
      <c r="J82" s="389"/>
      <c r="K82" s="390"/>
    </row>
    <row r="83" spans="1:11" s="391" customFormat="1" ht="13.65" customHeight="1">
      <c r="A83" s="145" t="s">
        <v>2409</v>
      </c>
      <c r="B83" s="392">
        <f>'Sources and Uses Budget'!C83</f>
        <v>235931</v>
      </c>
      <c r="C83" s="393"/>
      <c r="D83" s="393">
        <f>B83</f>
        <v>235931</v>
      </c>
      <c r="E83" s="394"/>
      <c r="F83" s="394"/>
      <c r="G83" s="394"/>
      <c r="H83" s="394"/>
      <c r="I83" s="394"/>
      <c r="J83" s="394"/>
      <c r="K83" s="390"/>
    </row>
    <row r="84" spans="1:11" s="391" customFormat="1" ht="11.4">
      <c r="A84" s="145" t="s">
        <v>775</v>
      </c>
      <c r="B84" s="392">
        <f>'Sources and Uses Budget'!C84</f>
        <v>0</v>
      </c>
      <c r="C84" s="393"/>
      <c r="D84" s="393"/>
      <c r="E84" s="392">
        <f>'Sources and Uses Budget'!S84</f>
        <v>0</v>
      </c>
      <c r="F84" s="393"/>
      <c r="G84" s="393"/>
      <c r="H84" s="392">
        <f>'Sources and Uses Budget'!T84</f>
        <v>0</v>
      </c>
      <c r="I84" s="393"/>
      <c r="J84" s="393"/>
      <c r="K84" s="390"/>
    </row>
    <row r="85" spans="1:11" s="391" customFormat="1" ht="11.4">
      <c r="A85" s="145" t="s">
        <v>776</v>
      </c>
      <c r="B85" s="392">
        <f>'Sources and Uses Budget'!C85</f>
        <v>0</v>
      </c>
      <c r="C85" s="393"/>
      <c r="D85" s="393"/>
      <c r="E85" s="392">
        <f>'Sources and Uses Budget'!S85</f>
        <v>0</v>
      </c>
      <c r="F85" s="393"/>
      <c r="G85" s="393"/>
      <c r="H85" s="392">
        <f>'Sources and Uses Budget'!T85</f>
        <v>0</v>
      </c>
      <c r="I85" s="393"/>
      <c r="J85" s="393"/>
      <c r="K85" s="390"/>
    </row>
    <row r="86" spans="1:11" s="391" customFormat="1" ht="11.4">
      <c r="A86" s="145" t="s">
        <v>777</v>
      </c>
      <c r="B86" s="392">
        <f>'Sources and Uses Budget'!C86</f>
        <v>3143912</v>
      </c>
      <c r="C86" s="393"/>
      <c r="D86" s="393">
        <f>B86</f>
        <v>3143912</v>
      </c>
      <c r="E86" s="392">
        <f>'Sources and Uses Budget'!S86</f>
        <v>3143912</v>
      </c>
      <c r="F86" s="393"/>
      <c r="G86" s="393">
        <f>E86</f>
        <v>3143912</v>
      </c>
      <c r="H86" s="392">
        <f>'Sources and Uses Budget'!T86</f>
        <v>0</v>
      </c>
      <c r="I86" s="393"/>
      <c r="J86" s="393"/>
      <c r="K86" s="390"/>
    </row>
    <row r="87" spans="1:11" s="391" customFormat="1" ht="11.4">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ht="11.4">
      <c r="A88" s="145" t="s">
        <v>779</v>
      </c>
      <c r="B88" s="392">
        <f>'Sources and Uses Budget'!C88</f>
        <v>869656</v>
      </c>
      <c r="C88" s="393"/>
      <c r="D88" s="393">
        <f>B88</f>
        <v>869656</v>
      </c>
      <c r="E88" s="394"/>
      <c r="F88" s="394"/>
      <c r="G88" s="394"/>
      <c r="H88" s="394"/>
      <c r="I88" s="394"/>
      <c r="J88" s="394"/>
      <c r="K88" s="390"/>
    </row>
    <row r="89" spans="1:11" s="391" customFormat="1" ht="11.4">
      <c r="A89" s="145" t="s">
        <v>780</v>
      </c>
      <c r="B89" s="392">
        <f>'Sources and Uses Budget'!C89</f>
        <v>2000000</v>
      </c>
      <c r="C89" s="393"/>
      <c r="D89" s="393">
        <f>B89</f>
        <v>2000000</v>
      </c>
      <c r="E89" s="392">
        <f>'Sources and Uses Budget'!S89</f>
        <v>2000000</v>
      </c>
      <c r="F89" s="393"/>
      <c r="G89" s="393">
        <f>E89</f>
        <v>2000000</v>
      </c>
      <c r="H89" s="392">
        <f>'Sources and Uses Budget'!T89</f>
        <v>0</v>
      </c>
      <c r="I89" s="393"/>
      <c r="J89" s="393"/>
      <c r="K89" s="390"/>
    </row>
    <row r="90" spans="1:11" s="391" customFormat="1" ht="11.4">
      <c r="A90" s="145" t="s">
        <v>781</v>
      </c>
      <c r="B90" s="392">
        <f>'Sources and Uses Budget'!C90</f>
        <v>2500</v>
      </c>
      <c r="C90" s="393"/>
      <c r="D90" s="393">
        <f>B90</f>
        <v>2500</v>
      </c>
      <c r="E90" s="392">
        <f>'Sources and Uses Budget'!S90</f>
        <v>0</v>
      </c>
      <c r="F90" s="393"/>
      <c r="G90" s="393"/>
      <c r="H90" s="392">
        <f>'Sources and Uses Budget'!T90</f>
        <v>0</v>
      </c>
      <c r="I90" s="393"/>
      <c r="J90" s="393"/>
      <c r="K90" s="390"/>
    </row>
    <row r="91" spans="1:11" s="391" customFormat="1" ht="11.4">
      <c r="A91" s="155" t="s">
        <v>372</v>
      </c>
      <c r="B91" s="392">
        <f>'Sources and Uses Budget'!C91</f>
        <v>0</v>
      </c>
      <c r="C91" s="393"/>
      <c r="D91" s="393"/>
      <c r="E91" s="392">
        <f>'Sources and Uses Budget'!S91</f>
        <v>0</v>
      </c>
      <c r="F91" s="393"/>
      <c r="G91" s="393"/>
      <c r="H91" s="392">
        <f>'Sources and Uses Budget'!T91</f>
        <v>0</v>
      </c>
      <c r="I91" s="393"/>
      <c r="J91" s="393"/>
      <c r="K91" s="390"/>
    </row>
    <row r="92" spans="1:11" s="391" customFormat="1" ht="11.4">
      <c r="A92" s="542" t="s">
        <v>1316</v>
      </c>
      <c r="B92" s="392">
        <f>'Sources and Uses Budget'!C92</f>
        <v>0</v>
      </c>
      <c r="C92" s="393"/>
      <c r="D92" s="393"/>
      <c r="E92" s="392">
        <f>'Sources and Uses Budget'!S92</f>
        <v>0</v>
      </c>
      <c r="F92" s="393"/>
      <c r="G92" s="393"/>
      <c r="H92" s="392">
        <f>'Sources and Uses Budget'!T92</f>
        <v>0</v>
      </c>
      <c r="I92" s="393"/>
      <c r="J92" s="393"/>
      <c r="K92" s="390"/>
    </row>
    <row r="93" spans="1:11" s="391" customFormat="1" ht="11.4">
      <c r="A93" s="395" t="str">
        <f>'Sources and Uses Budget'!$A93</f>
        <v>Other: Third-party Construction Monitoring</v>
      </c>
      <c r="B93" s="392">
        <f>'Sources and Uses Budget'!C93</f>
        <v>1270000</v>
      </c>
      <c r="C93" s="393"/>
      <c r="D93" s="393">
        <f>B93</f>
        <v>1270000</v>
      </c>
      <c r="E93" s="392">
        <f>'Sources and Uses Budget'!S93</f>
        <v>1270000</v>
      </c>
      <c r="F93" s="393"/>
      <c r="G93" s="393">
        <f>E93</f>
        <v>1270000</v>
      </c>
      <c r="H93" s="392">
        <f>'Sources and Uses Budget'!T93</f>
        <v>0</v>
      </c>
      <c r="I93" s="393"/>
      <c r="J93" s="393"/>
      <c r="K93" s="390"/>
    </row>
    <row r="94" spans="1:11" s="391" customFormat="1" ht="22.8">
      <c r="A94" s="395" t="str">
        <f>'Sources and Uses Budget'!$A94</f>
        <v>Other: Real Estate Taxes During Construction</v>
      </c>
      <c r="B94" s="392">
        <f>'Sources and Uses Budget'!C94</f>
        <v>849919</v>
      </c>
      <c r="C94" s="393"/>
      <c r="D94" s="393">
        <f>B94</f>
        <v>849919</v>
      </c>
      <c r="E94" s="392">
        <f>'Sources and Uses Budget'!S94</f>
        <v>849919</v>
      </c>
      <c r="F94" s="393"/>
      <c r="G94" s="393">
        <f>E94</f>
        <v>849919</v>
      </c>
      <c r="H94" s="392">
        <f>'Sources and Uses Budget'!T94</f>
        <v>0</v>
      </c>
      <c r="I94" s="393"/>
      <c r="J94" s="393"/>
      <c r="K94" s="390"/>
    </row>
    <row r="95" spans="1:11" s="391" customFormat="1" ht="11.4">
      <c r="A95" s="395" t="str">
        <f>'Sources and Uses Budget'!$A95</f>
        <v>Other: acq title/escrow/legal/transfer tax</v>
      </c>
      <c r="B95" s="392">
        <f>'Sources and Uses Budget'!C95</f>
        <v>8088681</v>
      </c>
      <c r="C95" s="393"/>
      <c r="D95" s="393">
        <f>B95</f>
        <v>8088681</v>
      </c>
      <c r="E95" s="392">
        <f>'Sources and Uses Budget'!S95</f>
        <v>0</v>
      </c>
      <c r="F95" s="393"/>
      <c r="G95" s="393"/>
      <c r="H95" s="392">
        <f>'Sources and Uses Budget'!T95</f>
        <v>0</v>
      </c>
      <c r="I95" s="393"/>
      <c r="J95" s="393"/>
      <c r="K95" s="390"/>
    </row>
    <row r="96" spans="1:11" s="391" customFormat="1">
      <c r="A96" s="396" t="s">
        <v>782</v>
      </c>
      <c r="B96" s="392">
        <f>'Sources and Uses Budget'!C96</f>
        <v>16460599</v>
      </c>
      <c r="C96" s="392">
        <f>SUM(C83:C95)</f>
        <v>0</v>
      </c>
      <c r="D96" s="392">
        <f>SUM(D83:D95)</f>
        <v>16460599</v>
      </c>
      <c r="E96" s="392">
        <f>'Sources and Uses Budget'!S96</f>
        <v>7263831</v>
      </c>
      <c r="F96" s="398">
        <f>SUM(F84:F87,F89:F95)</f>
        <v>0</v>
      </c>
      <c r="G96" s="398">
        <f>SUM(G84:G87,G89:G95)</f>
        <v>7263831</v>
      </c>
      <c r="H96" s="392">
        <f>'Sources and Uses Budget'!T96</f>
        <v>0</v>
      </c>
      <c r="I96" s="392">
        <f>SUM(I84:I87,I89:I95)</f>
        <v>0</v>
      </c>
      <c r="J96" s="392">
        <f>SUM(J84:J87,J89:J95)</f>
        <v>0</v>
      </c>
      <c r="K96" s="390"/>
    </row>
    <row r="97" spans="1:11" s="391" customFormat="1">
      <c r="A97" s="396" t="s">
        <v>1052</v>
      </c>
      <c r="B97" s="392">
        <f>'Sources and Uses Budget'!C97</f>
        <v>175892956</v>
      </c>
      <c r="C97" s="392">
        <f>SUM(C63+C70+C77+C81+C96)</f>
        <v>0</v>
      </c>
      <c r="D97" s="392">
        <f>SUM(D63+D70+D77+D81+D96)</f>
        <v>175892956</v>
      </c>
      <c r="E97" s="392">
        <f>'Sources and Uses Budget'!S97</f>
        <v>140535797</v>
      </c>
      <c r="F97" s="398">
        <f>SUM(+F63+F70+F81+F96)</f>
        <v>0</v>
      </c>
      <c r="G97" s="398">
        <f>SUM(+G63+G70+G81+G96)</f>
        <v>140535797</v>
      </c>
      <c r="H97" s="392">
        <f>'Sources and Uses Budget'!T97</f>
        <v>0</v>
      </c>
      <c r="I97" s="398">
        <f>SUM(I63+I70+I81+I96)</f>
        <v>0</v>
      </c>
      <c r="J97" s="398">
        <f>SUM(J63+J70+J81+J96)</f>
        <v>0</v>
      </c>
      <c r="K97" s="390"/>
    </row>
    <row r="98" spans="1:11" s="391" customFormat="1" ht="11.4">
      <c r="A98" s="388" t="s">
        <v>784</v>
      </c>
      <c r="B98" s="389"/>
      <c r="C98" s="389"/>
      <c r="D98" s="389"/>
      <c r="E98" s="389"/>
      <c r="F98" s="389"/>
      <c r="G98" s="389"/>
      <c r="H98" s="389"/>
      <c r="I98" s="389"/>
      <c r="J98" s="389"/>
      <c r="K98" s="390"/>
    </row>
    <row r="99" spans="1:11" s="391" customFormat="1" ht="11.4">
      <c r="A99" s="145" t="s">
        <v>785</v>
      </c>
      <c r="B99" s="392">
        <f>'Sources and Uses Budget'!C99</f>
        <v>28107159</v>
      </c>
      <c r="C99" s="393"/>
      <c r="D99" s="393">
        <f>B99</f>
        <v>28107159</v>
      </c>
      <c r="E99" s="392">
        <f>'Sources and Uses Budget'!S99</f>
        <v>28107159</v>
      </c>
      <c r="F99" s="393"/>
      <c r="G99" s="393">
        <f>E99</f>
        <v>28107159</v>
      </c>
      <c r="H99" s="392">
        <f>'Sources and Uses Budget'!T99</f>
        <v>0</v>
      </c>
      <c r="I99" s="393"/>
      <c r="J99" s="393"/>
      <c r="K99" s="390"/>
    </row>
    <row r="100" spans="1:11" s="391" customFormat="1" ht="11.4">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1.4">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1.4">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28107159</v>
      </c>
      <c r="C104" s="392">
        <f>SUM(C99:C103)</f>
        <v>0</v>
      </c>
      <c r="D104" s="392">
        <f>SUM(D99:D103)</f>
        <v>28107159</v>
      </c>
      <c r="E104" s="392">
        <f>'Sources and Uses Budget'!S104</f>
        <v>28107159</v>
      </c>
      <c r="F104" s="398">
        <f>SUM(F99:F103)</f>
        <v>0</v>
      </c>
      <c r="G104" s="398">
        <f>SUM(G99:G103)</f>
        <v>28107159</v>
      </c>
      <c r="H104" s="392">
        <f>'Sources and Uses Budget'!T104</f>
        <v>0</v>
      </c>
      <c r="I104" s="398">
        <f>SUM(I99:I103)</f>
        <v>0</v>
      </c>
      <c r="J104" s="398">
        <f>SUM(J99:J103)</f>
        <v>0</v>
      </c>
      <c r="K104" s="390"/>
    </row>
    <row r="105" spans="1:11" s="391" customFormat="1">
      <c r="A105" s="396" t="s">
        <v>1053</v>
      </c>
      <c r="B105" s="392">
        <f>'Sources and Uses Budget'!C105</f>
        <v>204000115</v>
      </c>
      <c r="C105" s="398">
        <f>SUM(C97+C104)</f>
        <v>0</v>
      </c>
      <c r="D105" s="398">
        <f>SUM(D97+D104)</f>
        <v>204000115</v>
      </c>
      <c r="E105" s="392">
        <f>'Sources and Uses Budget'!S105</f>
        <v>168642956</v>
      </c>
      <c r="F105" s="398">
        <f>F97+F104</f>
        <v>0</v>
      </c>
      <c r="G105" s="398">
        <f>G97+G104</f>
        <v>168642956</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168642956</v>
      </c>
      <c r="F107" s="398">
        <f>F105+F106</f>
        <v>0</v>
      </c>
      <c r="G107" s="398">
        <f>G105+G106</f>
        <v>168642956</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2">
      <c r="A111" s="408"/>
      <c r="B111" s="406"/>
      <c r="C111" s="406"/>
      <c r="D111" s="406"/>
      <c r="J111" s="407"/>
      <c r="K111" s="390"/>
    </row>
    <row r="112" spans="1:11" s="391" customFormat="1" ht="13.2">
      <c r="A112" s="408"/>
      <c r="B112" s="406"/>
      <c r="C112" s="406"/>
      <c r="D112" s="406"/>
      <c r="J112" s="407"/>
      <c r="K112" s="390"/>
    </row>
    <row r="113" spans="1:11" s="391" customFormat="1" ht="15.6">
      <c r="A113" s="409"/>
      <c r="B113" s="406"/>
      <c r="C113" s="406"/>
      <c r="D113" s="406"/>
      <c r="J113" s="407"/>
      <c r="K113" s="390"/>
    </row>
    <row r="114" spans="1:11" s="391" customFormat="1" ht="13.2">
      <c r="A114" s="408"/>
      <c r="J114" s="407"/>
      <c r="K114" s="390"/>
    </row>
    <row r="115" spans="1:11" s="391" customFormat="1" ht="15.6">
      <c r="A115" s="409"/>
      <c r="J115" s="407"/>
      <c r="K115" s="390"/>
    </row>
    <row r="116" spans="1:11" s="391" customFormat="1" ht="15.6">
      <c r="A116" s="409"/>
      <c r="J116" s="407"/>
      <c r="K116" s="390"/>
    </row>
    <row r="117" spans="1:11" s="391" customFormat="1" ht="11.4">
      <c r="B117" s="406"/>
      <c r="C117" s="406"/>
      <c r="D117" s="406"/>
      <c r="J117" s="407"/>
      <c r="K117" s="390"/>
    </row>
    <row r="118" spans="1:11" s="391" customFormat="1" ht="11.4">
      <c r="J118" s="407"/>
      <c r="K118" s="390"/>
    </row>
    <row r="119" spans="1:11" s="391" customFormat="1" ht="11.4">
      <c r="J119" s="407"/>
      <c r="K119" s="390"/>
    </row>
    <row r="120" spans="1:11" s="391" customFormat="1" ht="11.4">
      <c r="J120" s="407"/>
      <c r="K120" s="390"/>
    </row>
    <row r="121" spans="1:11" s="391" customFormat="1" ht="15.6">
      <c r="A121" s="409"/>
      <c r="J121" s="407"/>
      <c r="K121" s="390"/>
    </row>
    <row r="122" spans="1:11" s="411" customFormat="1" ht="15.6">
      <c r="A122" s="410"/>
      <c r="J122" s="412"/>
      <c r="K122" s="413"/>
    </row>
    <row r="123" spans="1:11" s="391" customFormat="1" ht="11.4">
      <c r="A123" s="414"/>
      <c r="J123" s="407"/>
      <c r="K123" s="390"/>
    </row>
    <row r="124" spans="1:11" s="391" customFormat="1" ht="11.4">
      <c r="B124" s="415"/>
      <c r="D124" s="1885"/>
      <c r="E124" s="1343"/>
      <c r="F124" s="1343"/>
      <c r="G124" s="1343"/>
      <c r="H124" s="1343"/>
      <c r="I124" s="1343"/>
      <c r="J124" s="407"/>
      <c r="K124" s="390"/>
    </row>
    <row r="125" spans="1:11" s="391" customFormat="1" ht="13.2">
      <c r="A125" s="416"/>
      <c r="B125" s="415"/>
      <c r="C125" s="416"/>
      <c r="D125" s="1343"/>
      <c r="E125" s="1343"/>
      <c r="F125" s="1343"/>
      <c r="G125" s="1343"/>
      <c r="H125" s="1343"/>
      <c r="I125" s="1343"/>
      <c r="J125" s="407"/>
      <c r="K125" s="390"/>
    </row>
    <row r="126" spans="1:11" s="391" customFormat="1" ht="13.2">
      <c r="A126" s="416"/>
      <c r="B126" s="415"/>
      <c r="C126" s="416"/>
      <c r="D126" s="1343"/>
      <c r="E126" s="1343"/>
      <c r="F126" s="1343"/>
      <c r="G126" s="1343"/>
      <c r="H126" s="1343"/>
      <c r="I126" s="1343"/>
      <c r="J126" s="407"/>
      <c r="K126" s="390"/>
    </row>
    <row r="127" spans="1:11" s="391" customFormat="1" ht="13.2">
      <c r="A127" s="416"/>
      <c r="B127" s="415"/>
      <c r="C127" s="416"/>
      <c r="D127" s="417"/>
      <c r="E127" s="416"/>
      <c r="F127" s="416"/>
      <c r="G127" s="416"/>
      <c r="J127" s="407"/>
      <c r="K127" s="390"/>
    </row>
    <row r="128" spans="1:11" s="391" customFormat="1" ht="13.2">
      <c r="A128" s="416"/>
      <c r="B128" s="415"/>
      <c r="C128" s="416"/>
      <c r="D128" s="417"/>
      <c r="E128" s="416"/>
      <c r="F128" s="416"/>
      <c r="G128" s="416"/>
      <c r="J128" s="407"/>
      <c r="K128" s="390"/>
    </row>
    <row r="129" spans="1:11" s="391" customFormat="1" ht="13.2">
      <c r="A129" s="416"/>
      <c r="B129" s="415"/>
      <c r="C129" s="416"/>
      <c r="D129" s="416"/>
      <c r="E129" s="416"/>
      <c r="F129" s="416"/>
      <c r="G129" s="416"/>
      <c r="J129" s="407"/>
      <c r="K129" s="390"/>
    </row>
    <row r="130" spans="1:11" s="391" customFormat="1" ht="13.2">
      <c r="A130" s="416"/>
      <c r="B130" s="415"/>
      <c r="C130" s="416"/>
      <c r="D130" s="416"/>
      <c r="E130" s="416"/>
      <c r="F130" s="416"/>
      <c r="G130" s="416"/>
      <c r="J130" s="407"/>
      <c r="K130" s="390"/>
    </row>
    <row r="131" spans="1:11" s="391" customFormat="1" ht="13.2">
      <c r="A131" s="416"/>
      <c r="B131" s="418"/>
      <c r="C131" s="416"/>
      <c r="D131" s="416"/>
      <c r="E131" s="416"/>
      <c r="F131" s="416"/>
      <c r="G131" s="416"/>
      <c r="J131" s="407"/>
      <c r="K131" s="390"/>
    </row>
    <row r="132" spans="1:11" s="391" customFormat="1" ht="13.2">
      <c r="A132" s="419"/>
      <c r="B132" s="420"/>
      <c r="C132" s="416"/>
      <c r="D132" s="421"/>
      <c r="E132" s="416"/>
      <c r="F132" s="416"/>
      <c r="G132" s="416"/>
      <c r="J132" s="407"/>
      <c r="K132" s="390"/>
    </row>
    <row r="133" spans="1:11" s="391" customFormat="1" ht="13.2">
      <c r="A133" s="422"/>
      <c r="B133" s="416"/>
      <c r="C133" s="416"/>
      <c r="D133" s="416"/>
      <c r="E133" s="416"/>
      <c r="F133" s="416"/>
      <c r="G133" s="416"/>
      <c r="J133" s="407"/>
      <c r="K133" s="390"/>
    </row>
    <row r="134" spans="1:11" s="391" customFormat="1" ht="13.2">
      <c r="A134" s="422"/>
      <c r="B134" s="416"/>
      <c r="C134" s="416"/>
      <c r="D134" s="416"/>
      <c r="E134" s="416"/>
      <c r="F134" s="416"/>
      <c r="G134" s="416"/>
      <c r="J134" s="407"/>
      <c r="K134" s="390"/>
    </row>
    <row r="135" spans="1:11" s="391" customFormat="1" ht="13.2">
      <c r="A135" s="423"/>
      <c r="B135" s="416"/>
      <c r="C135" s="416"/>
      <c r="D135" s="416"/>
      <c r="E135" s="416"/>
      <c r="F135" s="416"/>
      <c r="G135" s="416"/>
      <c r="J135" s="407"/>
      <c r="K135" s="390"/>
    </row>
    <row r="136" spans="1:11" s="391" customFormat="1" ht="13.2">
      <c r="A136" s="408"/>
      <c r="B136" s="416"/>
      <c r="C136" s="416"/>
      <c r="D136" s="416"/>
      <c r="E136" s="416"/>
      <c r="F136" s="416"/>
      <c r="G136" s="416"/>
      <c r="J136" s="407"/>
      <c r="K136" s="390"/>
    </row>
    <row r="137" spans="1:11" ht="13.2">
      <c r="A137" s="422"/>
      <c r="B137" s="416"/>
      <c r="C137" s="416"/>
      <c r="D137" s="416"/>
      <c r="E137" s="416"/>
      <c r="F137" s="416"/>
      <c r="G137" s="416"/>
    </row>
    <row r="138" spans="1:11" ht="12" customHeight="1">
      <c r="A138" s="422"/>
      <c r="B138" s="416"/>
      <c r="C138" s="416"/>
      <c r="D138" s="416"/>
      <c r="E138" s="416"/>
      <c r="F138" s="416"/>
      <c r="G138" s="416"/>
    </row>
    <row r="139" spans="1:11" ht="12" customHeight="1">
      <c r="A139" s="1886"/>
      <c r="B139" s="1343"/>
      <c r="C139" s="1343"/>
      <c r="D139" s="387"/>
      <c r="E139" s="416"/>
      <c r="F139" s="416"/>
      <c r="G139" s="416"/>
    </row>
    <row r="140" spans="1:11" ht="12" customHeight="1">
      <c r="A140" s="1280"/>
      <c r="B140" s="1280"/>
      <c r="C140" s="1280"/>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AD188" sqref="AD188:AJ188"/>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68"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119" t="s">
        <v>1409</v>
      </c>
      <c r="B1" s="2119"/>
      <c r="C1" s="2119"/>
      <c r="D1" s="2119"/>
      <c r="E1" s="2119"/>
      <c r="F1" s="2119"/>
      <c r="G1" s="2119"/>
      <c r="H1" s="2119"/>
      <c r="I1" s="2119"/>
      <c r="J1" s="2119"/>
      <c r="K1" s="2119"/>
      <c r="L1" s="2119"/>
      <c r="M1" s="2119"/>
      <c r="N1" s="2119"/>
      <c r="O1" s="2119"/>
      <c r="P1" s="2119"/>
      <c r="Q1" s="2119"/>
      <c r="R1" s="2119"/>
      <c r="S1" s="2119"/>
      <c r="T1" s="2119"/>
      <c r="U1" s="2119"/>
      <c r="V1" s="2119"/>
      <c r="W1" s="2119"/>
      <c r="X1" s="2119"/>
      <c r="Y1" s="2119"/>
      <c r="Z1" s="2119"/>
      <c r="AA1" s="2119"/>
      <c r="AB1" s="2119"/>
      <c r="AC1" s="2119"/>
      <c r="AD1" s="2119"/>
      <c r="AE1" s="2119"/>
      <c r="AF1" s="2119"/>
      <c r="AG1" s="2119"/>
      <c r="AH1" s="2119"/>
      <c r="AI1" s="2119"/>
      <c r="AJ1" s="2119"/>
      <c r="AK1" s="2119"/>
      <c r="AL1" s="2119"/>
      <c r="AM1" s="2119"/>
    </row>
    <row r="2" spans="1:42" s="570" customFormat="1" ht="12.75" customHeight="1" thickBot="1">
      <c r="A2" s="2120"/>
      <c r="B2" s="2120"/>
      <c r="C2" s="2120"/>
      <c r="D2" s="2120"/>
      <c r="E2" s="2120"/>
      <c r="F2" s="2120"/>
      <c r="G2" s="2120"/>
      <c r="H2" s="2120"/>
      <c r="I2" s="2120"/>
      <c r="J2" s="2120"/>
      <c r="K2" s="2120"/>
      <c r="L2" s="2120"/>
      <c r="M2" s="2120"/>
      <c r="N2" s="2120"/>
      <c r="O2" s="2120"/>
      <c r="P2" s="2120"/>
      <c r="Q2" s="2120"/>
      <c r="R2" s="2120"/>
      <c r="S2" s="2120"/>
      <c r="T2" s="2120"/>
      <c r="U2" s="2120"/>
      <c r="V2" s="2120"/>
      <c r="W2" s="2120"/>
      <c r="X2" s="2120"/>
      <c r="Y2" s="2120"/>
      <c r="Z2" s="2120"/>
      <c r="AA2" s="2120"/>
      <c r="AB2" s="2120"/>
      <c r="AC2" s="2120"/>
      <c r="AD2" s="2120"/>
      <c r="AE2" s="2120"/>
      <c r="AF2" s="2120"/>
      <c r="AG2" s="2120"/>
      <c r="AH2" s="2120"/>
      <c r="AI2" s="2120"/>
      <c r="AJ2" s="2120"/>
      <c r="AK2" s="2120"/>
      <c r="AL2" s="2120"/>
      <c r="AM2" s="2120"/>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30" t="s">
        <v>1414</v>
      </c>
      <c r="AF7" s="1930"/>
      <c r="AG7" s="1930"/>
      <c r="AH7" s="1930"/>
      <c r="AI7" s="1930"/>
      <c r="AJ7" s="1930"/>
      <c r="AK7" s="1930"/>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13" t="s">
        <v>598</v>
      </c>
      <c r="C13" s="2113"/>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21"/>
      <c r="AH13" s="2121"/>
      <c r="AI13" s="2121"/>
      <c r="AJ13" s="2122"/>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13" t="s">
        <v>598</v>
      </c>
      <c r="C16" s="2113"/>
      <c r="D16" s="581"/>
      <c r="E16" s="2105" t="s">
        <v>1416</v>
      </c>
      <c r="F16" s="2106"/>
      <c r="G16" s="2106"/>
      <c r="H16" s="2106"/>
      <c r="I16" s="2106"/>
      <c r="J16" s="2106"/>
      <c r="K16" s="2106"/>
      <c r="L16" s="2106"/>
      <c r="M16" s="2106"/>
      <c r="N16" s="2106"/>
      <c r="O16" s="2106"/>
      <c r="P16" s="2106"/>
      <c r="Q16" s="2106"/>
      <c r="R16" s="2106"/>
      <c r="S16" s="2106"/>
      <c r="T16" s="2106"/>
      <c r="U16" s="2106"/>
      <c r="V16" s="2106"/>
      <c r="W16" s="2106"/>
      <c r="X16" s="2106"/>
      <c r="Y16" s="2106"/>
      <c r="Z16" s="2106"/>
      <c r="AA16" s="2106"/>
      <c r="AB16" s="2106"/>
      <c r="AC16" s="2106"/>
      <c r="AD16" s="2106"/>
      <c r="AE16" s="2106"/>
      <c r="AF16" s="2106"/>
      <c r="AG16" s="2106"/>
      <c r="AH16" s="2106"/>
      <c r="AI16" s="2106"/>
      <c r="AJ16" s="2107"/>
      <c r="AK16" s="574"/>
      <c r="AL16" s="574"/>
      <c r="AM16" s="574"/>
      <c r="AN16" s="569"/>
      <c r="AO16" s="584">
        <f>IF($B25="yes",20,0)</f>
        <v>0</v>
      </c>
      <c r="AP16" s="14"/>
    </row>
    <row r="17" spans="1:42" s="570" customFormat="1" ht="12.75" customHeight="1">
      <c r="A17" s="574"/>
      <c r="B17" s="574"/>
      <c r="C17" s="574"/>
      <c r="D17" s="585"/>
      <c r="E17" s="2108"/>
      <c r="F17" s="2109"/>
      <c r="G17" s="2109"/>
      <c r="H17" s="2109"/>
      <c r="I17" s="2109"/>
      <c r="J17" s="2109"/>
      <c r="K17" s="2109"/>
      <c r="L17" s="2109"/>
      <c r="M17" s="2109"/>
      <c r="N17" s="2109"/>
      <c r="O17" s="2109"/>
      <c r="P17" s="2109"/>
      <c r="Q17" s="2109"/>
      <c r="R17" s="2109"/>
      <c r="S17" s="2109"/>
      <c r="T17" s="2109"/>
      <c r="U17" s="2109"/>
      <c r="V17" s="2109"/>
      <c r="W17" s="2109"/>
      <c r="X17" s="2109"/>
      <c r="Y17" s="2109"/>
      <c r="Z17" s="2109"/>
      <c r="AA17" s="2109"/>
      <c r="AB17" s="2109"/>
      <c r="AC17" s="2109"/>
      <c r="AD17" s="2109"/>
      <c r="AE17" s="2109"/>
      <c r="AF17" s="2109"/>
      <c r="AG17" s="2109"/>
      <c r="AH17" s="2109"/>
      <c r="AI17" s="2109"/>
      <c r="AJ17" s="2110"/>
      <c r="AK17" s="574"/>
      <c r="AL17" s="574"/>
      <c r="AM17" s="574"/>
      <c r="AN17" s="569"/>
      <c r="AO17" s="570">
        <f>IF(SUM(AO13:AO16)&gt;20,20,(SUM(AO13:AO16)))</f>
        <v>0</v>
      </c>
      <c r="AP17" s="570" t="s">
        <v>1417</v>
      </c>
    </row>
    <row r="18" spans="1:42" s="570" customFormat="1" ht="12.75" customHeight="1">
      <c r="A18" s="574"/>
      <c r="B18" s="574"/>
      <c r="C18" s="574"/>
      <c r="D18" s="585"/>
      <c r="E18" s="2108"/>
      <c r="F18" s="2109"/>
      <c r="G18" s="2109"/>
      <c r="H18" s="2109"/>
      <c r="I18" s="2109"/>
      <c r="J18" s="2109"/>
      <c r="K18" s="2109"/>
      <c r="L18" s="2109"/>
      <c r="M18" s="2109"/>
      <c r="N18" s="2109"/>
      <c r="O18" s="2109"/>
      <c r="P18" s="2109"/>
      <c r="Q18" s="2109"/>
      <c r="R18" s="2109"/>
      <c r="S18" s="2109"/>
      <c r="T18" s="2109"/>
      <c r="U18" s="2109"/>
      <c r="V18" s="2109"/>
      <c r="W18" s="2109"/>
      <c r="X18" s="2109"/>
      <c r="Y18" s="2109"/>
      <c r="Z18" s="2109"/>
      <c r="AA18" s="2109"/>
      <c r="AB18" s="2109"/>
      <c r="AC18" s="2109"/>
      <c r="AD18" s="2109"/>
      <c r="AE18" s="2109"/>
      <c r="AF18" s="2109"/>
      <c r="AG18" s="2109"/>
      <c r="AH18" s="2109"/>
      <c r="AI18" s="2109"/>
      <c r="AJ18" s="2110"/>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9"/>
      <c r="F20" s="2130"/>
      <c r="G20" s="2130"/>
      <c r="H20" s="2130"/>
      <c r="I20" s="2130"/>
      <c r="J20" s="2130"/>
      <c r="K20" s="2130"/>
      <c r="L20" s="2130"/>
      <c r="M20" s="2130"/>
      <c r="N20" s="2130"/>
      <c r="O20" s="2130"/>
      <c r="P20" s="2130"/>
      <c r="Q20" s="2130"/>
      <c r="R20" s="2130"/>
      <c r="S20" s="2130"/>
      <c r="T20" s="2130"/>
      <c r="U20" s="2130"/>
      <c r="V20" s="2130"/>
      <c r="W20" s="2130"/>
      <c r="X20" s="2130"/>
      <c r="Y20" s="2130"/>
      <c r="Z20" s="2130"/>
      <c r="AA20" s="2130"/>
      <c r="AB20" s="2130"/>
      <c r="AC20" s="2130"/>
      <c r="AD20" s="2130"/>
      <c r="AE20" s="2130"/>
      <c r="AF20" s="2130"/>
      <c r="AG20" s="2130"/>
      <c r="AH20" s="2130"/>
      <c r="AI20" s="2130"/>
      <c r="AJ20" s="213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13" t="s">
        <v>598</v>
      </c>
      <c r="C22" s="2113"/>
      <c r="D22" s="581"/>
      <c r="E22" s="2123" t="s">
        <v>1419</v>
      </c>
      <c r="F22" s="2124"/>
      <c r="G22" s="2124"/>
      <c r="H22" s="2124"/>
      <c r="I22" s="2124"/>
      <c r="J22" s="2124"/>
      <c r="K22" s="2124"/>
      <c r="L22" s="2124"/>
      <c r="M22" s="2124"/>
      <c r="N22" s="2124"/>
      <c r="O22" s="2124"/>
      <c r="P22" s="2124"/>
      <c r="Q22" s="2124"/>
      <c r="R22" s="2124"/>
      <c r="S22" s="2124"/>
      <c r="T22" s="2124"/>
      <c r="U22" s="2124"/>
      <c r="V22" s="2124"/>
      <c r="W22" s="2124"/>
      <c r="X22" s="2124"/>
      <c r="Y22" s="2124"/>
      <c r="Z22" s="2124"/>
      <c r="AA22" s="2124"/>
      <c r="AB22" s="2124"/>
      <c r="AC22" s="2124"/>
      <c r="AD22" s="2124"/>
      <c r="AE22" s="2124"/>
      <c r="AF22" s="2124"/>
      <c r="AG22" s="2124"/>
      <c r="AH22" s="2124"/>
      <c r="AI22" s="2124"/>
      <c r="AJ22" s="2125"/>
      <c r="AK22" s="574"/>
      <c r="AL22" s="574"/>
      <c r="AM22" s="574"/>
      <c r="AN22" s="569"/>
      <c r="AO22" s="570">
        <f>IF(SUM(AO20:AO21)&gt;14,14,SUM(AO20:AO21))</f>
        <v>0</v>
      </c>
      <c r="AP22" s="570" t="s">
        <v>1417</v>
      </c>
    </row>
    <row r="23" spans="1:42" s="570" customFormat="1" ht="12.75" customHeight="1">
      <c r="A23" s="574"/>
      <c r="B23" s="574"/>
      <c r="C23" s="574"/>
      <c r="D23" s="584"/>
      <c r="E23" s="2126"/>
      <c r="F23" s="2127"/>
      <c r="G23" s="2127"/>
      <c r="H23" s="2127"/>
      <c r="I23" s="2127"/>
      <c r="J23" s="2127"/>
      <c r="K23" s="2127"/>
      <c r="L23" s="2127"/>
      <c r="M23" s="2127"/>
      <c r="N23" s="2127"/>
      <c r="O23" s="2127"/>
      <c r="P23" s="2127"/>
      <c r="Q23" s="2127"/>
      <c r="R23" s="2127"/>
      <c r="S23" s="2127"/>
      <c r="T23" s="2127"/>
      <c r="U23" s="2127"/>
      <c r="V23" s="2127"/>
      <c r="W23" s="2127"/>
      <c r="X23" s="2127"/>
      <c r="Y23" s="2127"/>
      <c r="Z23" s="2127"/>
      <c r="AA23" s="2127"/>
      <c r="AB23" s="2127"/>
      <c r="AC23" s="2127"/>
      <c r="AD23" s="2127"/>
      <c r="AE23" s="2127"/>
      <c r="AF23" s="2127"/>
      <c r="AG23" s="2127"/>
      <c r="AH23" s="2127"/>
      <c r="AI23" s="2127"/>
      <c r="AJ23" s="212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13" t="s">
        <v>598</v>
      </c>
      <c r="C25" s="2113"/>
      <c r="D25" s="581"/>
      <c r="E25" s="2040" t="s">
        <v>2346</v>
      </c>
      <c r="F25" s="2041"/>
      <c r="G25" s="2041"/>
      <c r="H25" s="2041"/>
      <c r="I25" s="2041"/>
      <c r="J25" s="2041"/>
      <c r="K25" s="2041"/>
      <c r="L25" s="2041"/>
      <c r="M25" s="2041"/>
      <c r="N25" s="2041"/>
      <c r="O25" s="2041"/>
      <c r="P25" s="2041"/>
      <c r="Q25" s="2041"/>
      <c r="R25" s="2041"/>
      <c r="S25" s="2041"/>
      <c r="T25" s="2041"/>
      <c r="U25" s="2041"/>
      <c r="V25" s="2041"/>
      <c r="W25" s="2041"/>
      <c r="X25" s="2041"/>
      <c r="Y25" s="2041"/>
      <c r="Z25" s="2041"/>
      <c r="AA25" s="2041"/>
      <c r="AB25" s="2041"/>
      <c r="AC25" s="2041"/>
      <c r="AD25" s="2041"/>
      <c r="AE25" s="2041"/>
      <c r="AF25" s="2041"/>
      <c r="AG25" s="2041"/>
      <c r="AH25" s="2041"/>
      <c r="AI25" s="2041"/>
      <c r="AJ25" s="2042"/>
      <c r="AK25" s="574"/>
      <c r="AL25" s="574"/>
      <c r="AM25" s="574"/>
      <c r="AN25" s="569"/>
      <c r="AO25" s="570">
        <f>IF(AO24&gt;6,6,AO24)</f>
        <v>0</v>
      </c>
      <c r="AP25" s="570" t="s">
        <v>1417</v>
      </c>
    </row>
    <row r="26" spans="1:42" s="570" customFormat="1" ht="12.75" customHeight="1">
      <c r="A26" s="574"/>
      <c r="B26" s="574"/>
      <c r="C26" s="574"/>
      <c r="D26" s="584"/>
      <c r="E26" s="2065"/>
      <c r="F26" s="2066"/>
      <c r="G26" s="2066"/>
      <c r="H26" s="2066"/>
      <c r="I26" s="2066"/>
      <c r="J26" s="2066"/>
      <c r="K26" s="2066"/>
      <c r="L26" s="2066"/>
      <c r="M26" s="2066"/>
      <c r="N26" s="2066"/>
      <c r="O26" s="2066"/>
      <c r="P26" s="2066"/>
      <c r="Q26" s="2066"/>
      <c r="R26" s="2066"/>
      <c r="S26" s="2066"/>
      <c r="T26" s="2066"/>
      <c r="U26" s="2066"/>
      <c r="V26" s="2066"/>
      <c r="W26" s="2066"/>
      <c r="X26" s="2066"/>
      <c r="Y26" s="2066"/>
      <c r="Z26" s="2066"/>
      <c r="AA26" s="2066"/>
      <c r="AB26" s="2066"/>
      <c r="AC26" s="2066"/>
      <c r="AD26" s="2066"/>
      <c r="AE26" s="2066"/>
      <c r="AF26" s="2066"/>
      <c r="AG26" s="2066"/>
      <c r="AH26" s="2066"/>
      <c r="AI26" s="2066"/>
      <c r="AJ26" s="2067"/>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13" t="s">
        <v>598</v>
      </c>
      <c r="C30" s="2113"/>
      <c r="D30" s="581"/>
      <c r="E30" s="2123" t="s">
        <v>2318</v>
      </c>
      <c r="F30" s="2124"/>
      <c r="G30" s="2124"/>
      <c r="H30" s="2124"/>
      <c r="I30" s="2124"/>
      <c r="J30" s="2124"/>
      <c r="K30" s="2124"/>
      <c r="L30" s="2124"/>
      <c r="M30" s="2124"/>
      <c r="N30" s="2124"/>
      <c r="O30" s="2124"/>
      <c r="P30" s="2124"/>
      <c r="Q30" s="2124"/>
      <c r="R30" s="2124"/>
      <c r="S30" s="2124"/>
      <c r="T30" s="2124"/>
      <c r="U30" s="2124"/>
      <c r="V30" s="2124"/>
      <c r="W30" s="2124"/>
      <c r="X30" s="2124"/>
      <c r="Y30" s="2124"/>
      <c r="Z30" s="2124"/>
      <c r="AA30" s="2124"/>
      <c r="AB30" s="2124"/>
      <c r="AC30" s="2124"/>
      <c r="AD30" s="2124"/>
      <c r="AE30" s="2124"/>
      <c r="AF30" s="2124"/>
      <c r="AG30" s="2124"/>
      <c r="AH30" s="2124"/>
      <c r="AI30" s="2124"/>
      <c r="AJ30" s="2125"/>
      <c r="AK30" s="574"/>
      <c r="AL30" s="574"/>
      <c r="AM30" s="574"/>
      <c r="AN30" s="569"/>
      <c r="AO30" s="584"/>
    </row>
    <row r="31" spans="1:42" s="570" customFormat="1" ht="12.75" customHeight="1">
      <c r="A31" s="574"/>
      <c r="B31" s="574"/>
      <c r="C31" s="574"/>
      <c r="E31" s="2126"/>
      <c r="F31" s="2127"/>
      <c r="G31" s="2127"/>
      <c r="H31" s="2127"/>
      <c r="I31" s="2127"/>
      <c r="J31" s="2127"/>
      <c r="K31" s="2127"/>
      <c r="L31" s="2127"/>
      <c r="M31" s="2127"/>
      <c r="N31" s="2127"/>
      <c r="O31" s="2127"/>
      <c r="P31" s="2127"/>
      <c r="Q31" s="2127"/>
      <c r="R31" s="2127"/>
      <c r="S31" s="2127"/>
      <c r="T31" s="2127"/>
      <c r="U31" s="2127"/>
      <c r="V31" s="2127"/>
      <c r="W31" s="2127"/>
      <c r="X31" s="2127"/>
      <c r="Y31" s="2127"/>
      <c r="Z31" s="2127"/>
      <c r="AA31" s="2127"/>
      <c r="AB31" s="2127"/>
      <c r="AC31" s="2127"/>
      <c r="AD31" s="2127"/>
      <c r="AE31" s="2127"/>
      <c r="AF31" s="2127"/>
      <c r="AG31" s="2127"/>
      <c r="AH31" s="2127"/>
      <c r="AI31" s="2127"/>
      <c r="AJ31" s="212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13" t="s">
        <v>598</v>
      </c>
      <c r="C33" s="2113"/>
      <c r="D33" s="581"/>
      <c r="E33" s="2040" t="s">
        <v>2319</v>
      </c>
      <c r="F33" s="2041"/>
      <c r="G33" s="2041"/>
      <c r="H33" s="2041"/>
      <c r="I33" s="2041"/>
      <c r="J33" s="2041"/>
      <c r="K33" s="2041"/>
      <c r="L33" s="2041"/>
      <c r="M33" s="2041"/>
      <c r="N33" s="2041"/>
      <c r="O33" s="2041"/>
      <c r="P33" s="2041"/>
      <c r="Q33" s="2041"/>
      <c r="R33" s="2041"/>
      <c r="S33" s="2041"/>
      <c r="T33" s="2041"/>
      <c r="U33" s="2041"/>
      <c r="V33" s="2041"/>
      <c r="W33" s="2041"/>
      <c r="X33" s="2041"/>
      <c r="Y33" s="2041"/>
      <c r="Z33" s="2041"/>
      <c r="AA33" s="2041"/>
      <c r="AB33" s="2041"/>
      <c r="AC33" s="2041"/>
      <c r="AD33" s="2041"/>
      <c r="AE33" s="2041"/>
      <c r="AF33" s="2041"/>
      <c r="AG33" s="2041"/>
      <c r="AH33" s="2041"/>
      <c r="AI33" s="2041"/>
      <c r="AJ33" s="2042"/>
      <c r="AK33" s="574"/>
      <c r="AL33" s="574"/>
      <c r="AM33" s="574"/>
      <c r="AN33" s="569"/>
    </row>
    <row r="34" spans="1:41" s="570" customFormat="1" ht="12.75" customHeight="1">
      <c r="A34" s="574"/>
      <c r="B34" s="574"/>
      <c r="C34" s="574"/>
      <c r="E34" s="2043"/>
      <c r="F34" s="2044"/>
      <c r="G34" s="2044"/>
      <c r="H34" s="2044"/>
      <c r="I34" s="2044"/>
      <c r="J34" s="2044"/>
      <c r="K34" s="2044"/>
      <c r="L34" s="2044"/>
      <c r="M34" s="2044"/>
      <c r="N34" s="2044"/>
      <c r="O34" s="2044"/>
      <c r="P34" s="2044"/>
      <c r="Q34" s="2044"/>
      <c r="R34" s="2044"/>
      <c r="S34" s="2044"/>
      <c r="T34" s="2044"/>
      <c r="U34" s="2044"/>
      <c r="V34" s="2044"/>
      <c r="W34" s="2044"/>
      <c r="X34" s="2044"/>
      <c r="Y34" s="2044"/>
      <c r="Z34" s="2044"/>
      <c r="AA34" s="2044"/>
      <c r="AB34" s="2044"/>
      <c r="AC34" s="2044"/>
      <c r="AD34" s="2044"/>
      <c r="AE34" s="2044"/>
      <c r="AF34" s="2044"/>
      <c r="AG34" s="2044"/>
      <c r="AH34" s="2044"/>
      <c r="AI34" s="2044"/>
      <c r="AJ34" s="2045"/>
      <c r="AK34" s="574"/>
      <c r="AL34" s="574"/>
      <c r="AM34" s="574"/>
      <c r="AN34" s="569"/>
    </row>
    <row r="35" spans="1:41" s="570" customFormat="1" ht="12.75" customHeight="1">
      <c r="A35" s="574"/>
      <c r="B35" s="574"/>
      <c r="C35" s="574"/>
      <c r="E35" s="2065"/>
      <c r="F35" s="2066"/>
      <c r="G35" s="2066"/>
      <c r="H35" s="2066"/>
      <c r="I35" s="2066"/>
      <c r="J35" s="2066"/>
      <c r="K35" s="2066"/>
      <c r="L35" s="2066"/>
      <c r="M35" s="2066"/>
      <c r="N35" s="2066"/>
      <c r="O35" s="2066"/>
      <c r="P35" s="2066"/>
      <c r="Q35" s="2066"/>
      <c r="R35" s="2066"/>
      <c r="S35" s="2066"/>
      <c r="T35" s="2066"/>
      <c r="U35" s="2066"/>
      <c r="V35" s="2066"/>
      <c r="W35" s="2066"/>
      <c r="X35" s="2066"/>
      <c r="Y35" s="2066"/>
      <c r="Z35" s="2066"/>
      <c r="AA35" s="2066"/>
      <c r="AB35" s="2066"/>
      <c r="AC35" s="2066"/>
      <c r="AD35" s="2066"/>
      <c r="AE35" s="2066"/>
      <c r="AF35" s="2066"/>
      <c r="AG35" s="2066"/>
      <c r="AH35" s="2066"/>
      <c r="AI35" s="2066"/>
      <c r="AJ35" s="2067"/>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13" t="s">
        <v>598</v>
      </c>
      <c r="C39" s="2113"/>
      <c r="D39" s="1186"/>
      <c r="E39" s="2040" t="s">
        <v>2320</v>
      </c>
      <c r="F39" s="2041"/>
      <c r="G39" s="2041"/>
      <c r="H39" s="2041"/>
      <c r="I39" s="2041"/>
      <c r="J39" s="2041"/>
      <c r="K39" s="2041"/>
      <c r="L39" s="2041"/>
      <c r="M39" s="2041"/>
      <c r="N39" s="2041"/>
      <c r="O39" s="2041"/>
      <c r="P39" s="2041"/>
      <c r="Q39" s="2041"/>
      <c r="R39" s="2041"/>
      <c r="S39" s="2041"/>
      <c r="T39" s="2041"/>
      <c r="U39" s="2041"/>
      <c r="V39" s="2041"/>
      <c r="W39" s="2041"/>
      <c r="X39" s="2041"/>
      <c r="Y39" s="2041"/>
      <c r="Z39" s="2041"/>
      <c r="AA39" s="2041"/>
      <c r="AB39" s="2041"/>
      <c r="AC39" s="2041"/>
      <c r="AD39" s="2041"/>
      <c r="AE39" s="2041"/>
      <c r="AF39" s="2041"/>
      <c r="AG39" s="2041"/>
      <c r="AH39" s="2041"/>
      <c r="AI39" s="2041"/>
      <c r="AJ39" s="2042"/>
      <c r="AK39" s="1186"/>
      <c r="AL39" s="574"/>
      <c r="AM39" s="574"/>
      <c r="AN39" s="569"/>
    </row>
    <row r="40" spans="1:41" s="570" customFormat="1" ht="12.75" customHeight="1">
      <c r="A40" s="574"/>
      <c r="B40" s="574"/>
      <c r="C40" s="574"/>
      <c r="E40" s="2043"/>
      <c r="F40" s="2044"/>
      <c r="G40" s="2044"/>
      <c r="H40" s="2044"/>
      <c r="I40" s="2044"/>
      <c r="J40" s="2044"/>
      <c r="K40" s="2044"/>
      <c r="L40" s="2044"/>
      <c r="M40" s="2044"/>
      <c r="N40" s="2044"/>
      <c r="O40" s="2044"/>
      <c r="P40" s="2044"/>
      <c r="Q40" s="2044"/>
      <c r="R40" s="2044"/>
      <c r="S40" s="2044"/>
      <c r="T40" s="2044"/>
      <c r="U40" s="2044"/>
      <c r="V40" s="2044"/>
      <c r="W40" s="2044"/>
      <c r="X40" s="2044"/>
      <c r="Y40" s="2044"/>
      <c r="Z40" s="2044"/>
      <c r="AA40" s="2044"/>
      <c r="AB40" s="2044"/>
      <c r="AC40" s="2044"/>
      <c r="AD40" s="2044"/>
      <c r="AE40" s="2044"/>
      <c r="AF40" s="2044"/>
      <c r="AG40" s="2044"/>
      <c r="AH40" s="2044"/>
      <c r="AI40" s="2044"/>
      <c r="AJ40" s="2045"/>
      <c r="AK40" s="574"/>
      <c r="AL40" s="574"/>
      <c r="AM40" s="574"/>
      <c r="AN40" s="569"/>
    </row>
    <row r="41" spans="1:41" s="570" customFormat="1" ht="12.75" customHeight="1">
      <c r="A41" s="574"/>
      <c r="D41" s="581"/>
      <c r="E41" s="2065"/>
      <c r="F41" s="2066"/>
      <c r="G41" s="2066"/>
      <c r="H41" s="2066"/>
      <c r="I41" s="2066"/>
      <c r="J41" s="2066"/>
      <c r="K41" s="2066"/>
      <c r="L41" s="2066"/>
      <c r="M41" s="2066"/>
      <c r="N41" s="2066"/>
      <c r="O41" s="2066"/>
      <c r="P41" s="2066"/>
      <c r="Q41" s="2066"/>
      <c r="R41" s="2066"/>
      <c r="S41" s="2066"/>
      <c r="T41" s="2066"/>
      <c r="U41" s="2066"/>
      <c r="V41" s="2066"/>
      <c r="W41" s="2066"/>
      <c r="X41" s="2066"/>
      <c r="Y41" s="2066"/>
      <c r="Z41" s="2066"/>
      <c r="AA41" s="2066"/>
      <c r="AB41" s="2066"/>
      <c r="AC41" s="2066"/>
      <c r="AD41" s="2066"/>
      <c r="AE41" s="2066"/>
      <c r="AF41" s="2066"/>
      <c r="AG41" s="2066"/>
      <c r="AH41" s="2066"/>
      <c r="AI41" s="2066"/>
      <c r="AJ41" s="2067"/>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13" t="s">
        <v>598</v>
      </c>
      <c r="C46" s="2113"/>
      <c r="D46" s="574"/>
      <c r="E46" s="2040" t="s">
        <v>2325</v>
      </c>
      <c r="F46" s="2041"/>
      <c r="G46" s="2041"/>
      <c r="H46" s="2041"/>
      <c r="I46" s="2041"/>
      <c r="J46" s="2041"/>
      <c r="K46" s="2041"/>
      <c r="L46" s="2041"/>
      <c r="M46" s="2041"/>
      <c r="N46" s="2041"/>
      <c r="O46" s="2041"/>
      <c r="P46" s="2041"/>
      <c r="Q46" s="2041"/>
      <c r="R46" s="2041"/>
      <c r="S46" s="2041"/>
      <c r="T46" s="2041"/>
      <c r="U46" s="2041"/>
      <c r="V46" s="2041"/>
      <c r="W46" s="2041"/>
      <c r="X46" s="2041"/>
      <c r="Y46" s="2041"/>
      <c r="Z46" s="2041"/>
      <c r="AA46" s="2041"/>
      <c r="AB46" s="2041"/>
      <c r="AC46" s="2041"/>
      <c r="AD46" s="2041"/>
      <c r="AE46" s="2041"/>
      <c r="AF46" s="2041"/>
      <c r="AG46" s="2041"/>
      <c r="AH46" s="2041"/>
      <c r="AI46" s="2041"/>
      <c r="AJ46" s="2042"/>
      <c r="AK46" s="574"/>
      <c r="AL46" s="574"/>
      <c r="AM46" s="574"/>
      <c r="AN46" s="569"/>
      <c r="AO46" s="593"/>
    </row>
    <row r="47" spans="1:41" s="570" customFormat="1" ht="12.75" customHeight="1">
      <c r="A47" s="574"/>
      <c r="D47" s="581"/>
      <c r="E47" s="2043"/>
      <c r="F47" s="2044"/>
      <c r="G47" s="2044"/>
      <c r="H47" s="2044"/>
      <c r="I47" s="2044"/>
      <c r="J47" s="2044"/>
      <c r="K47" s="2044"/>
      <c r="L47" s="2044"/>
      <c r="M47" s="2044"/>
      <c r="N47" s="2044"/>
      <c r="O47" s="2044"/>
      <c r="P47" s="2044"/>
      <c r="Q47" s="2044"/>
      <c r="R47" s="2044"/>
      <c r="S47" s="2044"/>
      <c r="T47" s="2044"/>
      <c r="U47" s="2044"/>
      <c r="V47" s="2044"/>
      <c r="W47" s="2044"/>
      <c r="X47" s="2044"/>
      <c r="Y47" s="2044"/>
      <c r="Z47" s="2044"/>
      <c r="AA47" s="2044"/>
      <c r="AB47" s="2044"/>
      <c r="AC47" s="2044"/>
      <c r="AD47" s="2044"/>
      <c r="AE47" s="2044"/>
      <c r="AF47" s="2044"/>
      <c r="AG47" s="2044"/>
      <c r="AH47" s="2044"/>
      <c r="AI47" s="2044"/>
      <c r="AJ47" s="2045"/>
      <c r="AK47" s="574"/>
      <c r="AL47" s="574"/>
      <c r="AM47" s="574"/>
      <c r="AN47" s="569"/>
      <c r="AO47" s="593"/>
    </row>
    <row r="48" spans="1:41" s="570" customFormat="1" ht="12.75" customHeight="1">
      <c r="A48" s="574"/>
      <c r="D48" s="574"/>
      <c r="E48" s="2065"/>
      <c r="F48" s="2066"/>
      <c r="G48" s="2066"/>
      <c r="H48" s="2066"/>
      <c r="I48" s="2066"/>
      <c r="J48" s="2066"/>
      <c r="K48" s="2066"/>
      <c r="L48" s="2066"/>
      <c r="M48" s="2066"/>
      <c r="N48" s="2066"/>
      <c r="O48" s="2066"/>
      <c r="P48" s="2066"/>
      <c r="Q48" s="2066"/>
      <c r="R48" s="2066"/>
      <c r="S48" s="2066"/>
      <c r="T48" s="2066"/>
      <c r="U48" s="2066"/>
      <c r="V48" s="2066"/>
      <c r="W48" s="2066"/>
      <c r="X48" s="2066"/>
      <c r="Y48" s="2066"/>
      <c r="Z48" s="2066"/>
      <c r="AA48" s="2066"/>
      <c r="AB48" s="2066"/>
      <c r="AC48" s="2066"/>
      <c r="AD48" s="2066"/>
      <c r="AE48" s="2066"/>
      <c r="AF48" s="2066"/>
      <c r="AG48" s="2066"/>
      <c r="AH48" s="2066"/>
      <c r="AI48" s="2066"/>
      <c r="AJ48" s="2067"/>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13" t="s">
        <v>598</v>
      </c>
      <c r="C50" s="2113"/>
      <c r="D50" s="574"/>
      <c r="E50" s="2139" t="s">
        <v>2326</v>
      </c>
      <c r="F50" s="2140"/>
      <c r="G50" s="2140"/>
      <c r="H50" s="2140"/>
      <c r="I50" s="2140"/>
      <c r="J50" s="2140"/>
      <c r="K50" s="2140"/>
      <c r="L50" s="2140"/>
      <c r="M50" s="2140"/>
      <c r="N50" s="2140"/>
      <c r="O50" s="2140"/>
      <c r="P50" s="2140"/>
      <c r="Q50" s="2140"/>
      <c r="R50" s="2140"/>
      <c r="S50" s="2140"/>
      <c r="T50" s="2140"/>
      <c r="U50" s="2140"/>
      <c r="V50" s="2140"/>
      <c r="W50" s="2140"/>
      <c r="X50" s="2140"/>
      <c r="Y50" s="2140"/>
      <c r="Z50" s="2140"/>
      <c r="AA50" s="2140"/>
      <c r="AB50" s="2140"/>
      <c r="AC50" s="2140"/>
      <c r="AD50" s="2140"/>
      <c r="AE50" s="2140"/>
      <c r="AF50" s="2140"/>
      <c r="AG50" s="2140"/>
      <c r="AH50" s="2140"/>
      <c r="AI50" s="2140"/>
      <c r="AJ50" s="214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13" t="s">
        <v>598</v>
      </c>
      <c r="C52" s="2113"/>
      <c r="D52" s="574"/>
      <c r="E52" s="2040" t="s">
        <v>2327</v>
      </c>
      <c r="F52" s="2041"/>
      <c r="G52" s="2041"/>
      <c r="H52" s="2041"/>
      <c r="I52" s="2041"/>
      <c r="J52" s="2041"/>
      <c r="K52" s="2041"/>
      <c r="L52" s="2041"/>
      <c r="M52" s="2041"/>
      <c r="N52" s="2041"/>
      <c r="O52" s="2041"/>
      <c r="P52" s="2041"/>
      <c r="Q52" s="2041"/>
      <c r="R52" s="2041"/>
      <c r="S52" s="2041"/>
      <c r="T52" s="2041"/>
      <c r="U52" s="2041"/>
      <c r="V52" s="2041"/>
      <c r="W52" s="2041"/>
      <c r="X52" s="2041"/>
      <c r="Y52" s="2041"/>
      <c r="Z52" s="2041"/>
      <c r="AA52" s="2041"/>
      <c r="AB52" s="2041"/>
      <c r="AC52" s="2041"/>
      <c r="AD52" s="2041"/>
      <c r="AE52" s="2041"/>
      <c r="AF52" s="2041"/>
      <c r="AG52" s="2041"/>
      <c r="AH52" s="2041"/>
      <c r="AI52" s="2041"/>
      <c r="AJ52" s="2042"/>
      <c r="AK52" s="574"/>
      <c r="AL52" s="574"/>
      <c r="AM52" s="574"/>
      <c r="AN52" s="569"/>
    </row>
    <row r="53" spans="1:50" s="570" customFormat="1" ht="12.75" customHeight="1">
      <c r="A53" s="574"/>
      <c r="B53" s="581"/>
      <c r="C53" s="581"/>
      <c r="D53" s="581"/>
      <c r="E53" s="2065"/>
      <c r="F53" s="2066"/>
      <c r="G53" s="2066"/>
      <c r="H53" s="2066"/>
      <c r="I53" s="2066"/>
      <c r="J53" s="2066"/>
      <c r="K53" s="2066"/>
      <c r="L53" s="2066"/>
      <c r="M53" s="2066"/>
      <c r="N53" s="2066"/>
      <c r="O53" s="2066"/>
      <c r="P53" s="2066"/>
      <c r="Q53" s="2066"/>
      <c r="R53" s="2066"/>
      <c r="S53" s="2066"/>
      <c r="T53" s="2066"/>
      <c r="U53" s="2066"/>
      <c r="V53" s="2066"/>
      <c r="W53" s="2066"/>
      <c r="X53" s="2066"/>
      <c r="Y53" s="2066"/>
      <c r="Z53" s="2066"/>
      <c r="AA53" s="2066"/>
      <c r="AB53" s="2066"/>
      <c r="AC53" s="2066"/>
      <c r="AD53" s="2066"/>
      <c r="AE53" s="2066"/>
      <c r="AF53" s="2066"/>
      <c r="AG53" s="2066"/>
      <c r="AH53" s="2066"/>
      <c r="AI53" s="2066"/>
      <c r="AJ53" s="2067"/>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86">
        <f>AO36</f>
        <v>0</v>
      </c>
      <c r="AL56" s="2087"/>
      <c r="AM56" s="2088"/>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30" t="s">
        <v>1423</v>
      </c>
      <c r="AF59" s="1930"/>
      <c r="AG59" s="1930"/>
      <c r="AH59" s="1930"/>
      <c r="AI59" s="1930"/>
      <c r="AJ59" s="1930"/>
      <c r="AK59" s="1930"/>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13" t="s">
        <v>598</v>
      </c>
      <c r="C62" s="2113"/>
      <c r="D62" s="581" t="s">
        <v>1424</v>
      </c>
      <c r="E62" s="2105" t="s">
        <v>2328</v>
      </c>
      <c r="F62" s="2106"/>
      <c r="G62" s="2106"/>
      <c r="H62" s="2106"/>
      <c r="I62" s="2106"/>
      <c r="J62" s="2106"/>
      <c r="K62" s="2106"/>
      <c r="L62" s="2106"/>
      <c r="M62" s="2106"/>
      <c r="N62" s="2106"/>
      <c r="O62" s="2106"/>
      <c r="P62" s="2106"/>
      <c r="Q62" s="2106"/>
      <c r="R62" s="2106"/>
      <c r="S62" s="2106"/>
      <c r="T62" s="2106"/>
      <c r="U62" s="2106"/>
      <c r="V62" s="2106"/>
      <c r="W62" s="2106"/>
      <c r="X62" s="2106"/>
      <c r="Y62" s="2106"/>
      <c r="Z62" s="2106"/>
      <c r="AA62" s="2106"/>
      <c r="AB62" s="2106"/>
      <c r="AC62" s="2106"/>
      <c r="AD62" s="2106"/>
      <c r="AE62" s="2106"/>
      <c r="AF62" s="2106"/>
      <c r="AG62" s="2106"/>
      <c r="AH62" s="2106"/>
      <c r="AI62" s="2106"/>
      <c r="AJ62" s="2107"/>
      <c r="AK62" s="577"/>
      <c r="AL62" s="574"/>
      <c r="AM62" s="574"/>
      <c r="AN62" s="569"/>
      <c r="AO62" s="584">
        <f>IF($B62="yes",10,0)</f>
        <v>0</v>
      </c>
    </row>
    <row r="63" spans="1:50" s="570" customFormat="1" ht="12.75" customHeight="1">
      <c r="A63" s="572"/>
      <c r="B63" s="574"/>
      <c r="C63" s="574"/>
      <c r="D63" s="585"/>
      <c r="E63" s="2108"/>
      <c r="F63" s="2109"/>
      <c r="G63" s="2109"/>
      <c r="H63" s="2109"/>
      <c r="I63" s="2109"/>
      <c r="J63" s="2109"/>
      <c r="K63" s="2109"/>
      <c r="L63" s="2109"/>
      <c r="M63" s="2109"/>
      <c r="N63" s="2109"/>
      <c r="O63" s="2109"/>
      <c r="P63" s="2109"/>
      <c r="Q63" s="2109"/>
      <c r="R63" s="2109"/>
      <c r="S63" s="2109"/>
      <c r="T63" s="2109"/>
      <c r="U63" s="2109"/>
      <c r="V63" s="2109"/>
      <c r="W63" s="2109"/>
      <c r="X63" s="2109"/>
      <c r="Y63" s="2109"/>
      <c r="Z63" s="2109"/>
      <c r="AA63" s="2109"/>
      <c r="AB63" s="2109"/>
      <c r="AC63" s="2109"/>
      <c r="AD63" s="2109"/>
      <c r="AE63" s="2109"/>
      <c r="AF63" s="2109"/>
      <c r="AG63" s="2109"/>
      <c r="AH63" s="2109"/>
      <c r="AI63" s="2109"/>
      <c r="AJ63" s="2110"/>
      <c r="AK63" s="577"/>
      <c r="AL63" s="574"/>
      <c r="AM63" s="574"/>
      <c r="AN63" s="569"/>
      <c r="AO63" s="584">
        <f>IF($B68="yes",10,0)</f>
        <v>10</v>
      </c>
    </row>
    <row r="64" spans="1:50" s="570" customFormat="1" ht="12.75" customHeight="1">
      <c r="A64" s="572"/>
      <c r="B64" s="574"/>
      <c r="C64" s="574"/>
      <c r="D64" s="585"/>
      <c r="E64" s="2108"/>
      <c r="F64" s="2109"/>
      <c r="G64" s="2109"/>
      <c r="H64" s="2109"/>
      <c r="I64" s="2109"/>
      <c r="J64" s="2109"/>
      <c r="K64" s="2109"/>
      <c r="L64" s="2109"/>
      <c r="M64" s="2109"/>
      <c r="N64" s="2109"/>
      <c r="O64" s="2109"/>
      <c r="P64" s="2109"/>
      <c r="Q64" s="2109"/>
      <c r="R64" s="2109"/>
      <c r="S64" s="2109"/>
      <c r="T64" s="2109"/>
      <c r="U64" s="2109"/>
      <c r="V64" s="2109"/>
      <c r="W64" s="2109"/>
      <c r="X64" s="2109"/>
      <c r="Y64" s="2109"/>
      <c r="Z64" s="2109"/>
      <c r="AA64" s="2109"/>
      <c r="AB64" s="2109"/>
      <c r="AC64" s="2109"/>
      <c r="AD64" s="2109"/>
      <c r="AE64" s="2109"/>
      <c r="AF64" s="2109"/>
      <c r="AG64" s="2109"/>
      <c r="AH64" s="2109"/>
      <c r="AI64" s="2109"/>
      <c r="AJ64" s="2110"/>
      <c r="AK64" s="577"/>
      <c r="AL64" s="574"/>
      <c r="AM64" s="574"/>
      <c r="AN64" s="569"/>
      <c r="AO64" s="584">
        <f>IF($B75="yes",10,0)</f>
        <v>0</v>
      </c>
    </row>
    <row r="65" spans="1:42" s="570" customFormat="1" ht="12.75" customHeight="1">
      <c r="A65" s="572"/>
      <c r="B65" s="574"/>
      <c r="C65" s="574"/>
      <c r="D65" s="585"/>
      <c r="E65" s="2108"/>
      <c r="F65" s="2109"/>
      <c r="G65" s="2109"/>
      <c r="H65" s="2109"/>
      <c r="I65" s="2109"/>
      <c r="J65" s="2109"/>
      <c r="K65" s="2109"/>
      <c r="L65" s="2109"/>
      <c r="M65" s="2109"/>
      <c r="N65" s="2109"/>
      <c r="O65" s="2109"/>
      <c r="P65" s="2109"/>
      <c r="Q65" s="2109"/>
      <c r="R65" s="2109"/>
      <c r="S65" s="2109"/>
      <c r="T65" s="2109"/>
      <c r="U65" s="2109"/>
      <c r="V65" s="2109"/>
      <c r="W65" s="2109"/>
      <c r="X65" s="2109"/>
      <c r="Y65" s="2109"/>
      <c r="Z65" s="2109"/>
      <c r="AA65" s="2109"/>
      <c r="AB65" s="2109"/>
      <c r="AC65" s="2109"/>
      <c r="AD65" s="2109"/>
      <c r="AE65" s="2109"/>
      <c r="AF65" s="2109"/>
      <c r="AG65" s="2109"/>
      <c r="AH65" s="2109"/>
      <c r="AI65" s="2109"/>
      <c r="AJ65" s="2110"/>
      <c r="AK65" s="577"/>
      <c r="AL65" s="574"/>
      <c r="AM65" s="574"/>
      <c r="AN65" s="569"/>
      <c r="AO65" s="570">
        <f>IF(SUM(AO62:AO64)&gt;10,10,(SUM(AO62:AO64)))</f>
        <v>10</v>
      </c>
      <c r="AP65" s="608" t="s">
        <v>1425</v>
      </c>
    </row>
    <row r="66" spans="1:42" s="570" customFormat="1" ht="12.75" customHeight="1">
      <c r="A66" s="572"/>
      <c r="B66" s="574"/>
      <c r="C66" s="574"/>
      <c r="D66" s="585"/>
      <c r="E66" s="2135"/>
      <c r="F66" s="2136"/>
      <c r="G66" s="2136"/>
      <c r="H66" s="2136"/>
      <c r="I66" s="2136"/>
      <c r="J66" s="2136"/>
      <c r="K66" s="2136"/>
      <c r="L66" s="2136"/>
      <c r="M66" s="2136"/>
      <c r="N66" s="2136"/>
      <c r="O66" s="2136"/>
      <c r="P66" s="2136"/>
      <c r="Q66" s="2136"/>
      <c r="R66" s="2136"/>
      <c r="S66" s="2136"/>
      <c r="T66" s="2136"/>
      <c r="U66" s="2136"/>
      <c r="V66" s="2136"/>
      <c r="W66" s="2136"/>
      <c r="X66" s="2136"/>
      <c r="Y66" s="2136"/>
      <c r="Z66" s="2136"/>
      <c r="AA66" s="2136"/>
      <c r="AB66" s="2136"/>
      <c r="AC66" s="2136"/>
      <c r="AD66" s="2136"/>
      <c r="AE66" s="2136"/>
      <c r="AF66" s="2136"/>
      <c r="AG66" s="2136"/>
      <c r="AH66" s="2136"/>
      <c r="AI66" s="2136"/>
      <c r="AJ66" s="213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13" t="s">
        <v>552</v>
      </c>
      <c r="C68" s="2113"/>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8" t="s">
        <v>552</v>
      </c>
      <c r="F69" s="2113"/>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33" t="s">
        <v>598</v>
      </c>
      <c r="F70" s="2134"/>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33" t="s">
        <v>598</v>
      </c>
      <c r="F71" s="2134"/>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8" t="s">
        <v>552</v>
      </c>
      <c r="F73" s="2113"/>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13" t="s">
        <v>598</v>
      </c>
      <c r="C75" s="2113"/>
      <c r="D75" s="581" t="s">
        <v>1429</v>
      </c>
      <c r="E75" s="2040" t="s">
        <v>1928</v>
      </c>
      <c r="F75" s="2041"/>
      <c r="G75" s="2041"/>
      <c r="H75" s="2041"/>
      <c r="I75" s="2041"/>
      <c r="J75" s="2041"/>
      <c r="K75" s="2041"/>
      <c r="L75" s="2041"/>
      <c r="M75" s="2041"/>
      <c r="N75" s="2041"/>
      <c r="O75" s="2041"/>
      <c r="P75" s="2041"/>
      <c r="Q75" s="2041"/>
      <c r="R75" s="2041"/>
      <c r="S75" s="2041"/>
      <c r="T75" s="2041"/>
      <c r="U75" s="2041"/>
      <c r="V75" s="2041"/>
      <c r="W75" s="2041"/>
      <c r="X75" s="2041"/>
      <c r="Y75" s="2041"/>
      <c r="Z75" s="2041"/>
      <c r="AA75" s="2041"/>
      <c r="AB75" s="2041"/>
      <c r="AC75" s="2041"/>
      <c r="AD75" s="2041"/>
      <c r="AE75" s="2041"/>
      <c r="AF75" s="2041"/>
      <c r="AG75" s="2041"/>
      <c r="AH75" s="2041"/>
      <c r="AI75" s="2041"/>
      <c r="AJ75" s="2042"/>
      <c r="AK75" s="577"/>
      <c r="AL75" s="574"/>
      <c r="AM75" s="574"/>
      <c r="AN75" s="569"/>
    </row>
    <row r="76" spans="1:42" s="570" customFormat="1" ht="12.75" customHeight="1">
      <c r="A76" s="572"/>
      <c r="B76" s="574"/>
      <c r="C76" s="574"/>
      <c r="D76" s="584"/>
      <c r="E76" s="2065"/>
      <c r="F76" s="2066"/>
      <c r="G76" s="2066"/>
      <c r="H76" s="2066"/>
      <c r="I76" s="2066"/>
      <c r="J76" s="2066"/>
      <c r="K76" s="2066"/>
      <c r="L76" s="2066"/>
      <c r="M76" s="2066"/>
      <c r="N76" s="2066"/>
      <c r="O76" s="2066"/>
      <c r="P76" s="2066"/>
      <c r="Q76" s="2066"/>
      <c r="R76" s="2066"/>
      <c r="S76" s="2066"/>
      <c r="T76" s="2066"/>
      <c r="U76" s="2066"/>
      <c r="V76" s="2066"/>
      <c r="W76" s="2066"/>
      <c r="X76" s="2066"/>
      <c r="Y76" s="2066"/>
      <c r="Z76" s="2066"/>
      <c r="AA76" s="2066"/>
      <c r="AB76" s="2066"/>
      <c r="AC76" s="2066"/>
      <c r="AD76" s="2066"/>
      <c r="AE76" s="2066"/>
      <c r="AF76" s="2066"/>
      <c r="AG76" s="2066"/>
      <c r="AH76" s="2066"/>
      <c r="AI76" s="2066"/>
      <c r="AJ76" s="2067"/>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86">
        <f>IF(AK56&gt;0,0,AO65)</f>
        <v>10</v>
      </c>
      <c r="AL78" s="2087"/>
      <c r="AM78" s="2088"/>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30" t="s">
        <v>1414</v>
      </c>
      <c r="AF81" s="1930"/>
      <c r="AG81" s="1930"/>
      <c r="AH81" s="1930"/>
      <c r="AI81" s="1930"/>
      <c r="AJ81" s="1930"/>
      <c r="AK81" s="1930"/>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13" t="s">
        <v>598</v>
      </c>
      <c r="C84" s="2113"/>
      <c r="D84" s="581" t="s">
        <v>1424</v>
      </c>
      <c r="E84" s="2105" t="s">
        <v>1434</v>
      </c>
      <c r="F84" s="2106"/>
      <c r="G84" s="2106"/>
      <c r="H84" s="2106"/>
      <c r="I84" s="2106"/>
      <c r="J84" s="2106"/>
      <c r="K84" s="2106"/>
      <c r="L84" s="2106"/>
      <c r="M84" s="2106"/>
      <c r="N84" s="2106"/>
      <c r="O84" s="2106"/>
      <c r="P84" s="2106"/>
      <c r="Q84" s="2106"/>
      <c r="R84" s="2106"/>
      <c r="S84" s="2106"/>
      <c r="T84" s="2106"/>
      <c r="U84" s="2106"/>
      <c r="V84" s="2106"/>
      <c r="W84" s="2106"/>
      <c r="X84" s="2106"/>
      <c r="Y84" s="2106"/>
      <c r="Z84" s="2106"/>
      <c r="AA84" s="2106"/>
      <c r="AB84" s="2106"/>
      <c r="AC84" s="2106"/>
      <c r="AD84" s="2106"/>
      <c r="AE84" s="2106"/>
      <c r="AF84" s="2106"/>
      <c r="AG84" s="2106"/>
      <c r="AH84" s="2106"/>
      <c r="AI84" s="2106"/>
      <c r="AJ84" s="2107"/>
      <c r="AK84" s="577"/>
      <c r="AL84" s="574"/>
      <c r="AM84" s="574"/>
      <c r="AN84" s="569"/>
    </row>
    <row r="85" spans="1:43" s="570" customFormat="1" ht="12.75" customHeight="1">
      <c r="A85" s="572"/>
      <c r="B85" s="573"/>
      <c r="C85" s="573"/>
      <c r="D85" s="573"/>
      <c r="E85" s="2108"/>
      <c r="F85" s="2109"/>
      <c r="G85" s="2109"/>
      <c r="H85" s="2109"/>
      <c r="I85" s="2109"/>
      <c r="J85" s="2109"/>
      <c r="K85" s="2109"/>
      <c r="L85" s="2109"/>
      <c r="M85" s="2109"/>
      <c r="N85" s="2109"/>
      <c r="O85" s="2109"/>
      <c r="P85" s="2109"/>
      <c r="Q85" s="2109"/>
      <c r="R85" s="2109"/>
      <c r="S85" s="2109"/>
      <c r="T85" s="2109"/>
      <c r="U85" s="2109"/>
      <c r="V85" s="2109"/>
      <c r="W85" s="2109"/>
      <c r="X85" s="2109"/>
      <c r="Y85" s="2109"/>
      <c r="Z85" s="2109"/>
      <c r="AA85" s="2109"/>
      <c r="AB85" s="2109"/>
      <c r="AC85" s="2109"/>
      <c r="AD85" s="2109"/>
      <c r="AE85" s="2109"/>
      <c r="AF85" s="2109"/>
      <c r="AG85" s="2109"/>
      <c r="AH85" s="2109"/>
      <c r="AI85" s="2109"/>
      <c r="AJ85" s="2110"/>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101">
        <f>Application!AC753</f>
        <v>0.6</v>
      </c>
      <c r="F87" s="2102"/>
      <c r="G87" s="2102"/>
      <c r="H87" s="2102"/>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32">
        <f>0.6-ROUNDUP(E87,2)</f>
        <v>0</v>
      </c>
      <c r="F88" s="1904"/>
      <c r="G88" s="1904"/>
      <c r="H88" s="1904"/>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7">
        <f>IF(E88*200&gt;20,20,E88*200)</f>
        <v>0</v>
      </c>
      <c r="F89" s="2118"/>
      <c r="G89" s="2118"/>
      <c r="H89" s="2118"/>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13" t="s">
        <v>552</v>
      </c>
      <c r="C92" s="2113"/>
      <c r="D92" s="581" t="s">
        <v>1426</v>
      </c>
      <c r="E92" s="2105" t="s">
        <v>1913</v>
      </c>
      <c r="F92" s="2106"/>
      <c r="G92" s="2106"/>
      <c r="H92" s="2106"/>
      <c r="I92" s="2106"/>
      <c r="J92" s="2106"/>
      <c r="K92" s="2106"/>
      <c r="L92" s="2106"/>
      <c r="M92" s="2106"/>
      <c r="N92" s="2106"/>
      <c r="O92" s="2106"/>
      <c r="P92" s="2106"/>
      <c r="Q92" s="2106"/>
      <c r="R92" s="2106"/>
      <c r="S92" s="2106"/>
      <c r="T92" s="2106"/>
      <c r="U92" s="2106"/>
      <c r="V92" s="2106"/>
      <c r="W92" s="2106"/>
      <c r="X92" s="2106"/>
      <c r="Y92" s="2106"/>
      <c r="Z92" s="2106"/>
      <c r="AA92" s="2106"/>
      <c r="AB92" s="2106"/>
      <c r="AC92" s="2106"/>
      <c r="AD92" s="2106"/>
      <c r="AE92" s="2106"/>
      <c r="AF92" s="2106"/>
      <c r="AG92" s="2106"/>
      <c r="AH92" s="2106"/>
      <c r="AI92" s="2106"/>
      <c r="AJ92" s="2107"/>
      <c r="AK92" s="577"/>
      <c r="AL92" s="574"/>
      <c r="AM92" s="574"/>
      <c r="AN92" s="569"/>
    </row>
    <row r="93" spans="1:43" s="570" customFormat="1" ht="12.75" customHeight="1">
      <c r="A93" s="572"/>
      <c r="B93" s="573"/>
      <c r="C93" s="573"/>
      <c r="D93" s="573"/>
      <c r="E93" s="2108"/>
      <c r="F93" s="2109"/>
      <c r="G93" s="2109"/>
      <c r="H93" s="2109"/>
      <c r="I93" s="2109"/>
      <c r="J93" s="2109"/>
      <c r="K93" s="2109"/>
      <c r="L93" s="2109"/>
      <c r="M93" s="2109"/>
      <c r="N93" s="2109"/>
      <c r="O93" s="2109"/>
      <c r="P93" s="2109"/>
      <c r="Q93" s="2109"/>
      <c r="R93" s="2109"/>
      <c r="S93" s="2109"/>
      <c r="T93" s="2109"/>
      <c r="U93" s="2109"/>
      <c r="V93" s="2109"/>
      <c r="W93" s="2109"/>
      <c r="X93" s="2109"/>
      <c r="Y93" s="2109"/>
      <c r="Z93" s="2109"/>
      <c r="AA93" s="2109"/>
      <c r="AB93" s="2109"/>
      <c r="AC93" s="2109"/>
      <c r="AD93" s="2109"/>
      <c r="AE93" s="2109"/>
      <c r="AF93" s="2109"/>
      <c r="AG93" s="2109"/>
      <c r="AH93" s="2109"/>
      <c r="AI93" s="2109"/>
      <c r="AJ93" s="2110"/>
      <c r="AK93" s="577"/>
      <c r="AL93" s="574"/>
      <c r="AM93" s="574"/>
      <c r="AN93" s="569"/>
    </row>
    <row r="94" spans="1:43" s="570" customFormat="1" ht="12.75" customHeight="1">
      <c r="A94" s="572"/>
      <c r="B94" s="573"/>
      <c r="C94" s="573"/>
      <c r="D94" s="573"/>
      <c r="E94" s="2108"/>
      <c r="F94" s="2109"/>
      <c r="G94" s="2109"/>
      <c r="H94" s="2109"/>
      <c r="I94" s="2109"/>
      <c r="J94" s="2109"/>
      <c r="K94" s="2109"/>
      <c r="L94" s="2109"/>
      <c r="M94" s="2109"/>
      <c r="N94" s="2109"/>
      <c r="O94" s="2109"/>
      <c r="P94" s="2109"/>
      <c r="Q94" s="2109"/>
      <c r="R94" s="2109"/>
      <c r="S94" s="2109"/>
      <c r="T94" s="2109"/>
      <c r="U94" s="2109"/>
      <c r="V94" s="2109"/>
      <c r="W94" s="2109"/>
      <c r="X94" s="2109"/>
      <c r="Y94" s="2109"/>
      <c r="Z94" s="2109"/>
      <c r="AA94" s="2109"/>
      <c r="AB94" s="2109"/>
      <c r="AC94" s="2109"/>
      <c r="AD94" s="2109"/>
      <c r="AE94" s="2109"/>
      <c r="AF94" s="2109"/>
      <c r="AG94" s="2109"/>
      <c r="AH94" s="2109"/>
      <c r="AI94" s="2109"/>
      <c r="AJ94" s="2110"/>
      <c r="AK94" s="577"/>
      <c r="AL94" s="574"/>
      <c r="AM94" s="574"/>
      <c r="AN94" s="569"/>
    </row>
    <row r="95" spans="1:43" s="570" customFormat="1" ht="12.75" customHeight="1">
      <c r="A95" s="572"/>
      <c r="B95" s="573"/>
      <c r="C95" s="573"/>
      <c r="D95" s="573"/>
      <c r="E95" s="2108"/>
      <c r="F95" s="2109"/>
      <c r="G95" s="2109"/>
      <c r="H95" s="2109"/>
      <c r="I95" s="2109"/>
      <c r="J95" s="2109"/>
      <c r="K95" s="2109"/>
      <c r="L95" s="2109"/>
      <c r="M95" s="2109"/>
      <c r="N95" s="2109"/>
      <c r="O95" s="2109"/>
      <c r="P95" s="2109"/>
      <c r="Q95" s="2109"/>
      <c r="R95" s="2109"/>
      <c r="S95" s="2109"/>
      <c r="T95" s="2109"/>
      <c r="U95" s="2109"/>
      <c r="V95" s="2109"/>
      <c r="W95" s="2109"/>
      <c r="X95" s="2109"/>
      <c r="Y95" s="2109"/>
      <c r="Z95" s="2109"/>
      <c r="AA95" s="2109"/>
      <c r="AB95" s="2109"/>
      <c r="AC95" s="2109"/>
      <c r="AD95" s="2109"/>
      <c r="AE95" s="2109"/>
      <c r="AF95" s="2109"/>
      <c r="AG95" s="2109"/>
      <c r="AH95" s="2109"/>
      <c r="AI95" s="2109"/>
      <c r="AJ95" s="2110"/>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101">
        <f>Application!AC753</f>
        <v>0.6</v>
      </c>
      <c r="F97" s="2102"/>
      <c r="G97" s="2102"/>
      <c r="H97" s="2102"/>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101">
        <f ca="1">SUMIF(Application!AC718:AG752,0.2,Application!G718:J752)/Application!G753+SUMIF(Application!AC718:AG752,0.25,Application!G718:J752)/Application!G753+SUMIF(Application!AC718:AG752,0.3,Application!G718:J752)/Application!G753</f>
        <v>0.13776722090261281</v>
      </c>
      <c r="F98" s="2102"/>
      <c r="G98" s="2102"/>
      <c r="H98" s="2102"/>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101">
        <f ca="1">SUMIF(Application!AC718:AG752,0.35,Application!G718:J752)/Application!G753+SUMIF(Application!AC718:AG752,0.4,Application!G718:J752)/Application!G753+SUMIF(Application!AC718:AG752,0.45,Application!G718:J752)/Application!G753+SUMIF(Application!AC718:AG752,0.5,Application!G718:J752)/Application!G753</f>
        <v>0.10213776722090261</v>
      </c>
      <c r="F99" s="2102"/>
      <c r="G99" s="2102"/>
      <c r="H99" s="2102"/>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9">
        <f ca="1">IF(AND(E97&lt;=0.6,E98&gt;=0.1,OR(E99&gt;=0.1,E98&gt;=0.2)),20,0)</f>
        <v>20</v>
      </c>
      <c r="F100" s="2100"/>
      <c r="G100" s="2100"/>
      <c r="H100" s="2100"/>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86">
        <f ca="1">MAX(AP89,AP100)</f>
        <v>20</v>
      </c>
      <c r="AL103" s="2087"/>
      <c r="AM103" s="2088"/>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30" t="s">
        <v>1423</v>
      </c>
      <c r="AF106" s="1930"/>
      <c r="AG106" s="1930"/>
      <c r="AH106" s="1930"/>
      <c r="AI106" s="1930"/>
      <c r="AJ106" s="1930"/>
      <c r="AK106" s="1930"/>
      <c r="AL106" s="574"/>
      <c r="AM106" s="574"/>
      <c r="AN106" s="569"/>
      <c r="AO106" s="570" t="str">
        <f>Application!B718</f>
        <v>SRO/Studio</v>
      </c>
      <c r="AQ106" s="570">
        <f>Application!O718</f>
        <v>1028</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1713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2056</v>
      </c>
    </row>
    <row r="109" spans="1:49" s="570" customFormat="1" ht="12.75" customHeight="1">
      <c r="A109" s="574"/>
      <c r="B109" s="2113" t="s">
        <v>552</v>
      </c>
      <c r="C109" s="2113"/>
      <c r="D109" s="581" t="s">
        <v>1424</v>
      </c>
      <c r="E109" s="2105" t="s">
        <v>2047</v>
      </c>
      <c r="F109" s="2106"/>
      <c r="G109" s="2106"/>
      <c r="H109" s="2106"/>
      <c r="I109" s="2106"/>
      <c r="J109" s="2106"/>
      <c r="K109" s="2106"/>
      <c r="L109" s="2106"/>
      <c r="M109" s="2106"/>
      <c r="N109" s="2106"/>
      <c r="O109" s="2106"/>
      <c r="P109" s="2106"/>
      <c r="Q109" s="2106"/>
      <c r="R109" s="2106"/>
      <c r="S109" s="2106"/>
      <c r="T109" s="2106"/>
      <c r="U109" s="2106"/>
      <c r="V109" s="2106"/>
      <c r="W109" s="2106"/>
      <c r="X109" s="2106"/>
      <c r="Y109" s="2106"/>
      <c r="Z109" s="2106"/>
      <c r="AA109" s="2106"/>
      <c r="AB109" s="2106"/>
      <c r="AC109" s="2106"/>
      <c r="AD109" s="2106"/>
      <c r="AE109" s="2106"/>
      <c r="AF109" s="2106"/>
      <c r="AG109" s="2106"/>
      <c r="AH109" s="2106"/>
      <c r="AI109" s="2106"/>
      <c r="AJ109" s="2107"/>
      <c r="AK109" s="574"/>
      <c r="AL109" s="574"/>
      <c r="AM109" s="574"/>
      <c r="AN109" s="569"/>
      <c r="AO109" s="570" t="str">
        <f>Application!B721</f>
        <v>SRO/Studio</v>
      </c>
      <c r="AQ109" s="570">
        <f>Application!O721</f>
        <v>2399</v>
      </c>
      <c r="AU109" s="570" t="s">
        <v>2029</v>
      </c>
      <c r="AV109" s="629" t="s">
        <v>2030</v>
      </c>
      <c r="AW109" s="570" t="s">
        <v>2031</v>
      </c>
    </row>
    <row r="110" spans="1:49" s="570" customFormat="1" ht="12.75" customHeight="1">
      <c r="A110" s="574"/>
      <c r="B110" s="573"/>
      <c r="C110" s="573"/>
      <c r="D110" s="573"/>
      <c r="E110" s="2108"/>
      <c r="F110" s="2109"/>
      <c r="G110" s="2109"/>
      <c r="H110" s="2109"/>
      <c r="I110" s="2109"/>
      <c r="J110" s="2109"/>
      <c r="K110" s="2109"/>
      <c r="L110" s="2109"/>
      <c r="M110" s="2109"/>
      <c r="N110" s="2109"/>
      <c r="O110" s="2109"/>
      <c r="P110" s="2109"/>
      <c r="Q110" s="2109"/>
      <c r="R110" s="2109"/>
      <c r="S110" s="2109"/>
      <c r="T110" s="2109"/>
      <c r="U110" s="2109"/>
      <c r="V110" s="2109"/>
      <c r="W110" s="2109"/>
      <c r="X110" s="2109"/>
      <c r="Y110" s="2109"/>
      <c r="Z110" s="2109"/>
      <c r="AA110" s="2109"/>
      <c r="AB110" s="2109"/>
      <c r="AC110" s="2109"/>
      <c r="AD110" s="2109"/>
      <c r="AE110" s="2109"/>
      <c r="AF110" s="2109"/>
      <c r="AG110" s="2109"/>
      <c r="AH110" s="2109"/>
      <c r="AI110" s="2109"/>
      <c r="AJ110" s="2110"/>
      <c r="AK110" s="574"/>
      <c r="AL110" s="574"/>
      <c r="AM110" s="574"/>
      <c r="AN110" s="569"/>
      <c r="AO110" s="570">
        <f>Application!B722</f>
        <v>0</v>
      </c>
      <c r="AQ110" s="570">
        <f>Application!O722</f>
        <v>0</v>
      </c>
      <c r="AU110" s="890" t="str">
        <f>E118</f>
        <v>Studio/SRO</v>
      </c>
      <c r="AV110" s="570">
        <f t="array" ref="AV110">SUM(IF(Application!B718:F752="SRO/Studio",Application!G718:J752))</f>
        <v>421</v>
      </c>
      <c r="AW110" s="1046">
        <f>AV110/AV116</f>
        <v>1</v>
      </c>
    </row>
    <row r="111" spans="1:49" s="570" customFormat="1" ht="12.75" customHeight="1">
      <c r="A111" s="574"/>
      <c r="B111" s="573"/>
      <c r="C111" s="573"/>
      <c r="D111" s="573"/>
      <c r="E111" s="2108"/>
      <c r="F111" s="2109"/>
      <c r="G111" s="2109"/>
      <c r="H111" s="2109"/>
      <c r="I111" s="2109"/>
      <c r="J111" s="2109"/>
      <c r="K111" s="2109"/>
      <c r="L111" s="2109"/>
      <c r="M111" s="2109"/>
      <c r="N111" s="2109"/>
      <c r="O111" s="2109"/>
      <c r="P111" s="2109"/>
      <c r="Q111" s="2109"/>
      <c r="R111" s="2109"/>
      <c r="S111" s="2109"/>
      <c r="T111" s="2109"/>
      <c r="U111" s="2109"/>
      <c r="V111" s="2109"/>
      <c r="W111" s="2109"/>
      <c r="X111" s="2109"/>
      <c r="Y111" s="2109"/>
      <c r="Z111" s="2109"/>
      <c r="AA111" s="2109"/>
      <c r="AB111" s="2109"/>
      <c r="AC111" s="2109"/>
      <c r="AD111" s="2109"/>
      <c r="AE111" s="2109"/>
      <c r="AF111" s="2109"/>
      <c r="AG111" s="2109"/>
      <c r="AH111" s="2109"/>
      <c r="AI111" s="2109"/>
      <c r="AJ111" s="2110"/>
      <c r="AK111" s="574"/>
      <c r="AL111" s="574"/>
      <c r="AM111" s="574"/>
      <c r="AN111" s="569"/>
      <c r="AO111" s="570">
        <f>Application!B723</f>
        <v>0</v>
      </c>
      <c r="AQ111" s="570">
        <f>Application!O723</f>
        <v>0</v>
      </c>
      <c r="AU111" s="890" t="str">
        <f>J118</f>
        <v>1-bedroom</v>
      </c>
      <c r="AV111" s="570">
        <f t="array" ref="AV111">SUM(IF(Application!B718:F752="1 Bedroom",Application!G718:J752))</f>
        <v>0</v>
      </c>
      <c r="AW111" s="1046">
        <f>AV111/AV116</f>
        <v>0</v>
      </c>
    </row>
    <row r="112" spans="1:49" s="570" customFormat="1" ht="12.75" customHeight="1">
      <c r="A112" s="574"/>
      <c r="B112" s="573"/>
      <c r="C112" s="573"/>
      <c r="D112" s="573"/>
      <c r="E112" s="2108"/>
      <c r="F112" s="2109"/>
      <c r="G112" s="2109"/>
      <c r="H112" s="2109"/>
      <c r="I112" s="2109"/>
      <c r="J112" s="2109"/>
      <c r="K112" s="2109"/>
      <c r="L112" s="2109"/>
      <c r="M112" s="2109"/>
      <c r="N112" s="2109"/>
      <c r="O112" s="2109"/>
      <c r="P112" s="2109"/>
      <c r="Q112" s="2109"/>
      <c r="R112" s="2109"/>
      <c r="S112" s="2109"/>
      <c r="T112" s="2109"/>
      <c r="U112" s="2109"/>
      <c r="V112" s="2109"/>
      <c r="W112" s="2109"/>
      <c r="X112" s="2109"/>
      <c r="Y112" s="2109"/>
      <c r="Z112" s="2109"/>
      <c r="AA112" s="2109"/>
      <c r="AB112" s="2109"/>
      <c r="AC112" s="2109"/>
      <c r="AD112" s="2109"/>
      <c r="AE112" s="2109"/>
      <c r="AF112" s="2109"/>
      <c r="AG112" s="2109"/>
      <c r="AH112" s="2109"/>
      <c r="AI112" s="2109"/>
      <c r="AJ112" s="2110"/>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2108"/>
      <c r="F113" s="2109"/>
      <c r="G113" s="2109"/>
      <c r="H113" s="2109"/>
      <c r="I113" s="2109"/>
      <c r="J113" s="2109"/>
      <c r="K113" s="2109"/>
      <c r="L113" s="2109"/>
      <c r="M113" s="2109"/>
      <c r="N113" s="2109"/>
      <c r="O113" s="2109"/>
      <c r="P113" s="2109"/>
      <c r="Q113" s="2109"/>
      <c r="R113" s="2109"/>
      <c r="S113" s="2109"/>
      <c r="T113" s="2109"/>
      <c r="U113" s="2109"/>
      <c r="V113" s="2109"/>
      <c r="W113" s="2109"/>
      <c r="X113" s="2109"/>
      <c r="Y113" s="2109"/>
      <c r="Z113" s="2109"/>
      <c r="AA113" s="2109"/>
      <c r="AB113" s="2109"/>
      <c r="AC113" s="2109"/>
      <c r="AD113" s="2109"/>
      <c r="AE113" s="2109"/>
      <c r="AF113" s="2109"/>
      <c r="AG113" s="2109"/>
      <c r="AH113" s="2109"/>
      <c r="AI113" s="2109"/>
      <c r="AJ113" s="2110"/>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8"/>
      <c r="F114" s="2109"/>
      <c r="G114" s="2109"/>
      <c r="H114" s="2109"/>
      <c r="I114" s="2109"/>
      <c r="J114" s="2109"/>
      <c r="K114" s="2109"/>
      <c r="L114" s="2109"/>
      <c r="M114" s="2109"/>
      <c r="N114" s="2109"/>
      <c r="O114" s="2109"/>
      <c r="P114" s="2109"/>
      <c r="Q114" s="2109"/>
      <c r="R114" s="2109"/>
      <c r="S114" s="2109"/>
      <c r="T114" s="2109"/>
      <c r="U114" s="2109"/>
      <c r="V114" s="2109"/>
      <c r="W114" s="2109"/>
      <c r="X114" s="2109"/>
      <c r="Y114" s="2109"/>
      <c r="Z114" s="2109"/>
      <c r="AA114" s="2109"/>
      <c r="AB114" s="2109"/>
      <c r="AC114" s="2109"/>
      <c r="AD114" s="2109"/>
      <c r="AE114" s="2109"/>
      <c r="AF114" s="2109"/>
      <c r="AG114" s="2109"/>
      <c r="AH114" s="2109"/>
      <c r="AI114" s="2109"/>
      <c r="AJ114" s="2110"/>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8"/>
      <c r="F115" s="2109"/>
      <c r="G115" s="2109"/>
      <c r="H115" s="2109"/>
      <c r="I115" s="2109"/>
      <c r="J115" s="2109"/>
      <c r="K115" s="2109"/>
      <c r="L115" s="2109"/>
      <c r="M115" s="2109"/>
      <c r="N115" s="2109"/>
      <c r="O115" s="2109"/>
      <c r="P115" s="2109"/>
      <c r="Q115" s="2109"/>
      <c r="R115" s="2109"/>
      <c r="S115" s="2109"/>
      <c r="T115" s="2109"/>
      <c r="U115" s="2109"/>
      <c r="V115" s="2109"/>
      <c r="W115" s="2109"/>
      <c r="X115" s="2109"/>
      <c r="Y115" s="2109"/>
      <c r="Z115" s="2109"/>
      <c r="AA115" s="2109"/>
      <c r="AB115" s="2109"/>
      <c r="AC115" s="2109"/>
      <c r="AD115" s="2109"/>
      <c r="AE115" s="2109"/>
      <c r="AF115" s="2109"/>
      <c r="AG115" s="2109"/>
      <c r="AH115" s="2109"/>
      <c r="AI115" s="2109"/>
      <c r="AJ115" s="2110"/>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8"/>
      <c r="F116" s="2109"/>
      <c r="G116" s="2109"/>
      <c r="H116" s="2109"/>
      <c r="I116" s="2109"/>
      <c r="J116" s="2109"/>
      <c r="K116" s="2109"/>
      <c r="L116" s="2109"/>
      <c r="M116" s="2109"/>
      <c r="N116" s="2109"/>
      <c r="O116" s="2109"/>
      <c r="P116" s="2109"/>
      <c r="Q116" s="2109"/>
      <c r="R116" s="2109"/>
      <c r="S116" s="2109"/>
      <c r="T116" s="2109"/>
      <c r="U116" s="2109"/>
      <c r="V116" s="2109"/>
      <c r="W116" s="2109"/>
      <c r="X116" s="2109"/>
      <c r="Y116" s="2109"/>
      <c r="Z116" s="2109"/>
      <c r="AA116" s="2109"/>
      <c r="AB116" s="2109"/>
      <c r="AC116" s="2109"/>
      <c r="AD116" s="2109"/>
      <c r="AE116" s="2109"/>
      <c r="AF116" s="2109"/>
      <c r="AG116" s="2109"/>
      <c r="AH116" s="2109"/>
      <c r="AI116" s="2109"/>
      <c r="AJ116" s="2110"/>
      <c r="AK116" s="574"/>
      <c r="AL116" s="574"/>
      <c r="AM116" s="574"/>
      <c r="AN116" s="569"/>
      <c r="AO116" s="570">
        <f>Application!B728</f>
        <v>0</v>
      </c>
      <c r="AQ116" s="570">
        <f>Application!O728</f>
        <v>0</v>
      </c>
      <c r="AV116" s="570">
        <f>SUM(AV110:AV115)</f>
        <v>421</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101" t="s">
        <v>1698</v>
      </c>
      <c r="F118" s="2102"/>
      <c r="G118" s="2102"/>
      <c r="H118" s="2102"/>
      <c r="I118" s="611"/>
      <c r="J118" s="2102" t="s">
        <v>1742</v>
      </c>
      <c r="K118" s="2102"/>
      <c r="L118" s="2102"/>
      <c r="M118" s="2102"/>
      <c r="N118" s="611"/>
      <c r="O118" s="2102" t="s">
        <v>1743</v>
      </c>
      <c r="P118" s="2102"/>
      <c r="Q118" s="2102"/>
      <c r="R118" s="2102"/>
      <c r="S118" s="611"/>
      <c r="T118" s="2102" t="s">
        <v>1443</v>
      </c>
      <c r="U118" s="2102"/>
      <c r="V118" s="2102"/>
      <c r="W118" s="2102"/>
      <c r="X118" s="611"/>
      <c r="Y118" s="2102" t="s">
        <v>1744</v>
      </c>
      <c r="Z118" s="2102"/>
      <c r="AA118" s="2102"/>
      <c r="AB118" s="2102"/>
      <c r="AC118" s="611"/>
      <c r="AD118" s="2102" t="s">
        <v>1745</v>
      </c>
      <c r="AE118" s="2102"/>
      <c r="AF118" s="2102"/>
      <c r="AG118" s="2102"/>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103">
        <v>2590</v>
      </c>
      <c r="F121" s="2104"/>
      <c r="G121" s="2104"/>
      <c r="H121" s="2104"/>
      <c r="I121" s="898"/>
      <c r="J121" s="2104"/>
      <c r="K121" s="2104"/>
      <c r="L121" s="2104"/>
      <c r="M121" s="2104"/>
      <c r="N121" s="898"/>
      <c r="O121" s="2104"/>
      <c r="P121" s="2104"/>
      <c r="Q121" s="2104"/>
      <c r="R121" s="2104"/>
      <c r="S121" s="898"/>
      <c r="T121" s="2104"/>
      <c r="U121" s="2104"/>
      <c r="V121" s="2104"/>
      <c r="W121" s="2104"/>
      <c r="X121" s="898"/>
      <c r="Y121" s="2104"/>
      <c r="Z121" s="2104"/>
      <c r="AA121" s="2104"/>
      <c r="AB121" s="2104"/>
      <c r="AC121" s="898"/>
      <c r="AD121" s="2104"/>
      <c r="AE121" s="2104"/>
      <c r="AF121" s="2104"/>
      <c r="AG121" s="2104"/>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11">
        <f>Application!DX670</f>
        <v>2056.1377672209028</v>
      </c>
      <c r="F124" s="2112"/>
      <c r="G124" s="2112"/>
      <c r="H124" s="2112"/>
      <c r="I124" s="898"/>
      <c r="J124" s="2112">
        <f>Application!EC670</f>
        <v>0</v>
      </c>
      <c r="K124" s="2112"/>
      <c r="L124" s="2112"/>
      <c r="M124" s="2112"/>
      <c r="N124" s="898"/>
      <c r="O124" s="2112">
        <f>Application!EH670</f>
        <v>0</v>
      </c>
      <c r="P124" s="2112"/>
      <c r="Q124" s="2112"/>
      <c r="R124" s="2112"/>
      <c r="S124" s="902"/>
      <c r="T124" s="2112">
        <f>Application!EM670</f>
        <v>0</v>
      </c>
      <c r="U124" s="2112"/>
      <c r="V124" s="2112"/>
      <c r="W124" s="2112"/>
      <c r="X124" s="902"/>
      <c r="Y124" s="2112">
        <f>Application!ER670</f>
        <v>0</v>
      </c>
      <c r="Z124" s="2112"/>
      <c r="AA124" s="2112"/>
      <c r="AB124" s="2112"/>
      <c r="AC124" s="902"/>
      <c r="AD124" s="2112">
        <f>Application!EW670</f>
        <v>0</v>
      </c>
      <c r="AE124" s="2112"/>
      <c r="AF124" s="2112"/>
      <c r="AG124" s="2112"/>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903">
        <f>(E121-E124)/E121</f>
        <v>0.20612441420042363</v>
      </c>
      <c r="F127" s="1904"/>
      <c r="G127" s="1904"/>
      <c r="H127" s="1905"/>
      <c r="I127" s="611"/>
      <c r="J127" s="1903" t="e">
        <f>(J121-J124)/J121</f>
        <v>#DIV/0!</v>
      </c>
      <c r="K127" s="1904"/>
      <c r="L127" s="1904"/>
      <c r="M127" s="1905"/>
      <c r="N127" s="611"/>
      <c r="O127" s="1903" t="e">
        <f>(O121-O124)/O121</f>
        <v>#DIV/0!</v>
      </c>
      <c r="P127" s="1904"/>
      <c r="Q127" s="1904"/>
      <c r="R127" s="1905"/>
      <c r="S127" s="611"/>
      <c r="T127" s="1903" t="e">
        <f>(T121-T124)/T121</f>
        <v>#DIV/0!</v>
      </c>
      <c r="U127" s="1904"/>
      <c r="V127" s="1904"/>
      <c r="W127" s="1905"/>
      <c r="X127" s="611"/>
      <c r="Y127" s="1903" t="e">
        <f>(Y121-Y124)/Y121</f>
        <v>#DIV/0!</v>
      </c>
      <c r="Z127" s="1904"/>
      <c r="AA127" s="1904"/>
      <c r="AB127" s="1905"/>
      <c r="AC127" s="611"/>
      <c r="AD127" s="1903" t="e">
        <f>(AD121-AD124)/AD121</f>
        <v>#DIV/0!</v>
      </c>
      <c r="AE127" s="1904"/>
      <c r="AF127" s="1904"/>
      <c r="AG127" s="1905"/>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14">
        <f>IF(((E127-0.1)*AW110)&gt;0,((E127-0.1)*AW110),0)</f>
        <v>0.10612441420042362</v>
      </c>
      <c r="F130" s="2115"/>
      <c r="G130" s="2115"/>
      <c r="H130" s="2116"/>
      <c r="I130" s="611"/>
      <c r="J130" s="2114" t="e">
        <f>IF(((J127-0.1)*AW111)&gt;0,((J127-0.1)*AW111),0)</f>
        <v>#DIV/0!</v>
      </c>
      <c r="K130" s="2115"/>
      <c r="L130" s="2115"/>
      <c r="M130" s="2116"/>
      <c r="N130" s="611"/>
      <c r="O130" s="2114" t="e">
        <f>IF(((O127-0.1)*AW112)&gt;0,((O127-0.1)*AW112),0)</f>
        <v>#DIV/0!</v>
      </c>
      <c r="P130" s="2115"/>
      <c r="Q130" s="2115"/>
      <c r="R130" s="2116"/>
      <c r="S130" s="611"/>
      <c r="T130" s="2114" t="e">
        <f>IF(((T127-0.1)*AW113)&gt;0,((T127-0.1)*AW113),0)</f>
        <v>#DIV/0!</v>
      </c>
      <c r="U130" s="2115"/>
      <c r="V130" s="2115"/>
      <c r="W130" s="2116"/>
      <c r="X130" s="611"/>
      <c r="Y130" s="2114" t="e">
        <f>IF(((Y127-0.1)*AW114)&gt;0,((Y127-0.1)*AW114),0)</f>
        <v>#DIV/0!</v>
      </c>
      <c r="Z130" s="2115"/>
      <c r="AA130" s="2115"/>
      <c r="AB130" s="2116"/>
      <c r="AC130" s="611"/>
      <c r="AD130" s="2114" t="e">
        <f>IF(((AD127-0.1)*AW115)&gt;0,((AD127-0.1)*AW115),0)</f>
        <v>#DIV/0!</v>
      </c>
      <c r="AE130" s="2115"/>
      <c r="AF130" s="2115"/>
      <c r="AG130" s="211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903">
        <f>ROUNDDOWN(SUMIF(E130:AG130,"&gt;0"),2)</f>
        <v>0.1</v>
      </c>
      <c r="F132" s="1904"/>
      <c r="G132" s="1904"/>
      <c r="H132" s="1905"/>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6">
        <f>IF((E132*100)&gt;10,10,E132*100)</f>
        <v>10</v>
      </c>
      <c r="F133" s="2087"/>
      <c r="G133" s="2087"/>
      <c r="H133" s="2088"/>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86">
        <f>E133</f>
        <v>10</v>
      </c>
      <c r="AL137" s="2087"/>
      <c r="AM137" s="2088"/>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30" t="s">
        <v>1423</v>
      </c>
      <c r="AF140" s="1930"/>
      <c r="AG140" s="1930"/>
      <c r="AH140" s="1930"/>
      <c r="AI140" s="1930"/>
      <c r="AJ140" s="1930"/>
      <c r="AK140" s="1930"/>
      <c r="AL140" s="625"/>
      <c r="AN140" s="626"/>
      <c r="AO140" s="570"/>
    </row>
    <row r="141" spans="1:52" s="573" customFormat="1" ht="12.9"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7" t="s">
        <v>1447</v>
      </c>
      <c r="AG142" s="1997"/>
      <c r="AH142" s="1997"/>
      <c r="AI142" s="1997"/>
      <c r="AJ142" s="1997"/>
      <c r="AK142" s="1997"/>
      <c r="AL142" s="1997"/>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91" t="s">
        <v>2642</v>
      </c>
      <c r="C144" s="2091"/>
      <c r="D144" s="2091"/>
      <c r="E144" s="2091"/>
      <c r="F144" s="2091"/>
      <c r="G144" s="2091"/>
      <c r="H144" s="2091"/>
      <c r="I144" s="2091"/>
      <c r="J144" s="2091"/>
      <c r="K144" s="2091"/>
      <c r="L144" s="2091"/>
      <c r="M144" s="2091"/>
      <c r="N144" s="2091"/>
      <c r="O144" s="2091"/>
      <c r="P144" s="2091"/>
      <c r="Q144" s="2091"/>
      <c r="R144" s="2091"/>
      <c r="S144" s="2091"/>
      <c r="T144" s="2091"/>
      <c r="U144" s="2091"/>
      <c r="V144" s="2091"/>
      <c r="W144" s="2091"/>
      <c r="X144" s="2091"/>
      <c r="Y144" s="2091"/>
      <c r="Z144" s="2091"/>
      <c r="AA144" s="2091"/>
      <c r="AB144" s="2091"/>
      <c r="AC144" s="209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92" t="s">
        <v>1450</v>
      </c>
      <c r="C147" s="2092"/>
      <c r="D147" s="2092"/>
      <c r="E147" s="2092"/>
      <c r="F147" s="2092"/>
      <c r="G147" s="2092"/>
      <c r="H147" s="2092"/>
      <c r="I147" s="2092"/>
      <c r="J147" s="2092"/>
      <c r="K147" s="2092"/>
      <c r="L147" s="2092"/>
      <c r="M147" s="2092"/>
      <c r="N147" s="2092"/>
      <c r="O147" s="2092"/>
      <c r="P147" s="2092"/>
      <c r="Q147" s="2092"/>
      <c r="R147" s="2092"/>
      <c r="S147" s="2092"/>
      <c r="T147" s="2092"/>
      <c r="U147" s="2092"/>
      <c r="V147" s="2092"/>
      <c r="W147" s="2092"/>
      <c r="X147" s="2092"/>
      <c r="Y147" s="2092"/>
      <c r="Z147" s="2092"/>
      <c r="AA147" s="2092"/>
      <c r="AB147" s="2092"/>
      <c r="AC147" s="2092"/>
      <c r="AD147" s="2092"/>
      <c r="AE147" s="2092"/>
      <c r="AF147" s="2092"/>
      <c r="AG147" s="2092"/>
      <c r="AH147" s="2092"/>
      <c r="AI147" s="2092"/>
      <c r="AM147" s="573"/>
      <c r="AN147" s="569"/>
      <c r="AO147" s="510" t="s">
        <v>1450</v>
      </c>
      <c r="AP147" s="523">
        <v>7</v>
      </c>
    </row>
    <row r="148" spans="1:42" s="570" customFormat="1" ht="12.9"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2033" t="s">
        <v>598</v>
      </c>
      <c r="AC149" s="2033"/>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92" t="s">
        <v>1452</v>
      </c>
      <c r="C152" s="2092"/>
      <c r="D152" s="2092"/>
      <c r="E152" s="2092"/>
      <c r="F152" s="2092"/>
      <c r="G152" s="2092"/>
      <c r="H152" s="2092"/>
      <c r="I152" s="2092"/>
      <c r="J152" s="2092"/>
      <c r="K152" s="2092"/>
      <c r="L152" s="2092"/>
      <c r="M152" s="2092"/>
      <c r="N152" s="2092"/>
      <c r="O152" s="2092"/>
      <c r="P152" s="2092"/>
      <c r="Q152" s="2092"/>
      <c r="R152" s="2092"/>
      <c r="S152" s="2092"/>
      <c r="T152" s="2092"/>
      <c r="U152" s="2092"/>
      <c r="V152" s="2092"/>
      <c r="W152" s="2092"/>
      <c r="X152" s="2092"/>
      <c r="Y152" s="2092"/>
      <c r="Z152" s="2092"/>
      <c r="AA152" s="2092"/>
      <c r="AB152" s="2092"/>
      <c r="AC152" s="2092"/>
      <c r="AD152" s="2092"/>
      <c r="AE152" s="2092"/>
      <c r="AF152" s="2092"/>
      <c r="AG152" s="2092"/>
      <c r="AH152" s="2092"/>
      <c r="AI152" s="2092"/>
      <c r="AJ152" s="2092"/>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57">
        <f>IF($AB$149="N/A",VLOOKUP($B$147,$AO$145:$AP$148,2,FALSE),VLOOKUP($B$152,$AO$150:$AP$152,2,FALSE))</f>
        <v>7</v>
      </c>
      <c r="AK155" s="1957"/>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7" t="s">
        <v>1461</v>
      </c>
      <c r="AG157" s="1997"/>
      <c r="AH157" s="1997"/>
      <c r="AI157" s="1997"/>
      <c r="AJ157" s="1997"/>
      <c r="AK157" s="1997"/>
      <c r="AL157" s="1997"/>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92" t="s">
        <v>1459</v>
      </c>
      <c r="D159" s="2092"/>
      <c r="E159" s="2092"/>
      <c r="F159" s="2092"/>
      <c r="G159" s="2092"/>
      <c r="H159" s="2092"/>
      <c r="I159" s="2092"/>
      <c r="J159" s="2092"/>
      <c r="K159" s="2092"/>
      <c r="L159" s="2092"/>
      <c r="M159" s="2092"/>
      <c r="N159" s="2092"/>
      <c r="O159" s="2092"/>
      <c r="P159" s="2092"/>
      <c r="Q159" s="2092"/>
      <c r="R159" s="2092"/>
      <c r="S159" s="2092"/>
      <c r="T159" s="2092"/>
      <c r="U159" s="2092"/>
      <c r="V159" s="2092"/>
      <c r="W159" s="2092"/>
      <c r="X159" s="2092"/>
      <c r="Y159" s="2092"/>
      <c r="Z159" s="2092"/>
      <c r="AA159" s="2092"/>
      <c r="AB159" s="2092"/>
      <c r="AC159" s="2092"/>
      <c r="AD159" s="2092"/>
      <c r="AE159" s="2092"/>
      <c r="AF159" s="2092"/>
      <c r="AG159" s="2092"/>
      <c r="AH159" s="2092"/>
      <c r="AI159" s="2092"/>
      <c r="AJ159" s="570"/>
      <c r="AK159" s="570"/>
      <c r="AL159" s="570"/>
      <c r="AM159" s="637"/>
      <c r="AN159" s="631"/>
      <c r="AO159" s="510" t="s">
        <v>307</v>
      </c>
      <c r="AP159" s="510"/>
    </row>
    <row r="160" spans="1:42" s="584" customFormat="1" ht="12.9"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33" t="s">
        <v>598</v>
      </c>
      <c r="AG161" s="2033"/>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2092" t="s">
        <v>1452</v>
      </c>
      <c r="D163" s="2092"/>
      <c r="E163" s="2092"/>
      <c r="F163" s="2092"/>
      <c r="G163" s="2092"/>
      <c r="H163" s="2092"/>
      <c r="I163" s="2092"/>
      <c r="J163" s="2092"/>
      <c r="K163" s="2092"/>
      <c r="L163" s="2092"/>
      <c r="M163" s="2092"/>
      <c r="N163" s="2092"/>
      <c r="O163" s="2092"/>
      <c r="P163" s="2092"/>
      <c r="Q163" s="2092"/>
      <c r="R163" s="2092"/>
      <c r="S163" s="2092"/>
      <c r="T163" s="2092"/>
      <c r="U163" s="2092"/>
      <c r="V163" s="2092"/>
      <c r="W163" s="2092"/>
      <c r="X163" s="2092"/>
      <c r="Y163" s="2092"/>
      <c r="Z163" s="2092"/>
      <c r="AA163" s="2092"/>
      <c r="AB163" s="2092"/>
      <c r="AC163" s="2092"/>
      <c r="AD163" s="2092"/>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93" t="str">
        <f>Application!AA335</f>
        <v>WinnResidential California LP</v>
      </c>
      <c r="D167" s="2093"/>
      <c r="E167" s="2093"/>
      <c r="F167" s="2093"/>
      <c r="G167" s="2093"/>
      <c r="H167" s="2093"/>
      <c r="I167" s="2093"/>
      <c r="J167" s="2093"/>
      <c r="K167" s="2093"/>
      <c r="L167" s="2093"/>
      <c r="M167" s="2093"/>
      <c r="N167" s="2093"/>
      <c r="O167" s="2093"/>
      <c r="P167" s="2093"/>
      <c r="Q167" s="2093"/>
      <c r="R167" s="2093"/>
      <c r="S167" s="2093"/>
      <c r="T167" s="2093"/>
      <c r="U167" s="2093"/>
      <c r="V167" s="2093"/>
      <c r="W167" s="2093"/>
      <c r="X167" s="2093"/>
      <c r="Y167" s="2093"/>
      <c r="Z167" s="2093"/>
      <c r="AA167" s="2093"/>
      <c r="AB167" s="2093"/>
      <c r="AC167" s="2093"/>
      <c r="AD167" s="2093"/>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56">
        <f>IF($AF$161="N/A",VLOOKUP($C$159,$AO$159:$AP$162,2,FALSE),VLOOKUP($C$163,$AO$166:$AP$168,2,FALSE))</f>
        <v>3</v>
      </c>
      <c r="AK169" s="1956"/>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86">
        <f>$AJ$155+$AJ$169</f>
        <v>10</v>
      </c>
      <c r="AL172" s="2087"/>
      <c r="AM172" s="2088"/>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30" t="s">
        <v>1423</v>
      </c>
      <c r="AF175" s="1930"/>
      <c r="AG175" s="1930"/>
      <c r="AH175" s="1930"/>
      <c r="AI175" s="1930"/>
      <c r="AJ175" s="1930"/>
      <c r="AK175" s="1930"/>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89" t="s">
        <v>1476</v>
      </c>
      <c r="C177" s="2089"/>
      <c r="D177" s="2089"/>
      <c r="E177" s="2089"/>
      <c r="F177" s="2089"/>
      <c r="G177" s="2089"/>
      <c r="H177" s="2089"/>
      <c r="I177" s="2089"/>
      <c r="J177" s="2089"/>
      <c r="K177" s="2089"/>
      <c r="L177" s="2089"/>
      <c r="M177" s="2089"/>
      <c r="N177" s="2089"/>
      <c r="O177" s="2089"/>
      <c r="P177" s="2089"/>
      <c r="Q177" s="2089"/>
      <c r="R177" s="2089"/>
      <c r="S177" s="2089"/>
      <c r="T177" s="2089"/>
      <c r="U177" s="2089"/>
      <c r="V177" s="2089"/>
      <c r="W177" s="2089"/>
      <c r="X177" s="2089"/>
      <c r="Y177" s="2089"/>
      <c r="Z177" s="2089"/>
      <c r="AA177" s="2089"/>
      <c r="AB177" s="2089"/>
      <c r="AC177" s="2089"/>
      <c r="AD177" s="570"/>
      <c r="AE177" s="570"/>
      <c r="AF177" s="1997" t="s">
        <v>1472</v>
      </c>
      <c r="AG177" s="1997"/>
      <c r="AH177" s="1997"/>
      <c r="AI177" s="1997"/>
      <c r="AJ177" s="1997"/>
      <c r="AK177" s="1997"/>
      <c r="AL177" s="1997"/>
      <c r="AN177" s="631"/>
      <c r="AP177" s="584" t="s">
        <v>1066</v>
      </c>
      <c r="AQ177" s="584">
        <v>10</v>
      </c>
    </row>
    <row r="178" spans="1:45" s="584" customFormat="1" ht="12.75" customHeight="1">
      <c r="A178" s="570"/>
      <c r="B178" s="2090" t="s">
        <v>1914</v>
      </c>
      <c r="C178" s="2090"/>
      <c r="D178" s="2090"/>
      <c r="E178" s="2090"/>
      <c r="F178" s="2090"/>
      <c r="G178" s="2090"/>
      <c r="H178" s="2090"/>
      <c r="I178" s="2090"/>
      <c r="J178" s="2090"/>
      <c r="K178" s="2090"/>
      <c r="L178" s="2090"/>
      <c r="M178" s="2090"/>
      <c r="N178" s="2090"/>
      <c r="O178" s="2090"/>
      <c r="P178" s="2090"/>
      <c r="Q178" s="2090"/>
      <c r="R178" s="2090"/>
      <c r="S178" s="2090"/>
      <c r="T178" s="2091" t="s">
        <v>598</v>
      </c>
      <c r="U178" s="2091"/>
      <c r="V178" s="2091"/>
      <c r="W178" s="2091"/>
      <c r="X178" s="2091"/>
      <c r="Y178" s="2091"/>
      <c r="Z178" s="2091"/>
      <c r="AA178" s="2091"/>
      <c r="AB178" s="2091"/>
      <c r="AC178" s="2091"/>
      <c r="AD178" s="570"/>
      <c r="AE178" s="570"/>
      <c r="AF178" s="570"/>
      <c r="AG178" s="570"/>
      <c r="AH178" s="570"/>
      <c r="AI178" s="570"/>
      <c r="AJ178" s="577"/>
      <c r="AK178" s="629"/>
      <c r="AL178" s="629"/>
      <c r="AM178" s="629"/>
      <c r="AN178" s="631"/>
      <c r="AP178" s="584" t="s">
        <v>1473</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24">
        <f>IF(AK78&gt;0,VLOOKUP($B$177,AP174:AQ180,2,FALSE),0)</f>
        <v>10</v>
      </c>
      <c r="AL180" s="1925"/>
      <c r="AM180" s="1926"/>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30" t="s">
        <v>1481</v>
      </c>
      <c r="AF183" s="1930"/>
      <c r="AG183" s="1930"/>
      <c r="AH183" s="1930"/>
      <c r="AI183" s="1930"/>
      <c r="AJ183" s="1930"/>
      <c r="AK183" s="193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83" t="s">
        <v>2684</v>
      </c>
      <c r="C188" s="2083"/>
      <c r="D188" s="2083"/>
      <c r="E188" s="2083"/>
      <c r="F188" s="2083"/>
      <c r="G188" s="2083"/>
      <c r="H188" s="2083"/>
      <c r="I188" s="2083"/>
      <c r="J188" s="2083"/>
      <c r="K188" s="2083"/>
      <c r="L188" s="2083"/>
      <c r="M188" s="2083"/>
      <c r="N188" s="2083"/>
      <c r="O188" s="2083"/>
      <c r="P188" s="2083"/>
      <c r="Q188" s="2083"/>
      <c r="R188" s="2083"/>
      <c r="S188" s="2083"/>
      <c r="T188" s="2083"/>
      <c r="U188" s="2083"/>
      <c r="V188" s="2083"/>
      <c r="W188" s="2083"/>
      <c r="X188" s="2083"/>
      <c r="Y188" s="2083"/>
      <c r="Z188" s="2083"/>
      <c r="AA188" s="2083"/>
      <c r="AB188" s="2083"/>
      <c r="AC188" s="880"/>
      <c r="AD188" s="2073">
        <f>Application!AM555</f>
        <v>16324009</v>
      </c>
      <c r="AE188" s="2073"/>
      <c r="AF188" s="2073"/>
      <c r="AG188" s="2073"/>
      <c r="AH188" s="2073"/>
      <c r="AI188" s="2073"/>
      <c r="AJ188" s="2073"/>
      <c r="AK188" s="644"/>
    </row>
    <row r="189" spans="1:45">
      <c r="A189" s="639"/>
      <c r="B189" s="2083"/>
      <c r="C189" s="2083"/>
      <c r="D189" s="2083"/>
      <c r="E189" s="2083"/>
      <c r="F189" s="2083"/>
      <c r="G189" s="2083"/>
      <c r="H189" s="2083"/>
      <c r="I189" s="2083"/>
      <c r="J189" s="2083"/>
      <c r="K189" s="2083"/>
      <c r="L189" s="2083"/>
      <c r="M189" s="2083"/>
      <c r="N189" s="2083"/>
      <c r="O189" s="2083"/>
      <c r="P189" s="2083"/>
      <c r="Q189" s="2083"/>
      <c r="R189" s="2083"/>
      <c r="S189" s="2083"/>
      <c r="T189" s="2083"/>
      <c r="U189" s="2083"/>
      <c r="V189" s="2083"/>
      <c r="W189" s="2083"/>
      <c r="X189" s="2083"/>
      <c r="Y189" s="2083"/>
      <c r="Z189" s="2083"/>
      <c r="AA189" s="2083"/>
      <c r="AB189" s="2083"/>
      <c r="AC189" s="880"/>
      <c r="AD189" s="2073"/>
      <c r="AE189" s="2073"/>
      <c r="AF189" s="2073"/>
      <c r="AG189" s="2073"/>
      <c r="AH189" s="2073"/>
      <c r="AI189" s="2073"/>
      <c r="AJ189" s="2073"/>
      <c r="AK189" s="644"/>
    </row>
    <row r="190" spans="1:45">
      <c r="A190" s="639"/>
      <c r="B190" s="2083"/>
      <c r="C190" s="2083"/>
      <c r="D190" s="2083"/>
      <c r="E190" s="2083"/>
      <c r="F190" s="2083"/>
      <c r="G190" s="2083"/>
      <c r="H190" s="2083"/>
      <c r="I190" s="2083"/>
      <c r="J190" s="2083"/>
      <c r="K190" s="2083"/>
      <c r="L190" s="2083"/>
      <c r="M190" s="2083"/>
      <c r="N190" s="2083"/>
      <c r="O190" s="2083"/>
      <c r="P190" s="2083"/>
      <c r="Q190" s="2083"/>
      <c r="R190" s="2083"/>
      <c r="S190" s="2083"/>
      <c r="T190" s="2083"/>
      <c r="U190" s="2083"/>
      <c r="V190" s="2083"/>
      <c r="W190" s="2083"/>
      <c r="X190" s="2083"/>
      <c r="Y190" s="2083"/>
      <c r="Z190" s="2083"/>
      <c r="AA190" s="2083"/>
      <c r="AB190" s="2083"/>
      <c r="AC190" s="880"/>
      <c r="AD190" s="2073"/>
      <c r="AE190" s="2073"/>
      <c r="AF190" s="2073"/>
      <c r="AG190" s="2073"/>
      <c r="AH190" s="2073"/>
      <c r="AI190" s="2073"/>
      <c r="AJ190" s="2073"/>
      <c r="AK190" s="644"/>
    </row>
    <row r="191" spans="1:45">
      <c r="A191" s="639"/>
      <c r="B191" s="2083"/>
      <c r="C191" s="2083"/>
      <c r="D191" s="2083"/>
      <c r="E191" s="2083"/>
      <c r="F191" s="2083"/>
      <c r="G191" s="2083"/>
      <c r="H191" s="2083"/>
      <c r="I191" s="2083"/>
      <c r="J191" s="2083"/>
      <c r="K191" s="2083"/>
      <c r="L191" s="2083"/>
      <c r="M191" s="2083"/>
      <c r="N191" s="2083"/>
      <c r="O191" s="2083"/>
      <c r="P191" s="2083"/>
      <c r="Q191" s="2083"/>
      <c r="R191" s="2083"/>
      <c r="S191" s="2083"/>
      <c r="T191" s="2083"/>
      <c r="U191" s="2083"/>
      <c r="V191" s="2083"/>
      <c r="W191" s="2083"/>
      <c r="X191" s="2083"/>
      <c r="Y191" s="2083"/>
      <c r="Z191" s="2083"/>
      <c r="AA191" s="2083"/>
      <c r="AB191" s="2083"/>
      <c r="AC191" s="880"/>
      <c r="AD191" s="2073"/>
      <c r="AE191" s="2073"/>
      <c r="AF191" s="2073"/>
      <c r="AG191" s="2073"/>
      <c r="AH191" s="2073"/>
      <c r="AI191" s="2073"/>
      <c r="AJ191" s="2073"/>
      <c r="AK191" s="644"/>
    </row>
    <row r="192" spans="1:45">
      <c r="A192" s="639"/>
      <c r="B192" s="2083"/>
      <c r="C192" s="2083"/>
      <c r="D192" s="2083"/>
      <c r="E192" s="2083"/>
      <c r="F192" s="2083"/>
      <c r="G192" s="2083"/>
      <c r="H192" s="2083"/>
      <c r="I192" s="2083"/>
      <c r="J192" s="2083"/>
      <c r="K192" s="2083"/>
      <c r="L192" s="2083"/>
      <c r="M192" s="2083"/>
      <c r="N192" s="2083"/>
      <c r="O192" s="2083"/>
      <c r="P192" s="2083"/>
      <c r="Q192" s="2083"/>
      <c r="R192" s="2083"/>
      <c r="S192" s="2083"/>
      <c r="T192" s="2083"/>
      <c r="U192" s="2083"/>
      <c r="V192" s="2083"/>
      <c r="W192" s="2083"/>
      <c r="X192" s="2083"/>
      <c r="Y192" s="2083"/>
      <c r="Z192" s="2083"/>
      <c r="AA192" s="2083"/>
      <c r="AB192" s="2083"/>
      <c r="AC192" s="880"/>
      <c r="AD192" s="2073"/>
      <c r="AE192" s="2073"/>
      <c r="AF192" s="2073"/>
      <c r="AG192" s="2073"/>
      <c r="AH192" s="2073"/>
      <c r="AI192" s="2073"/>
      <c r="AJ192" s="2073"/>
      <c r="AK192" s="644"/>
    </row>
    <row r="193" spans="1:37">
      <c r="A193" s="639"/>
      <c r="B193" s="2083"/>
      <c r="C193" s="2083"/>
      <c r="D193" s="2083"/>
      <c r="E193" s="2083"/>
      <c r="F193" s="2083"/>
      <c r="G193" s="2083"/>
      <c r="H193" s="2083"/>
      <c r="I193" s="2083"/>
      <c r="J193" s="2083"/>
      <c r="K193" s="2083"/>
      <c r="L193" s="2083"/>
      <c r="M193" s="2083"/>
      <c r="N193" s="2083"/>
      <c r="O193" s="2083"/>
      <c r="P193" s="2083"/>
      <c r="Q193" s="2083"/>
      <c r="R193" s="2083"/>
      <c r="S193" s="2083"/>
      <c r="T193" s="2083"/>
      <c r="U193" s="2083"/>
      <c r="V193" s="2083"/>
      <c r="W193" s="2083"/>
      <c r="X193" s="2083"/>
      <c r="Y193" s="2083"/>
      <c r="Z193" s="2083"/>
      <c r="AA193" s="2083"/>
      <c r="AB193" s="2083"/>
      <c r="AC193" s="880"/>
      <c r="AD193" s="2073"/>
      <c r="AE193" s="2073"/>
      <c r="AF193" s="2073"/>
      <c r="AG193" s="2073"/>
      <c r="AH193" s="2073"/>
      <c r="AI193" s="2073"/>
      <c r="AJ193" s="2073"/>
      <c r="AK193" s="644"/>
    </row>
    <row r="194" spans="1:37">
      <c r="A194" s="639"/>
      <c r="B194" s="2083"/>
      <c r="C194" s="2083"/>
      <c r="D194" s="2083"/>
      <c r="E194" s="2083"/>
      <c r="F194" s="2083"/>
      <c r="G194" s="2083"/>
      <c r="H194" s="2083"/>
      <c r="I194" s="2083"/>
      <c r="J194" s="2083"/>
      <c r="K194" s="2083"/>
      <c r="L194" s="2083"/>
      <c r="M194" s="2083"/>
      <c r="N194" s="2083"/>
      <c r="O194" s="2083"/>
      <c r="P194" s="2083"/>
      <c r="Q194" s="2083"/>
      <c r="R194" s="2083"/>
      <c r="S194" s="2083"/>
      <c r="T194" s="2083"/>
      <c r="U194" s="2083"/>
      <c r="V194" s="2083"/>
      <c r="W194" s="2083"/>
      <c r="X194" s="2083"/>
      <c r="Y194" s="2083"/>
      <c r="Z194" s="2083"/>
      <c r="AA194" s="2083"/>
      <c r="AB194" s="2083"/>
      <c r="AC194" s="880"/>
      <c r="AD194" s="2073"/>
      <c r="AE194" s="2073"/>
      <c r="AF194" s="2073"/>
      <c r="AG194" s="2073"/>
      <c r="AH194" s="2073"/>
      <c r="AI194" s="2073"/>
      <c r="AJ194" s="2073"/>
      <c r="AK194" s="644"/>
    </row>
    <row r="195" spans="1:37">
      <c r="A195" s="639"/>
      <c r="B195" s="2083"/>
      <c r="C195" s="2083"/>
      <c r="D195" s="2083"/>
      <c r="E195" s="2083"/>
      <c r="F195" s="2083"/>
      <c r="G195" s="2083"/>
      <c r="H195" s="2083"/>
      <c r="I195" s="2083"/>
      <c r="J195" s="2083"/>
      <c r="K195" s="2083"/>
      <c r="L195" s="2083"/>
      <c r="M195" s="2083"/>
      <c r="N195" s="2083"/>
      <c r="O195" s="2083"/>
      <c r="P195" s="2083"/>
      <c r="Q195" s="2083"/>
      <c r="R195" s="2083"/>
      <c r="S195" s="2083"/>
      <c r="T195" s="2083"/>
      <c r="U195" s="2083"/>
      <c r="V195" s="2083"/>
      <c r="W195" s="2083"/>
      <c r="X195" s="2083"/>
      <c r="Y195" s="2083"/>
      <c r="Z195" s="2083"/>
      <c r="AA195" s="2083"/>
      <c r="AB195" s="2083"/>
      <c r="AC195" s="880"/>
      <c r="AD195" s="2073"/>
      <c r="AE195" s="2073"/>
      <c r="AF195" s="2073"/>
      <c r="AG195" s="2073"/>
      <c r="AH195" s="2073"/>
      <c r="AI195" s="2073"/>
      <c r="AJ195" s="2073"/>
      <c r="AK195" s="644"/>
    </row>
    <row r="196" spans="1:37">
      <c r="A196" s="639"/>
      <c r="B196" s="2083"/>
      <c r="C196" s="2083"/>
      <c r="D196" s="2083"/>
      <c r="E196" s="2083"/>
      <c r="F196" s="2083"/>
      <c r="G196" s="2083"/>
      <c r="H196" s="2083"/>
      <c r="I196" s="2083"/>
      <c r="J196" s="2083"/>
      <c r="K196" s="2083"/>
      <c r="L196" s="2083"/>
      <c r="M196" s="2083"/>
      <c r="N196" s="2083"/>
      <c r="O196" s="2083"/>
      <c r="P196" s="2083"/>
      <c r="Q196" s="2083"/>
      <c r="R196" s="2083"/>
      <c r="S196" s="2083"/>
      <c r="T196" s="2083"/>
      <c r="U196" s="2083"/>
      <c r="V196" s="2083"/>
      <c r="W196" s="2083"/>
      <c r="X196" s="2083"/>
      <c r="Y196" s="2083"/>
      <c r="Z196" s="2083"/>
      <c r="AA196" s="2083"/>
      <c r="AB196" s="2083"/>
      <c r="AC196" s="880"/>
      <c r="AD196" s="2073"/>
      <c r="AE196" s="2073"/>
      <c r="AF196" s="2073"/>
      <c r="AG196" s="2073"/>
      <c r="AH196" s="2073"/>
      <c r="AI196" s="2073"/>
      <c r="AJ196" s="2073"/>
      <c r="AK196" s="644"/>
    </row>
    <row r="197" spans="1:37">
      <c r="A197" s="639"/>
      <c r="B197" s="2083"/>
      <c r="C197" s="2083"/>
      <c r="D197" s="2083"/>
      <c r="E197" s="2083"/>
      <c r="F197" s="2083"/>
      <c r="G197" s="2083"/>
      <c r="H197" s="2083"/>
      <c r="I197" s="2083"/>
      <c r="J197" s="2083"/>
      <c r="K197" s="2083"/>
      <c r="L197" s="2083"/>
      <c r="M197" s="2083"/>
      <c r="N197" s="2083"/>
      <c r="O197" s="2083"/>
      <c r="P197" s="2083"/>
      <c r="Q197" s="2083"/>
      <c r="R197" s="2083"/>
      <c r="S197" s="2083"/>
      <c r="T197" s="2083"/>
      <c r="U197" s="2083"/>
      <c r="V197" s="2083"/>
      <c r="W197" s="2083"/>
      <c r="X197" s="2083"/>
      <c r="Y197" s="2083"/>
      <c r="Z197" s="2083"/>
      <c r="AA197" s="2083"/>
      <c r="AB197" s="2083"/>
      <c r="AC197" s="880"/>
      <c r="AD197" s="2073"/>
      <c r="AE197" s="2073"/>
      <c r="AF197" s="2073"/>
      <c r="AG197" s="2073"/>
      <c r="AH197" s="2073"/>
      <c r="AI197" s="2073"/>
      <c r="AJ197" s="2073"/>
      <c r="AK197" s="644"/>
    </row>
    <row r="198" spans="1:37">
      <c r="A198" s="639"/>
      <c r="B198" s="1944" t="s">
        <v>1737</v>
      </c>
      <c r="C198" s="1944"/>
      <c r="D198" s="1944"/>
      <c r="E198" s="1944"/>
      <c r="F198" s="1944"/>
      <c r="G198" s="1944"/>
      <c r="H198" s="1944"/>
      <c r="I198" s="1944"/>
      <c r="J198" s="1944"/>
      <c r="K198" s="1944"/>
      <c r="L198" s="1944"/>
      <c r="M198" s="1944"/>
      <c r="N198" s="1944"/>
      <c r="O198" s="1944"/>
      <c r="P198" s="1944"/>
      <c r="Q198" s="1944"/>
      <c r="R198" s="1944"/>
      <c r="S198" s="1944"/>
      <c r="T198" s="1944"/>
      <c r="U198" s="1944"/>
      <c r="V198" s="1944"/>
      <c r="W198" s="1944"/>
      <c r="X198" s="1944"/>
      <c r="Y198" s="1944"/>
      <c r="Z198" s="1944"/>
      <c r="AA198" s="1944"/>
      <c r="AB198" s="1944"/>
      <c r="AC198" s="570"/>
      <c r="AD198" s="2071">
        <f>AB249</f>
        <v>0</v>
      </c>
      <c r="AE198" s="2071"/>
      <c r="AF198" s="2071"/>
      <c r="AG198" s="2071"/>
      <c r="AH198" s="2071"/>
      <c r="AI198" s="2071"/>
      <c r="AJ198" s="2071"/>
      <c r="AK198" s="644"/>
    </row>
    <row r="199" spans="1:37">
      <c r="A199" s="639"/>
      <c r="B199" s="1942" t="s">
        <v>1700</v>
      </c>
      <c r="C199" s="1942"/>
      <c r="D199" s="1942"/>
      <c r="E199" s="1942"/>
      <c r="F199" s="1942"/>
      <c r="G199" s="1942"/>
      <c r="H199" s="1942"/>
      <c r="I199" s="1942"/>
      <c r="J199" s="1942"/>
      <c r="K199" s="1942"/>
      <c r="L199" s="1942"/>
      <c r="M199" s="1942"/>
      <c r="N199" s="1942"/>
      <c r="O199" s="1942"/>
      <c r="P199" s="1942"/>
      <c r="Q199" s="1942"/>
      <c r="R199" s="1942"/>
      <c r="S199" s="1942"/>
      <c r="T199" s="1942"/>
      <c r="U199" s="1942"/>
      <c r="V199" s="1942"/>
      <c r="W199" s="1942"/>
      <c r="X199" s="1942"/>
      <c r="Y199" s="1942"/>
      <c r="Z199" s="1942"/>
      <c r="AA199" s="1942"/>
      <c r="AB199" s="1942"/>
      <c r="AC199" s="880"/>
      <c r="AD199" s="2072">
        <f>'Sources and Uses Budget'!B15</f>
        <v>0</v>
      </c>
      <c r="AE199" s="2072"/>
      <c r="AF199" s="2072"/>
      <c r="AG199" s="2072"/>
      <c r="AH199" s="2072"/>
      <c r="AI199" s="2072"/>
      <c r="AJ199" s="207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2077">
        <f>SUM(AD188:AJ198)-AD199</f>
        <v>16324009</v>
      </c>
      <c r="AE200" s="2077"/>
      <c r="AF200" s="2077"/>
      <c r="AG200" s="2077"/>
      <c r="AH200" s="2077"/>
      <c r="AI200" s="2077"/>
      <c r="AJ200" s="207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7" t="s">
        <v>1717</v>
      </c>
      <c r="J211" s="2097"/>
      <c r="K211" s="2097"/>
      <c r="L211" s="570"/>
      <c r="M211" s="570"/>
      <c r="N211" s="570"/>
      <c r="O211" s="570"/>
      <c r="P211" s="570"/>
      <c r="Q211" s="570"/>
      <c r="R211" s="570"/>
      <c r="S211" s="570"/>
      <c r="T211" s="1908" t="s">
        <v>1711</v>
      </c>
      <c r="U211" s="1908"/>
      <c r="V211" s="1908"/>
      <c r="W211" s="1908"/>
      <c r="X211" s="1908"/>
      <c r="Y211" s="1908"/>
      <c r="Z211" s="883"/>
      <c r="AA211" s="523"/>
      <c r="AB211" s="2094" t="s">
        <v>1712</v>
      </c>
      <c r="AC211" s="2094"/>
      <c r="AD211" s="2094"/>
      <c r="AE211" s="2094"/>
      <c r="AF211" s="2094"/>
      <c r="AG211" s="2094"/>
      <c r="AH211" s="861"/>
      <c r="AI211" s="861"/>
      <c r="AJ211" s="861"/>
      <c r="AK211" s="644"/>
    </row>
    <row r="212" spans="1:37">
      <c r="A212" s="639"/>
      <c r="B212" s="2095" t="s">
        <v>1697</v>
      </c>
      <c r="C212" s="2095"/>
      <c r="D212" s="2095"/>
      <c r="E212" s="2095"/>
      <c r="F212" s="2095"/>
      <c r="G212" s="2095"/>
      <c r="I212" s="2096" t="s">
        <v>1718</v>
      </c>
      <c r="J212" s="2096"/>
      <c r="K212" s="2096"/>
      <c r="L212" s="1043"/>
      <c r="N212" s="1943" t="s">
        <v>1713</v>
      </c>
      <c r="O212" s="1943"/>
      <c r="P212" s="1943"/>
      <c r="Q212" s="1943"/>
      <c r="R212" s="1943"/>
      <c r="T212" s="1943" t="s">
        <v>1714</v>
      </c>
      <c r="U212" s="1943"/>
      <c r="V212" s="1943"/>
      <c r="W212" s="1943"/>
      <c r="X212" s="1943"/>
      <c r="Y212" s="1943"/>
      <c r="Z212" s="884"/>
      <c r="AA212" s="523"/>
      <c r="AB212" s="1946" t="s">
        <v>1715</v>
      </c>
      <c r="AC212" s="1946"/>
      <c r="AD212" s="1946"/>
      <c r="AE212" s="1946"/>
      <c r="AF212" s="1946"/>
      <c r="AG212" s="1946"/>
      <c r="AH212" s="861"/>
      <c r="AI212" s="861"/>
      <c r="AJ212" s="861"/>
      <c r="AK212" s="644"/>
    </row>
    <row r="213" spans="1:37">
      <c r="A213" s="639"/>
      <c r="B213" s="1945" t="s">
        <v>1289</v>
      </c>
      <c r="C213" s="1945"/>
      <c r="D213" s="1945"/>
      <c r="E213" s="1945"/>
      <c r="F213" s="1945"/>
      <c r="G213" s="1945"/>
      <c r="H213" s="886"/>
      <c r="I213" s="1913"/>
      <c r="J213" s="1913"/>
      <c r="K213" s="1913"/>
      <c r="L213" s="1043"/>
      <c r="N213" s="1910"/>
      <c r="O213" s="1910"/>
      <c r="P213" s="1910"/>
      <c r="Q213" s="1910"/>
      <c r="R213" s="1910"/>
      <c r="T213" s="1909"/>
      <c r="U213" s="1909"/>
      <c r="V213" s="1909"/>
      <c r="W213" s="1909"/>
      <c r="X213" s="1909"/>
      <c r="Y213" s="1909"/>
      <c r="Z213" s="885"/>
      <c r="AA213" s="885"/>
      <c r="AB213" s="1907">
        <f t="shared" ref="AB213:AB222" si="0">MAX(($T213-$N213)*$I213*12,0)</f>
        <v>0</v>
      </c>
      <c r="AC213" s="1907"/>
      <c r="AD213" s="1907"/>
      <c r="AE213" s="1907"/>
      <c r="AF213" s="1907"/>
      <c r="AG213" s="1907"/>
      <c r="AH213" s="861"/>
      <c r="AI213" s="861"/>
      <c r="AJ213" s="861"/>
      <c r="AK213" s="644"/>
    </row>
    <row r="214" spans="1:37">
      <c r="A214" s="639"/>
      <c r="B214" s="1945" t="s">
        <v>1289</v>
      </c>
      <c r="C214" s="1945"/>
      <c r="D214" s="1945"/>
      <c r="E214" s="1945"/>
      <c r="F214" s="1945"/>
      <c r="G214" s="1945"/>
      <c r="I214" s="1913"/>
      <c r="J214" s="1913"/>
      <c r="K214" s="1913"/>
      <c r="L214" s="1043"/>
      <c r="N214" s="1910"/>
      <c r="O214" s="1910"/>
      <c r="P214" s="1910"/>
      <c r="Q214" s="1910"/>
      <c r="R214" s="1910"/>
      <c r="T214" s="1909"/>
      <c r="U214" s="1909"/>
      <c r="V214" s="1909"/>
      <c r="W214" s="1909"/>
      <c r="X214" s="1909"/>
      <c r="Y214" s="1909"/>
      <c r="Z214" s="885"/>
      <c r="AA214" s="885"/>
      <c r="AB214" s="1907">
        <f t="shared" si="0"/>
        <v>0</v>
      </c>
      <c r="AC214" s="1907"/>
      <c r="AD214" s="1907"/>
      <c r="AE214" s="1907"/>
      <c r="AF214" s="1907"/>
      <c r="AG214" s="1907"/>
      <c r="AH214" s="861"/>
      <c r="AI214" s="861"/>
      <c r="AJ214" s="861"/>
      <c r="AK214" s="644"/>
    </row>
    <row r="215" spans="1:37">
      <c r="A215" s="639"/>
      <c r="B215" s="1945" t="s">
        <v>1289</v>
      </c>
      <c r="C215" s="1945"/>
      <c r="D215" s="1945"/>
      <c r="E215" s="1945"/>
      <c r="F215" s="1945"/>
      <c r="G215" s="1945"/>
      <c r="I215" s="1913"/>
      <c r="J215" s="1913"/>
      <c r="K215" s="1913"/>
      <c r="L215" s="1043"/>
      <c r="N215" s="1910"/>
      <c r="O215" s="1910"/>
      <c r="P215" s="1910"/>
      <c r="Q215" s="1910"/>
      <c r="R215" s="1910"/>
      <c r="T215" s="1909"/>
      <c r="U215" s="1909"/>
      <c r="V215" s="1909"/>
      <c r="W215" s="1909"/>
      <c r="X215" s="1909"/>
      <c r="Y215" s="1909"/>
      <c r="Z215" s="885"/>
      <c r="AA215" s="885"/>
      <c r="AB215" s="1907">
        <f t="shared" si="0"/>
        <v>0</v>
      </c>
      <c r="AC215" s="1907"/>
      <c r="AD215" s="1907"/>
      <c r="AE215" s="1907"/>
      <c r="AF215" s="1907"/>
      <c r="AG215" s="1907"/>
      <c r="AH215" s="861"/>
      <c r="AI215" s="861"/>
      <c r="AJ215" s="861"/>
      <c r="AK215" s="644"/>
    </row>
    <row r="216" spans="1:37">
      <c r="A216" s="639"/>
      <c r="B216" s="1945" t="s">
        <v>1289</v>
      </c>
      <c r="C216" s="1945"/>
      <c r="D216" s="1945"/>
      <c r="E216" s="1945"/>
      <c r="F216" s="1945"/>
      <c r="G216" s="1945"/>
      <c r="I216" s="1913"/>
      <c r="J216" s="1913"/>
      <c r="K216" s="1913"/>
      <c r="L216" s="1043"/>
      <c r="N216" s="1910"/>
      <c r="O216" s="1910"/>
      <c r="P216" s="1910"/>
      <c r="Q216" s="1910"/>
      <c r="R216" s="1910"/>
      <c r="T216" s="1909"/>
      <c r="U216" s="1909"/>
      <c r="V216" s="1909"/>
      <c r="W216" s="1909"/>
      <c r="X216" s="1909"/>
      <c r="Y216" s="1909"/>
      <c r="Z216" s="885"/>
      <c r="AA216" s="885"/>
      <c r="AB216" s="1907">
        <f t="shared" si="0"/>
        <v>0</v>
      </c>
      <c r="AC216" s="1907"/>
      <c r="AD216" s="1907"/>
      <c r="AE216" s="1907"/>
      <c r="AF216" s="1907"/>
      <c r="AG216" s="1907"/>
      <c r="AH216" s="861"/>
      <c r="AI216" s="861"/>
      <c r="AJ216" s="861"/>
      <c r="AK216" s="644"/>
    </row>
    <row r="217" spans="1:37">
      <c r="A217" s="639"/>
      <c r="B217" s="1945" t="s">
        <v>1289</v>
      </c>
      <c r="C217" s="1945"/>
      <c r="D217" s="1945"/>
      <c r="E217" s="1945"/>
      <c r="F217" s="1945"/>
      <c r="G217" s="1945"/>
      <c r="I217" s="1913"/>
      <c r="J217" s="1913"/>
      <c r="K217" s="1913"/>
      <c r="L217" s="1050"/>
      <c r="N217" s="1910"/>
      <c r="O217" s="1910"/>
      <c r="P217" s="1910"/>
      <c r="Q217" s="1910"/>
      <c r="R217" s="1910"/>
      <c r="T217" s="1909"/>
      <c r="U217" s="1909"/>
      <c r="V217" s="1909"/>
      <c r="W217" s="1909"/>
      <c r="X217" s="1909"/>
      <c r="Y217" s="1909"/>
      <c r="Z217" s="885"/>
      <c r="AA217" s="885"/>
      <c r="AB217" s="1907">
        <f t="shared" si="0"/>
        <v>0</v>
      </c>
      <c r="AC217" s="1907"/>
      <c r="AD217" s="1907"/>
      <c r="AE217" s="1907"/>
      <c r="AF217" s="1907"/>
      <c r="AG217" s="1907"/>
      <c r="AH217" s="861"/>
      <c r="AI217" s="861"/>
      <c r="AJ217" s="861"/>
      <c r="AK217" s="644"/>
    </row>
    <row r="218" spans="1:37">
      <c r="A218" s="639"/>
      <c r="B218" s="1945" t="s">
        <v>1289</v>
      </c>
      <c r="C218" s="1945"/>
      <c r="D218" s="1945"/>
      <c r="E218" s="1945"/>
      <c r="F218" s="1945"/>
      <c r="G218" s="1945"/>
      <c r="I218" s="1913"/>
      <c r="J218" s="1913"/>
      <c r="K218" s="1913"/>
      <c r="L218" s="1050"/>
      <c r="N218" s="1910"/>
      <c r="O218" s="1910"/>
      <c r="P218" s="1910"/>
      <c r="Q218" s="1910"/>
      <c r="R218" s="1910"/>
      <c r="T218" s="1909"/>
      <c r="U218" s="1909"/>
      <c r="V218" s="1909"/>
      <c r="W218" s="1909"/>
      <c r="X218" s="1909"/>
      <c r="Y218" s="1909"/>
      <c r="Z218" s="885"/>
      <c r="AA218" s="885"/>
      <c r="AB218" s="1907">
        <f t="shared" si="0"/>
        <v>0</v>
      </c>
      <c r="AC218" s="1907"/>
      <c r="AD218" s="1907"/>
      <c r="AE218" s="1907"/>
      <c r="AF218" s="1907"/>
      <c r="AG218" s="1907"/>
      <c r="AH218" s="861"/>
      <c r="AI218" s="861"/>
      <c r="AJ218" s="861"/>
      <c r="AK218" s="644"/>
    </row>
    <row r="219" spans="1:37">
      <c r="A219" s="639"/>
      <c r="B219" s="1945" t="s">
        <v>1289</v>
      </c>
      <c r="C219" s="1945"/>
      <c r="D219" s="1945"/>
      <c r="E219" s="1945"/>
      <c r="F219" s="1945"/>
      <c r="G219" s="1945"/>
      <c r="I219" s="1913"/>
      <c r="J219" s="1913"/>
      <c r="K219" s="1913"/>
      <c r="L219" s="1050"/>
      <c r="N219" s="1910"/>
      <c r="O219" s="1910"/>
      <c r="P219" s="1910"/>
      <c r="Q219" s="1910"/>
      <c r="R219" s="1910"/>
      <c r="T219" s="1909"/>
      <c r="U219" s="1909"/>
      <c r="V219" s="1909"/>
      <c r="W219" s="1909"/>
      <c r="X219" s="1909"/>
      <c r="Y219" s="1909"/>
      <c r="Z219" s="885"/>
      <c r="AA219" s="885"/>
      <c r="AB219" s="1907">
        <f t="shared" si="0"/>
        <v>0</v>
      </c>
      <c r="AC219" s="1907"/>
      <c r="AD219" s="1907"/>
      <c r="AE219" s="1907"/>
      <c r="AF219" s="1907"/>
      <c r="AG219" s="1907"/>
      <c r="AH219" s="861"/>
      <c r="AI219" s="861"/>
      <c r="AJ219" s="861"/>
      <c r="AK219" s="644"/>
    </row>
    <row r="220" spans="1:37">
      <c r="A220" s="639"/>
      <c r="B220" s="1945" t="s">
        <v>1289</v>
      </c>
      <c r="C220" s="1945"/>
      <c r="D220" s="1945"/>
      <c r="E220" s="1945"/>
      <c r="F220" s="1945"/>
      <c r="G220" s="1945"/>
      <c r="I220" s="1913"/>
      <c r="J220" s="1913"/>
      <c r="K220" s="1913"/>
      <c r="L220" s="1050"/>
      <c r="N220" s="1910"/>
      <c r="O220" s="1910"/>
      <c r="P220" s="1910"/>
      <c r="Q220" s="1910"/>
      <c r="R220" s="1910"/>
      <c r="T220" s="1909"/>
      <c r="U220" s="1909"/>
      <c r="V220" s="1909"/>
      <c r="W220" s="1909"/>
      <c r="X220" s="1909"/>
      <c r="Y220" s="1909"/>
      <c r="Z220" s="885"/>
      <c r="AA220" s="885"/>
      <c r="AB220" s="1907">
        <f t="shared" si="0"/>
        <v>0</v>
      </c>
      <c r="AC220" s="1907"/>
      <c r="AD220" s="1907"/>
      <c r="AE220" s="1907"/>
      <c r="AF220" s="1907"/>
      <c r="AG220" s="1907"/>
      <c r="AH220" s="861"/>
      <c r="AI220" s="861"/>
      <c r="AJ220" s="861"/>
      <c r="AK220" s="644"/>
    </row>
    <row r="221" spans="1:37">
      <c r="A221" s="639"/>
      <c r="B221" s="1945" t="s">
        <v>1289</v>
      </c>
      <c r="C221" s="1945"/>
      <c r="D221" s="1945"/>
      <c r="E221" s="1945"/>
      <c r="F221" s="1945"/>
      <c r="G221" s="1945"/>
      <c r="I221" s="1913"/>
      <c r="J221" s="1913"/>
      <c r="K221" s="1913"/>
      <c r="L221" s="1050"/>
      <c r="N221" s="1910"/>
      <c r="O221" s="1910"/>
      <c r="P221" s="1910"/>
      <c r="Q221" s="1910"/>
      <c r="R221" s="1910"/>
      <c r="T221" s="1909"/>
      <c r="U221" s="1909"/>
      <c r="V221" s="1909"/>
      <c r="W221" s="1909"/>
      <c r="X221" s="1909"/>
      <c r="Y221" s="1909"/>
      <c r="Z221" s="885"/>
      <c r="AA221" s="885"/>
      <c r="AB221" s="1907">
        <f t="shared" si="0"/>
        <v>0</v>
      </c>
      <c r="AC221" s="1907"/>
      <c r="AD221" s="1907"/>
      <c r="AE221" s="1907"/>
      <c r="AF221" s="1907"/>
      <c r="AG221" s="1907"/>
      <c r="AH221" s="861"/>
      <c r="AI221" s="861"/>
      <c r="AJ221" s="861"/>
      <c r="AK221" s="644"/>
    </row>
    <row r="222" spans="1:37">
      <c r="A222" s="639"/>
      <c r="B222" s="1945" t="s">
        <v>1289</v>
      </c>
      <c r="C222" s="1945"/>
      <c r="D222" s="1945"/>
      <c r="E222" s="1945"/>
      <c r="F222" s="1945"/>
      <c r="G222" s="1945"/>
      <c r="I222" s="2098"/>
      <c r="J222" s="2098"/>
      <c r="K222" s="2098"/>
      <c r="L222" s="1050"/>
      <c r="N222" s="1910"/>
      <c r="O222" s="1910"/>
      <c r="P222" s="1910"/>
      <c r="Q222" s="1910"/>
      <c r="R222" s="1910"/>
      <c r="T222" s="1909"/>
      <c r="U222" s="1909"/>
      <c r="V222" s="1909"/>
      <c r="W222" s="1909"/>
      <c r="X222" s="1909"/>
      <c r="Y222" s="1909"/>
      <c r="Z222" s="885"/>
      <c r="AA222" s="885"/>
      <c r="AB222" s="1914">
        <f t="shared" si="0"/>
        <v>0</v>
      </c>
      <c r="AC222" s="1914"/>
      <c r="AD222" s="1914"/>
      <c r="AE222" s="1914"/>
      <c r="AF222" s="1914"/>
      <c r="AG222" s="191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07">
        <f>SUM(AB213:AB222)</f>
        <v>0</v>
      </c>
      <c r="AC223" s="1907"/>
      <c r="AD223" s="1907"/>
      <c r="AE223" s="1907"/>
      <c r="AF223" s="1907"/>
      <c r="AG223" s="1907"/>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7"/>
      <c r="AC229" s="1947"/>
      <c r="AD229" s="1947"/>
      <c r="AE229" s="1947"/>
      <c r="AF229" s="1947"/>
      <c r="AG229" s="1947"/>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7"/>
      <c r="AC232" s="1947"/>
      <c r="AD232" s="1947"/>
      <c r="AE232" s="1947"/>
      <c r="AF232" s="1947"/>
      <c r="AG232" s="1947"/>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6"/>
      <c r="AC233" s="1906"/>
      <c r="AD233" s="1906"/>
      <c r="AE233" s="1906"/>
      <c r="AF233" s="1906"/>
      <c r="AG233" s="1906"/>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5">
        <f>IFERROR(AB232/AB233,0)</f>
        <v>0</v>
      </c>
      <c r="AC234" s="1915"/>
      <c r="AD234" s="1915"/>
      <c r="AE234" s="1915"/>
      <c r="AF234" s="1915"/>
      <c r="AG234" s="191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14">
        <f>MAX(AB229,AB234)</f>
        <v>0</v>
      </c>
      <c r="AC236" s="1914"/>
      <c r="AD236" s="1914"/>
      <c r="AE236" s="1914"/>
      <c r="AF236" s="1914"/>
      <c r="AG236" s="191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7">
        <f>AB223+AB236</f>
        <v>0</v>
      </c>
      <c r="AC239" s="1907"/>
      <c r="AD239" s="1907"/>
      <c r="AE239" s="1907"/>
      <c r="AF239" s="1907"/>
      <c r="AG239" s="1907"/>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81">
        <v>0.05</v>
      </c>
      <c r="AC240" s="2081"/>
      <c r="AD240" s="2081"/>
      <c r="AE240" s="2081"/>
      <c r="AF240" s="2081"/>
      <c r="AG240" s="2081"/>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82">
        <f>AB239-(AB239*AB240)</f>
        <v>0</v>
      </c>
      <c r="AC241" s="2082"/>
      <c r="AD241" s="2082"/>
      <c r="AE241" s="2082"/>
      <c r="AF241" s="2082"/>
      <c r="AG241" s="2082"/>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7">
        <f>AB241/AB247</f>
        <v>0</v>
      </c>
      <c r="AC243" s="1907"/>
      <c r="AD243" s="1907"/>
      <c r="AE243" s="1907"/>
      <c r="AF243" s="1907"/>
      <c r="AG243" s="1907"/>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94">
        <v>15</v>
      </c>
      <c r="AC245" s="2094"/>
      <c r="AD245" s="2094"/>
      <c r="AE245" s="2094"/>
      <c r="AF245" s="2094"/>
      <c r="AG245" s="2094"/>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84">
        <v>0.04</v>
      </c>
      <c r="AC246" s="2084"/>
      <c r="AD246" s="2084"/>
      <c r="AE246" s="2084"/>
      <c r="AF246" s="2084"/>
      <c r="AG246" s="2084"/>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5">
        <v>1.1499999999999999</v>
      </c>
      <c r="AC247" s="2085"/>
      <c r="AD247" s="2085"/>
      <c r="AE247" s="2085"/>
      <c r="AF247" s="2085"/>
      <c r="AG247" s="208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74">
        <f>PV(AB246/12,AB245*12,-AB243/12, ,0)</f>
        <v>0</v>
      </c>
      <c r="AC249" s="2075"/>
      <c r="AD249" s="2075"/>
      <c r="AE249" s="2075"/>
      <c r="AF249" s="2075"/>
      <c r="AG249" s="207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8">
        <f>IFERROR(('Sources and Uses Budget'!D105/'Sources and Uses Budget'!B105),0)</f>
        <v>0</v>
      </c>
      <c r="AC255" s="2079"/>
      <c r="AD255" s="2079"/>
      <c r="AE255" s="2079"/>
      <c r="AF255" s="2079"/>
      <c r="AG255" s="208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21">
        <f>AD200*(1-AB255)</f>
        <v>16324009</v>
      </c>
      <c r="AH257" s="1921"/>
      <c r="AI257" s="1921"/>
      <c r="AJ257" s="1921"/>
      <c r="AK257" s="1921"/>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21">
        <f>'Sources and Uses Budget'!C105</f>
        <v>204000115</v>
      </c>
      <c r="AH258" s="1921"/>
      <c r="AI258" s="1921"/>
      <c r="AJ258" s="1921"/>
      <c r="AK258" s="1921"/>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70">
        <f>ROUNDDOWN(IF(AND(C281="Yes",AK78=10),((AG257*2)/AG258),AG257/AG258),2)</f>
        <v>0.08</v>
      </c>
      <c r="AH259" s="2070"/>
      <c r="AI259" s="2070"/>
      <c r="AJ259" s="2070"/>
      <c r="AK259" s="2070"/>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59">
        <f>IFERROR(IF(AG259=0,0,IF((AG259*100)&gt;8,8,(AG259*100))),0)</f>
        <v>8</v>
      </c>
      <c r="AL262" s="2059"/>
      <c r="AM262" s="2060"/>
    </row>
    <row r="263" spans="1:52" ht="13.8"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65" customHeight="1">
      <c r="A267" s="584"/>
      <c r="B267" s="630"/>
      <c r="C267" s="1939" t="s">
        <v>552</v>
      </c>
      <c r="D267" s="1939"/>
      <c r="E267" s="581"/>
      <c r="F267" s="1890" t="s">
        <v>2337</v>
      </c>
      <c r="G267" s="1891"/>
      <c r="H267" s="1891"/>
      <c r="I267" s="1891"/>
      <c r="J267" s="1891"/>
      <c r="K267" s="1891"/>
      <c r="L267" s="1891"/>
      <c r="M267" s="1891"/>
      <c r="N267" s="1891"/>
      <c r="O267" s="1891"/>
      <c r="P267" s="1891"/>
      <c r="Q267" s="1891"/>
      <c r="R267" s="1891"/>
      <c r="S267" s="1891"/>
      <c r="T267" s="1891"/>
      <c r="U267" s="1891"/>
      <c r="V267" s="1891"/>
      <c r="W267" s="1891"/>
      <c r="X267" s="1891"/>
      <c r="Y267" s="1891"/>
      <c r="Z267" s="1891"/>
      <c r="AA267" s="1891"/>
      <c r="AB267" s="1891"/>
      <c r="AC267" s="1891"/>
      <c r="AD267" s="1892"/>
      <c r="AE267" s="584"/>
      <c r="AF267" s="669"/>
      <c r="AG267" s="2068" t="s">
        <v>1472</v>
      </c>
      <c r="AH267" s="2068"/>
      <c r="AI267" s="2068"/>
      <c r="AJ267" s="2068"/>
      <c r="AK267" s="584"/>
      <c r="AL267" s="584"/>
      <c r="AM267" s="584"/>
      <c r="AO267" s="584"/>
    </row>
    <row r="268" spans="1:52" ht="13.65" customHeight="1">
      <c r="A268" s="584"/>
      <c r="B268" s="630"/>
      <c r="C268" s="670"/>
      <c r="D268" s="584"/>
      <c r="E268" s="581"/>
      <c r="F268" s="1893"/>
      <c r="G268" s="1894"/>
      <c r="H268" s="1894"/>
      <c r="I268" s="1894"/>
      <c r="J268" s="1894"/>
      <c r="K268" s="1894"/>
      <c r="L268" s="1894"/>
      <c r="M268" s="1894"/>
      <c r="N268" s="1894"/>
      <c r="O268" s="1894"/>
      <c r="P268" s="1894"/>
      <c r="Q268" s="1894"/>
      <c r="R268" s="1894"/>
      <c r="S268" s="1894"/>
      <c r="T268" s="1894"/>
      <c r="U268" s="1894"/>
      <c r="V268" s="1894"/>
      <c r="W268" s="1894"/>
      <c r="X268" s="1894"/>
      <c r="Y268" s="1894"/>
      <c r="Z268" s="1894"/>
      <c r="AA268" s="1894"/>
      <c r="AB268" s="1894"/>
      <c r="AC268" s="1894"/>
      <c r="AD268" s="1895"/>
      <c r="AE268" s="584"/>
      <c r="AF268" s="669"/>
      <c r="AG268" s="669"/>
      <c r="AH268" s="669"/>
      <c r="AI268" s="669"/>
      <c r="AJ268" s="584"/>
      <c r="AK268" s="584"/>
      <c r="AL268" s="584"/>
      <c r="AM268" s="584"/>
      <c r="AO268" s="584"/>
    </row>
    <row r="269" spans="1:52">
      <c r="A269" s="584"/>
      <c r="B269" s="630"/>
      <c r="C269" s="670"/>
      <c r="D269" s="584"/>
      <c r="E269" s="581"/>
      <c r="F269" s="1893"/>
      <c r="G269" s="1894"/>
      <c r="H269" s="1894"/>
      <c r="I269" s="1894"/>
      <c r="J269" s="1894"/>
      <c r="K269" s="1894"/>
      <c r="L269" s="1894"/>
      <c r="M269" s="1894"/>
      <c r="N269" s="1894"/>
      <c r="O269" s="1894"/>
      <c r="P269" s="1894"/>
      <c r="Q269" s="1894"/>
      <c r="R269" s="1894"/>
      <c r="S269" s="1894"/>
      <c r="T269" s="1894"/>
      <c r="U269" s="1894"/>
      <c r="V269" s="1894"/>
      <c r="W269" s="1894"/>
      <c r="X269" s="1894"/>
      <c r="Y269" s="1894"/>
      <c r="Z269" s="1894"/>
      <c r="AA269" s="1894"/>
      <c r="AB269" s="1894"/>
      <c r="AC269" s="1894"/>
      <c r="AD269" s="1895"/>
      <c r="AE269" s="584"/>
      <c r="AF269" s="669"/>
      <c r="AG269" s="669"/>
      <c r="AH269" s="669"/>
      <c r="AI269" s="669"/>
      <c r="AJ269" s="584"/>
      <c r="AK269" s="584"/>
      <c r="AL269" s="584"/>
      <c r="AM269" s="584"/>
      <c r="AO269" s="584"/>
      <c r="AP269" s="671"/>
    </row>
    <row r="270" spans="1:52">
      <c r="A270" s="584"/>
      <c r="B270" s="630"/>
      <c r="C270" s="670"/>
      <c r="D270" s="584"/>
      <c r="E270" s="581"/>
      <c r="F270" s="1893"/>
      <c r="G270" s="1894"/>
      <c r="H270" s="1894"/>
      <c r="I270" s="1894"/>
      <c r="J270" s="1894"/>
      <c r="K270" s="1894"/>
      <c r="L270" s="1894"/>
      <c r="M270" s="1894"/>
      <c r="N270" s="1894"/>
      <c r="O270" s="1894"/>
      <c r="P270" s="1894"/>
      <c r="Q270" s="1894"/>
      <c r="R270" s="1894"/>
      <c r="S270" s="1894"/>
      <c r="T270" s="1894"/>
      <c r="U270" s="1894"/>
      <c r="V270" s="1894"/>
      <c r="W270" s="1894"/>
      <c r="X270" s="1894"/>
      <c r="Y270" s="1894"/>
      <c r="Z270" s="1894"/>
      <c r="AA270" s="1894"/>
      <c r="AB270" s="1894"/>
      <c r="AC270" s="1894"/>
      <c r="AD270" s="1895"/>
      <c r="AE270" s="584"/>
      <c r="AF270" s="669"/>
      <c r="AG270" s="669"/>
      <c r="AH270" s="669"/>
      <c r="AI270" s="669"/>
      <c r="AJ270" s="584"/>
      <c r="AK270" s="584"/>
      <c r="AL270" s="584"/>
      <c r="AM270" s="584"/>
      <c r="AO270" s="584"/>
      <c r="AP270" s="671"/>
    </row>
    <row r="271" spans="1:52" ht="13.65" customHeight="1">
      <c r="A271" s="584"/>
      <c r="B271" s="630"/>
      <c r="C271" s="2069"/>
      <c r="D271" s="2069"/>
      <c r="E271" s="581"/>
      <c r="F271" s="1896"/>
      <c r="G271" s="1897"/>
      <c r="H271" s="1897"/>
      <c r="I271" s="1897"/>
      <c r="J271" s="1897"/>
      <c r="K271" s="1897"/>
      <c r="L271" s="1897"/>
      <c r="M271" s="1897"/>
      <c r="N271" s="1897"/>
      <c r="O271" s="1897"/>
      <c r="P271" s="1897"/>
      <c r="Q271" s="1897"/>
      <c r="R271" s="1897"/>
      <c r="S271" s="1897"/>
      <c r="T271" s="1897"/>
      <c r="U271" s="1897"/>
      <c r="V271" s="1897"/>
      <c r="W271" s="1897"/>
      <c r="X271" s="1897"/>
      <c r="Y271" s="1897"/>
      <c r="Z271" s="1897"/>
      <c r="AA271" s="1897"/>
      <c r="AB271" s="1897"/>
      <c r="AC271" s="1897"/>
      <c r="AD271" s="1898"/>
      <c r="AE271" s="584"/>
      <c r="AF271" s="669"/>
      <c r="AG271" s="2068"/>
      <c r="AH271" s="2068"/>
      <c r="AI271" s="2068"/>
      <c r="AJ271" s="2068"/>
      <c r="AK271" s="584"/>
      <c r="AL271" s="584"/>
      <c r="AM271" s="584"/>
    </row>
    <row r="272" spans="1:52" ht="13.6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59">
        <f>IF($C$267="yes",10,0)</f>
        <v>10</v>
      </c>
      <c r="AL274" s="2059"/>
      <c r="AM274" s="2060"/>
      <c r="AN274" s="73"/>
    </row>
    <row r="275" spans="1:49" ht="13.8" thickBot="1"/>
    <row r="276" spans="1:49" ht="13.8"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8" t="s">
        <v>1491</v>
      </c>
      <c r="B281" s="1628"/>
      <c r="C281" s="2033" t="s">
        <v>598</v>
      </c>
      <c r="D281" s="1939"/>
      <c r="E281" s="581"/>
      <c r="F281" s="2061" t="s">
        <v>1492</v>
      </c>
      <c r="G281" s="2062"/>
      <c r="H281" s="2062"/>
      <c r="I281" s="2062"/>
      <c r="J281" s="2062"/>
      <c r="K281" s="2062"/>
      <c r="L281" s="2062"/>
      <c r="M281" s="2062"/>
      <c r="N281" s="2062"/>
      <c r="O281" s="2062"/>
      <c r="P281" s="2062"/>
      <c r="Q281" s="2062"/>
      <c r="R281" s="2062"/>
      <c r="S281" s="2062"/>
      <c r="T281" s="2062"/>
      <c r="U281" s="2062"/>
      <c r="V281" s="2062"/>
      <c r="W281" s="2062"/>
      <c r="X281" s="2062"/>
      <c r="Y281" s="2062"/>
      <c r="Z281" s="2062"/>
      <c r="AA281" s="2062"/>
      <c r="AB281" s="2062"/>
      <c r="AC281" s="2062"/>
      <c r="AD281" s="2063"/>
      <c r="AE281" s="676"/>
      <c r="AF281" s="584"/>
      <c r="AG281" s="2064" t="s">
        <v>2330</v>
      </c>
      <c r="AH281" s="2064"/>
      <c r="AI281" s="2064"/>
      <c r="AJ281" s="2064"/>
      <c r="AK281" s="2064"/>
      <c r="AL281" s="584"/>
      <c r="AM281" s="584"/>
      <c r="AN281" s="73"/>
      <c r="AO281" s="14"/>
      <c r="AP281" s="30"/>
      <c r="AS281" s="604"/>
      <c r="AT281" s="604"/>
      <c r="AU281" s="604"/>
      <c r="AV281" s="32"/>
      <c r="AW281" s="32"/>
    </row>
    <row r="282" spans="1:49">
      <c r="A282" s="674"/>
      <c r="B282" s="630"/>
      <c r="F282" s="1916"/>
      <c r="G282" s="1917"/>
      <c r="H282" s="1917"/>
      <c r="I282" s="1917"/>
      <c r="J282" s="1917"/>
      <c r="K282" s="1917"/>
      <c r="L282" s="1917"/>
      <c r="M282" s="1917"/>
      <c r="N282" s="1917"/>
      <c r="O282" s="1917"/>
      <c r="P282" s="1917"/>
      <c r="Q282" s="1917"/>
      <c r="R282" s="1917"/>
      <c r="S282" s="1917"/>
      <c r="T282" s="1917"/>
      <c r="U282" s="1917"/>
      <c r="V282" s="1917"/>
      <c r="W282" s="1917"/>
      <c r="X282" s="1917"/>
      <c r="Y282" s="1917"/>
      <c r="Z282" s="1917"/>
      <c r="AA282" s="1917"/>
      <c r="AB282" s="1917"/>
      <c r="AC282" s="1917"/>
      <c r="AD282" s="1918"/>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6"/>
      <c r="G283" s="1917"/>
      <c r="H283" s="1917"/>
      <c r="I283" s="1917"/>
      <c r="J283" s="1917"/>
      <c r="K283" s="1917"/>
      <c r="L283" s="1917"/>
      <c r="M283" s="1917"/>
      <c r="N283" s="1917"/>
      <c r="O283" s="1917"/>
      <c r="P283" s="1917"/>
      <c r="Q283" s="1917"/>
      <c r="R283" s="1917"/>
      <c r="S283" s="1917"/>
      <c r="T283" s="1917"/>
      <c r="U283" s="1917"/>
      <c r="V283" s="1917"/>
      <c r="W283" s="1917"/>
      <c r="X283" s="1917"/>
      <c r="Y283" s="1917"/>
      <c r="Z283" s="1917"/>
      <c r="AA283" s="1917"/>
      <c r="AB283" s="1917"/>
      <c r="AC283" s="1917"/>
      <c r="AD283" s="1918"/>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16" t="s">
        <v>2338</v>
      </c>
      <c r="G284" s="1917"/>
      <c r="H284" s="1917"/>
      <c r="I284" s="1917"/>
      <c r="J284" s="1917"/>
      <c r="K284" s="1917"/>
      <c r="L284" s="1917"/>
      <c r="M284" s="1917"/>
      <c r="N284" s="1917"/>
      <c r="O284" s="1917"/>
      <c r="P284" s="1917"/>
      <c r="Q284" s="1917"/>
      <c r="R284" s="1917"/>
      <c r="S284" s="1917"/>
      <c r="T284" s="1917"/>
      <c r="U284" s="1917"/>
      <c r="V284" s="1917"/>
      <c r="W284" s="1917"/>
      <c r="X284" s="1917"/>
      <c r="Y284" s="1917"/>
      <c r="Z284" s="1917"/>
      <c r="AA284" s="1917"/>
      <c r="AB284" s="1917"/>
      <c r="AC284" s="1917"/>
      <c r="AD284" s="1918"/>
      <c r="AE284" s="676"/>
      <c r="AF284" s="585"/>
      <c r="AH284" s="585"/>
      <c r="AI284" s="585"/>
      <c r="AJ284" s="584"/>
      <c r="AK284" s="584"/>
      <c r="AL284" s="584"/>
      <c r="AM284" s="584"/>
      <c r="AN284" s="73"/>
      <c r="AO284" s="14"/>
      <c r="AP284" s="645">
        <f>MAX(AP282,AP283)</f>
        <v>9</v>
      </c>
      <c r="AQ284" s="608" t="s">
        <v>1425</v>
      </c>
      <c r="AS284" s="604"/>
      <c r="AT284" s="604"/>
      <c r="AU284" s="604"/>
      <c r="AV284" s="32"/>
      <c r="AW284" s="32"/>
    </row>
    <row r="285" spans="1:49">
      <c r="A285" s="674"/>
      <c r="B285" s="630"/>
      <c r="F285" s="1916"/>
      <c r="G285" s="1917"/>
      <c r="H285" s="1917"/>
      <c r="I285" s="1917"/>
      <c r="J285" s="1917"/>
      <c r="K285" s="1917"/>
      <c r="L285" s="1917"/>
      <c r="M285" s="1917"/>
      <c r="N285" s="1917"/>
      <c r="O285" s="1917"/>
      <c r="P285" s="1917"/>
      <c r="Q285" s="1917"/>
      <c r="R285" s="1917"/>
      <c r="S285" s="1917"/>
      <c r="T285" s="1917"/>
      <c r="U285" s="1917"/>
      <c r="V285" s="1917"/>
      <c r="W285" s="1917"/>
      <c r="X285" s="1917"/>
      <c r="Y285" s="1917"/>
      <c r="Z285" s="1917"/>
      <c r="AA285" s="1917"/>
      <c r="AB285" s="1917"/>
      <c r="AC285" s="1917"/>
      <c r="AD285" s="1918"/>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6" t="s">
        <v>1493</v>
      </c>
      <c r="G286" s="1917"/>
      <c r="H286" s="1917"/>
      <c r="I286" s="1917"/>
      <c r="J286" s="1917"/>
      <c r="K286" s="1917"/>
      <c r="L286" s="1917"/>
      <c r="M286" s="1917"/>
      <c r="N286" s="1917"/>
      <c r="O286" s="1917"/>
      <c r="P286" s="1917"/>
      <c r="Q286" s="1917"/>
      <c r="R286" s="1917"/>
      <c r="S286" s="1917"/>
      <c r="T286" s="1917"/>
      <c r="U286" s="1917"/>
      <c r="V286" s="1917"/>
      <c r="W286" s="1917"/>
      <c r="X286" s="1917"/>
      <c r="Y286" s="1917"/>
      <c r="Z286" s="1917"/>
      <c r="AA286" s="1917"/>
      <c r="AB286" s="1917"/>
      <c r="AC286" s="1917"/>
      <c r="AD286" s="1918"/>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6"/>
      <c r="G287" s="1917"/>
      <c r="H287" s="1917"/>
      <c r="I287" s="1917"/>
      <c r="J287" s="1917"/>
      <c r="K287" s="1917"/>
      <c r="L287" s="1917"/>
      <c r="M287" s="1917"/>
      <c r="N287" s="1917"/>
      <c r="O287" s="1917"/>
      <c r="P287" s="1917"/>
      <c r="Q287" s="1917"/>
      <c r="R287" s="1917"/>
      <c r="S287" s="1917"/>
      <c r="T287" s="1917"/>
      <c r="U287" s="1917"/>
      <c r="V287" s="1917"/>
      <c r="W287" s="1917"/>
      <c r="X287" s="1917"/>
      <c r="Y287" s="1917"/>
      <c r="Z287" s="1917"/>
      <c r="AA287" s="1917"/>
      <c r="AB287" s="1917"/>
      <c r="AC287" s="1917"/>
      <c r="AD287" s="1918"/>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6" t="s">
        <v>1494</v>
      </c>
      <c r="G288" s="1917"/>
      <c r="H288" s="1917"/>
      <c r="I288" s="1917"/>
      <c r="J288" s="1917"/>
      <c r="K288" s="1917"/>
      <c r="L288" s="1917"/>
      <c r="M288" s="1917"/>
      <c r="N288" s="1917"/>
      <c r="O288" s="1917"/>
      <c r="P288" s="1917"/>
      <c r="Q288" s="1917"/>
      <c r="R288" s="1917"/>
      <c r="S288" s="1917"/>
      <c r="T288" s="1917"/>
      <c r="U288" s="1917"/>
      <c r="V288" s="1917"/>
      <c r="W288" s="1917"/>
      <c r="X288" s="1917"/>
      <c r="Y288" s="1917"/>
      <c r="Z288" s="1917"/>
      <c r="AA288" s="1917"/>
      <c r="AB288" s="1917"/>
      <c r="AC288" s="1917"/>
      <c r="AD288" s="1918"/>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9"/>
      <c r="G289" s="1920"/>
      <c r="H289" s="1920"/>
      <c r="I289" s="1920"/>
      <c r="J289" s="1920"/>
      <c r="K289" s="1920"/>
      <c r="L289" s="1920"/>
      <c r="M289" s="1920"/>
      <c r="N289" s="1920"/>
      <c r="O289" s="1920"/>
      <c r="P289" s="1920"/>
      <c r="Q289" s="1920"/>
      <c r="R289" s="1920"/>
      <c r="S289" s="1920"/>
      <c r="T289" s="1920"/>
      <c r="U289" s="1920"/>
      <c r="V289" s="1920"/>
      <c r="W289" s="1920"/>
      <c r="X289" s="1920"/>
      <c r="Y289" s="1920"/>
      <c r="Z289" s="1920"/>
      <c r="AA289" s="1920"/>
      <c r="AB289" s="1920"/>
      <c r="AC289" s="1920"/>
      <c r="AD289" s="205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8" t="s">
        <v>1495</v>
      </c>
      <c r="B291" s="1628"/>
      <c r="C291" s="1939" t="s">
        <v>552</v>
      </c>
      <c r="D291" s="1939"/>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43" t="s">
        <v>2332</v>
      </c>
      <c r="G292" s="2044"/>
      <c r="H292" s="2044"/>
      <c r="I292" s="2044"/>
      <c r="J292" s="2044"/>
      <c r="K292" s="2044"/>
      <c r="L292" s="2044"/>
      <c r="M292" s="2044"/>
      <c r="N292" s="2044"/>
      <c r="O292" s="2044"/>
      <c r="P292" s="2044"/>
      <c r="Q292" s="2044"/>
      <c r="R292" s="2044"/>
      <c r="S292" s="2044"/>
      <c r="T292" s="2044"/>
      <c r="U292" s="2044"/>
      <c r="V292" s="2044"/>
      <c r="W292" s="2044"/>
      <c r="X292" s="2044"/>
      <c r="Y292" s="2044"/>
      <c r="Z292" s="2044"/>
      <c r="AA292" s="2044"/>
      <c r="AB292" s="2044"/>
      <c r="AC292" s="2044"/>
      <c r="AD292" s="2045"/>
      <c r="AE292" s="585"/>
      <c r="AF292" s="585"/>
      <c r="AG292" s="585"/>
      <c r="AH292" s="585"/>
      <c r="AI292" s="585"/>
      <c r="AJ292" s="584"/>
      <c r="AK292" s="584"/>
      <c r="AL292" s="584"/>
      <c r="AM292" s="584"/>
      <c r="AR292" s="682"/>
    </row>
    <row r="293" spans="1:49" ht="15" customHeight="1">
      <c r="A293" s="584"/>
      <c r="B293" s="585"/>
      <c r="C293" s="584"/>
      <c r="D293" s="585"/>
      <c r="E293" s="584"/>
      <c r="F293" s="2043"/>
      <c r="G293" s="2044"/>
      <c r="H293" s="2044"/>
      <c r="I293" s="2044"/>
      <c r="J293" s="2044"/>
      <c r="K293" s="2044"/>
      <c r="L293" s="2044"/>
      <c r="M293" s="2044"/>
      <c r="N293" s="2044"/>
      <c r="O293" s="2044"/>
      <c r="P293" s="2044"/>
      <c r="Q293" s="2044"/>
      <c r="R293" s="2044"/>
      <c r="S293" s="2044"/>
      <c r="T293" s="2044"/>
      <c r="U293" s="2044"/>
      <c r="V293" s="2044"/>
      <c r="W293" s="2044"/>
      <c r="X293" s="2044"/>
      <c r="Y293" s="2044"/>
      <c r="Z293" s="2044"/>
      <c r="AA293" s="2044"/>
      <c r="AB293" s="2044"/>
      <c r="AC293" s="2044"/>
      <c r="AD293" s="2045"/>
      <c r="AE293" s="585"/>
      <c r="AF293" s="585"/>
      <c r="AG293" s="585"/>
      <c r="AH293" s="585"/>
      <c r="AI293" s="585"/>
      <c r="AJ293" s="584"/>
      <c r="AK293" s="584"/>
      <c r="AL293" s="584"/>
      <c r="AM293" s="584"/>
      <c r="AR293" s="682"/>
    </row>
    <row r="294" spans="1:49">
      <c r="A294" s="584"/>
      <c r="B294" s="585"/>
      <c r="C294" s="584"/>
      <c r="D294" s="585"/>
      <c r="E294" s="584"/>
      <c r="F294" s="2043"/>
      <c r="G294" s="2044"/>
      <c r="H294" s="2044"/>
      <c r="I294" s="2044"/>
      <c r="J294" s="2044"/>
      <c r="K294" s="2044"/>
      <c r="L294" s="2044"/>
      <c r="M294" s="2044"/>
      <c r="N294" s="2044"/>
      <c r="O294" s="2044"/>
      <c r="P294" s="2044"/>
      <c r="Q294" s="2044"/>
      <c r="R294" s="2044"/>
      <c r="S294" s="2044"/>
      <c r="T294" s="2044"/>
      <c r="U294" s="2044"/>
      <c r="V294" s="2044"/>
      <c r="W294" s="2044"/>
      <c r="X294" s="2044"/>
      <c r="Y294" s="2044"/>
      <c r="Z294" s="2044"/>
      <c r="AA294" s="2044"/>
      <c r="AB294" s="2044"/>
      <c r="AC294" s="2044"/>
      <c r="AD294" s="2045"/>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5"/>
      <c r="G295" s="2066"/>
      <c r="H295" s="2066"/>
      <c r="I295" s="2066"/>
      <c r="J295" s="2066"/>
      <c r="K295" s="2066"/>
      <c r="L295" s="2066"/>
      <c r="M295" s="2066"/>
      <c r="N295" s="2066"/>
      <c r="O295" s="2066"/>
      <c r="P295" s="2066"/>
      <c r="Q295" s="2066"/>
      <c r="R295" s="2066"/>
      <c r="S295" s="2066"/>
      <c r="T295" s="2066"/>
      <c r="U295" s="2066"/>
      <c r="V295" s="2066"/>
      <c r="W295" s="2066"/>
      <c r="X295" s="2066"/>
      <c r="Y295" s="2066"/>
      <c r="Z295" s="2066"/>
      <c r="AA295" s="2066"/>
      <c r="AB295" s="2066"/>
      <c r="AC295" s="2066"/>
      <c r="AD295" s="2067"/>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28" t="s">
        <v>1498</v>
      </c>
      <c r="B299" s="1628"/>
      <c r="C299" s="1939" t="s">
        <v>598</v>
      </c>
      <c r="D299" s="1939"/>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16" t="s">
        <v>2339</v>
      </c>
      <c r="G300" s="1917"/>
      <c r="H300" s="1917"/>
      <c r="I300" s="1917"/>
      <c r="J300" s="1917"/>
      <c r="K300" s="1917"/>
      <c r="L300" s="1917"/>
      <c r="M300" s="1917"/>
      <c r="N300" s="1917"/>
      <c r="O300" s="1917"/>
      <c r="P300" s="1917"/>
      <c r="Q300" s="1917"/>
      <c r="R300" s="1917"/>
      <c r="S300" s="1917"/>
      <c r="T300" s="1917"/>
      <c r="U300" s="1917"/>
      <c r="V300" s="1917"/>
      <c r="W300" s="1917"/>
      <c r="X300" s="1917"/>
      <c r="Y300" s="1917"/>
      <c r="Z300" s="1917"/>
      <c r="AA300" s="1917"/>
      <c r="AB300" s="1917"/>
      <c r="AC300" s="1917"/>
      <c r="AD300" s="1918"/>
      <c r="AE300" s="585"/>
      <c r="AF300" s="585"/>
      <c r="AG300" s="573"/>
      <c r="AH300" s="585"/>
      <c r="AI300" s="585"/>
      <c r="AJ300" s="584"/>
      <c r="AK300" s="584"/>
      <c r="AL300" s="584"/>
      <c r="AM300" s="584"/>
      <c r="AN300" s="73"/>
      <c r="AO300" s="14"/>
      <c r="AP300" s="591" t="s">
        <v>1289</v>
      </c>
    </row>
    <row r="301" spans="1:49" hidden="1">
      <c r="F301" s="1916"/>
      <c r="G301" s="1917"/>
      <c r="H301" s="1917"/>
      <c r="I301" s="1917"/>
      <c r="J301" s="1917"/>
      <c r="K301" s="1917"/>
      <c r="L301" s="1917"/>
      <c r="M301" s="1917"/>
      <c r="N301" s="1917"/>
      <c r="O301" s="1917"/>
      <c r="P301" s="1917"/>
      <c r="Q301" s="1917"/>
      <c r="R301" s="1917"/>
      <c r="S301" s="1917"/>
      <c r="T301" s="1917"/>
      <c r="U301" s="1917"/>
      <c r="V301" s="1917"/>
      <c r="W301" s="1917"/>
      <c r="X301" s="1917"/>
      <c r="Y301" s="1917"/>
      <c r="Z301" s="1917"/>
      <c r="AA301" s="1917"/>
      <c r="AB301" s="1917"/>
      <c r="AC301" s="1917"/>
      <c r="AD301" s="1918"/>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6" t="s">
        <v>1289</v>
      </c>
      <c r="G305" s="2047"/>
      <c r="H305" s="2047"/>
      <c r="I305" s="2047"/>
      <c r="J305" s="2047"/>
      <c r="K305" s="2047"/>
      <c r="L305" s="2047"/>
      <c r="M305" s="2047"/>
      <c r="N305" s="2047"/>
      <c r="O305" s="2047"/>
      <c r="P305" s="2047"/>
      <c r="Q305" s="2047"/>
      <c r="R305" s="2047"/>
      <c r="S305" s="2047"/>
      <c r="T305" s="2047"/>
      <c r="U305" s="2047"/>
      <c r="V305" s="2047"/>
      <c r="W305" s="2047"/>
      <c r="X305" s="2047"/>
      <c r="Y305" s="2047"/>
      <c r="Z305" s="2047"/>
      <c r="AA305" s="2047"/>
      <c r="AB305" s="2047"/>
      <c r="AC305" s="2047"/>
      <c r="AD305" s="2048"/>
      <c r="AE305" s="676"/>
      <c r="AF305" s="676"/>
      <c r="AG305" s="676"/>
      <c r="AH305" s="676"/>
      <c r="AI305" s="676"/>
      <c r="AJ305" s="676"/>
      <c r="AK305" s="676"/>
      <c r="AL305" s="584"/>
      <c r="AM305" s="584"/>
      <c r="AN305" s="73"/>
      <c r="AO305" s="14"/>
      <c r="AP305" s="30"/>
    </row>
    <row r="306" spans="1:42" hidden="1">
      <c r="A306" s="584"/>
      <c r="B306" s="585"/>
      <c r="C306" s="764"/>
      <c r="D306" s="764"/>
      <c r="E306" s="581"/>
      <c r="F306" s="2046"/>
      <c r="G306" s="2047"/>
      <c r="H306" s="2047"/>
      <c r="I306" s="2047"/>
      <c r="J306" s="2047"/>
      <c r="K306" s="2047"/>
      <c r="L306" s="2047"/>
      <c r="M306" s="2047"/>
      <c r="N306" s="2047"/>
      <c r="O306" s="2047"/>
      <c r="P306" s="2047"/>
      <c r="Q306" s="2047"/>
      <c r="R306" s="2047"/>
      <c r="S306" s="2047"/>
      <c r="T306" s="2047"/>
      <c r="U306" s="2047"/>
      <c r="V306" s="2047"/>
      <c r="W306" s="2047"/>
      <c r="X306" s="2047"/>
      <c r="Y306" s="2047"/>
      <c r="Z306" s="2047"/>
      <c r="AA306" s="2047"/>
      <c r="AB306" s="2047"/>
      <c r="AC306" s="2047"/>
      <c r="AD306" s="2048"/>
      <c r="AE306" s="585"/>
      <c r="AF306" s="585"/>
      <c r="AG306" s="573"/>
      <c r="AH306" s="585"/>
      <c r="AI306" s="585"/>
      <c r="AJ306" s="584"/>
      <c r="AK306" s="584"/>
      <c r="AL306" s="584"/>
      <c r="AM306" s="584"/>
      <c r="AN306" s="73"/>
      <c r="AO306" s="14"/>
      <c r="AP306" s="30"/>
    </row>
    <row r="307" spans="1:42" hidden="1">
      <c r="A307" s="584"/>
      <c r="B307" s="585"/>
      <c r="C307" s="764"/>
      <c r="D307" s="764"/>
      <c r="E307" s="581"/>
      <c r="F307" s="2046"/>
      <c r="G307" s="2047"/>
      <c r="H307" s="2047"/>
      <c r="I307" s="2047"/>
      <c r="J307" s="2047"/>
      <c r="K307" s="2047"/>
      <c r="L307" s="2047"/>
      <c r="M307" s="2047"/>
      <c r="N307" s="2047"/>
      <c r="O307" s="2047"/>
      <c r="P307" s="2047"/>
      <c r="Q307" s="2047"/>
      <c r="R307" s="2047"/>
      <c r="S307" s="2047"/>
      <c r="T307" s="2047"/>
      <c r="U307" s="2047"/>
      <c r="V307" s="2047"/>
      <c r="W307" s="2047"/>
      <c r="X307" s="2047"/>
      <c r="Y307" s="2047"/>
      <c r="Z307" s="2047"/>
      <c r="AA307" s="2047"/>
      <c r="AB307" s="2047"/>
      <c r="AC307" s="2047"/>
      <c r="AD307" s="2048"/>
      <c r="AE307" s="585"/>
      <c r="AF307" s="585"/>
      <c r="AG307" s="573"/>
      <c r="AH307" s="585"/>
      <c r="AI307" s="585"/>
      <c r="AJ307" s="584"/>
      <c r="AK307" s="584"/>
      <c r="AL307" s="584"/>
      <c r="AM307" s="584"/>
      <c r="AN307" s="73"/>
      <c r="AO307" s="14"/>
      <c r="AP307" s="30"/>
    </row>
    <row r="308" spans="1:42" hidden="1">
      <c r="A308" s="584"/>
      <c r="B308" s="585"/>
      <c r="C308" s="764"/>
      <c r="D308" s="764"/>
      <c r="E308" s="581"/>
      <c r="F308" s="2046"/>
      <c r="G308" s="2047"/>
      <c r="H308" s="2047"/>
      <c r="I308" s="2047"/>
      <c r="J308" s="2047"/>
      <c r="K308" s="2047"/>
      <c r="L308" s="2047"/>
      <c r="M308" s="2047"/>
      <c r="N308" s="2047"/>
      <c r="O308" s="2047"/>
      <c r="P308" s="2047"/>
      <c r="Q308" s="2047"/>
      <c r="R308" s="2047"/>
      <c r="S308" s="2047"/>
      <c r="T308" s="2047"/>
      <c r="U308" s="2047"/>
      <c r="V308" s="2047"/>
      <c r="W308" s="2047"/>
      <c r="X308" s="2047"/>
      <c r="Y308" s="2047"/>
      <c r="Z308" s="2047"/>
      <c r="AA308" s="2047"/>
      <c r="AB308" s="2047"/>
      <c r="AC308" s="2047"/>
      <c r="AD308" s="2048"/>
      <c r="AE308" s="585"/>
      <c r="AF308" s="585"/>
      <c r="AG308" s="573"/>
      <c r="AH308" s="585"/>
      <c r="AI308" s="585"/>
      <c r="AJ308" s="584"/>
      <c r="AK308" s="584"/>
      <c r="AL308" s="584"/>
      <c r="AM308" s="584"/>
      <c r="AN308" s="73"/>
      <c r="AO308" s="14"/>
      <c r="AP308" s="30"/>
    </row>
    <row r="309" spans="1:42" hidden="1">
      <c r="A309" s="584"/>
      <c r="B309" s="585"/>
      <c r="C309" s="764"/>
      <c r="D309" s="764"/>
      <c r="E309" s="581"/>
      <c r="F309" s="2049"/>
      <c r="G309" s="2050"/>
      <c r="H309" s="2050"/>
      <c r="I309" s="2050"/>
      <c r="J309" s="2050"/>
      <c r="K309" s="2050"/>
      <c r="L309" s="2050"/>
      <c r="M309" s="2050"/>
      <c r="N309" s="2050"/>
      <c r="O309" s="2050"/>
      <c r="P309" s="2050"/>
      <c r="Q309" s="2050"/>
      <c r="R309" s="2050"/>
      <c r="S309" s="2050"/>
      <c r="T309" s="2050"/>
      <c r="U309" s="2050"/>
      <c r="V309" s="2050"/>
      <c r="W309" s="2050"/>
      <c r="X309" s="2050"/>
      <c r="Y309" s="2050"/>
      <c r="Z309" s="2050"/>
      <c r="AA309" s="2050"/>
      <c r="AB309" s="2050"/>
      <c r="AC309" s="2050"/>
      <c r="AD309" s="2051"/>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695</v>
      </c>
      <c r="H313" s="609"/>
      <c r="I313" s="2052" t="s">
        <v>1289</v>
      </c>
      <c r="J313" s="2052"/>
      <c r="K313" s="2052"/>
      <c r="L313" s="2052"/>
      <c r="M313" s="2052"/>
      <c r="N313" s="2052"/>
      <c r="O313" s="2052"/>
      <c r="P313" s="2052"/>
      <c r="Q313" s="2052"/>
      <c r="R313" s="2052"/>
      <c r="S313" s="2052"/>
      <c r="T313" s="2052"/>
      <c r="U313" s="2052"/>
      <c r="V313" s="2052"/>
      <c r="W313" s="2052"/>
      <c r="X313" s="2052"/>
      <c r="Y313" s="2052"/>
      <c r="Z313" s="2052"/>
      <c r="AA313" s="2052"/>
      <c r="AB313" s="2052"/>
      <c r="AC313" s="2052"/>
      <c r="AD313" s="2053"/>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52"/>
      <c r="J314" s="2052"/>
      <c r="K314" s="2052"/>
      <c r="L314" s="2052"/>
      <c r="M314" s="2052"/>
      <c r="N314" s="2052"/>
      <c r="O314" s="2052"/>
      <c r="P314" s="2052"/>
      <c r="Q314" s="2052"/>
      <c r="R314" s="2052"/>
      <c r="S314" s="2052"/>
      <c r="T314" s="2052"/>
      <c r="U314" s="2052"/>
      <c r="V314" s="2052"/>
      <c r="W314" s="2052"/>
      <c r="X314" s="2052"/>
      <c r="Y314" s="2052"/>
      <c r="Z314" s="2052"/>
      <c r="AA314" s="2052"/>
      <c r="AB314" s="2052"/>
      <c r="AC314" s="2052"/>
      <c r="AD314" s="2053"/>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52"/>
      <c r="J315" s="2052"/>
      <c r="K315" s="2052"/>
      <c r="L315" s="2052"/>
      <c r="M315" s="2052"/>
      <c r="N315" s="2052"/>
      <c r="O315" s="2052"/>
      <c r="P315" s="2052"/>
      <c r="Q315" s="2052"/>
      <c r="R315" s="2052"/>
      <c r="S315" s="2052"/>
      <c r="T315" s="2052"/>
      <c r="U315" s="2052"/>
      <c r="V315" s="2052"/>
      <c r="W315" s="2052"/>
      <c r="X315" s="2052"/>
      <c r="Y315" s="2052"/>
      <c r="Z315" s="2052"/>
      <c r="AA315" s="2052"/>
      <c r="AB315" s="2052"/>
      <c r="AC315" s="2052"/>
      <c r="AD315" s="2053"/>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54"/>
      <c r="J316" s="2054"/>
      <c r="K316" s="2054"/>
      <c r="L316" s="2054"/>
      <c r="M316" s="2054"/>
      <c r="N316" s="2054"/>
      <c r="O316" s="2054"/>
      <c r="P316" s="2054"/>
      <c r="Q316" s="2054"/>
      <c r="R316" s="2054"/>
      <c r="S316" s="2054"/>
      <c r="T316" s="2054"/>
      <c r="U316" s="2054"/>
      <c r="V316" s="2054"/>
      <c r="W316" s="2054"/>
      <c r="X316" s="2054"/>
      <c r="Y316" s="2054"/>
      <c r="Z316" s="2054"/>
      <c r="AA316" s="2054"/>
      <c r="AB316" s="2054"/>
      <c r="AC316" s="2054"/>
      <c r="AD316" s="2055"/>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52" t="s">
        <v>1289</v>
      </c>
      <c r="J318" s="2052"/>
      <c r="K318" s="2052"/>
      <c r="L318" s="2052"/>
      <c r="M318" s="2052"/>
      <c r="N318" s="2052"/>
      <c r="O318" s="2052"/>
      <c r="P318" s="2052"/>
      <c r="Q318" s="2052"/>
      <c r="R318" s="2052"/>
      <c r="S318" s="2052"/>
      <c r="T318" s="2052"/>
      <c r="U318" s="2052"/>
      <c r="V318" s="2052"/>
      <c r="W318" s="2052"/>
      <c r="X318" s="2052"/>
      <c r="Y318" s="2052"/>
      <c r="Z318" s="2052"/>
      <c r="AA318" s="2052"/>
      <c r="AB318" s="2052"/>
      <c r="AC318" s="2052"/>
      <c r="AD318" s="2053"/>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52"/>
      <c r="J319" s="2052"/>
      <c r="K319" s="2052"/>
      <c r="L319" s="2052"/>
      <c r="M319" s="2052"/>
      <c r="N319" s="2052"/>
      <c r="O319" s="2052"/>
      <c r="P319" s="2052"/>
      <c r="Q319" s="2052"/>
      <c r="R319" s="2052"/>
      <c r="S319" s="2052"/>
      <c r="T319" s="2052"/>
      <c r="U319" s="2052"/>
      <c r="V319" s="2052"/>
      <c r="W319" s="2052"/>
      <c r="X319" s="2052"/>
      <c r="Y319" s="2052"/>
      <c r="Z319" s="2052"/>
      <c r="AA319" s="2052"/>
      <c r="AB319" s="2052"/>
      <c r="AC319" s="2052"/>
      <c r="AD319" s="2053"/>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54"/>
      <c r="J320" s="2054"/>
      <c r="K320" s="2054"/>
      <c r="L320" s="2054"/>
      <c r="M320" s="2054"/>
      <c r="N320" s="2054"/>
      <c r="O320" s="2054"/>
      <c r="P320" s="2054"/>
      <c r="Q320" s="2054"/>
      <c r="R320" s="2054"/>
      <c r="S320" s="2054"/>
      <c r="T320" s="2054"/>
      <c r="U320" s="2054"/>
      <c r="V320" s="2054"/>
      <c r="W320" s="2054"/>
      <c r="X320" s="2054"/>
      <c r="Y320" s="2054"/>
      <c r="Z320" s="2054"/>
      <c r="AA320" s="2054"/>
      <c r="AB320" s="2054"/>
      <c r="AC320" s="2054"/>
      <c r="AD320" s="2055"/>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28" t="s">
        <v>1501</v>
      </c>
      <c r="B322" s="1628"/>
      <c r="C322" s="1939" t="s">
        <v>598</v>
      </c>
      <c r="D322" s="1939"/>
      <c r="E322" s="581"/>
      <c r="F322" s="2040" t="s">
        <v>2340</v>
      </c>
      <c r="G322" s="2041"/>
      <c r="H322" s="2041"/>
      <c r="I322" s="2041"/>
      <c r="J322" s="2041"/>
      <c r="K322" s="2041"/>
      <c r="L322" s="2041"/>
      <c r="M322" s="2041"/>
      <c r="N322" s="2041"/>
      <c r="O322" s="2041"/>
      <c r="P322" s="2041"/>
      <c r="Q322" s="2041"/>
      <c r="R322" s="2041"/>
      <c r="S322" s="2041"/>
      <c r="T322" s="2041"/>
      <c r="U322" s="2041"/>
      <c r="V322" s="2041"/>
      <c r="W322" s="2041"/>
      <c r="X322" s="2041"/>
      <c r="Y322" s="2041"/>
      <c r="Z322" s="2041"/>
      <c r="AA322" s="2041"/>
      <c r="AB322" s="2041"/>
      <c r="AC322" s="2041"/>
      <c r="AD322" s="2042"/>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43"/>
      <c r="G323" s="2044"/>
      <c r="H323" s="2044"/>
      <c r="I323" s="2044"/>
      <c r="J323" s="2044"/>
      <c r="K323" s="2044"/>
      <c r="L323" s="2044"/>
      <c r="M323" s="2044"/>
      <c r="N323" s="2044"/>
      <c r="O323" s="2044"/>
      <c r="P323" s="2044"/>
      <c r="Q323" s="2044"/>
      <c r="R323" s="2044"/>
      <c r="S323" s="2044"/>
      <c r="T323" s="2044"/>
      <c r="U323" s="2044"/>
      <c r="V323" s="2044"/>
      <c r="W323" s="2044"/>
      <c r="X323" s="2044"/>
      <c r="Y323" s="2044"/>
      <c r="Z323" s="2044"/>
      <c r="AA323" s="2044"/>
      <c r="AB323" s="2044"/>
      <c r="AC323" s="2044"/>
      <c r="AD323" s="2045"/>
      <c r="AE323" s="585"/>
      <c r="AF323" s="585"/>
      <c r="AG323" s="585"/>
      <c r="AH323" s="585"/>
      <c r="AI323" s="585"/>
      <c r="AJ323" s="584"/>
      <c r="AK323" s="584"/>
      <c r="AL323" s="584"/>
      <c r="AM323" s="584"/>
      <c r="AN323" s="73"/>
      <c r="AO323" s="14"/>
    </row>
    <row r="324" spans="1:44" ht="15" hidden="1" customHeight="1">
      <c r="A324" s="584"/>
      <c r="B324" s="585"/>
      <c r="C324" s="585"/>
      <c r="D324" s="585"/>
      <c r="E324" s="585"/>
      <c r="F324" s="2043"/>
      <c r="G324" s="2044"/>
      <c r="H324" s="2044"/>
      <c r="I324" s="2044"/>
      <c r="J324" s="2044"/>
      <c r="K324" s="2044"/>
      <c r="L324" s="2044"/>
      <c r="M324" s="2044"/>
      <c r="N324" s="2044"/>
      <c r="O324" s="2044"/>
      <c r="P324" s="2044"/>
      <c r="Q324" s="2044"/>
      <c r="R324" s="2044"/>
      <c r="S324" s="2044"/>
      <c r="T324" s="2044"/>
      <c r="U324" s="2044"/>
      <c r="V324" s="2044"/>
      <c r="W324" s="2044"/>
      <c r="X324" s="2044"/>
      <c r="Y324" s="2044"/>
      <c r="Z324" s="2044"/>
      <c r="AA324" s="2044"/>
      <c r="AB324" s="2044"/>
      <c r="AC324" s="2044"/>
      <c r="AD324" s="2045"/>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24">
        <f>IF(NOT(OR(Application!M355="Yes",Application!M356="Yes")),0,AP284)</f>
        <v>9</v>
      </c>
      <c r="AL327" s="1925"/>
      <c r="AM327" s="192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855</v>
      </c>
      <c r="C330" s="570"/>
      <c r="AC330" s="573"/>
      <c r="AE330" s="1930" t="s">
        <v>1423</v>
      </c>
      <c r="AF330" s="1930"/>
      <c r="AG330" s="1930"/>
      <c r="AH330" s="1930"/>
      <c r="AI330" s="1930"/>
      <c r="AJ330" s="1930"/>
      <c r="AK330" s="193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34" t="s">
        <v>1563</v>
      </c>
      <c r="D332" s="1934"/>
      <c r="E332" s="1934"/>
      <c r="F332" s="1934"/>
      <c r="G332" s="1934"/>
      <c r="H332" s="1934"/>
      <c r="I332" s="1934"/>
      <c r="J332" s="1934"/>
      <c r="K332" s="1934"/>
      <c r="L332" s="1934"/>
      <c r="M332" s="1934"/>
      <c r="N332" s="1934"/>
      <c r="O332" s="1934"/>
      <c r="P332" s="1934"/>
      <c r="Q332" s="1934"/>
      <c r="R332" s="1934"/>
      <c r="S332" s="1934"/>
      <c r="T332" s="1934"/>
      <c r="U332" s="1934"/>
      <c r="V332" s="1934"/>
      <c r="W332" s="1934"/>
      <c r="X332" s="1934"/>
      <c r="Y332" s="1934"/>
      <c r="Z332" s="1934"/>
      <c r="AA332" s="1934"/>
      <c r="AB332" s="1934"/>
      <c r="AC332" s="1934"/>
      <c r="AD332" s="1934"/>
      <c r="AE332" s="1934"/>
      <c r="AF332" s="1934"/>
      <c r="AG332" s="1934"/>
      <c r="AH332" s="1934"/>
      <c r="AI332" s="1934"/>
      <c r="AJ332" s="1934"/>
      <c r="AK332" s="637"/>
      <c r="AL332" s="637"/>
      <c r="AM332" s="637"/>
      <c r="AN332" s="631"/>
    </row>
    <row r="333" spans="1:44" s="584" customFormat="1" ht="12.75" customHeight="1">
      <c r="A333" s="637"/>
      <c r="B333" s="645"/>
      <c r="C333" s="1934"/>
      <c r="D333" s="1934"/>
      <c r="E333" s="1934"/>
      <c r="F333" s="1934"/>
      <c r="G333" s="1934"/>
      <c r="H333" s="1934"/>
      <c r="I333" s="1934"/>
      <c r="J333" s="1934"/>
      <c r="K333" s="1934"/>
      <c r="L333" s="1934"/>
      <c r="M333" s="1934"/>
      <c r="N333" s="1934"/>
      <c r="O333" s="1934"/>
      <c r="P333" s="1934"/>
      <c r="Q333" s="1934"/>
      <c r="R333" s="1934"/>
      <c r="S333" s="1934"/>
      <c r="T333" s="1934"/>
      <c r="U333" s="1934"/>
      <c r="V333" s="1934"/>
      <c r="W333" s="1934"/>
      <c r="X333" s="1934"/>
      <c r="Y333" s="1934"/>
      <c r="Z333" s="1934"/>
      <c r="AA333" s="1934"/>
      <c r="AB333" s="1934"/>
      <c r="AC333" s="1934"/>
      <c r="AD333" s="1934"/>
      <c r="AE333" s="1934"/>
      <c r="AF333" s="1934"/>
      <c r="AG333" s="1934"/>
      <c r="AH333" s="1934"/>
      <c r="AI333" s="1934"/>
      <c r="AJ333" s="1934"/>
      <c r="AK333" s="637"/>
      <c r="AL333" s="637"/>
      <c r="AM333" s="637"/>
      <c r="AN333" s="631"/>
    </row>
    <row r="334" spans="1:44" s="584" customFormat="1" ht="12.75" customHeight="1">
      <c r="A334" s="637"/>
      <c r="B334" s="645"/>
      <c r="C334" s="1934"/>
      <c r="D334" s="1934"/>
      <c r="E334" s="1934"/>
      <c r="F334" s="1934"/>
      <c r="G334" s="1934"/>
      <c r="H334" s="1934"/>
      <c r="I334" s="1934"/>
      <c r="J334" s="1934"/>
      <c r="K334" s="1934"/>
      <c r="L334" s="1934"/>
      <c r="M334" s="1934"/>
      <c r="N334" s="1934"/>
      <c r="O334" s="1934"/>
      <c r="P334" s="1934"/>
      <c r="Q334" s="1934"/>
      <c r="R334" s="1934"/>
      <c r="S334" s="1934"/>
      <c r="T334" s="1934"/>
      <c r="U334" s="1934"/>
      <c r="V334" s="1934"/>
      <c r="W334" s="1934"/>
      <c r="X334" s="1934"/>
      <c r="Y334" s="1934"/>
      <c r="Z334" s="1934"/>
      <c r="AA334" s="1934"/>
      <c r="AB334" s="1934"/>
      <c r="AC334" s="1934"/>
      <c r="AD334" s="1934"/>
      <c r="AE334" s="1934"/>
      <c r="AF334" s="1934"/>
      <c r="AG334" s="1934"/>
      <c r="AH334" s="1934"/>
      <c r="AI334" s="1934"/>
      <c r="AJ334" s="1934"/>
      <c r="AK334" s="637"/>
      <c r="AL334" s="637"/>
      <c r="AM334" s="637"/>
      <c r="AN334" s="631"/>
      <c r="AQ334" s="604"/>
    </row>
    <row r="335" spans="1:44" s="584" customFormat="1" ht="12.75" customHeight="1">
      <c r="A335" s="637"/>
      <c r="B335" s="645"/>
      <c r="C335" s="1934"/>
      <c r="D335" s="1934"/>
      <c r="E335" s="1934"/>
      <c r="F335" s="1934"/>
      <c r="G335" s="1934"/>
      <c r="H335" s="1934"/>
      <c r="I335" s="1934"/>
      <c r="J335" s="1934"/>
      <c r="K335" s="1934"/>
      <c r="L335" s="1934"/>
      <c r="M335" s="1934"/>
      <c r="N335" s="1934"/>
      <c r="O335" s="1934"/>
      <c r="P335" s="1934"/>
      <c r="Q335" s="1934"/>
      <c r="R335" s="1934"/>
      <c r="S335" s="1934"/>
      <c r="T335" s="1934"/>
      <c r="U335" s="1934"/>
      <c r="V335" s="1934"/>
      <c r="W335" s="1934"/>
      <c r="X335" s="1934"/>
      <c r="Y335" s="1934"/>
      <c r="Z335" s="1934"/>
      <c r="AA335" s="1934"/>
      <c r="AB335" s="1934"/>
      <c r="AC335" s="1934"/>
      <c r="AD335" s="1934"/>
      <c r="AE335" s="1934"/>
      <c r="AF335" s="1934"/>
      <c r="AG335" s="1934"/>
      <c r="AH335" s="1934"/>
      <c r="AI335" s="1934"/>
      <c r="AJ335" s="1934"/>
      <c r="AK335" s="637"/>
      <c r="AL335" s="637"/>
      <c r="AM335" s="637"/>
      <c r="AN335" s="631"/>
      <c r="AQ335" s="604"/>
    </row>
    <row r="336" spans="1:44" s="584" customFormat="1" ht="12.45" customHeight="1">
      <c r="A336" s="637"/>
      <c r="B336" s="645"/>
      <c r="C336" s="1934"/>
      <c r="D336" s="1934"/>
      <c r="E336" s="1934"/>
      <c r="F336" s="1934"/>
      <c r="G336" s="1934"/>
      <c r="H336" s="1934"/>
      <c r="I336" s="1934"/>
      <c r="J336" s="1934"/>
      <c r="K336" s="1934"/>
      <c r="L336" s="1934"/>
      <c r="M336" s="1934"/>
      <c r="N336" s="1934"/>
      <c r="O336" s="1934"/>
      <c r="P336" s="1934"/>
      <c r="Q336" s="1934"/>
      <c r="R336" s="1934"/>
      <c r="S336" s="1934"/>
      <c r="T336" s="1934"/>
      <c r="U336" s="1934"/>
      <c r="V336" s="1934"/>
      <c r="W336" s="1934"/>
      <c r="X336" s="1934"/>
      <c r="Y336" s="1934"/>
      <c r="Z336" s="1934"/>
      <c r="AA336" s="1934"/>
      <c r="AB336" s="1934"/>
      <c r="AC336" s="1934"/>
      <c r="AD336" s="1934"/>
      <c r="AE336" s="1934"/>
      <c r="AF336" s="1934"/>
      <c r="AG336" s="1934"/>
      <c r="AH336" s="1934"/>
      <c r="AI336" s="1934"/>
      <c r="AJ336" s="1934"/>
      <c r="AK336" s="637"/>
      <c r="AL336" s="637"/>
      <c r="AM336" s="637"/>
      <c r="AN336" s="631"/>
      <c r="AQ336" s="604"/>
      <c r="AR336" s="604"/>
    </row>
    <row r="337" spans="1:46" s="584" customFormat="1" ht="45.75" customHeight="1">
      <c r="A337" s="637"/>
      <c r="B337" s="645"/>
      <c r="C337" s="1934" t="s">
        <v>2407</v>
      </c>
      <c r="D337" s="1934"/>
      <c r="E337" s="1934"/>
      <c r="F337" s="1934"/>
      <c r="G337" s="1934"/>
      <c r="H337" s="1934"/>
      <c r="I337" s="1934"/>
      <c r="J337" s="1934"/>
      <c r="K337" s="1934"/>
      <c r="L337" s="1934"/>
      <c r="M337" s="1934"/>
      <c r="N337" s="1934"/>
      <c r="O337" s="1934"/>
      <c r="P337" s="1934"/>
      <c r="Q337" s="1934"/>
      <c r="R337" s="1934"/>
      <c r="S337" s="1934"/>
      <c r="T337" s="1934"/>
      <c r="U337" s="1934"/>
      <c r="V337" s="1934"/>
      <c r="W337" s="1934"/>
      <c r="X337" s="1934"/>
      <c r="Y337" s="1934"/>
      <c r="Z337" s="1934"/>
      <c r="AA337" s="1934"/>
      <c r="AB337" s="1934"/>
      <c r="AC337" s="1934"/>
      <c r="AD337" s="1934"/>
      <c r="AE337" s="1934"/>
      <c r="AF337" s="1934"/>
      <c r="AG337" s="1934"/>
      <c r="AH337" s="1934"/>
      <c r="AI337" s="1934"/>
      <c r="AJ337" s="1934"/>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34" t="s">
        <v>2569</v>
      </c>
      <c r="D339" s="1934"/>
      <c r="E339" s="1934"/>
      <c r="F339" s="1934"/>
      <c r="G339" s="1934"/>
      <c r="H339" s="1934"/>
      <c r="I339" s="1934"/>
      <c r="J339" s="1934"/>
      <c r="K339" s="1934"/>
      <c r="L339" s="1934"/>
      <c r="M339" s="1934"/>
      <c r="N339" s="1934"/>
      <c r="O339" s="1934"/>
      <c r="P339" s="1934"/>
      <c r="Q339" s="1934"/>
      <c r="R339" s="1934"/>
      <c r="S339" s="1934"/>
      <c r="T339" s="1934"/>
      <c r="U339" s="1934"/>
      <c r="V339" s="1934"/>
      <c r="W339" s="1934"/>
      <c r="X339" s="1934"/>
      <c r="Y339" s="1934"/>
      <c r="Z339" s="1934"/>
      <c r="AA339" s="1934"/>
      <c r="AB339" s="1934"/>
      <c r="AC339" s="1934"/>
      <c r="AD339" s="1934"/>
      <c r="AE339" s="1934"/>
      <c r="AF339" s="1934"/>
      <c r="AG339" s="1934"/>
      <c r="AH339" s="1934"/>
      <c r="AI339" s="1934"/>
      <c r="AJ339" s="1934"/>
      <c r="AK339" s="637"/>
      <c r="AL339" s="637"/>
      <c r="AM339" s="637"/>
      <c r="AN339" s="631"/>
      <c r="AQ339" s="604"/>
      <c r="AR339" s="604"/>
    </row>
    <row r="340" spans="1:46" s="584" customFormat="1" ht="30" customHeight="1">
      <c r="A340" s="637"/>
      <c r="B340" s="645"/>
      <c r="C340" s="1934"/>
      <c r="D340" s="1934"/>
      <c r="E340" s="1934"/>
      <c r="F340" s="1934"/>
      <c r="G340" s="1934"/>
      <c r="H340" s="1934"/>
      <c r="I340" s="1934"/>
      <c r="J340" s="1934"/>
      <c r="K340" s="1934"/>
      <c r="L340" s="1934"/>
      <c r="M340" s="1934"/>
      <c r="N340" s="1934"/>
      <c r="O340" s="1934"/>
      <c r="P340" s="1934"/>
      <c r="Q340" s="1934"/>
      <c r="R340" s="1934"/>
      <c r="S340" s="1934"/>
      <c r="T340" s="1934"/>
      <c r="U340" s="1934"/>
      <c r="V340" s="1934"/>
      <c r="W340" s="1934"/>
      <c r="X340" s="1934"/>
      <c r="Y340" s="1934"/>
      <c r="Z340" s="1934"/>
      <c r="AA340" s="1934"/>
      <c r="AB340" s="1934"/>
      <c r="AC340" s="1934"/>
      <c r="AD340" s="1934"/>
      <c r="AE340" s="1934"/>
      <c r="AF340" s="1934"/>
      <c r="AG340" s="1934"/>
      <c r="AH340" s="1934"/>
      <c r="AI340" s="1934"/>
      <c r="AJ340" s="1934"/>
      <c r="AK340" s="637"/>
      <c r="AL340" s="637"/>
      <c r="AM340" s="637"/>
      <c r="AN340" s="631"/>
      <c r="AR340" s="604"/>
    </row>
    <row r="341" spans="1:46" s="584" customFormat="1" ht="12.75" customHeight="1">
      <c r="A341" s="637"/>
      <c r="B341" s="645"/>
      <c r="C341" s="1934"/>
      <c r="D341" s="1934"/>
      <c r="E341" s="1934"/>
      <c r="F341" s="1934"/>
      <c r="G341" s="1934"/>
      <c r="H341" s="1934"/>
      <c r="I341" s="1934"/>
      <c r="J341" s="1934"/>
      <c r="K341" s="1934"/>
      <c r="L341" s="1934"/>
      <c r="M341" s="1934"/>
      <c r="N341" s="1934"/>
      <c r="O341" s="1934"/>
      <c r="P341" s="1934"/>
      <c r="Q341" s="1934"/>
      <c r="R341" s="1934"/>
      <c r="S341" s="1934"/>
      <c r="T341" s="1934"/>
      <c r="U341" s="1934"/>
      <c r="V341" s="1934"/>
      <c r="W341" s="1934"/>
      <c r="X341" s="1934"/>
      <c r="Y341" s="1934"/>
      <c r="Z341" s="1934"/>
      <c r="AA341" s="1934"/>
      <c r="AB341" s="1934"/>
      <c r="AC341" s="1934"/>
      <c r="AD341" s="1934"/>
      <c r="AE341" s="1934"/>
      <c r="AF341" s="1934"/>
      <c r="AG341" s="1934"/>
      <c r="AH341" s="1934"/>
      <c r="AI341" s="1934"/>
      <c r="AJ341" s="1934"/>
      <c r="AK341" s="637"/>
      <c r="AL341" s="637"/>
      <c r="AM341" s="637"/>
      <c r="AN341" s="631"/>
      <c r="AR341" s="604"/>
    </row>
    <row r="342" spans="1:46" s="584" customFormat="1" ht="12.75" customHeight="1">
      <c r="A342" s="637"/>
      <c r="B342" s="645"/>
      <c r="C342" s="1934" t="s">
        <v>1564</v>
      </c>
      <c r="D342" s="1934"/>
      <c r="E342" s="1934"/>
      <c r="F342" s="1934"/>
      <c r="G342" s="1934"/>
      <c r="H342" s="1934"/>
      <c r="I342" s="1934"/>
      <c r="J342" s="1934"/>
      <c r="K342" s="1934"/>
      <c r="L342" s="1934"/>
      <c r="M342" s="1934"/>
      <c r="N342" s="1934"/>
      <c r="O342" s="1934"/>
      <c r="P342" s="1934"/>
      <c r="Q342" s="1934"/>
      <c r="R342" s="1934"/>
      <c r="S342" s="1934"/>
      <c r="T342" s="1934"/>
      <c r="U342" s="1934"/>
      <c r="V342" s="1934"/>
      <c r="W342" s="1934"/>
      <c r="X342" s="1934"/>
      <c r="Y342" s="1934"/>
      <c r="Z342" s="1934"/>
      <c r="AA342" s="1934"/>
      <c r="AB342" s="1934"/>
      <c r="AC342" s="1934"/>
      <c r="AD342" s="1934"/>
      <c r="AE342" s="1934"/>
      <c r="AF342" s="1934"/>
      <c r="AG342" s="1934"/>
      <c r="AH342" s="1934"/>
      <c r="AI342" s="1934"/>
      <c r="AJ342" s="1934"/>
      <c r="AK342" s="637"/>
      <c r="AL342" s="637"/>
      <c r="AM342" s="637"/>
      <c r="AN342" s="631"/>
      <c r="AQ342" s="604"/>
      <c r="AR342" s="604"/>
    </row>
    <row r="343" spans="1:46" s="584" customFormat="1" ht="12.75" customHeight="1">
      <c r="A343" s="637"/>
      <c r="B343" s="645"/>
      <c r="C343" s="1934"/>
      <c r="D343" s="1934"/>
      <c r="E343" s="1934"/>
      <c r="F343" s="1934"/>
      <c r="G343" s="1934"/>
      <c r="H343" s="1934"/>
      <c r="I343" s="1934"/>
      <c r="J343" s="1934"/>
      <c r="K343" s="1934"/>
      <c r="L343" s="1934"/>
      <c r="M343" s="1934"/>
      <c r="N343" s="1934"/>
      <c r="O343" s="1934"/>
      <c r="P343" s="1934"/>
      <c r="Q343" s="1934"/>
      <c r="R343" s="1934"/>
      <c r="S343" s="1934"/>
      <c r="T343" s="1934"/>
      <c r="U343" s="1934"/>
      <c r="V343" s="1934"/>
      <c r="W343" s="1934"/>
      <c r="X343" s="1934"/>
      <c r="Y343" s="1934"/>
      <c r="Z343" s="1934"/>
      <c r="AA343" s="1934"/>
      <c r="AB343" s="1934"/>
      <c r="AC343" s="1934"/>
      <c r="AD343" s="1934"/>
      <c r="AE343" s="1934"/>
      <c r="AF343" s="1934"/>
      <c r="AG343" s="1934"/>
      <c r="AH343" s="1934"/>
      <c r="AI343" s="1934"/>
      <c r="AJ343" s="1934"/>
      <c r="AK343" s="637"/>
      <c r="AL343" s="637"/>
      <c r="AM343" s="637"/>
      <c r="AN343" s="631"/>
      <c r="AQ343" s="604"/>
      <c r="AR343" s="604"/>
    </row>
    <row r="344" spans="1:46" s="584" customFormat="1" ht="13.2" customHeight="1">
      <c r="A344" s="637"/>
      <c r="B344" s="645"/>
      <c r="C344" s="1934"/>
      <c r="D344" s="1934"/>
      <c r="E344" s="1934"/>
      <c r="F344" s="1934"/>
      <c r="G344" s="1934"/>
      <c r="H344" s="1934"/>
      <c r="I344" s="1934"/>
      <c r="J344" s="1934"/>
      <c r="K344" s="1934"/>
      <c r="L344" s="1934"/>
      <c r="M344" s="1934"/>
      <c r="N344" s="1934"/>
      <c r="O344" s="1934"/>
      <c r="P344" s="1934"/>
      <c r="Q344" s="1934"/>
      <c r="R344" s="1934"/>
      <c r="S344" s="1934"/>
      <c r="T344" s="1934"/>
      <c r="U344" s="1934"/>
      <c r="V344" s="1934"/>
      <c r="W344" s="1934"/>
      <c r="X344" s="1934"/>
      <c r="Y344" s="1934"/>
      <c r="Z344" s="1934"/>
      <c r="AA344" s="1934"/>
      <c r="AB344" s="1934"/>
      <c r="AC344" s="1934"/>
      <c r="AD344" s="1934"/>
      <c r="AE344" s="1934"/>
      <c r="AF344" s="1934"/>
      <c r="AG344" s="1934"/>
      <c r="AH344" s="1934"/>
      <c r="AI344" s="1934"/>
      <c r="AJ344" s="1934"/>
      <c r="AK344" s="637"/>
      <c r="AL344" s="637"/>
      <c r="AM344" s="637"/>
      <c r="AN344" s="631"/>
      <c r="AQ344" s="604"/>
      <c r="AR344" s="604"/>
    </row>
    <row r="345" spans="1:46" s="584" customFormat="1" ht="12.75" customHeight="1">
      <c r="A345" s="637"/>
      <c r="B345" s="645"/>
      <c r="C345" s="1934"/>
      <c r="D345" s="1934"/>
      <c r="E345" s="1934"/>
      <c r="F345" s="1934"/>
      <c r="G345" s="1934"/>
      <c r="H345" s="1934"/>
      <c r="I345" s="1934"/>
      <c r="J345" s="1934"/>
      <c r="K345" s="1934"/>
      <c r="L345" s="1934"/>
      <c r="M345" s="1934"/>
      <c r="N345" s="1934"/>
      <c r="O345" s="1934"/>
      <c r="P345" s="1934"/>
      <c r="Q345" s="1934"/>
      <c r="R345" s="1934"/>
      <c r="S345" s="1934"/>
      <c r="T345" s="1934"/>
      <c r="U345" s="1934"/>
      <c r="V345" s="1934"/>
      <c r="W345" s="1934"/>
      <c r="X345" s="1934"/>
      <c r="Y345" s="1934"/>
      <c r="Z345" s="1934"/>
      <c r="AA345" s="1934"/>
      <c r="AB345" s="1934"/>
      <c r="AC345" s="1934"/>
      <c r="AD345" s="1934"/>
      <c r="AE345" s="1934"/>
      <c r="AF345" s="1934"/>
      <c r="AG345" s="1934"/>
      <c r="AH345" s="1934"/>
      <c r="AI345" s="1934"/>
      <c r="AJ345" s="1934"/>
      <c r="AK345" s="637"/>
      <c r="AL345" s="637"/>
      <c r="AM345" s="637"/>
      <c r="AN345" s="631"/>
      <c r="AO345" s="728"/>
      <c r="AP345" s="728"/>
      <c r="AQ345" s="604"/>
    </row>
    <row r="346" spans="1:46" s="584" customFormat="1" ht="11.85" customHeight="1">
      <c r="A346" s="637"/>
      <c r="B346" s="645"/>
      <c r="C346" s="1934"/>
      <c r="D346" s="1934"/>
      <c r="E346" s="1934"/>
      <c r="F346" s="1934"/>
      <c r="G346" s="1934"/>
      <c r="H346" s="1934"/>
      <c r="I346" s="1934"/>
      <c r="J346" s="1934"/>
      <c r="K346" s="1934"/>
      <c r="L346" s="1934"/>
      <c r="M346" s="1934"/>
      <c r="N346" s="1934"/>
      <c r="O346" s="1934"/>
      <c r="P346" s="1934"/>
      <c r="Q346" s="1934"/>
      <c r="R346" s="1934"/>
      <c r="S346" s="1934"/>
      <c r="T346" s="1934"/>
      <c r="U346" s="1934"/>
      <c r="V346" s="1934"/>
      <c r="W346" s="1934"/>
      <c r="X346" s="1934"/>
      <c r="Y346" s="1934"/>
      <c r="Z346" s="1934"/>
      <c r="AA346" s="1934"/>
      <c r="AB346" s="1934"/>
      <c r="AC346" s="1934"/>
      <c r="AD346" s="1934"/>
      <c r="AE346" s="1934"/>
      <c r="AF346" s="1934"/>
      <c r="AG346" s="1934"/>
      <c r="AH346" s="1934"/>
      <c r="AI346" s="1934"/>
      <c r="AJ346" s="1934"/>
      <c r="AK346" s="637"/>
      <c r="AL346" s="637"/>
      <c r="AM346" s="637"/>
      <c r="AN346" s="631"/>
      <c r="AO346" s="729" t="s">
        <v>112</v>
      </c>
      <c r="AP346" s="730">
        <f>IF(C370="Yes",5,0)</f>
        <v>0</v>
      </c>
      <c r="AS346" s="573" t="s">
        <v>1565</v>
      </c>
    </row>
    <row r="347" spans="1:46" s="584" customFormat="1" ht="12.75" customHeight="1">
      <c r="A347" s="637"/>
      <c r="B347" s="645"/>
      <c r="C347" s="1934"/>
      <c r="D347" s="1934"/>
      <c r="E347" s="1934"/>
      <c r="F347" s="1934"/>
      <c r="G347" s="1934"/>
      <c r="H347" s="1934"/>
      <c r="I347" s="1934"/>
      <c r="J347" s="1934"/>
      <c r="K347" s="1934"/>
      <c r="L347" s="1934"/>
      <c r="M347" s="1934"/>
      <c r="N347" s="1934"/>
      <c r="O347" s="1934"/>
      <c r="P347" s="1934"/>
      <c r="Q347" s="1934"/>
      <c r="R347" s="1934"/>
      <c r="S347" s="1934"/>
      <c r="T347" s="1934"/>
      <c r="U347" s="1934"/>
      <c r="V347" s="1934"/>
      <c r="W347" s="1934"/>
      <c r="X347" s="1934"/>
      <c r="Y347" s="1934"/>
      <c r="Z347" s="1934"/>
      <c r="AA347" s="1934"/>
      <c r="AB347" s="1934"/>
      <c r="AC347" s="1934"/>
      <c r="AD347" s="1934"/>
      <c r="AE347" s="1934"/>
      <c r="AF347" s="1934"/>
      <c r="AG347" s="1934"/>
      <c r="AH347" s="1934"/>
      <c r="AI347" s="1934"/>
      <c r="AJ347" s="1934"/>
      <c r="AK347" s="637"/>
      <c r="AL347" s="637"/>
      <c r="AM347" s="637"/>
      <c r="AN347" s="631"/>
      <c r="AO347" s="729" t="s">
        <v>113</v>
      </c>
      <c r="AP347" s="730">
        <f>IF(C378="Yes",5,0)</f>
        <v>0</v>
      </c>
      <c r="AS347" s="1899">
        <f>IF(Application!D211="Non-Targeted",(SUM(AQ355+AQ364)),AS351)</f>
        <v>10</v>
      </c>
      <c r="AT347" s="1899"/>
    </row>
    <row r="348" spans="1:46" s="584" customFormat="1" ht="12.75" customHeight="1">
      <c r="A348" s="637"/>
      <c r="B348" s="645"/>
      <c r="C348" s="1934"/>
      <c r="D348" s="1934"/>
      <c r="E348" s="1934"/>
      <c r="F348" s="1934"/>
      <c r="G348" s="1934"/>
      <c r="H348" s="1934"/>
      <c r="I348" s="1934"/>
      <c r="J348" s="1934"/>
      <c r="K348" s="1934"/>
      <c r="L348" s="1934"/>
      <c r="M348" s="1934"/>
      <c r="N348" s="1934"/>
      <c r="O348" s="1934"/>
      <c r="P348" s="1934"/>
      <c r="Q348" s="1934"/>
      <c r="R348" s="1934"/>
      <c r="S348" s="1934"/>
      <c r="T348" s="1934"/>
      <c r="U348" s="1934"/>
      <c r="V348" s="1934"/>
      <c r="W348" s="1934"/>
      <c r="X348" s="1934"/>
      <c r="Y348" s="1934"/>
      <c r="Z348" s="1934"/>
      <c r="AA348" s="1934"/>
      <c r="AB348" s="1934"/>
      <c r="AC348" s="1934"/>
      <c r="AD348" s="1934"/>
      <c r="AE348" s="1934"/>
      <c r="AF348" s="1934"/>
      <c r="AG348" s="1934"/>
      <c r="AH348" s="1934"/>
      <c r="AI348" s="1934"/>
      <c r="AJ348" s="1934"/>
      <c r="AK348" s="637"/>
      <c r="AL348" s="637"/>
      <c r="AM348" s="637"/>
      <c r="AN348" s="631"/>
      <c r="AO348" s="729" t="s">
        <v>119</v>
      </c>
      <c r="AP348" s="730">
        <f>IF(C386="Yes",7,0)</f>
        <v>7</v>
      </c>
      <c r="AS348" s="573" t="s">
        <v>1566</v>
      </c>
    </row>
    <row r="349" spans="1:46" s="584" customFormat="1" ht="12.75" customHeight="1">
      <c r="A349" s="637"/>
      <c r="B349" s="645"/>
      <c r="C349" s="1934"/>
      <c r="D349" s="1934"/>
      <c r="E349" s="1934"/>
      <c r="F349" s="1934"/>
      <c r="G349" s="1934"/>
      <c r="H349" s="1934"/>
      <c r="I349" s="1934"/>
      <c r="J349" s="1934"/>
      <c r="K349" s="1934"/>
      <c r="L349" s="1934"/>
      <c r="M349" s="1934"/>
      <c r="N349" s="1934"/>
      <c r="O349" s="1934"/>
      <c r="P349" s="1934"/>
      <c r="Q349" s="1934"/>
      <c r="R349" s="1934"/>
      <c r="S349" s="1934"/>
      <c r="T349" s="1934"/>
      <c r="U349" s="1934"/>
      <c r="V349" s="1934"/>
      <c r="W349" s="1934"/>
      <c r="X349" s="1934"/>
      <c r="Y349" s="1934"/>
      <c r="Z349" s="1934"/>
      <c r="AA349" s="1934"/>
      <c r="AB349" s="1934"/>
      <c r="AC349" s="1934"/>
      <c r="AD349" s="1934"/>
      <c r="AE349" s="1934"/>
      <c r="AF349" s="1934"/>
      <c r="AG349" s="1934"/>
      <c r="AH349" s="1934"/>
      <c r="AI349" s="1934"/>
      <c r="AJ349" s="1934"/>
      <c r="AK349" s="637"/>
      <c r="AL349" s="637"/>
      <c r="AM349" s="637"/>
      <c r="AN349" s="631"/>
      <c r="AO349" s="631"/>
      <c r="AP349" s="730">
        <f>IF(C388="Yes",5,0)</f>
        <v>0</v>
      </c>
      <c r="AS349" s="1899">
        <f>IF(AND(AQ355&gt;0,AQ364&gt;0),(AQ355+AQ364)/2,0)</f>
        <v>0</v>
      </c>
      <c r="AT349" s="1899"/>
    </row>
    <row r="350" spans="1:46" s="584" customFormat="1" ht="12.75" customHeight="1">
      <c r="A350" s="637"/>
      <c r="B350" s="645"/>
      <c r="C350" s="1934"/>
      <c r="D350" s="1934"/>
      <c r="E350" s="1934"/>
      <c r="F350" s="1934"/>
      <c r="G350" s="1934"/>
      <c r="H350" s="1934"/>
      <c r="I350" s="1934"/>
      <c r="J350" s="1934"/>
      <c r="K350" s="1934"/>
      <c r="L350" s="1934"/>
      <c r="M350" s="1934"/>
      <c r="N350" s="1934"/>
      <c r="O350" s="1934"/>
      <c r="P350" s="1934"/>
      <c r="Q350" s="1934"/>
      <c r="R350" s="1934"/>
      <c r="S350" s="1934"/>
      <c r="T350" s="1934"/>
      <c r="U350" s="1934"/>
      <c r="V350" s="1934"/>
      <c r="W350" s="1934"/>
      <c r="X350" s="1934"/>
      <c r="Y350" s="1934"/>
      <c r="Z350" s="1934"/>
      <c r="AA350" s="1934"/>
      <c r="AB350" s="1934"/>
      <c r="AC350" s="1934"/>
      <c r="AD350" s="1934"/>
      <c r="AE350" s="1934"/>
      <c r="AF350" s="1934"/>
      <c r="AG350" s="1934"/>
      <c r="AH350" s="1934"/>
      <c r="AI350" s="1934"/>
      <c r="AJ350" s="1934"/>
      <c r="AK350" s="637"/>
      <c r="AL350" s="637"/>
      <c r="AM350" s="637"/>
      <c r="AN350" s="631"/>
      <c r="AO350" s="729" t="s">
        <v>588</v>
      </c>
      <c r="AP350" s="730">
        <f>IF(C396="Yes",5,0)</f>
        <v>0</v>
      </c>
      <c r="AS350" s="573" t="s">
        <v>2068</v>
      </c>
    </row>
    <row r="351" spans="1:46" s="584" customFormat="1" ht="12.75" customHeight="1">
      <c r="A351" s="637"/>
      <c r="B351" s="645"/>
      <c r="C351" s="2028" t="s">
        <v>1567</v>
      </c>
      <c r="D351" s="2028"/>
      <c r="E351" s="2028"/>
      <c r="F351" s="2028"/>
      <c r="G351" s="2028"/>
      <c r="H351" s="2028"/>
      <c r="I351" s="2028"/>
      <c r="J351" s="2028"/>
      <c r="K351" s="2028"/>
      <c r="L351" s="2028"/>
      <c r="M351" s="2028"/>
      <c r="N351" s="2028"/>
      <c r="O351" s="2028"/>
      <c r="P351" s="2028"/>
      <c r="Q351" s="2028"/>
      <c r="R351" s="2028"/>
      <c r="S351" s="2028"/>
      <c r="T351" s="2028"/>
      <c r="U351" s="2028"/>
      <c r="V351" s="2028"/>
      <c r="W351" s="2028"/>
      <c r="X351" s="2028"/>
      <c r="Y351" s="2028"/>
      <c r="Z351" s="2028"/>
      <c r="AA351" s="2028"/>
      <c r="AB351" s="2028"/>
      <c r="AC351" s="2028"/>
      <c r="AD351" s="2028"/>
      <c r="AE351" s="2028"/>
      <c r="AF351" s="2028"/>
      <c r="AG351" s="2028"/>
      <c r="AH351" s="2028"/>
      <c r="AI351" s="2028"/>
      <c r="AJ351" s="2028"/>
      <c r="AK351" s="637"/>
      <c r="AL351" s="637"/>
      <c r="AM351" s="637"/>
      <c r="AN351" s="631"/>
      <c r="AO351" s="631"/>
      <c r="AP351" s="730">
        <f>IF(C398="Yes",3,0)</f>
        <v>3</v>
      </c>
      <c r="AS351" s="1899">
        <f>IF(AQ355=0,AQ364,AQ355)</f>
        <v>10</v>
      </c>
      <c r="AT351" s="1899"/>
    </row>
    <row r="352" spans="1:46" s="584" customFormat="1" ht="12.75" customHeight="1">
      <c r="A352" s="637"/>
      <c r="B352" s="645"/>
      <c r="C352" s="2028"/>
      <c r="D352" s="2028"/>
      <c r="E352" s="2028"/>
      <c r="F352" s="2028"/>
      <c r="G352" s="2028"/>
      <c r="H352" s="2028"/>
      <c r="I352" s="2028"/>
      <c r="J352" s="2028"/>
      <c r="K352" s="2028"/>
      <c r="L352" s="2028"/>
      <c r="M352" s="2028"/>
      <c r="N352" s="2028"/>
      <c r="O352" s="2028"/>
      <c r="P352" s="2028"/>
      <c r="Q352" s="2028"/>
      <c r="R352" s="2028"/>
      <c r="S352" s="2028"/>
      <c r="T352" s="2028"/>
      <c r="U352" s="2028"/>
      <c r="V352" s="2028"/>
      <c r="W352" s="2028"/>
      <c r="X352" s="2028"/>
      <c r="Y352" s="2028"/>
      <c r="Z352" s="2028"/>
      <c r="AA352" s="2028"/>
      <c r="AB352" s="2028"/>
      <c r="AC352" s="2028"/>
      <c r="AD352" s="2028"/>
      <c r="AE352" s="2028"/>
      <c r="AF352" s="2028"/>
      <c r="AG352" s="2028"/>
      <c r="AH352" s="2028"/>
      <c r="AI352" s="2028"/>
      <c r="AJ352" s="2028"/>
      <c r="AK352" s="637"/>
      <c r="AL352" s="637"/>
      <c r="AM352" s="637"/>
      <c r="AN352" s="631"/>
      <c r="AO352" s="729" t="s">
        <v>771</v>
      </c>
      <c r="AP352" s="730">
        <f>IF(C401="Yes",5,0)</f>
        <v>0</v>
      </c>
    </row>
    <row r="353" spans="1:81" s="584" customFormat="1" ht="12.75" customHeight="1">
      <c r="A353" s="637"/>
      <c r="B353" s="645"/>
      <c r="C353" s="2028"/>
      <c r="D353" s="2028"/>
      <c r="E353" s="2028"/>
      <c r="F353" s="2028"/>
      <c r="G353" s="2028"/>
      <c r="H353" s="2028"/>
      <c r="I353" s="2028"/>
      <c r="J353" s="2028"/>
      <c r="K353" s="2028"/>
      <c r="L353" s="2028"/>
      <c r="M353" s="2028"/>
      <c r="N353" s="2028"/>
      <c r="O353" s="2028"/>
      <c r="P353" s="2028"/>
      <c r="Q353" s="2028"/>
      <c r="R353" s="2028"/>
      <c r="S353" s="2028"/>
      <c r="T353" s="2028"/>
      <c r="U353" s="2028"/>
      <c r="V353" s="2028"/>
      <c r="W353" s="2028"/>
      <c r="X353" s="2028"/>
      <c r="Y353" s="2028"/>
      <c r="Z353" s="2028"/>
      <c r="AA353" s="2028"/>
      <c r="AB353" s="2028"/>
      <c r="AC353" s="2028"/>
      <c r="AD353" s="2028"/>
      <c r="AE353" s="2028"/>
      <c r="AF353" s="2028"/>
      <c r="AG353" s="2028"/>
      <c r="AH353" s="2028"/>
      <c r="AI353" s="2028"/>
      <c r="AJ353" s="2028"/>
      <c r="AK353" s="637"/>
      <c r="AL353" s="637"/>
      <c r="AM353" s="637"/>
      <c r="AN353" s="631"/>
      <c r="AO353" s="729" t="s">
        <v>591</v>
      </c>
      <c r="AP353" s="730">
        <f>IF(C410="Yes",5,0)</f>
        <v>0</v>
      </c>
    </row>
    <row r="354" spans="1:81" s="584" customFormat="1" ht="11.85" customHeight="1">
      <c r="A354" s="637"/>
      <c r="B354" s="645"/>
      <c r="C354" s="2028"/>
      <c r="D354" s="2028"/>
      <c r="E354" s="2028"/>
      <c r="F354" s="2028"/>
      <c r="G354" s="2028"/>
      <c r="H354" s="2028"/>
      <c r="I354" s="2028"/>
      <c r="J354" s="2028"/>
      <c r="K354" s="2028"/>
      <c r="L354" s="2028"/>
      <c r="M354" s="2028"/>
      <c r="N354" s="2028"/>
      <c r="O354" s="2028"/>
      <c r="P354" s="2028"/>
      <c r="Q354" s="2028"/>
      <c r="R354" s="2028"/>
      <c r="S354" s="2028"/>
      <c r="T354" s="2028"/>
      <c r="U354" s="2028"/>
      <c r="V354" s="2028"/>
      <c r="W354" s="2028"/>
      <c r="X354" s="2028"/>
      <c r="Y354" s="2028"/>
      <c r="Z354" s="2028"/>
      <c r="AA354" s="2028"/>
      <c r="AB354" s="2028"/>
      <c r="AC354" s="2028"/>
      <c r="AD354" s="2028"/>
      <c r="AE354" s="2028"/>
      <c r="AF354" s="2028"/>
      <c r="AG354" s="2028"/>
      <c r="AH354" s="2028"/>
      <c r="AI354" s="2028"/>
      <c r="AJ354" s="2028"/>
      <c r="AK354" s="637"/>
      <c r="AL354" s="637"/>
      <c r="AM354" s="637"/>
      <c r="AN354" s="631"/>
      <c r="AO354" s="731"/>
      <c r="AP354" s="732">
        <f>IF(C412="Yes",3,0)</f>
        <v>0</v>
      </c>
    </row>
    <row r="355" spans="1:81" s="584" customFormat="1" ht="12.45" customHeight="1">
      <c r="A355" s="637"/>
      <c r="B355" s="645"/>
      <c r="C355" s="2028"/>
      <c r="D355" s="2028"/>
      <c r="E355" s="2028"/>
      <c r="F355" s="2028"/>
      <c r="G355" s="2028"/>
      <c r="H355" s="2028"/>
      <c r="I355" s="2028"/>
      <c r="J355" s="2028"/>
      <c r="K355" s="2028"/>
      <c r="L355" s="2028"/>
      <c r="M355" s="2028"/>
      <c r="N355" s="2028"/>
      <c r="O355" s="2028"/>
      <c r="P355" s="2028"/>
      <c r="Q355" s="2028"/>
      <c r="R355" s="2028"/>
      <c r="S355" s="2028"/>
      <c r="T355" s="2028"/>
      <c r="U355" s="2028"/>
      <c r="V355" s="2028"/>
      <c r="W355" s="2028"/>
      <c r="X355" s="2028"/>
      <c r="Y355" s="2028"/>
      <c r="Z355" s="2028"/>
      <c r="AA355" s="2028"/>
      <c r="AB355" s="2028"/>
      <c r="AC355" s="2028"/>
      <c r="AD355" s="2028"/>
      <c r="AE355" s="2028"/>
      <c r="AF355" s="2028"/>
      <c r="AG355" s="2028"/>
      <c r="AH355" s="2028"/>
      <c r="AI355" s="2028"/>
      <c r="AJ355" s="2028"/>
      <c r="AK355" s="637"/>
      <c r="AL355" s="637"/>
      <c r="AM355" s="637"/>
      <c r="AN355" s="631"/>
      <c r="AO355" s="733" t="s">
        <v>227</v>
      </c>
      <c r="AP355" s="734">
        <f>SUM(AP346:AP354)</f>
        <v>10</v>
      </c>
      <c r="AQ355" s="1937">
        <f>IF(AP355&gt;0,AP355,0)</f>
        <v>10</v>
      </c>
      <c r="AR355" s="1937"/>
    </row>
    <row r="356" spans="1:81" s="584" customFormat="1" ht="12.75" customHeight="1">
      <c r="A356" s="637"/>
      <c r="B356" s="645"/>
      <c r="C356" s="2028"/>
      <c r="D356" s="2028"/>
      <c r="E356" s="2028"/>
      <c r="F356" s="2028"/>
      <c r="G356" s="2028"/>
      <c r="H356" s="2028"/>
      <c r="I356" s="2028"/>
      <c r="J356" s="2028"/>
      <c r="K356" s="2028"/>
      <c r="L356" s="2028"/>
      <c r="M356" s="2028"/>
      <c r="N356" s="2028"/>
      <c r="O356" s="2028"/>
      <c r="P356" s="2028"/>
      <c r="Q356" s="2028"/>
      <c r="R356" s="2028"/>
      <c r="S356" s="2028"/>
      <c r="T356" s="2028"/>
      <c r="U356" s="2028"/>
      <c r="V356" s="2028"/>
      <c r="W356" s="2028"/>
      <c r="X356" s="2028"/>
      <c r="Y356" s="2028"/>
      <c r="Z356" s="2028"/>
      <c r="AA356" s="2028"/>
      <c r="AB356" s="2028"/>
      <c r="AC356" s="2028"/>
      <c r="AD356" s="2028"/>
      <c r="AE356" s="2028"/>
      <c r="AF356" s="2028"/>
      <c r="AG356" s="2028"/>
      <c r="AH356" s="2028"/>
      <c r="AI356" s="2028"/>
      <c r="AJ356" s="2028"/>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1934" t="s">
        <v>1568</v>
      </c>
      <c r="D358" s="1934"/>
      <c r="E358" s="1934"/>
      <c r="F358" s="1934"/>
      <c r="G358" s="1934"/>
      <c r="H358" s="1934"/>
      <c r="I358" s="1934"/>
      <c r="J358" s="1934"/>
      <c r="K358" s="1934"/>
      <c r="L358" s="1934"/>
      <c r="M358" s="1934"/>
      <c r="N358" s="1934"/>
      <c r="O358" s="1934"/>
      <c r="P358" s="1934"/>
      <c r="Q358" s="1934"/>
      <c r="R358" s="1934"/>
      <c r="S358" s="1934"/>
      <c r="T358" s="1934"/>
      <c r="U358" s="1934"/>
      <c r="V358" s="1934"/>
      <c r="W358" s="1934"/>
      <c r="X358" s="1934"/>
      <c r="Y358" s="1934"/>
      <c r="Z358" s="1934"/>
      <c r="AA358" s="1934"/>
      <c r="AB358" s="1934"/>
      <c r="AC358" s="1934"/>
      <c r="AD358" s="1934"/>
      <c r="AE358" s="1934"/>
      <c r="AF358" s="1934"/>
      <c r="AG358" s="1934"/>
      <c r="AH358" s="1934"/>
      <c r="AI358" s="1934"/>
      <c r="AJ358" s="1934"/>
      <c r="AK358" s="637"/>
      <c r="AL358" s="637"/>
      <c r="AM358" s="637"/>
      <c r="AN358" s="631"/>
      <c r="AO358" s="729" t="s">
        <v>463</v>
      </c>
      <c r="AP358" s="730">
        <f>IF(C431="Yes",5,0)</f>
        <v>0</v>
      </c>
    </row>
    <row r="359" spans="1:81" s="584" customFormat="1" ht="12.75" customHeight="1">
      <c r="A359" s="637"/>
      <c r="B359" s="645"/>
      <c r="C359" s="1934"/>
      <c r="D359" s="1934"/>
      <c r="E359" s="1934"/>
      <c r="F359" s="1934"/>
      <c r="G359" s="1934"/>
      <c r="H359" s="1934"/>
      <c r="I359" s="1934"/>
      <c r="J359" s="1934"/>
      <c r="K359" s="1934"/>
      <c r="L359" s="1934"/>
      <c r="M359" s="1934"/>
      <c r="N359" s="1934"/>
      <c r="O359" s="1934"/>
      <c r="P359" s="1934"/>
      <c r="Q359" s="1934"/>
      <c r="R359" s="1934"/>
      <c r="S359" s="1934"/>
      <c r="T359" s="1934"/>
      <c r="U359" s="1934"/>
      <c r="V359" s="1934"/>
      <c r="W359" s="1934"/>
      <c r="X359" s="1934"/>
      <c r="Y359" s="1934"/>
      <c r="Z359" s="1934"/>
      <c r="AA359" s="1934"/>
      <c r="AB359" s="1934"/>
      <c r="AC359" s="1934"/>
      <c r="AD359" s="1934"/>
      <c r="AE359" s="1934"/>
      <c r="AF359" s="1934"/>
      <c r="AG359" s="1934"/>
      <c r="AH359" s="1934"/>
      <c r="AI359" s="1934"/>
      <c r="AJ359" s="1934"/>
      <c r="AK359" s="637"/>
      <c r="AL359" s="637"/>
      <c r="AM359" s="637"/>
      <c r="AN359" s="631"/>
      <c r="AO359" s="729" t="s">
        <v>468</v>
      </c>
      <c r="AP359" s="730">
        <f>IF(C438="Yes",5,0)</f>
        <v>0</v>
      </c>
    </row>
    <row r="360" spans="1:81" s="584" customFormat="1" ht="68.099999999999994" customHeight="1">
      <c r="A360" s="637"/>
      <c r="B360" s="645"/>
      <c r="C360" s="1934"/>
      <c r="D360" s="1934"/>
      <c r="E360" s="1934"/>
      <c r="F360" s="1934"/>
      <c r="G360" s="1934"/>
      <c r="H360" s="1934"/>
      <c r="I360" s="1934"/>
      <c r="J360" s="1934"/>
      <c r="K360" s="1934"/>
      <c r="L360" s="1934"/>
      <c r="M360" s="1934"/>
      <c r="N360" s="1934"/>
      <c r="O360" s="1934"/>
      <c r="P360" s="1934"/>
      <c r="Q360" s="1934"/>
      <c r="R360" s="1934"/>
      <c r="S360" s="1934"/>
      <c r="T360" s="1934"/>
      <c r="U360" s="1934"/>
      <c r="V360" s="1934"/>
      <c r="W360" s="1934"/>
      <c r="X360" s="1934"/>
      <c r="Y360" s="1934"/>
      <c r="Z360" s="1934"/>
      <c r="AA360" s="1934"/>
      <c r="AB360" s="1934"/>
      <c r="AC360" s="1934"/>
      <c r="AD360" s="1934"/>
      <c r="AE360" s="1934"/>
      <c r="AF360" s="1934"/>
      <c r="AG360" s="1934"/>
      <c r="AH360" s="1934"/>
      <c r="AI360" s="1934"/>
      <c r="AJ360" s="1934"/>
      <c r="AK360" s="637"/>
      <c r="AL360" s="637"/>
      <c r="AM360" s="637"/>
      <c r="AN360" s="631"/>
      <c r="AO360" s="729" t="s">
        <v>653</v>
      </c>
      <c r="AP360" s="735">
        <f>IF(C442="Yes",5,0)</f>
        <v>0</v>
      </c>
    </row>
    <row r="361" spans="1:81" s="584" customFormat="1" ht="12.45" customHeight="1">
      <c r="A361" s="637"/>
      <c r="B361" s="645"/>
      <c r="C361" s="584" t="s">
        <v>1569</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1935">
        <f>Application!CS660-U363</f>
        <v>421</v>
      </c>
      <c r="V362" s="1935"/>
      <c r="W362" s="1935"/>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1936">
        <f>IF(Application!D211="SRO",Application!CS634,Application!AG756)</f>
        <v>0</v>
      </c>
      <c r="V363" s="1936"/>
      <c r="W363" s="1936"/>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37">
        <f>IF(AP364&gt;0,AP364,0)</f>
        <v>0</v>
      </c>
      <c r="AR364" s="1937"/>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28" t="s">
        <v>1570</v>
      </c>
      <c r="G366" s="1928"/>
      <c r="H366" s="1928"/>
      <c r="I366" s="1928"/>
      <c r="J366" s="1928"/>
      <c r="K366" s="1928"/>
      <c r="L366" s="1928"/>
      <c r="M366" s="1928"/>
      <c r="N366" s="1928"/>
      <c r="O366" s="1928"/>
      <c r="P366" s="1928"/>
      <c r="Q366" s="1928"/>
      <c r="R366" s="1928"/>
      <c r="S366" s="1928"/>
      <c r="T366" s="1928"/>
      <c r="U366" s="1928"/>
      <c r="V366" s="1928"/>
      <c r="W366" s="1928"/>
      <c r="X366" s="1928"/>
      <c r="Y366" s="1928"/>
      <c r="Z366" s="1928"/>
      <c r="AA366" s="1928"/>
      <c r="AB366" s="1928"/>
      <c r="AC366" s="1928"/>
      <c r="AD366" s="1928"/>
      <c r="AE366" s="1928"/>
      <c r="AF366" s="192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9"/>
      <c r="G367" s="1929"/>
      <c r="H367" s="1929"/>
      <c r="I367" s="1929"/>
      <c r="J367" s="1929"/>
      <c r="K367" s="1929"/>
      <c r="L367" s="1929"/>
      <c r="M367" s="1929"/>
      <c r="N367" s="1929"/>
      <c r="O367" s="1929"/>
      <c r="P367" s="1929"/>
      <c r="Q367" s="1929"/>
      <c r="R367" s="1929"/>
      <c r="S367" s="1929"/>
      <c r="T367" s="1929"/>
      <c r="U367" s="1929"/>
      <c r="V367" s="1929"/>
      <c r="W367" s="1929"/>
      <c r="X367" s="1929"/>
      <c r="Y367" s="1929"/>
      <c r="Z367" s="1929"/>
      <c r="AA367" s="1929"/>
      <c r="AB367" s="1929"/>
      <c r="AC367" s="1929"/>
      <c r="AD367" s="1929"/>
      <c r="AE367" s="1929"/>
      <c r="AF367" s="192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9"/>
      <c r="G368" s="1929"/>
      <c r="H368" s="1929"/>
      <c r="I368" s="1929"/>
      <c r="J368" s="1929"/>
      <c r="K368" s="1929"/>
      <c r="L368" s="1929"/>
      <c r="M368" s="1929"/>
      <c r="N368" s="1929"/>
      <c r="O368" s="1929"/>
      <c r="P368" s="1929"/>
      <c r="Q368" s="1929"/>
      <c r="R368" s="1929"/>
      <c r="S368" s="1929"/>
      <c r="T368" s="1929"/>
      <c r="U368" s="1929"/>
      <c r="V368" s="1929"/>
      <c r="W368" s="1929"/>
      <c r="X368" s="1929"/>
      <c r="Y368" s="1929"/>
      <c r="Z368" s="1929"/>
      <c r="AA368" s="1929"/>
      <c r="AB368" s="1929"/>
      <c r="AC368" s="1929"/>
      <c r="AD368" s="1929"/>
      <c r="AE368" s="1929"/>
      <c r="AF368" s="192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9"/>
      <c r="G369" s="1929"/>
      <c r="H369" s="1929"/>
      <c r="I369" s="1929"/>
      <c r="J369" s="1929"/>
      <c r="K369" s="1929"/>
      <c r="L369" s="1929"/>
      <c r="M369" s="1929"/>
      <c r="N369" s="1929"/>
      <c r="O369" s="1929"/>
      <c r="P369" s="1929"/>
      <c r="Q369" s="1929"/>
      <c r="R369" s="1929"/>
      <c r="S369" s="1929"/>
      <c r="T369" s="1929"/>
      <c r="U369" s="1929"/>
      <c r="V369" s="1929"/>
      <c r="W369" s="1929"/>
      <c r="X369" s="1929"/>
      <c r="Y369" s="1929"/>
      <c r="Z369" s="1929"/>
      <c r="AA369" s="1929"/>
      <c r="AB369" s="1929"/>
      <c r="AC369" s="1929"/>
      <c r="AD369" s="1929"/>
      <c r="AE369" s="1929"/>
      <c r="AF369" s="192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8" t="s">
        <v>598</v>
      </c>
      <c r="D370" s="1939"/>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7" t="s">
        <v>1572</v>
      </c>
      <c r="AG370" s="1927"/>
      <c r="AH370" s="1927"/>
      <c r="AI370" s="1927"/>
      <c r="AJ370" s="1927"/>
      <c r="AK370" s="1927"/>
      <c r="AL370" s="1940"/>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28" t="s">
        <v>1573</v>
      </c>
      <c r="G373" s="1928"/>
      <c r="H373" s="1928"/>
      <c r="I373" s="1928"/>
      <c r="J373" s="1928"/>
      <c r="K373" s="1928"/>
      <c r="L373" s="1928"/>
      <c r="M373" s="1928"/>
      <c r="N373" s="1928"/>
      <c r="O373" s="1928"/>
      <c r="P373" s="1928"/>
      <c r="Q373" s="1928"/>
      <c r="R373" s="1928"/>
      <c r="S373" s="1928"/>
      <c r="T373" s="1928"/>
      <c r="U373" s="1928"/>
      <c r="V373" s="1928"/>
      <c r="W373" s="1928"/>
      <c r="X373" s="1928"/>
      <c r="Y373" s="1928"/>
      <c r="Z373" s="1928"/>
      <c r="AA373" s="1928"/>
      <c r="AB373" s="1928"/>
      <c r="AC373" s="1928"/>
      <c r="AD373" s="1928"/>
      <c r="AE373" s="1928"/>
      <c r="AF373" s="192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9"/>
      <c r="G374" s="1929"/>
      <c r="H374" s="1929"/>
      <c r="I374" s="1929"/>
      <c r="J374" s="1929"/>
      <c r="K374" s="1929"/>
      <c r="L374" s="1929"/>
      <c r="M374" s="1929"/>
      <c r="N374" s="1929"/>
      <c r="O374" s="1929"/>
      <c r="P374" s="1929"/>
      <c r="Q374" s="1929"/>
      <c r="R374" s="1929"/>
      <c r="S374" s="1929"/>
      <c r="T374" s="1929"/>
      <c r="U374" s="1929"/>
      <c r="V374" s="1929"/>
      <c r="W374" s="1929"/>
      <c r="X374" s="1929"/>
      <c r="Y374" s="1929"/>
      <c r="Z374" s="1929"/>
      <c r="AA374" s="1929"/>
      <c r="AB374" s="1929"/>
      <c r="AC374" s="1929"/>
      <c r="AD374" s="1929"/>
      <c r="AE374" s="1929"/>
      <c r="AF374" s="192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9"/>
      <c r="G375" s="1929"/>
      <c r="H375" s="1929"/>
      <c r="I375" s="1929"/>
      <c r="J375" s="1929"/>
      <c r="K375" s="1929"/>
      <c r="L375" s="1929"/>
      <c r="M375" s="1929"/>
      <c r="N375" s="1929"/>
      <c r="O375" s="1929"/>
      <c r="P375" s="1929"/>
      <c r="Q375" s="1929"/>
      <c r="R375" s="1929"/>
      <c r="S375" s="1929"/>
      <c r="T375" s="1929"/>
      <c r="U375" s="1929"/>
      <c r="V375" s="1929"/>
      <c r="W375" s="1929"/>
      <c r="X375" s="1929"/>
      <c r="Y375" s="1929"/>
      <c r="Z375" s="1929"/>
      <c r="AA375" s="1929"/>
      <c r="AB375" s="1929"/>
      <c r="AC375" s="1929"/>
      <c r="AD375" s="1929"/>
      <c r="AE375" s="1929"/>
      <c r="AF375" s="192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9"/>
      <c r="G376" s="1929"/>
      <c r="H376" s="1929"/>
      <c r="I376" s="1929"/>
      <c r="J376" s="1929"/>
      <c r="K376" s="1929"/>
      <c r="L376" s="1929"/>
      <c r="M376" s="1929"/>
      <c r="N376" s="1929"/>
      <c r="O376" s="1929"/>
      <c r="P376" s="1929"/>
      <c r="Q376" s="1929"/>
      <c r="R376" s="1929"/>
      <c r="S376" s="1929"/>
      <c r="T376" s="1929"/>
      <c r="U376" s="1929"/>
      <c r="V376" s="1929"/>
      <c r="W376" s="1929"/>
      <c r="X376" s="1929"/>
      <c r="Y376" s="1929"/>
      <c r="Z376" s="1929"/>
      <c r="AA376" s="1929"/>
      <c r="AB376" s="1929"/>
      <c r="AC376" s="1929"/>
      <c r="AD376" s="1929"/>
      <c r="AE376" s="1929"/>
      <c r="AF376" s="192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9"/>
      <c r="G377" s="1929"/>
      <c r="H377" s="1929"/>
      <c r="I377" s="1929"/>
      <c r="J377" s="1929"/>
      <c r="K377" s="1929"/>
      <c r="L377" s="1929"/>
      <c r="M377" s="1929"/>
      <c r="N377" s="1929"/>
      <c r="O377" s="1929"/>
      <c r="P377" s="1929"/>
      <c r="Q377" s="1929"/>
      <c r="R377" s="1929"/>
      <c r="S377" s="1929"/>
      <c r="T377" s="1929"/>
      <c r="U377" s="1929"/>
      <c r="V377" s="1929"/>
      <c r="W377" s="1929"/>
      <c r="X377" s="1929"/>
      <c r="Y377" s="1929"/>
      <c r="Z377" s="1929"/>
      <c r="AA377" s="1929"/>
      <c r="AB377" s="1929"/>
      <c r="AC377" s="1929"/>
      <c r="AD377" s="1929"/>
      <c r="AE377" s="1929"/>
      <c r="AF377" s="1929"/>
      <c r="AL377" s="766"/>
      <c r="AN377" s="631"/>
      <c r="BS377" s="30"/>
      <c r="BT377" s="30"/>
      <c r="BU377" s="14"/>
      <c r="BV377" s="14"/>
      <c r="BW377" s="14"/>
      <c r="BX377" s="14"/>
      <c r="BY377" s="14"/>
      <c r="BZ377" s="14"/>
      <c r="CA377" s="14"/>
      <c r="CB377" s="14"/>
      <c r="CC377" s="14"/>
    </row>
    <row r="378" spans="1:81" s="584" customFormat="1" ht="12.75" customHeight="1">
      <c r="A378" s="570"/>
      <c r="B378" s="14"/>
      <c r="C378" s="1938" t="s">
        <v>598</v>
      </c>
      <c r="D378" s="1939"/>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7" t="s">
        <v>1572</v>
      </c>
      <c r="AG378" s="1927"/>
      <c r="AH378" s="1927"/>
      <c r="AI378" s="1927"/>
      <c r="AJ378" s="1927"/>
      <c r="AK378" s="1927"/>
      <c r="AL378" s="1940"/>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28" t="s">
        <v>1575</v>
      </c>
      <c r="G381" s="1928"/>
      <c r="H381" s="1928"/>
      <c r="I381" s="1928"/>
      <c r="J381" s="1928"/>
      <c r="K381" s="1928"/>
      <c r="L381" s="1928"/>
      <c r="M381" s="1928"/>
      <c r="N381" s="1928"/>
      <c r="O381" s="1928"/>
      <c r="P381" s="1928"/>
      <c r="Q381" s="1928"/>
      <c r="R381" s="1928"/>
      <c r="S381" s="1928"/>
      <c r="T381" s="1928"/>
      <c r="U381" s="1928"/>
      <c r="V381" s="1928"/>
      <c r="W381" s="1928"/>
      <c r="X381" s="1928"/>
      <c r="Y381" s="1928"/>
      <c r="Z381" s="1928"/>
      <c r="AA381" s="1928"/>
      <c r="AB381" s="1928"/>
      <c r="AC381" s="1928"/>
      <c r="AD381" s="1928"/>
      <c r="AE381" s="1928"/>
      <c r="AF381" s="192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9"/>
      <c r="G382" s="1929"/>
      <c r="H382" s="1929"/>
      <c r="I382" s="1929"/>
      <c r="J382" s="1929"/>
      <c r="K382" s="1929"/>
      <c r="L382" s="1929"/>
      <c r="M382" s="1929"/>
      <c r="N382" s="1929"/>
      <c r="O382" s="1929"/>
      <c r="P382" s="1929"/>
      <c r="Q382" s="1929"/>
      <c r="R382" s="1929"/>
      <c r="S382" s="1929"/>
      <c r="T382" s="1929"/>
      <c r="U382" s="1929"/>
      <c r="V382" s="1929"/>
      <c r="W382" s="1929"/>
      <c r="X382" s="1929"/>
      <c r="Y382" s="1929"/>
      <c r="Z382" s="1929"/>
      <c r="AA382" s="1929"/>
      <c r="AB382" s="1929"/>
      <c r="AC382" s="1929"/>
      <c r="AD382" s="1929"/>
      <c r="AE382" s="1929"/>
      <c r="AF382" s="192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9"/>
      <c r="G383" s="1929"/>
      <c r="H383" s="1929"/>
      <c r="I383" s="1929"/>
      <c r="J383" s="1929"/>
      <c r="K383" s="1929"/>
      <c r="L383" s="1929"/>
      <c r="M383" s="1929"/>
      <c r="N383" s="1929"/>
      <c r="O383" s="1929"/>
      <c r="P383" s="1929"/>
      <c r="Q383" s="1929"/>
      <c r="R383" s="1929"/>
      <c r="S383" s="1929"/>
      <c r="T383" s="1929"/>
      <c r="U383" s="1929"/>
      <c r="V383" s="1929"/>
      <c r="W383" s="1929"/>
      <c r="X383" s="1929"/>
      <c r="Y383" s="1929"/>
      <c r="Z383" s="1929"/>
      <c r="AA383" s="1929"/>
      <c r="AB383" s="1929"/>
      <c r="AC383" s="1929"/>
      <c r="AD383" s="1929"/>
      <c r="AE383" s="1929"/>
      <c r="AF383" s="192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9"/>
      <c r="G384" s="1929"/>
      <c r="H384" s="1929"/>
      <c r="I384" s="1929"/>
      <c r="J384" s="1929"/>
      <c r="K384" s="1929"/>
      <c r="L384" s="1929"/>
      <c r="M384" s="1929"/>
      <c r="N384" s="1929"/>
      <c r="O384" s="1929"/>
      <c r="P384" s="1929"/>
      <c r="Q384" s="1929"/>
      <c r="R384" s="1929"/>
      <c r="S384" s="1929"/>
      <c r="T384" s="1929"/>
      <c r="U384" s="1929"/>
      <c r="V384" s="1929"/>
      <c r="W384" s="1929"/>
      <c r="X384" s="1929"/>
      <c r="Y384" s="1929"/>
      <c r="Z384" s="1929"/>
      <c r="AA384" s="1929"/>
      <c r="AB384" s="1929"/>
      <c r="AC384" s="1929"/>
      <c r="AD384" s="1929"/>
      <c r="AE384" s="1929"/>
      <c r="AF384" s="192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9"/>
      <c r="G385" s="1929"/>
      <c r="H385" s="1929"/>
      <c r="I385" s="1929"/>
      <c r="J385" s="1929"/>
      <c r="K385" s="1929"/>
      <c r="L385" s="1929"/>
      <c r="M385" s="1929"/>
      <c r="N385" s="1929"/>
      <c r="O385" s="1929"/>
      <c r="P385" s="1929"/>
      <c r="Q385" s="1929"/>
      <c r="R385" s="1929"/>
      <c r="S385" s="1929"/>
      <c r="T385" s="1929"/>
      <c r="U385" s="1929"/>
      <c r="V385" s="1929"/>
      <c r="W385" s="1929"/>
      <c r="X385" s="1929"/>
      <c r="Y385" s="1929"/>
      <c r="Z385" s="1929"/>
      <c r="AA385" s="1929"/>
      <c r="AB385" s="1929"/>
      <c r="AC385" s="1929"/>
      <c r="AD385" s="1929"/>
      <c r="AE385" s="1929"/>
      <c r="AF385" s="192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8" t="s">
        <v>552</v>
      </c>
      <c r="D386" s="1939"/>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7" t="s">
        <v>1577</v>
      </c>
      <c r="AG386" s="1927"/>
      <c r="AH386" s="1927"/>
      <c r="AI386" s="1927"/>
      <c r="AJ386" s="1927"/>
      <c r="AK386" s="1927"/>
      <c r="AL386" s="1940"/>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8" t="s">
        <v>598</v>
      </c>
      <c r="D388" s="1939"/>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7" t="s">
        <v>1572</v>
      </c>
      <c r="AG388" s="1927"/>
      <c r="AH388" s="1927"/>
      <c r="AI388" s="1927"/>
      <c r="AJ388" s="1927"/>
      <c r="AK388" s="1927"/>
      <c r="AL388" s="1940"/>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28" t="s">
        <v>1581</v>
      </c>
      <c r="G392" s="1928"/>
      <c r="H392" s="1928"/>
      <c r="I392" s="1928"/>
      <c r="J392" s="1928"/>
      <c r="K392" s="1928"/>
      <c r="L392" s="1928"/>
      <c r="M392" s="1928"/>
      <c r="N392" s="1928"/>
      <c r="O392" s="1928"/>
      <c r="P392" s="1928"/>
      <c r="Q392" s="1928"/>
      <c r="R392" s="1928"/>
      <c r="S392" s="1928"/>
      <c r="T392" s="1928"/>
      <c r="U392" s="1928"/>
      <c r="V392" s="1928"/>
      <c r="W392" s="1928"/>
      <c r="X392" s="1928"/>
      <c r="Y392" s="1928"/>
      <c r="Z392" s="1928"/>
      <c r="AA392" s="1928"/>
      <c r="AB392" s="1928"/>
      <c r="AC392" s="1928"/>
      <c r="AD392" s="1928"/>
      <c r="AE392" s="1928"/>
      <c r="AF392" s="192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9"/>
      <c r="G393" s="1929"/>
      <c r="H393" s="1929"/>
      <c r="I393" s="1929"/>
      <c r="J393" s="1929"/>
      <c r="K393" s="1929"/>
      <c r="L393" s="1929"/>
      <c r="M393" s="1929"/>
      <c r="N393" s="1929"/>
      <c r="O393" s="1929"/>
      <c r="P393" s="1929"/>
      <c r="Q393" s="1929"/>
      <c r="R393" s="1929"/>
      <c r="S393" s="1929"/>
      <c r="T393" s="1929"/>
      <c r="U393" s="1929"/>
      <c r="V393" s="1929"/>
      <c r="W393" s="1929"/>
      <c r="X393" s="1929"/>
      <c r="Y393" s="1929"/>
      <c r="Z393" s="1929"/>
      <c r="AA393" s="1929"/>
      <c r="AB393" s="1929"/>
      <c r="AC393" s="1929"/>
      <c r="AD393" s="1929"/>
      <c r="AE393" s="1929"/>
      <c r="AF393" s="192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9"/>
      <c r="G394" s="1929"/>
      <c r="H394" s="1929"/>
      <c r="I394" s="1929"/>
      <c r="J394" s="1929"/>
      <c r="K394" s="1929"/>
      <c r="L394" s="1929"/>
      <c r="M394" s="1929"/>
      <c r="N394" s="1929"/>
      <c r="O394" s="1929"/>
      <c r="P394" s="1929"/>
      <c r="Q394" s="1929"/>
      <c r="R394" s="1929"/>
      <c r="S394" s="1929"/>
      <c r="T394" s="1929"/>
      <c r="U394" s="1929"/>
      <c r="V394" s="1929"/>
      <c r="W394" s="1929"/>
      <c r="X394" s="1929"/>
      <c r="Y394" s="1929"/>
      <c r="Z394" s="1929"/>
      <c r="AA394" s="1929"/>
      <c r="AB394" s="1929"/>
      <c r="AC394" s="1929"/>
      <c r="AD394" s="1929"/>
      <c r="AE394" s="1929"/>
      <c r="AF394" s="192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9"/>
      <c r="G395" s="1929"/>
      <c r="H395" s="1929"/>
      <c r="I395" s="1929"/>
      <c r="J395" s="1929"/>
      <c r="K395" s="1929"/>
      <c r="L395" s="1929"/>
      <c r="M395" s="1929"/>
      <c r="N395" s="1929"/>
      <c r="O395" s="1929"/>
      <c r="P395" s="1929"/>
      <c r="Q395" s="1929"/>
      <c r="R395" s="1929"/>
      <c r="S395" s="1929"/>
      <c r="T395" s="1929"/>
      <c r="U395" s="1929"/>
      <c r="V395" s="1929"/>
      <c r="W395" s="1929"/>
      <c r="X395" s="1929"/>
      <c r="Y395" s="1929"/>
      <c r="Z395" s="1929"/>
      <c r="AA395" s="1929"/>
      <c r="AB395" s="1929"/>
      <c r="AC395" s="1929"/>
      <c r="AD395" s="1929"/>
      <c r="AE395" s="1929"/>
      <c r="AF395" s="192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8" t="s">
        <v>598</v>
      </c>
      <c r="D396" s="1939"/>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7" t="s">
        <v>1572</v>
      </c>
      <c r="AG396" s="1927"/>
      <c r="AH396" s="1927"/>
      <c r="AI396" s="1927"/>
      <c r="AJ396" s="1927"/>
      <c r="AK396" s="1927"/>
      <c r="AL396" s="1940"/>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8" t="s">
        <v>552</v>
      </c>
      <c r="D398" s="1939"/>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7" t="s">
        <v>1584</v>
      </c>
      <c r="AG398" s="1927"/>
      <c r="AH398" s="1927"/>
      <c r="AI398" s="1927"/>
      <c r="AJ398" s="1927"/>
      <c r="AK398" s="1927"/>
      <c r="AL398" s="1940"/>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8" t="s">
        <v>598</v>
      </c>
      <c r="D401" s="1939"/>
      <c r="E401" s="749" t="s">
        <v>1585</v>
      </c>
      <c r="F401" s="1928" t="s">
        <v>1586</v>
      </c>
      <c r="G401" s="1928"/>
      <c r="H401" s="1928"/>
      <c r="I401" s="1928"/>
      <c r="J401" s="1928"/>
      <c r="K401" s="1928"/>
      <c r="L401" s="1928"/>
      <c r="M401" s="1928"/>
      <c r="N401" s="1928"/>
      <c r="O401" s="1928"/>
      <c r="P401" s="1928"/>
      <c r="Q401" s="1928"/>
      <c r="R401" s="1928"/>
      <c r="S401" s="1928"/>
      <c r="T401" s="1928"/>
      <c r="U401" s="1928"/>
      <c r="V401" s="1928"/>
      <c r="W401" s="1928"/>
      <c r="X401" s="1928"/>
      <c r="Y401" s="1928"/>
      <c r="Z401" s="1928"/>
      <c r="AA401" s="1928"/>
      <c r="AB401" s="1928"/>
      <c r="AC401" s="1928"/>
      <c r="AD401" s="1928"/>
      <c r="AE401" s="192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9"/>
      <c r="G402" s="1929"/>
      <c r="H402" s="1929"/>
      <c r="I402" s="1929"/>
      <c r="J402" s="1929"/>
      <c r="K402" s="1929"/>
      <c r="L402" s="1929"/>
      <c r="M402" s="1929"/>
      <c r="N402" s="1929"/>
      <c r="O402" s="1929"/>
      <c r="P402" s="1929"/>
      <c r="Q402" s="1929"/>
      <c r="R402" s="1929"/>
      <c r="S402" s="1929"/>
      <c r="T402" s="1929"/>
      <c r="U402" s="1929"/>
      <c r="V402" s="1929"/>
      <c r="W402" s="1929"/>
      <c r="X402" s="1929"/>
      <c r="Y402" s="1929"/>
      <c r="Z402" s="1929"/>
      <c r="AA402" s="1929"/>
      <c r="AB402" s="1929"/>
      <c r="AC402" s="1929"/>
      <c r="AD402" s="1929"/>
      <c r="AE402" s="1929"/>
      <c r="AF402" s="1997" t="s">
        <v>1572</v>
      </c>
      <c r="AG402" s="1997"/>
      <c r="AH402" s="1997"/>
      <c r="AI402" s="1997"/>
      <c r="AJ402" s="1997"/>
      <c r="AK402" s="1997"/>
      <c r="AL402" s="2027"/>
      <c r="AM402" s="604"/>
      <c r="AN402" s="631"/>
      <c r="BS402" s="604"/>
      <c r="BT402" s="604"/>
      <c r="BY402" s="604"/>
      <c r="BZ402" s="604"/>
      <c r="CA402" s="604"/>
      <c r="CB402" s="604"/>
      <c r="CC402" s="604"/>
    </row>
    <row r="403" spans="1:81" s="584" customFormat="1" ht="12.75" customHeight="1">
      <c r="A403" s="570"/>
      <c r="B403" s="14"/>
      <c r="C403" s="765"/>
      <c r="D403" s="14"/>
      <c r="E403" s="725"/>
      <c r="F403" s="1929"/>
      <c r="G403" s="1929"/>
      <c r="H403" s="1929"/>
      <c r="I403" s="1929"/>
      <c r="J403" s="1929"/>
      <c r="K403" s="1929"/>
      <c r="L403" s="1929"/>
      <c r="M403" s="1929"/>
      <c r="N403" s="1929"/>
      <c r="O403" s="1929"/>
      <c r="P403" s="1929"/>
      <c r="Q403" s="1929"/>
      <c r="R403" s="1929"/>
      <c r="S403" s="1929"/>
      <c r="T403" s="1929"/>
      <c r="U403" s="1929"/>
      <c r="V403" s="1929"/>
      <c r="W403" s="1929"/>
      <c r="X403" s="1929"/>
      <c r="Y403" s="1929"/>
      <c r="Z403" s="1929"/>
      <c r="AA403" s="1929"/>
      <c r="AB403" s="1929"/>
      <c r="AC403" s="1929"/>
      <c r="AD403" s="1929"/>
      <c r="AE403" s="192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11"/>
      <c r="G404" s="2011"/>
      <c r="H404" s="2011"/>
      <c r="I404" s="2011"/>
      <c r="J404" s="2011"/>
      <c r="K404" s="2011"/>
      <c r="L404" s="2011"/>
      <c r="M404" s="2011"/>
      <c r="N404" s="2011"/>
      <c r="O404" s="2011"/>
      <c r="P404" s="2011"/>
      <c r="Q404" s="2011"/>
      <c r="R404" s="2011"/>
      <c r="S404" s="2011"/>
      <c r="T404" s="2011"/>
      <c r="U404" s="2011"/>
      <c r="V404" s="2011"/>
      <c r="W404" s="2011"/>
      <c r="X404" s="2011"/>
      <c r="Y404" s="2011"/>
      <c r="Z404" s="2011"/>
      <c r="AA404" s="2011"/>
      <c r="AB404" s="2011"/>
      <c r="AC404" s="2011"/>
      <c r="AD404" s="2011"/>
      <c r="AE404" s="2011"/>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28" t="s">
        <v>1588</v>
      </c>
      <c r="G406" s="1928"/>
      <c r="H406" s="1928"/>
      <c r="I406" s="1928"/>
      <c r="J406" s="1928"/>
      <c r="K406" s="1928"/>
      <c r="L406" s="1928"/>
      <c r="M406" s="1928"/>
      <c r="N406" s="1928"/>
      <c r="O406" s="1928"/>
      <c r="P406" s="1928"/>
      <c r="Q406" s="1928"/>
      <c r="R406" s="1928"/>
      <c r="S406" s="1928"/>
      <c r="T406" s="1928"/>
      <c r="U406" s="1928"/>
      <c r="V406" s="1928"/>
      <c r="W406" s="1928"/>
      <c r="X406" s="1928"/>
      <c r="Y406" s="1928"/>
      <c r="Z406" s="1928"/>
      <c r="AA406" s="1928"/>
      <c r="AB406" s="1928"/>
      <c r="AC406" s="1928"/>
      <c r="AD406" s="1928"/>
      <c r="AE406" s="1928"/>
      <c r="AF406" s="781"/>
      <c r="AG406" s="781"/>
      <c r="AH406" s="781"/>
      <c r="AI406" s="781"/>
      <c r="AJ406" s="781"/>
      <c r="AK406" s="781"/>
      <c r="AL406" s="782"/>
      <c r="AM406" s="604"/>
    </row>
    <row r="407" spans="1:81">
      <c r="A407" s="570"/>
      <c r="C407" s="765"/>
      <c r="E407" s="725"/>
      <c r="F407" s="1929"/>
      <c r="G407" s="1929"/>
      <c r="H407" s="1929"/>
      <c r="I407" s="1929"/>
      <c r="J407" s="1929"/>
      <c r="K407" s="1929"/>
      <c r="L407" s="1929"/>
      <c r="M407" s="1929"/>
      <c r="N407" s="1929"/>
      <c r="O407" s="1929"/>
      <c r="P407" s="1929"/>
      <c r="Q407" s="1929"/>
      <c r="R407" s="1929"/>
      <c r="S407" s="1929"/>
      <c r="T407" s="1929"/>
      <c r="U407" s="1929"/>
      <c r="V407" s="1929"/>
      <c r="W407" s="1929"/>
      <c r="X407" s="1929"/>
      <c r="Y407" s="1929"/>
      <c r="Z407" s="1929"/>
      <c r="AA407" s="1929"/>
      <c r="AB407" s="1929"/>
      <c r="AC407" s="1929"/>
      <c r="AD407" s="1929"/>
      <c r="AE407" s="1929"/>
      <c r="AF407" s="573"/>
      <c r="AG407" s="570"/>
      <c r="AH407" s="584"/>
      <c r="AI407" s="584"/>
      <c r="AJ407" s="584"/>
      <c r="AK407" s="584"/>
      <c r="AL407" s="766"/>
      <c r="AM407" s="604"/>
    </row>
    <row r="408" spans="1:81" s="584" customFormat="1" ht="12.75" customHeight="1">
      <c r="A408" s="570"/>
      <c r="B408" s="14"/>
      <c r="C408" s="765"/>
      <c r="D408" s="14"/>
      <c r="E408" s="725"/>
      <c r="F408" s="1929"/>
      <c r="G408" s="1929"/>
      <c r="H408" s="1929"/>
      <c r="I408" s="1929"/>
      <c r="J408" s="1929"/>
      <c r="K408" s="1929"/>
      <c r="L408" s="1929"/>
      <c r="M408" s="1929"/>
      <c r="N408" s="1929"/>
      <c r="O408" s="1929"/>
      <c r="P408" s="1929"/>
      <c r="Q408" s="1929"/>
      <c r="R408" s="1929"/>
      <c r="S408" s="1929"/>
      <c r="T408" s="1929"/>
      <c r="U408" s="1929"/>
      <c r="V408" s="1929"/>
      <c r="W408" s="1929"/>
      <c r="X408" s="1929"/>
      <c r="Y408" s="1929"/>
      <c r="Z408" s="1929"/>
      <c r="AA408" s="1929"/>
      <c r="AB408" s="1929"/>
      <c r="AC408" s="1929"/>
      <c r="AD408" s="1929"/>
      <c r="AE408" s="1929"/>
      <c r="AL408" s="766"/>
      <c r="AM408" s="604"/>
      <c r="AN408" s="631"/>
    </row>
    <row r="409" spans="1:81" s="584" customFormat="1" ht="12.75" customHeight="1">
      <c r="A409" s="570"/>
      <c r="B409" s="14"/>
      <c r="C409" s="773"/>
      <c r="F409" s="1929"/>
      <c r="G409" s="1929"/>
      <c r="H409" s="1929"/>
      <c r="I409" s="1929"/>
      <c r="J409" s="1929"/>
      <c r="K409" s="1929"/>
      <c r="L409" s="1929"/>
      <c r="M409" s="1929"/>
      <c r="N409" s="1929"/>
      <c r="O409" s="1929"/>
      <c r="P409" s="1929"/>
      <c r="Q409" s="1929"/>
      <c r="R409" s="1929"/>
      <c r="S409" s="1929"/>
      <c r="T409" s="1929"/>
      <c r="U409" s="1929"/>
      <c r="V409" s="1929"/>
      <c r="W409" s="1929"/>
      <c r="X409" s="1929"/>
      <c r="Y409" s="1929"/>
      <c r="Z409" s="1929"/>
      <c r="AA409" s="1929"/>
      <c r="AB409" s="1929"/>
      <c r="AC409" s="1929"/>
      <c r="AD409" s="1929"/>
      <c r="AE409" s="1929"/>
      <c r="AL409" s="766"/>
      <c r="AM409" s="604"/>
      <c r="AN409" s="631"/>
    </row>
    <row r="410" spans="1:81" s="584" customFormat="1" ht="12.75" customHeight="1">
      <c r="A410" s="570"/>
      <c r="B410" s="14"/>
      <c r="C410" s="1938" t="s">
        <v>598</v>
      </c>
      <c r="D410" s="1939"/>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7" t="s">
        <v>1572</v>
      </c>
      <c r="AG410" s="1997"/>
      <c r="AH410" s="1997"/>
      <c r="AI410" s="1997"/>
      <c r="AJ410" s="1997"/>
      <c r="AK410" s="1997"/>
      <c r="AL410" s="2027"/>
      <c r="AM410" s="604"/>
      <c r="AN410" s="631"/>
    </row>
    <row r="411" spans="1:81" s="584" customFormat="1" ht="12.75" customHeight="1">
      <c r="A411" s="570"/>
      <c r="B411" s="14"/>
      <c r="C411" s="773"/>
      <c r="AL411" s="766"/>
      <c r="AM411" s="604"/>
      <c r="AN411" s="631"/>
    </row>
    <row r="412" spans="1:81" s="584" customFormat="1" ht="12.75" customHeight="1">
      <c r="A412" s="570"/>
      <c r="B412" s="14"/>
      <c r="C412" s="1938" t="s">
        <v>598</v>
      </c>
      <c r="D412" s="1939"/>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7" t="s">
        <v>1584</v>
      </c>
      <c r="AG412" s="1997"/>
      <c r="AH412" s="1997"/>
      <c r="AI412" s="1997"/>
      <c r="AJ412" s="1997"/>
      <c r="AK412" s="1997"/>
      <c r="AL412" s="2027"/>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28" t="s">
        <v>1592</v>
      </c>
      <c r="G416" s="1928"/>
      <c r="H416" s="1928"/>
      <c r="I416" s="1928"/>
      <c r="J416" s="1928"/>
      <c r="K416" s="1928"/>
      <c r="L416" s="1928"/>
      <c r="M416" s="1928"/>
      <c r="N416" s="1928"/>
      <c r="O416" s="1928"/>
      <c r="P416" s="1928"/>
      <c r="Q416" s="1928"/>
      <c r="R416" s="1928"/>
      <c r="S416" s="1928"/>
      <c r="T416" s="1928"/>
      <c r="U416" s="1928"/>
      <c r="V416" s="1928"/>
      <c r="W416" s="1928"/>
      <c r="X416" s="1928"/>
      <c r="Y416" s="1928"/>
      <c r="Z416" s="1928"/>
      <c r="AA416" s="1928"/>
      <c r="AB416" s="1928"/>
      <c r="AC416" s="1928"/>
      <c r="AD416" s="1928"/>
      <c r="AE416" s="1928"/>
      <c r="AF416" s="748"/>
      <c r="AG416" s="748"/>
      <c r="AH416" s="748"/>
      <c r="AI416" s="748"/>
      <c r="AJ416" s="748"/>
      <c r="AK416" s="748"/>
      <c r="AL416" s="779"/>
      <c r="AM416" s="604"/>
      <c r="AN416" s="631"/>
    </row>
    <row r="417" spans="1:60" s="584" customFormat="1" ht="12.75" customHeight="1">
      <c r="A417" s="570"/>
      <c r="B417" s="14"/>
      <c r="C417" s="765"/>
      <c r="D417" s="14"/>
      <c r="E417" s="725"/>
      <c r="F417" s="1929"/>
      <c r="G417" s="1929"/>
      <c r="H417" s="1929"/>
      <c r="I417" s="1929"/>
      <c r="J417" s="1929"/>
      <c r="K417" s="1929"/>
      <c r="L417" s="1929"/>
      <c r="M417" s="1929"/>
      <c r="N417" s="1929"/>
      <c r="O417" s="1929"/>
      <c r="P417" s="1929"/>
      <c r="Q417" s="1929"/>
      <c r="R417" s="1929"/>
      <c r="S417" s="1929"/>
      <c r="T417" s="1929"/>
      <c r="U417" s="1929"/>
      <c r="V417" s="1929"/>
      <c r="W417" s="1929"/>
      <c r="X417" s="1929"/>
      <c r="Y417" s="1929"/>
      <c r="Z417" s="1929"/>
      <c r="AA417" s="1929"/>
      <c r="AB417" s="1929"/>
      <c r="AC417" s="1929"/>
      <c r="AD417" s="1929"/>
      <c r="AE417" s="1929"/>
      <c r="AF417" s="573"/>
      <c r="AG417" s="570"/>
      <c r="AL417" s="766"/>
      <c r="AM417" s="604"/>
      <c r="AN417" s="631"/>
    </row>
    <row r="418" spans="1:60" s="584" customFormat="1" ht="12.45" customHeight="1">
      <c r="A418" s="570"/>
      <c r="B418" s="14"/>
      <c r="C418" s="765"/>
      <c r="D418" s="14"/>
      <c r="E418" s="725"/>
      <c r="F418" s="1929"/>
      <c r="G418" s="1929"/>
      <c r="H418" s="1929"/>
      <c r="I418" s="1929"/>
      <c r="J418" s="1929"/>
      <c r="K418" s="1929"/>
      <c r="L418" s="1929"/>
      <c r="M418" s="1929"/>
      <c r="N418" s="1929"/>
      <c r="O418" s="1929"/>
      <c r="P418" s="1929"/>
      <c r="Q418" s="1929"/>
      <c r="R418" s="1929"/>
      <c r="S418" s="1929"/>
      <c r="T418" s="1929"/>
      <c r="U418" s="1929"/>
      <c r="V418" s="1929"/>
      <c r="W418" s="1929"/>
      <c r="X418" s="1929"/>
      <c r="Y418" s="1929"/>
      <c r="Z418" s="1929"/>
      <c r="AA418" s="1929"/>
      <c r="AB418" s="1929"/>
      <c r="AC418" s="1929"/>
      <c r="AD418" s="1929"/>
      <c r="AE418" s="1929"/>
      <c r="AL418" s="766"/>
      <c r="AM418" s="604"/>
      <c r="AN418" s="631"/>
    </row>
    <row r="419" spans="1:60" s="584" customFormat="1" ht="12.75" customHeight="1">
      <c r="A419" s="570"/>
      <c r="B419" s="14"/>
      <c r="C419" s="1938" t="s">
        <v>598</v>
      </c>
      <c r="D419" s="1939"/>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7" t="s">
        <v>1572</v>
      </c>
      <c r="AG419" s="1997"/>
      <c r="AH419" s="1997"/>
      <c r="AI419" s="1997"/>
      <c r="AJ419" s="1997"/>
      <c r="AK419" s="1997"/>
      <c r="AL419" s="2027"/>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 customHeight="1">
      <c r="A422" s="570"/>
      <c r="C422" s="780"/>
      <c r="D422" s="781"/>
      <c r="E422" s="749" t="s">
        <v>1594</v>
      </c>
      <c r="F422" s="1928" t="s">
        <v>1595</v>
      </c>
      <c r="G422" s="1928"/>
      <c r="H422" s="1928"/>
      <c r="I422" s="1928"/>
      <c r="J422" s="1928"/>
      <c r="K422" s="1928"/>
      <c r="L422" s="1928"/>
      <c r="M422" s="1928"/>
      <c r="N422" s="1928"/>
      <c r="O422" s="1928"/>
      <c r="P422" s="1928"/>
      <c r="Q422" s="1928"/>
      <c r="R422" s="1928"/>
      <c r="S422" s="1928"/>
      <c r="T422" s="1928"/>
      <c r="U422" s="1928"/>
      <c r="V422" s="1928"/>
      <c r="W422" s="1928"/>
      <c r="X422" s="1928"/>
      <c r="Y422" s="1928"/>
      <c r="Z422" s="1928"/>
      <c r="AA422" s="1928"/>
      <c r="AB422" s="1928"/>
      <c r="AC422" s="1928"/>
      <c r="AD422" s="1928"/>
      <c r="AE422" s="1928"/>
      <c r="AF422" s="781"/>
      <c r="AG422" s="781"/>
      <c r="AH422" s="781"/>
      <c r="AI422" s="781"/>
      <c r="AJ422" s="781"/>
      <c r="AK422" s="781"/>
      <c r="AL422" s="782"/>
      <c r="AM422" s="604"/>
      <c r="AO422" s="584"/>
      <c r="AP422" s="584"/>
      <c r="BD422" s="14"/>
      <c r="BE422" s="14"/>
      <c r="BF422" s="14"/>
      <c r="BG422" s="14"/>
      <c r="BH422" s="14"/>
    </row>
    <row r="423" spans="1:60">
      <c r="A423" s="570"/>
      <c r="C423" s="765"/>
      <c r="E423" s="725"/>
      <c r="F423" s="1929"/>
      <c r="G423" s="1929"/>
      <c r="H423" s="1929"/>
      <c r="I423" s="1929"/>
      <c r="J423" s="1929"/>
      <c r="K423" s="1929"/>
      <c r="L423" s="1929"/>
      <c r="M423" s="1929"/>
      <c r="N423" s="1929"/>
      <c r="O423" s="1929"/>
      <c r="P423" s="1929"/>
      <c r="Q423" s="1929"/>
      <c r="R423" s="1929"/>
      <c r="S423" s="1929"/>
      <c r="T423" s="1929"/>
      <c r="U423" s="1929"/>
      <c r="V423" s="1929"/>
      <c r="W423" s="1929"/>
      <c r="X423" s="1929"/>
      <c r="Y423" s="1929"/>
      <c r="Z423" s="1929"/>
      <c r="AA423" s="1929"/>
      <c r="AB423" s="1929"/>
      <c r="AC423" s="1929"/>
      <c r="AD423" s="1929"/>
      <c r="AE423" s="1929"/>
      <c r="AF423" s="628"/>
      <c r="AG423" s="628"/>
      <c r="AH423" s="628"/>
      <c r="AI423" s="628"/>
      <c r="AJ423" s="628"/>
      <c r="AK423" s="628"/>
      <c r="AL423" s="784"/>
      <c r="AM423" s="604"/>
      <c r="AO423" s="584"/>
      <c r="AP423" s="584"/>
    </row>
    <row r="424" spans="1:60" s="584" customFormat="1" ht="12.75" customHeight="1">
      <c r="A424" s="570"/>
      <c r="B424" s="14"/>
      <c r="C424" s="765"/>
      <c r="D424" s="14"/>
      <c r="E424" s="725"/>
      <c r="F424" s="1929"/>
      <c r="G424" s="1929"/>
      <c r="H424" s="1929"/>
      <c r="I424" s="1929"/>
      <c r="J424" s="1929"/>
      <c r="K424" s="1929"/>
      <c r="L424" s="1929"/>
      <c r="M424" s="1929"/>
      <c r="N424" s="1929"/>
      <c r="O424" s="1929"/>
      <c r="P424" s="1929"/>
      <c r="Q424" s="1929"/>
      <c r="R424" s="1929"/>
      <c r="S424" s="1929"/>
      <c r="T424" s="1929"/>
      <c r="U424" s="1929"/>
      <c r="V424" s="1929"/>
      <c r="W424" s="1929"/>
      <c r="X424" s="1929"/>
      <c r="Y424" s="1929"/>
      <c r="Z424" s="1929"/>
      <c r="AA424" s="1929"/>
      <c r="AB424" s="1929"/>
      <c r="AC424" s="1929"/>
      <c r="AD424" s="1929"/>
      <c r="AE424" s="1929"/>
      <c r="AF424" s="628"/>
      <c r="AG424" s="628"/>
      <c r="AH424" s="628"/>
      <c r="AI424" s="628"/>
      <c r="AJ424" s="628"/>
      <c r="AK424" s="628"/>
      <c r="AL424" s="784"/>
      <c r="AM424" s="604"/>
      <c r="AN424" s="631"/>
    </row>
    <row r="425" spans="1:60" s="584" customFormat="1" ht="12.75" customHeight="1">
      <c r="A425" s="570"/>
      <c r="B425" s="14"/>
      <c r="C425" s="785"/>
      <c r="D425" s="764"/>
      <c r="E425" s="753"/>
      <c r="F425" s="1929"/>
      <c r="G425" s="1929"/>
      <c r="H425" s="1929"/>
      <c r="I425" s="1929"/>
      <c r="J425" s="1929"/>
      <c r="K425" s="1929"/>
      <c r="L425" s="1929"/>
      <c r="M425" s="1929"/>
      <c r="N425" s="1929"/>
      <c r="O425" s="1929"/>
      <c r="P425" s="1929"/>
      <c r="Q425" s="1929"/>
      <c r="R425" s="1929"/>
      <c r="S425" s="1929"/>
      <c r="T425" s="1929"/>
      <c r="U425" s="1929"/>
      <c r="V425" s="1929"/>
      <c r="W425" s="1929"/>
      <c r="X425" s="1929"/>
      <c r="Y425" s="1929"/>
      <c r="Z425" s="1929"/>
      <c r="AA425" s="1929"/>
      <c r="AB425" s="1929"/>
      <c r="AC425" s="1929"/>
      <c r="AD425" s="1929"/>
      <c r="AE425" s="192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9"/>
      <c r="G426" s="1929"/>
      <c r="H426" s="1929"/>
      <c r="I426" s="1929"/>
      <c r="J426" s="1929"/>
      <c r="K426" s="1929"/>
      <c r="L426" s="1929"/>
      <c r="M426" s="1929"/>
      <c r="N426" s="1929"/>
      <c r="O426" s="1929"/>
      <c r="P426" s="1929"/>
      <c r="Q426" s="1929"/>
      <c r="R426" s="1929"/>
      <c r="S426" s="1929"/>
      <c r="T426" s="1929"/>
      <c r="U426" s="1929"/>
      <c r="V426" s="1929"/>
      <c r="W426" s="1929"/>
      <c r="X426" s="1929"/>
      <c r="Y426" s="1929"/>
      <c r="Z426" s="1929"/>
      <c r="AA426" s="1929"/>
      <c r="AB426" s="1929"/>
      <c r="AC426" s="1929"/>
      <c r="AD426" s="1929"/>
      <c r="AE426" s="1929"/>
      <c r="AF426" s="628"/>
      <c r="AG426" s="628"/>
      <c r="AH426" s="628"/>
      <c r="AI426" s="628"/>
      <c r="AJ426" s="628"/>
      <c r="AK426" s="628"/>
      <c r="AL426" s="784"/>
      <c r="AM426" s="604"/>
      <c r="AN426" s="631"/>
    </row>
    <row r="427" spans="1:60" s="584" customFormat="1" ht="12.75" customHeight="1">
      <c r="A427" s="570"/>
      <c r="B427" s="14"/>
      <c r="C427" s="785"/>
      <c r="D427" s="764"/>
      <c r="E427" s="753"/>
      <c r="F427" s="1929"/>
      <c r="G427" s="1929"/>
      <c r="H427" s="1929"/>
      <c r="I427" s="1929"/>
      <c r="J427" s="1929"/>
      <c r="K427" s="1929"/>
      <c r="L427" s="1929"/>
      <c r="M427" s="1929"/>
      <c r="N427" s="1929"/>
      <c r="O427" s="1929"/>
      <c r="P427" s="1929"/>
      <c r="Q427" s="1929"/>
      <c r="R427" s="1929"/>
      <c r="S427" s="1929"/>
      <c r="T427" s="1929"/>
      <c r="U427" s="1929"/>
      <c r="V427" s="1929"/>
      <c r="W427" s="1929"/>
      <c r="X427" s="1929"/>
      <c r="Y427" s="1929"/>
      <c r="Z427" s="1929"/>
      <c r="AA427" s="1929"/>
      <c r="AB427" s="1929"/>
      <c r="AC427" s="1929"/>
      <c r="AD427" s="1929"/>
      <c r="AE427" s="1929"/>
      <c r="AF427" s="628"/>
      <c r="AG427" s="628"/>
      <c r="AH427" s="628"/>
      <c r="AI427" s="628"/>
      <c r="AJ427" s="628"/>
      <c r="AK427" s="628"/>
      <c r="AL427" s="784"/>
      <c r="AM427" s="604"/>
      <c r="AN427" s="631"/>
    </row>
    <row r="428" spans="1:60" s="584" customFormat="1" ht="12.75" customHeight="1">
      <c r="A428" s="570"/>
      <c r="B428" s="14"/>
      <c r="C428" s="785"/>
      <c r="D428" s="764"/>
      <c r="E428" s="753"/>
      <c r="F428" s="1929"/>
      <c r="G428" s="1929"/>
      <c r="H428" s="1929"/>
      <c r="I428" s="1929"/>
      <c r="J428" s="1929"/>
      <c r="K428" s="1929"/>
      <c r="L428" s="1929"/>
      <c r="M428" s="1929"/>
      <c r="N428" s="1929"/>
      <c r="O428" s="1929"/>
      <c r="P428" s="1929"/>
      <c r="Q428" s="1929"/>
      <c r="R428" s="1929"/>
      <c r="S428" s="1929"/>
      <c r="T428" s="1929"/>
      <c r="U428" s="1929"/>
      <c r="V428" s="1929"/>
      <c r="W428" s="1929"/>
      <c r="X428" s="1929"/>
      <c r="Y428" s="1929"/>
      <c r="Z428" s="1929"/>
      <c r="AA428" s="1929"/>
      <c r="AB428" s="1929"/>
      <c r="AC428" s="1929"/>
      <c r="AD428" s="1929"/>
      <c r="AE428" s="1929"/>
      <c r="AF428" s="628"/>
      <c r="AG428" s="628"/>
      <c r="AH428" s="628"/>
      <c r="AI428" s="628"/>
      <c r="AJ428" s="628"/>
      <c r="AK428" s="628"/>
      <c r="AL428" s="784"/>
      <c r="AM428" s="604"/>
      <c r="AN428" s="631"/>
    </row>
    <row r="429" spans="1:60" s="584" customFormat="1" ht="12.75" customHeight="1">
      <c r="A429" s="570"/>
      <c r="B429" s="14"/>
      <c r="C429" s="785"/>
      <c r="D429" s="764"/>
      <c r="E429" s="753"/>
      <c r="F429" s="1929"/>
      <c r="G429" s="1929"/>
      <c r="H429" s="1929"/>
      <c r="I429" s="1929"/>
      <c r="J429" s="1929"/>
      <c r="K429" s="1929"/>
      <c r="L429" s="1929"/>
      <c r="M429" s="1929"/>
      <c r="N429" s="1929"/>
      <c r="O429" s="1929"/>
      <c r="P429" s="1929"/>
      <c r="Q429" s="1929"/>
      <c r="R429" s="1929"/>
      <c r="S429" s="1929"/>
      <c r="T429" s="1929"/>
      <c r="U429" s="1929"/>
      <c r="V429" s="1929"/>
      <c r="W429" s="1929"/>
      <c r="X429" s="1929"/>
      <c r="Y429" s="1929"/>
      <c r="Z429" s="1929"/>
      <c r="AA429" s="1929"/>
      <c r="AB429" s="1929"/>
      <c r="AC429" s="1929"/>
      <c r="AD429" s="1929"/>
      <c r="AE429" s="1929"/>
      <c r="AF429" s="628"/>
      <c r="AG429" s="628"/>
      <c r="AH429" s="628"/>
      <c r="AI429" s="628"/>
      <c r="AJ429" s="628"/>
      <c r="AK429" s="628"/>
      <c r="AL429" s="784"/>
      <c r="AM429" s="604"/>
      <c r="AN429" s="631"/>
    </row>
    <row r="430" spans="1:60" s="584" customFormat="1" ht="17.25" customHeight="1">
      <c r="A430" s="570"/>
      <c r="B430" s="14"/>
      <c r="C430" s="785"/>
      <c r="D430" s="764"/>
      <c r="E430" s="753"/>
      <c r="F430" s="1929"/>
      <c r="G430" s="1929"/>
      <c r="H430" s="1929"/>
      <c r="I430" s="1929"/>
      <c r="J430" s="1929"/>
      <c r="K430" s="1929"/>
      <c r="L430" s="1929"/>
      <c r="M430" s="1929"/>
      <c r="N430" s="1929"/>
      <c r="O430" s="1929"/>
      <c r="P430" s="1929"/>
      <c r="Q430" s="1929"/>
      <c r="R430" s="1929"/>
      <c r="S430" s="1929"/>
      <c r="T430" s="1929"/>
      <c r="U430" s="1929"/>
      <c r="V430" s="1929"/>
      <c r="W430" s="1929"/>
      <c r="X430" s="1929"/>
      <c r="Y430" s="1929"/>
      <c r="Z430" s="1929"/>
      <c r="AA430" s="1929"/>
      <c r="AB430" s="1929"/>
      <c r="AC430" s="1929"/>
      <c r="AD430" s="1929"/>
      <c r="AE430" s="1929"/>
      <c r="AL430" s="766"/>
      <c r="AM430" s="604"/>
      <c r="AN430" s="631"/>
    </row>
    <row r="431" spans="1:60" s="584" customFormat="1" ht="12.75" customHeight="1">
      <c r="A431" s="570"/>
      <c r="B431" s="14"/>
      <c r="C431" s="1938" t="s">
        <v>598</v>
      </c>
      <c r="D431" s="1939"/>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7" t="s">
        <v>1572</v>
      </c>
      <c r="AG431" s="1997"/>
      <c r="AH431" s="1997"/>
      <c r="AI431" s="1997"/>
      <c r="AJ431" s="1997"/>
      <c r="AK431" s="1997"/>
      <c r="AL431" s="2027"/>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28" t="s">
        <v>1598</v>
      </c>
      <c r="G434" s="1928"/>
      <c r="H434" s="1928"/>
      <c r="I434" s="1928"/>
      <c r="J434" s="1928"/>
      <c r="K434" s="1928"/>
      <c r="L434" s="1928"/>
      <c r="M434" s="1928"/>
      <c r="N434" s="1928"/>
      <c r="O434" s="1928"/>
      <c r="P434" s="1928"/>
      <c r="Q434" s="1928"/>
      <c r="R434" s="1928"/>
      <c r="S434" s="1928"/>
      <c r="T434" s="1928"/>
      <c r="U434" s="1928"/>
      <c r="V434" s="1928"/>
      <c r="W434" s="1928"/>
      <c r="X434" s="1928"/>
      <c r="Y434" s="1928"/>
      <c r="Z434" s="1928"/>
      <c r="AA434" s="1928"/>
      <c r="AB434" s="1928"/>
      <c r="AC434" s="1928"/>
      <c r="AD434" s="1928"/>
      <c r="AE434" s="1928"/>
      <c r="AF434" s="748"/>
      <c r="AG434" s="748"/>
      <c r="AH434" s="748"/>
      <c r="AI434" s="748"/>
      <c r="AJ434" s="748"/>
      <c r="AK434" s="748"/>
      <c r="AL434" s="779"/>
      <c r="AM434" s="604"/>
      <c r="AN434" s="631"/>
    </row>
    <row r="435" spans="1:40" s="584" customFormat="1" ht="12.75" customHeight="1">
      <c r="A435" s="570"/>
      <c r="B435" s="14"/>
      <c r="C435" s="785"/>
      <c r="D435" s="764"/>
      <c r="E435" s="753"/>
      <c r="F435" s="1929"/>
      <c r="G435" s="1929"/>
      <c r="H435" s="1929"/>
      <c r="I435" s="1929"/>
      <c r="J435" s="1929"/>
      <c r="K435" s="1929"/>
      <c r="L435" s="1929"/>
      <c r="M435" s="1929"/>
      <c r="N435" s="1929"/>
      <c r="O435" s="1929"/>
      <c r="P435" s="1929"/>
      <c r="Q435" s="1929"/>
      <c r="R435" s="1929"/>
      <c r="S435" s="1929"/>
      <c r="T435" s="1929"/>
      <c r="U435" s="1929"/>
      <c r="V435" s="1929"/>
      <c r="W435" s="1929"/>
      <c r="X435" s="1929"/>
      <c r="Y435" s="1929"/>
      <c r="Z435" s="1929"/>
      <c r="AA435" s="1929"/>
      <c r="AB435" s="1929"/>
      <c r="AC435" s="1929"/>
      <c r="AD435" s="1929"/>
      <c r="AE435" s="1929"/>
      <c r="AF435" s="625"/>
      <c r="AG435" s="625"/>
      <c r="AH435" s="625"/>
      <c r="AI435" s="625"/>
      <c r="AJ435" s="625"/>
      <c r="AK435" s="625"/>
      <c r="AL435" s="754"/>
      <c r="AM435" s="604"/>
      <c r="AN435" s="631"/>
    </row>
    <row r="436" spans="1:40" s="584" customFormat="1" ht="12.75" customHeight="1">
      <c r="A436" s="570"/>
      <c r="B436" s="14"/>
      <c r="C436" s="785"/>
      <c r="D436" s="764"/>
      <c r="E436" s="753"/>
      <c r="F436" s="1929"/>
      <c r="G436" s="1929"/>
      <c r="H436" s="1929"/>
      <c r="I436" s="1929"/>
      <c r="J436" s="1929"/>
      <c r="K436" s="1929"/>
      <c r="L436" s="1929"/>
      <c r="M436" s="1929"/>
      <c r="N436" s="1929"/>
      <c r="O436" s="1929"/>
      <c r="P436" s="1929"/>
      <c r="Q436" s="1929"/>
      <c r="R436" s="1929"/>
      <c r="S436" s="1929"/>
      <c r="T436" s="1929"/>
      <c r="U436" s="1929"/>
      <c r="V436" s="1929"/>
      <c r="W436" s="1929"/>
      <c r="X436" s="1929"/>
      <c r="Y436" s="1929"/>
      <c r="Z436" s="1929"/>
      <c r="AA436" s="1929"/>
      <c r="AB436" s="1929"/>
      <c r="AC436" s="1929"/>
      <c r="AD436" s="1929"/>
      <c r="AE436" s="1929"/>
      <c r="AF436" s="625"/>
      <c r="AG436" s="625"/>
      <c r="AH436" s="625"/>
      <c r="AI436" s="625"/>
      <c r="AJ436" s="625"/>
      <c r="AK436" s="625"/>
      <c r="AL436" s="754"/>
      <c r="AM436" s="604"/>
      <c r="AN436" s="631"/>
    </row>
    <row r="437" spans="1:40" s="584" customFormat="1" ht="12.75" customHeight="1">
      <c r="A437" s="570"/>
      <c r="B437" s="14"/>
      <c r="C437" s="785"/>
      <c r="D437" s="764"/>
      <c r="E437" s="753"/>
      <c r="F437" s="1929"/>
      <c r="G437" s="1929"/>
      <c r="H437" s="1929"/>
      <c r="I437" s="1929"/>
      <c r="J437" s="1929"/>
      <c r="K437" s="1929"/>
      <c r="L437" s="1929"/>
      <c r="M437" s="1929"/>
      <c r="N437" s="1929"/>
      <c r="O437" s="1929"/>
      <c r="P437" s="1929"/>
      <c r="Q437" s="1929"/>
      <c r="R437" s="1929"/>
      <c r="S437" s="1929"/>
      <c r="T437" s="1929"/>
      <c r="U437" s="1929"/>
      <c r="V437" s="1929"/>
      <c r="W437" s="1929"/>
      <c r="X437" s="1929"/>
      <c r="Y437" s="1929"/>
      <c r="Z437" s="1929"/>
      <c r="AA437" s="1929"/>
      <c r="AB437" s="1929"/>
      <c r="AC437" s="1929"/>
      <c r="AD437" s="1929"/>
      <c r="AE437" s="1929"/>
      <c r="AL437" s="766"/>
      <c r="AM437" s="604"/>
      <c r="AN437" s="631"/>
    </row>
    <row r="438" spans="1:40" s="584" customFormat="1" ht="12.75" customHeight="1">
      <c r="A438" s="570"/>
      <c r="B438" s="14"/>
      <c r="C438" s="1938" t="s">
        <v>598</v>
      </c>
      <c r="D438" s="1939"/>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7" t="s">
        <v>1572</v>
      </c>
      <c r="AG438" s="1997"/>
      <c r="AH438" s="1997"/>
      <c r="AI438" s="1997"/>
      <c r="AJ438" s="1997"/>
      <c r="AK438" s="1997"/>
      <c r="AL438" s="2027"/>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6" t="s">
        <v>598</v>
      </c>
      <c r="D442" s="2057"/>
      <c r="E442" s="749" t="s">
        <v>1607</v>
      </c>
      <c r="F442" s="1928" t="s">
        <v>1608</v>
      </c>
      <c r="G442" s="1928"/>
      <c r="H442" s="1928"/>
      <c r="I442" s="1928"/>
      <c r="J442" s="1928"/>
      <c r="K442" s="1928"/>
      <c r="L442" s="1928"/>
      <c r="M442" s="1928"/>
      <c r="N442" s="1928"/>
      <c r="O442" s="1928"/>
      <c r="P442" s="1928"/>
      <c r="Q442" s="1928"/>
      <c r="R442" s="1928"/>
      <c r="S442" s="1928"/>
      <c r="T442" s="1928"/>
      <c r="U442" s="1928"/>
      <c r="V442" s="1928"/>
      <c r="W442" s="1928"/>
      <c r="X442" s="1928"/>
      <c r="Y442" s="1928"/>
      <c r="Z442" s="1928"/>
      <c r="AA442" s="1928"/>
      <c r="AB442" s="1928"/>
      <c r="AC442" s="1928"/>
      <c r="AD442" s="1928"/>
      <c r="AE442" s="1928"/>
      <c r="AF442" s="2023" t="s">
        <v>1572</v>
      </c>
      <c r="AG442" s="2023"/>
      <c r="AH442" s="2023"/>
      <c r="AI442" s="2023"/>
      <c r="AJ442" s="2023"/>
      <c r="AK442" s="2023"/>
      <c r="AL442" s="2024"/>
      <c r="AM442" s="604"/>
      <c r="AN442" s="787"/>
    </row>
    <row r="443" spans="1:40" s="584" customFormat="1" ht="12.75" customHeight="1">
      <c r="A443" s="570"/>
      <c r="B443" s="14"/>
      <c r="C443" s="785"/>
      <c r="D443" s="764"/>
      <c r="E443" s="753"/>
      <c r="F443" s="1929"/>
      <c r="G443" s="1929"/>
      <c r="H443" s="1929"/>
      <c r="I443" s="1929"/>
      <c r="J443" s="1929"/>
      <c r="K443" s="1929"/>
      <c r="L443" s="1929"/>
      <c r="M443" s="1929"/>
      <c r="N443" s="1929"/>
      <c r="O443" s="1929"/>
      <c r="P443" s="1929"/>
      <c r="Q443" s="1929"/>
      <c r="R443" s="1929"/>
      <c r="S443" s="1929"/>
      <c r="T443" s="1929"/>
      <c r="U443" s="1929"/>
      <c r="V443" s="1929"/>
      <c r="W443" s="1929"/>
      <c r="X443" s="1929"/>
      <c r="Y443" s="1929"/>
      <c r="Z443" s="1929"/>
      <c r="AA443" s="1929"/>
      <c r="AB443" s="1929"/>
      <c r="AC443" s="1929"/>
      <c r="AD443" s="1929"/>
      <c r="AE443" s="1929"/>
      <c r="AF443" s="625"/>
      <c r="AG443" s="625"/>
      <c r="AH443" s="625"/>
      <c r="AI443" s="625"/>
      <c r="AJ443" s="625"/>
      <c r="AK443" s="625"/>
      <c r="AL443" s="754"/>
      <c r="AM443" s="604"/>
      <c r="AN443" s="788"/>
    </row>
    <row r="444" spans="1:40" s="584" customFormat="1" ht="17.7" customHeight="1">
      <c r="A444" s="570"/>
      <c r="B444" s="14"/>
      <c r="C444" s="790"/>
      <c r="D444" s="757"/>
      <c r="E444" s="758"/>
      <c r="F444" s="2011"/>
      <c r="G444" s="2011"/>
      <c r="H444" s="2011"/>
      <c r="I444" s="2011"/>
      <c r="J444" s="2011"/>
      <c r="K444" s="2011"/>
      <c r="L444" s="2011"/>
      <c r="M444" s="2011"/>
      <c r="N444" s="2011"/>
      <c r="O444" s="2011"/>
      <c r="P444" s="2011"/>
      <c r="Q444" s="2011"/>
      <c r="R444" s="2011"/>
      <c r="S444" s="2011"/>
      <c r="T444" s="2011"/>
      <c r="U444" s="2011"/>
      <c r="V444" s="2011"/>
      <c r="W444" s="2011"/>
      <c r="X444" s="2011"/>
      <c r="Y444" s="2011"/>
      <c r="Z444" s="2011"/>
      <c r="AA444" s="2011"/>
      <c r="AB444" s="2011"/>
      <c r="AC444" s="2011"/>
      <c r="AD444" s="2011"/>
      <c r="AE444" s="2011"/>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8" t="s">
        <v>598</v>
      </c>
      <c r="D446" s="1939"/>
      <c r="E446" s="749" t="s">
        <v>1613</v>
      </c>
      <c r="F446" s="1928" t="s">
        <v>1614</v>
      </c>
      <c r="G446" s="1928"/>
      <c r="H446" s="1928"/>
      <c r="I446" s="1928"/>
      <c r="J446" s="1928"/>
      <c r="K446" s="1928"/>
      <c r="L446" s="1928"/>
      <c r="M446" s="1928"/>
      <c r="N446" s="1928"/>
      <c r="O446" s="1928"/>
      <c r="P446" s="1928"/>
      <c r="Q446" s="1928"/>
      <c r="R446" s="1928"/>
      <c r="S446" s="1928"/>
      <c r="T446" s="1928"/>
      <c r="U446" s="1928"/>
      <c r="V446" s="1928"/>
      <c r="W446" s="1928"/>
      <c r="X446" s="1928"/>
      <c r="Y446" s="1928"/>
      <c r="Z446" s="1928"/>
      <c r="AA446" s="1928"/>
      <c r="AB446" s="1928"/>
      <c r="AC446" s="1928"/>
      <c r="AD446" s="1928"/>
      <c r="AE446" s="1928"/>
      <c r="AF446" s="2023" t="s">
        <v>1572</v>
      </c>
      <c r="AG446" s="2023"/>
      <c r="AH446" s="2023"/>
      <c r="AI446" s="2023"/>
      <c r="AJ446" s="2023"/>
      <c r="AK446" s="2023"/>
      <c r="AL446" s="2024"/>
      <c r="AM446" s="604"/>
      <c r="AN446" s="569"/>
    </row>
    <row r="447" spans="1:40" s="584" customFormat="1" ht="12.75" customHeight="1">
      <c r="A447" s="570"/>
      <c r="B447" s="14"/>
      <c r="C447" s="765"/>
      <c r="D447" s="14"/>
      <c r="E447" s="725"/>
      <c r="F447" s="1929"/>
      <c r="G447" s="1929"/>
      <c r="H447" s="1929"/>
      <c r="I447" s="1929"/>
      <c r="J447" s="1929"/>
      <c r="K447" s="1929"/>
      <c r="L447" s="1929"/>
      <c r="M447" s="1929"/>
      <c r="N447" s="1929"/>
      <c r="O447" s="1929"/>
      <c r="P447" s="1929"/>
      <c r="Q447" s="1929"/>
      <c r="R447" s="1929"/>
      <c r="S447" s="1929"/>
      <c r="T447" s="1929"/>
      <c r="U447" s="1929"/>
      <c r="V447" s="1929"/>
      <c r="W447" s="1929"/>
      <c r="X447" s="1929"/>
      <c r="Y447" s="1929"/>
      <c r="Z447" s="1929"/>
      <c r="AA447" s="1929"/>
      <c r="AB447" s="1929"/>
      <c r="AC447" s="1929"/>
      <c r="AD447" s="1929"/>
      <c r="AE447" s="1929"/>
      <c r="AF447" s="573"/>
      <c r="AG447" s="570"/>
      <c r="AL447" s="766"/>
      <c r="AM447" s="604"/>
      <c r="AN447" s="569"/>
    </row>
    <row r="448" spans="1:40" s="584" customFormat="1" ht="12.75" customHeight="1">
      <c r="A448" s="570"/>
      <c r="B448" s="14"/>
      <c r="C448" s="765"/>
      <c r="D448" s="14"/>
      <c r="E448" s="725"/>
      <c r="F448" s="1929"/>
      <c r="G448" s="1929"/>
      <c r="H448" s="1929"/>
      <c r="I448" s="1929"/>
      <c r="J448" s="1929"/>
      <c r="K448" s="1929"/>
      <c r="L448" s="1929"/>
      <c r="M448" s="1929"/>
      <c r="N448" s="1929"/>
      <c r="O448" s="1929"/>
      <c r="P448" s="1929"/>
      <c r="Q448" s="1929"/>
      <c r="R448" s="1929"/>
      <c r="S448" s="1929"/>
      <c r="T448" s="1929"/>
      <c r="U448" s="1929"/>
      <c r="V448" s="1929"/>
      <c r="W448" s="1929"/>
      <c r="X448" s="1929"/>
      <c r="Y448" s="1929"/>
      <c r="Z448" s="1929"/>
      <c r="AA448" s="1929"/>
      <c r="AB448" s="1929"/>
      <c r="AC448" s="1929"/>
      <c r="AD448" s="1929"/>
      <c r="AE448" s="1929"/>
      <c r="AF448" s="573"/>
      <c r="AG448" s="570"/>
      <c r="AL448" s="766"/>
      <c r="AM448" s="604"/>
      <c r="AN448" s="569"/>
    </row>
    <row r="449" spans="1:48" s="584" customFormat="1" ht="12.75" customHeight="1">
      <c r="A449" s="570"/>
      <c r="B449" s="14"/>
      <c r="C449" s="790"/>
      <c r="D449" s="757"/>
      <c r="E449" s="758"/>
      <c r="F449" s="2011"/>
      <c r="G449" s="2011"/>
      <c r="H449" s="2011"/>
      <c r="I449" s="2011"/>
      <c r="J449" s="2011"/>
      <c r="K449" s="2011"/>
      <c r="L449" s="2011"/>
      <c r="M449" s="2011"/>
      <c r="N449" s="2011"/>
      <c r="O449" s="2011"/>
      <c r="P449" s="2011"/>
      <c r="Q449" s="2011"/>
      <c r="R449" s="2011"/>
      <c r="S449" s="2011"/>
      <c r="T449" s="2011"/>
      <c r="U449" s="2011"/>
      <c r="V449" s="2011"/>
      <c r="W449" s="2011"/>
      <c r="X449" s="2011"/>
      <c r="Y449" s="2011"/>
      <c r="Z449" s="2011"/>
      <c r="AA449" s="2011"/>
      <c r="AB449" s="2011"/>
      <c r="AC449" s="2011"/>
      <c r="AD449" s="2011"/>
      <c r="AE449" s="2011"/>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28" t="s">
        <v>1617</v>
      </c>
      <c r="G451" s="1928"/>
      <c r="H451" s="1928"/>
      <c r="I451" s="1928"/>
      <c r="J451" s="1928"/>
      <c r="K451" s="1928"/>
      <c r="L451" s="1928"/>
      <c r="M451" s="1928"/>
      <c r="N451" s="1928"/>
      <c r="O451" s="1928"/>
      <c r="P451" s="1928"/>
      <c r="Q451" s="1928"/>
      <c r="R451" s="1928"/>
      <c r="S451" s="1928"/>
      <c r="T451" s="1928"/>
      <c r="U451" s="1928"/>
      <c r="V451" s="1928"/>
      <c r="W451" s="1928"/>
      <c r="X451" s="1928"/>
      <c r="Y451" s="1928"/>
      <c r="Z451" s="1928"/>
      <c r="AA451" s="1928"/>
      <c r="AB451" s="1928"/>
      <c r="AC451" s="1928"/>
      <c r="AD451" s="1928"/>
      <c r="AE451" s="1928"/>
      <c r="AF451" s="1928"/>
      <c r="AG451" s="778"/>
      <c r="AH451" s="748"/>
      <c r="AI451" s="748"/>
      <c r="AJ451" s="748"/>
      <c r="AK451" s="748"/>
      <c r="AL451" s="779"/>
      <c r="AM451" s="604"/>
      <c r="AN451" s="631"/>
    </row>
    <row r="452" spans="1:48" s="584" customFormat="1" ht="12.75" customHeight="1">
      <c r="A452" s="570"/>
      <c r="B452" s="14"/>
      <c r="C452" s="765"/>
      <c r="D452" s="14"/>
      <c r="E452" s="725"/>
      <c r="F452" s="1929"/>
      <c r="G452" s="1929"/>
      <c r="H452" s="1929"/>
      <c r="I452" s="1929"/>
      <c r="J452" s="1929"/>
      <c r="K452" s="1929"/>
      <c r="L452" s="1929"/>
      <c r="M452" s="1929"/>
      <c r="N452" s="1929"/>
      <c r="O452" s="1929"/>
      <c r="P452" s="1929"/>
      <c r="Q452" s="1929"/>
      <c r="R452" s="1929"/>
      <c r="S452" s="1929"/>
      <c r="T452" s="1929"/>
      <c r="U452" s="1929"/>
      <c r="V452" s="1929"/>
      <c r="W452" s="1929"/>
      <c r="X452" s="1929"/>
      <c r="Y452" s="1929"/>
      <c r="Z452" s="1929"/>
      <c r="AA452" s="1929"/>
      <c r="AB452" s="1929"/>
      <c r="AC452" s="1929"/>
      <c r="AD452" s="1929"/>
      <c r="AE452" s="1929"/>
      <c r="AF452" s="1929"/>
      <c r="AL452" s="766"/>
      <c r="AM452" s="604"/>
      <c r="AN452" s="631"/>
    </row>
    <row r="453" spans="1:48" s="584" customFormat="1" ht="12.75" customHeight="1">
      <c r="A453" s="570"/>
      <c r="B453" s="14"/>
      <c r="C453" s="773"/>
      <c r="F453" s="1929"/>
      <c r="G453" s="1929"/>
      <c r="H453" s="1929"/>
      <c r="I453" s="1929"/>
      <c r="J453" s="1929"/>
      <c r="K453" s="1929"/>
      <c r="L453" s="1929"/>
      <c r="M453" s="1929"/>
      <c r="N453" s="1929"/>
      <c r="O453" s="1929"/>
      <c r="P453" s="1929"/>
      <c r="Q453" s="1929"/>
      <c r="R453" s="1929"/>
      <c r="S453" s="1929"/>
      <c r="T453" s="1929"/>
      <c r="U453" s="1929"/>
      <c r="V453" s="1929"/>
      <c r="W453" s="1929"/>
      <c r="X453" s="1929"/>
      <c r="Y453" s="1929"/>
      <c r="Z453" s="1929"/>
      <c r="AA453" s="1929"/>
      <c r="AB453" s="1929"/>
      <c r="AC453" s="1929"/>
      <c r="AD453" s="1929"/>
      <c r="AE453" s="1929"/>
      <c r="AF453" s="1929"/>
      <c r="AL453" s="766"/>
      <c r="AM453" s="604"/>
      <c r="AN453" s="631"/>
    </row>
    <row r="454" spans="1:48" s="584" customFormat="1" ht="12.75" customHeight="1">
      <c r="A454" s="570"/>
      <c r="B454" s="14"/>
      <c r="C454" s="773"/>
      <c r="F454" s="1929"/>
      <c r="G454" s="1929"/>
      <c r="H454" s="1929"/>
      <c r="I454" s="1929"/>
      <c r="J454" s="1929"/>
      <c r="K454" s="1929"/>
      <c r="L454" s="1929"/>
      <c r="M454" s="1929"/>
      <c r="N454" s="1929"/>
      <c r="O454" s="1929"/>
      <c r="P454" s="1929"/>
      <c r="Q454" s="1929"/>
      <c r="R454" s="1929"/>
      <c r="S454" s="1929"/>
      <c r="T454" s="1929"/>
      <c r="U454" s="1929"/>
      <c r="V454" s="1929"/>
      <c r="W454" s="1929"/>
      <c r="X454" s="1929"/>
      <c r="Y454" s="1929"/>
      <c r="Z454" s="1929"/>
      <c r="AA454" s="1929"/>
      <c r="AB454" s="1929"/>
      <c r="AC454" s="1929"/>
      <c r="AD454" s="1929"/>
      <c r="AE454" s="1929"/>
      <c r="AF454" s="1929"/>
      <c r="AL454" s="766"/>
      <c r="AM454" s="604"/>
      <c r="AN454" s="631"/>
    </row>
    <row r="455" spans="1:48" s="584" customFormat="1" ht="12.75" customHeight="1">
      <c r="A455" s="570"/>
      <c r="B455" s="14"/>
      <c r="C455" s="1938" t="s">
        <v>598</v>
      </c>
      <c r="D455" s="1939"/>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7" t="s">
        <v>1572</v>
      </c>
      <c r="AG455" s="1927"/>
      <c r="AH455" s="1927"/>
      <c r="AI455" s="1927"/>
      <c r="AJ455" s="1927"/>
      <c r="AK455" s="1927"/>
      <c r="AL455" s="1940"/>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24">
        <f>IF(Application!D214="N/A",AS347,AS349)</f>
        <v>10</v>
      </c>
      <c r="AL458" s="1925"/>
      <c r="AM458" s="192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1620</v>
      </c>
      <c r="C461" s="573"/>
      <c r="E461" s="630"/>
      <c r="AE461" s="1927" t="s">
        <v>1621</v>
      </c>
      <c r="AF461" s="1927"/>
      <c r="AG461" s="1927"/>
      <c r="AH461" s="1927"/>
      <c r="AI461" s="1927"/>
      <c r="AJ461" s="1927"/>
      <c r="AK461" s="1927"/>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04" t="s">
        <v>598</v>
      </c>
      <c r="D467" s="2005"/>
      <c r="E467" s="795" t="s">
        <v>514</v>
      </c>
      <c r="F467" s="2025" t="s">
        <v>1627</v>
      </c>
      <c r="G467" s="2025"/>
      <c r="H467" s="2025"/>
      <c r="I467" s="2025"/>
      <c r="J467" s="2025"/>
      <c r="K467" s="2025"/>
      <c r="L467" s="2025"/>
      <c r="M467" s="2025"/>
      <c r="N467" s="2025"/>
      <c r="O467" s="2025"/>
      <c r="P467" s="2025"/>
      <c r="Q467" s="2025"/>
      <c r="R467" s="2025"/>
      <c r="S467" s="2025"/>
      <c r="T467" s="2025"/>
      <c r="U467" s="2025"/>
      <c r="V467" s="2025"/>
      <c r="W467" s="2025"/>
      <c r="X467" s="2025"/>
      <c r="Y467" s="2025"/>
      <c r="Z467" s="2025"/>
      <c r="AA467" s="2025"/>
      <c r="AB467" s="2025"/>
      <c r="AC467" s="2025"/>
      <c r="AD467" s="2025"/>
      <c r="AE467" s="2025"/>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26"/>
      <c r="G468" s="2026"/>
      <c r="H468" s="2026"/>
      <c r="I468" s="2026"/>
      <c r="J468" s="2026"/>
      <c r="K468" s="2026"/>
      <c r="L468" s="2026"/>
      <c r="M468" s="2026"/>
      <c r="N468" s="2026"/>
      <c r="O468" s="2026"/>
      <c r="P468" s="2026"/>
      <c r="Q468" s="2026"/>
      <c r="R468" s="2026"/>
      <c r="S468" s="2026"/>
      <c r="T468" s="2026"/>
      <c r="U468" s="2026"/>
      <c r="V468" s="2026"/>
      <c r="W468" s="2026"/>
      <c r="X468" s="2026"/>
      <c r="Y468" s="2026"/>
      <c r="Z468" s="2026"/>
      <c r="AA468" s="2026"/>
      <c r="AB468" s="2026"/>
      <c r="AC468" s="2026"/>
      <c r="AD468" s="2026"/>
      <c r="AE468" s="2026"/>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20" t="s">
        <v>598</v>
      </c>
      <c r="G469" s="2020"/>
      <c r="H469" s="2020"/>
      <c r="I469" s="2020"/>
      <c r="J469" s="2020"/>
      <c r="K469" s="2020"/>
      <c r="L469" s="2020"/>
      <c r="M469" s="2020"/>
      <c r="N469" s="2020"/>
      <c r="O469" s="2020"/>
      <c r="P469" s="2020"/>
      <c r="Q469" s="2020"/>
      <c r="R469" s="2020"/>
      <c r="S469" s="2020"/>
      <c r="T469" s="2020"/>
      <c r="U469" s="2020"/>
      <c r="V469" s="2020"/>
      <c r="W469" s="2020"/>
      <c r="X469" s="2020"/>
      <c r="Y469" s="2020"/>
      <c r="Z469" s="2020"/>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21" t="s">
        <v>552</v>
      </c>
      <c r="D471" s="2022"/>
      <c r="E471" s="795" t="s">
        <v>765</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33" t="s">
        <v>598</v>
      </c>
      <c r="W474" s="1933"/>
      <c r="X474" s="1933"/>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33" t="s">
        <v>598</v>
      </c>
      <c r="W476" s="1933"/>
      <c r="X476" s="1933"/>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33" t="s">
        <v>598</v>
      </c>
      <c r="W481" s="1933"/>
      <c r="X481" s="1933"/>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07"/>
      <c r="E484" s="2007"/>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33" t="s">
        <v>598</v>
      </c>
      <c r="W485" s="1933"/>
      <c r="X485" s="1933"/>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33" t="s">
        <v>598</v>
      </c>
      <c r="W487" s="1933"/>
      <c r="X487" s="1933"/>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04" t="s">
        <v>598</v>
      </c>
      <c r="D490" s="2005"/>
      <c r="E490" s="795" t="s">
        <v>514</v>
      </c>
      <c r="F490" s="2025" t="s">
        <v>1627</v>
      </c>
      <c r="G490" s="2025"/>
      <c r="H490" s="2025"/>
      <c r="I490" s="2025"/>
      <c r="J490" s="2025"/>
      <c r="K490" s="2025"/>
      <c r="L490" s="2025"/>
      <c r="M490" s="2025"/>
      <c r="N490" s="2025"/>
      <c r="O490" s="2025"/>
      <c r="P490" s="2025"/>
      <c r="Q490" s="2025"/>
      <c r="R490" s="2025"/>
      <c r="S490" s="2025"/>
      <c r="T490" s="2025"/>
      <c r="U490" s="2025"/>
      <c r="V490" s="2025"/>
      <c r="W490" s="2025"/>
      <c r="X490" s="2025"/>
      <c r="Y490" s="2025"/>
      <c r="Z490" s="2025"/>
      <c r="AA490" s="2025"/>
      <c r="AB490" s="2025"/>
      <c r="AC490" s="2025"/>
      <c r="AD490" s="2025"/>
      <c r="AE490" s="2025"/>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6"/>
      <c r="G491" s="2026"/>
      <c r="H491" s="2026"/>
      <c r="I491" s="2026"/>
      <c r="J491" s="2026"/>
      <c r="K491" s="2026"/>
      <c r="L491" s="2026"/>
      <c r="M491" s="2026"/>
      <c r="N491" s="2026"/>
      <c r="O491" s="2026"/>
      <c r="P491" s="2026"/>
      <c r="Q491" s="2026"/>
      <c r="R491" s="2026"/>
      <c r="S491" s="2026"/>
      <c r="T491" s="2026"/>
      <c r="U491" s="2026"/>
      <c r="V491" s="2026"/>
      <c r="W491" s="2026"/>
      <c r="X491" s="2026"/>
      <c r="Y491" s="2026"/>
      <c r="Z491" s="2026"/>
      <c r="AA491" s="2026"/>
      <c r="AB491" s="2026"/>
      <c r="AC491" s="2026"/>
      <c r="AD491" s="2026"/>
      <c r="AE491" s="2026"/>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12" t="s">
        <v>598</v>
      </c>
      <c r="G492" s="2012"/>
      <c r="H492" s="2012"/>
      <c r="I492" s="2012"/>
      <c r="J492" s="2012"/>
      <c r="K492" s="2012"/>
      <c r="L492" s="2012"/>
      <c r="M492" s="2012"/>
      <c r="N492" s="2012"/>
      <c r="O492" s="2012"/>
      <c r="P492" s="2012"/>
      <c r="Q492" s="2012"/>
      <c r="R492" s="2012"/>
      <c r="S492" s="2012"/>
      <c r="T492" s="2012"/>
      <c r="U492" s="2012"/>
      <c r="V492" s="2012"/>
      <c r="W492" s="2012"/>
      <c r="X492" s="2012"/>
      <c r="Y492" s="2012"/>
      <c r="Z492" s="2012"/>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04" t="s">
        <v>598</v>
      </c>
      <c r="D494" s="2005"/>
      <c r="E494" s="795" t="s">
        <v>765</v>
      </c>
      <c r="F494" s="2013" t="s">
        <v>1649</v>
      </c>
      <c r="G494" s="2013"/>
      <c r="H494" s="2013"/>
      <c r="I494" s="2013"/>
      <c r="J494" s="2013"/>
      <c r="K494" s="2013"/>
      <c r="L494" s="2013"/>
      <c r="M494" s="2013"/>
      <c r="N494" s="2013"/>
      <c r="O494" s="2013"/>
      <c r="P494" s="2013"/>
      <c r="Q494" s="2013"/>
      <c r="R494" s="2013"/>
      <c r="S494" s="2013"/>
      <c r="T494" s="2013"/>
      <c r="U494" s="2013"/>
      <c r="V494" s="2013"/>
      <c r="W494" s="2013"/>
      <c r="X494" s="2013"/>
      <c r="Y494" s="2013"/>
      <c r="Z494" s="2013"/>
      <c r="AA494" s="2013"/>
      <c r="AB494" s="2013"/>
      <c r="AC494" s="2013"/>
      <c r="AD494" s="2013"/>
      <c r="AE494" s="2013"/>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14"/>
      <c r="G495" s="2014"/>
      <c r="H495" s="2014"/>
      <c r="I495" s="2014"/>
      <c r="J495" s="2014"/>
      <c r="K495" s="2014"/>
      <c r="L495" s="2014"/>
      <c r="M495" s="2014"/>
      <c r="N495" s="2014"/>
      <c r="O495" s="2014"/>
      <c r="P495" s="2014"/>
      <c r="Q495" s="2014"/>
      <c r="R495" s="2014"/>
      <c r="S495" s="2014"/>
      <c r="T495" s="2014"/>
      <c r="U495" s="2014"/>
      <c r="V495" s="2014"/>
      <c r="W495" s="2014"/>
      <c r="X495" s="2014"/>
      <c r="Y495" s="2014"/>
      <c r="Z495" s="2014"/>
      <c r="AA495" s="2014"/>
      <c r="AB495" s="2014"/>
      <c r="AC495" s="2014"/>
      <c r="AD495" s="2014"/>
      <c r="AE495" s="2014"/>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15" t="s">
        <v>598</v>
      </c>
      <c r="G497" s="2015"/>
      <c r="H497" s="2015"/>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04" t="s">
        <v>598</v>
      </c>
      <c r="D499" s="2005"/>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6"/>
      <c r="D501" s="2007"/>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8" t="s">
        <v>598</v>
      </c>
      <c r="H502" s="2008"/>
      <c r="I502" s="2008"/>
      <c r="J502" s="2008"/>
      <c r="K502" s="2008"/>
      <c r="L502" s="2008"/>
      <c r="M502" s="2008"/>
      <c r="N502" s="2008"/>
      <c r="O502" s="2008"/>
      <c r="P502" s="2008"/>
      <c r="Q502" s="2008"/>
      <c r="R502" s="2008"/>
      <c r="S502" s="2008"/>
      <c r="T502" s="2008"/>
      <c r="U502" s="2008"/>
      <c r="V502" s="2008"/>
      <c r="W502" s="2008"/>
      <c r="X502" s="2008"/>
      <c r="Y502" s="2008"/>
      <c r="Z502" s="2008"/>
      <c r="AA502" s="2008"/>
      <c r="AB502" s="2008"/>
      <c r="AC502" s="2008"/>
      <c r="AD502" s="2008"/>
      <c r="AE502" s="2008"/>
      <c r="AF502" s="2008"/>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9" t="s">
        <v>598</v>
      </c>
      <c r="D504" s="2010"/>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9" t="s">
        <v>598</v>
      </c>
      <c r="D508" s="2010"/>
      <c r="F508" s="829" t="s">
        <v>1657</v>
      </c>
      <c r="G508" s="1929" t="s">
        <v>1658</v>
      </c>
      <c r="H508" s="1929"/>
      <c r="I508" s="1929"/>
      <c r="J508" s="1929"/>
      <c r="K508" s="1929"/>
      <c r="L508" s="1929"/>
      <c r="M508" s="1929"/>
      <c r="N508" s="1929"/>
      <c r="O508" s="1929"/>
      <c r="P508" s="1929"/>
      <c r="Q508" s="1929"/>
      <c r="R508" s="1929"/>
      <c r="S508" s="1929"/>
      <c r="T508" s="1929"/>
      <c r="U508" s="1929"/>
      <c r="V508" s="1929"/>
      <c r="W508" s="1929"/>
      <c r="X508" s="1929"/>
      <c r="Y508" s="1929"/>
      <c r="Z508" s="1929"/>
      <c r="AA508" s="1929"/>
      <c r="AB508" s="1929"/>
      <c r="AC508" s="1929"/>
      <c r="AD508" s="1929"/>
      <c r="AE508" s="1929"/>
      <c r="AF508" s="1929"/>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11"/>
      <c r="H509" s="2011"/>
      <c r="I509" s="2011"/>
      <c r="J509" s="2011"/>
      <c r="K509" s="2011"/>
      <c r="L509" s="2011"/>
      <c r="M509" s="2011"/>
      <c r="N509" s="2011"/>
      <c r="O509" s="2011"/>
      <c r="P509" s="2011"/>
      <c r="Q509" s="2011"/>
      <c r="R509" s="2011"/>
      <c r="S509" s="2011"/>
      <c r="T509" s="2011"/>
      <c r="U509" s="2011"/>
      <c r="V509" s="2011"/>
      <c r="W509" s="2011"/>
      <c r="X509" s="2011"/>
      <c r="Y509" s="2011"/>
      <c r="Z509" s="2011"/>
      <c r="AA509" s="2011"/>
      <c r="AB509" s="2011"/>
      <c r="AC509" s="2011"/>
      <c r="AD509" s="2011"/>
      <c r="AE509" s="2011"/>
      <c r="AF509" s="2011"/>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6" t="s">
        <v>598</v>
      </c>
      <c r="D512" s="2017"/>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8" t="s">
        <v>598</v>
      </c>
      <c r="G513" s="2018"/>
      <c r="H513" s="2018"/>
      <c r="I513" s="2018"/>
      <c r="J513" s="2018"/>
      <c r="K513" s="2018"/>
      <c r="L513" s="2018"/>
      <c r="M513" s="2018"/>
      <c r="N513" s="2018"/>
      <c r="O513" s="2018"/>
      <c r="P513" s="2018"/>
      <c r="Q513" s="2018"/>
      <c r="R513" s="2018"/>
      <c r="S513" s="2018"/>
      <c r="T513" s="2018"/>
      <c r="U513" s="2018"/>
      <c r="V513" s="2018"/>
      <c r="W513" s="2018"/>
      <c r="X513" s="2018"/>
      <c r="Y513" s="2018"/>
      <c r="Z513" s="2018"/>
      <c r="AA513" s="2018"/>
      <c r="AB513" s="2018"/>
      <c r="AC513" s="2018"/>
      <c r="AD513" s="2018"/>
      <c r="AE513" s="2018"/>
      <c r="AF513" s="2018"/>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9"/>
      <c r="G514" s="2019"/>
      <c r="H514" s="2019"/>
      <c r="I514" s="2019"/>
      <c r="J514" s="2019"/>
      <c r="K514" s="2019"/>
      <c r="L514" s="2019"/>
      <c r="M514" s="2019"/>
      <c r="N514" s="2019"/>
      <c r="O514" s="2019"/>
      <c r="P514" s="2019"/>
      <c r="Q514" s="2019"/>
      <c r="R514" s="2019"/>
      <c r="S514" s="2019"/>
      <c r="T514" s="2019"/>
      <c r="U514" s="2019"/>
      <c r="V514" s="2019"/>
      <c r="W514" s="2019"/>
      <c r="X514" s="2019"/>
      <c r="Y514" s="2019"/>
      <c r="Z514" s="2019"/>
      <c r="AA514" s="2019"/>
      <c r="AB514" s="2019"/>
      <c r="AC514" s="2019"/>
      <c r="AD514" s="2019"/>
      <c r="AE514" s="2019"/>
      <c r="AF514" s="2019"/>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24">
        <f>SUM(AG468:AG513)</f>
        <v>0</v>
      </c>
      <c r="AL524" s="1925"/>
      <c r="AM524" s="192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8"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30" t="s">
        <v>1670</v>
      </c>
      <c r="AF527" s="1930"/>
      <c r="AG527" s="1930"/>
      <c r="AH527" s="1930"/>
      <c r="AI527" s="1930"/>
      <c r="AJ527" s="1930"/>
      <c r="AK527" s="1930"/>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9" t="s">
        <v>552</v>
      </c>
      <c r="D530" s="1939"/>
      <c r="E530" s="585"/>
      <c r="F530" s="1998" t="s">
        <v>1671</v>
      </c>
      <c r="G530" s="1999"/>
      <c r="H530" s="1999"/>
      <c r="I530" s="1999"/>
      <c r="J530" s="1999"/>
      <c r="K530" s="1999"/>
      <c r="L530" s="1999"/>
      <c r="M530" s="1999"/>
      <c r="N530" s="1999"/>
      <c r="O530" s="1999"/>
      <c r="P530" s="1999"/>
      <c r="Q530" s="1999"/>
      <c r="R530" s="1999"/>
      <c r="S530" s="1999"/>
      <c r="T530" s="1999"/>
      <c r="U530" s="1999"/>
      <c r="V530" s="1999"/>
      <c r="W530" s="1999"/>
      <c r="X530" s="1999"/>
      <c r="Y530" s="1999"/>
      <c r="Z530" s="1999"/>
      <c r="AA530" s="1999"/>
      <c r="AB530" s="1999"/>
      <c r="AC530" s="1999"/>
      <c r="AD530" s="1999"/>
      <c r="AE530" s="1999"/>
      <c r="AF530" s="1999"/>
      <c r="AG530" s="1999"/>
      <c r="AH530" s="1999"/>
      <c r="AI530" s="1999"/>
      <c r="AJ530" s="1999"/>
      <c r="AK530" s="1999"/>
      <c r="AL530" s="2000"/>
      <c r="AM530" s="629"/>
      <c r="AN530" s="631"/>
    </row>
    <row r="531" spans="1:49" s="584" customFormat="1" ht="12.75" customHeight="1">
      <c r="A531" s="573"/>
      <c r="B531" s="573"/>
      <c r="C531" s="585"/>
      <c r="D531" s="585"/>
      <c r="E531" s="585"/>
      <c r="F531" s="2001"/>
      <c r="G531" s="2002"/>
      <c r="H531" s="2002"/>
      <c r="I531" s="2002"/>
      <c r="J531" s="2002"/>
      <c r="K531" s="2002"/>
      <c r="L531" s="2002"/>
      <c r="M531" s="2002"/>
      <c r="N531" s="2002"/>
      <c r="O531" s="2002"/>
      <c r="P531" s="2002"/>
      <c r="Q531" s="2002"/>
      <c r="R531" s="2002"/>
      <c r="S531" s="2002"/>
      <c r="T531" s="2002"/>
      <c r="U531" s="2002"/>
      <c r="V531" s="2002"/>
      <c r="W531" s="2002"/>
      <c r="X531" s="2002"/>
      <c r="Y531" s="2002"/>
      <c r="Z531" s="2002"/>
      <c r="AA531" s="2002"/>
      <c r="AB531" s="2002"/>
      <c r="AC531" s="2002"/>
      <c r="AD531" s="2002"/>
      <c r="AE531" s="2002"/>
      <c r="AF531" s="2002"/>
      <c r="AG531" s="2002"/>
      <c r="AH531" s="2002"/>
      <c r="AI531" s="2002"/>
      <c r="AJ531" s="2002"/>
      <c r="AK531" s="2002"/>
      <c r="AL531" s="200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9" t="s">
        <v>598</v>
      </c>
      <c r="D533" s="1939"/>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6" t="s">
        <v>1673</v>
      </c>
      <c r="G534" s="1917"/>
      <c r="H534" s="1917"/>
      <c r="I534" s="1917"/>
      <c r="J534" s="1917"/>
      <c r="K534" s="1917"/>
      <c r="L534" s="1917"/>
      <c r="M534" s="1917"/>
      <c r="N534" s="1917"/>
      <c r="O534" s="1917"/>
      <c r="P534" s="1917"/>
      <c r="Q534" s="1917"/>
      <c r="R534" s="1917"/>
      <c r="S534" s="1917"/>
      <c r="T534" s="1917"/>
      <c r="U534" s="1917"/>
      <c r="V534" s="1917"/>
      <c r="W534" s="1917"/>
      <c r="X534" s="1917"/>
      <c r="Y534" s="1917"/>
      <c r="Z534" s="1917"/>
      <c r="AA534" s="1917"/>
      <c r="AB534" s="1917"/>
      <c r="AC534" s="1917"/>
      <c r="AD534" s="1917"/>
      <c r="AE534" s="1917"/>
      <c r="AF534" s="1917"/>
      <c r="AG534" s="1917"/>
      <c r="AH534" s="1917"/>
      <c r="AI534" s="1917"/>
      <c r="AJ534" s="1917"/>
      <c r="AK534" s="1917"/>
      <c r="AL534" s="1918"/>
      <c r="AM534" s="629"/>
      <c r="AN534" s="631"/>
      <c r="AS534" s="904"/>
      <c r="AT534" s="904"/>
      <c r="AU534" s="904"/>
      <c r="AV534" s="904"/>
      <c r="AW534" s="904"/>
    </row>
    <row r="535" spans="1:49" s="584" customFormat="1" ht="12.75" customHeight="1">
      <c r="B535" s="840"/>
      <c r="C535" s="840"/>
      <c r="D535" s="840"/>
      <c r="E535" s="840"/>
      <c r="F535" s="1916"/>
      <c r="G535" s="1917"/>
      <c r="H535" s="1917"/>
      <c r="I535" s="1917"/>
      <c r="J535" s="1917"/>
      <c r="K535" s="1917"/>
      <c r="L535" s="1917"/>
      <c r="M535" s="1917"/>
      <c r="N535" s="1917"/>
      <c r="O535" s="1917"/>
      <c r="P535" s="1917"/>
      <c r="Q535" s="1917"/>
      <c r="R535" s="1917"/>
      <c r="S535" s="1917"/>
      <c r="T535" s="1917"/>
      <c r="U535" s="1917"/>
      <c r="V535" s="1917"/>
      <c r="W535" s="1917"/>
      <c r="X535" s="1917"/>
      <c r="Y535" s="1917"/>
      <c r="Z535" s="1917"/>
      <c r="AA535" s="1917"/>
      <c r="AB535" s="1917"/>
      <c r="AC535" s="1917"/>
      <c r="AD535" s="1917"/>
      <c r="AE535" s="1917"/>
      <c r="AF535" s="1917"/>
      <c r="AG535" s="1917"/>
      <c r="AH535" s="1917"/>
      <c r="AI535" s="1917"/>
      <c r="AJ535" s="1917"/>
      <c r="AK535" s="1917"/>
      <c r="AL535" s="1918"/>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6" t="s">
        <v>1674</v>
      </c>
      <c r="G537" s="1917"/>
      <c r="H537" s="1917"/>
      <c r="I537" s="1917"/>
      <c r="J537" s="1917"/>
      <c r="K537" s="1917"/>
      <c r="L537" s="1917"/>
      <c r="M537" s="1917"/>
      <c r="N537" s="1917"/>
      <c r="O537" s="1917"/>
      <c r="P537" s="1917"/>
      <c r="Q537" s="1917"/>
      <c r="R537" s="1917"/>
      <c r="S537" s="1917"/>
      <c r="T537" s="1917"/>
      <c r="U537" s="1917"/>
      <c r="V537" s="1917"/>
      <c r="W537" s="1917"/>
      <c r="X537" s="1917"/>
      <c r="Y537" s="1917"/>
      <c r="Z537" s="1917"/>
      <c r="AA537" s="1917"/>
      <c r="AB537" s="1917"/>
      <c r="AC537" s="1917"/>
      <c r="AD537" s="1917"/>
      <c r="AE537" s="1917"/>
      <c r="AF537" s="1917"/>
      <c r="AG537" s="1917"/>
      <c r="AH537" s="1917"/>
      <c r="AI537" s="1917"/>
      <c r="AJ537" s="1917"/>
      <c r="AK537" s="1917"/>
      <c r="AL537" s="847"/>
      <c r="AM537" s="629"/>
      <c r="AN537" s="631"/>
    </row>
    <row r="538" spans="1:49" s="584" customFormat="1" ht="12.75" customHeight="1">
      <c r="B538" s="840"/>
      <c r="C538" s="840"/>
      <c r="D538" s="840"/>
      <c r="E538" s="840"/>
      <c r="F538" s="1919"/>
      <c r="G538" s="1920"/>
      <c r="H538" s="1920"/>
      <c r="I538" s="1920"/>
      <c r="J538" s="1920"/>
      <c r="K538" s="1920"/>
      <c r="L538" s="1920"/>
      <c r="M538" s="1920"/>
      <c r="N538" s="1920"/>
      <c r="O538" s="1920"/>
      <c r="P538" s="1920"/>
      <c r="Q538" s="1920"/>
      <c r="R538" s="1920"/>
      <c r="S538" s="1920"/>
      <c r="T538" s="1920"/>
      <c r="U538" s="1920"/>
      <c r="V538" s="1920"/>
      <c r="W538" s="1920"/>
      <c r="X538" s="1920"/>
      <c r="Y538" s="1920"/>
      <c r="Z538" s="1920"/>
      <c r="AA538" s="1920"/>
      <c r="AB538" s="1920"/>
      <c r="AC538" s="1920"/>
      <c r="AD538" s="1920"/>
      <c r="AE538" s="1920"/>
      <c r="AF538" s="1920"/>
      <c r="AG538" s="1920"/>
      <c r="AH538" s="1920"/>
      <c r="AI538" s="1920"/>
      <c r="AJ538" s="1920"/>
      <c r="AK538" s="1920"/>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11">
        <f>Application!AJ991</f>
        <v>293107625</v>
      </c>
      <c r="AQ539" s="1911"/>
      <c r="AR539" s="1911"/>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21">
        <f>'Sources and Uses Budget'!S107+'Sources and Uses Budget'!T107</f>
        <v>168642956</v>
      </c>
      <c r="AG540" s="1921"/>
      <c r="AH540" s="1921"/>
      <c r="AI540" s="1921"/>
      <c r="AJ540" s="1921"/>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22">
        <f>IFERROR(AP548,0)</f>
        <v>471903277</v>
      </c>
      <c r="AG541" s="1922"/>
      <c r="AH541" s="1922"/>
      <c r="AI541" s="1922"/>
      <c r="AJ541" s="1922"/>
      <c r="AK541" s="629"/>
      <c r="AL541" s="629"/>
      <c r="AM541" s="629"/>
      <c r="AN541" s="631"/>
      <c r="AP541" s="1911">
        <f>Application!AJ1044</f>
        <v>29310762.5</v>
      </c>
      <c r="AQ541" s="1911"/>
      <c r="AR541" s="1911"/>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23">
        <f>IFERROR(ROUNDDOWN(IF(C533="YES",((1-(AF540/AF541))*2),(1-(AF540/AF541))),2),0)</f>
        <v>0.64</v>
      </c>
      <c r="AG542" s="1923"/>
      <c r="AH542" s="1923"/>
      <c r="AI542" s="1923"/>
      <c r="AJ542" s="1923"/>
      <c r="AK542" s="629"/>
      <c r="AL542" s="629"/>
      <c r="AM542" s="629"/>
      <c r="AN542" s="631"/>
      <c r="AP542" s="1912">
        <f>Application!AJ1048</f>
        <v>76207982.5</v>
      </c>
      <c r="AQ542" s="1912"/>
      <c r="AR542" s="1912"/>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31">
        <f>IF(((AP541+AP542)/AP539)&gt;0.8,0.8,((AP541+AP542)/AP539))</f>
        <v>0.36</v>
      </c>
      <c r="AQ543" s="1931"/>
      <c r="AR543" s="1931"/>
      <c r="AS543" s="584" t="s">
        <v>2532</v>
      </c>
    </row>
    <row r="544" spans="1:49" s="584" customFormat="1" ht="12.75" customHeight="1">
      <c r="A544" s="658"/>
      <c r="B544" s="1977" t="s">
        <v>2344</v>
      </c>
      <c r="C544" s="1978"/>
      <c r="D544" s="1978"/>
      <c r="E544" s="1978"/>
      <c r="F544" s="1978"/>
      <c r="G544" s="1978"/>
      <c r="H544" s="1978"/>
      <c r="I544" s="1978"/>
      <c r="J544" s="1978"/>
      <c r="K544" s="1978"/>
      <c r="L544" s="1978"/>
      <c r="M544" s="1978"/>
      <c r="N544" s="1978"/>
      <c r="O544" s="1978"/>
      <c r="P544" s="1978"/>
      <c r="Q544" s="1978"/>
      <c r="R544" s="1978"/>
      <c r="S544" s="1978"/>
      <c r="T544" s="1978"/>
      <c r="U544" s="1978"/>
      <c r="V544" s="1978"/>
      <c r="W544" s="1978"/>
      <c r="X544" s="1978"/>
      <c r="Y544" s="1978"/>
      <c r="Z544" s="1978"/>
      <c r="AA544" s="1978"/>
      <c r="AB544" s="1978"/>
      <c r="AC544" s="1978"/>
      <c r="AD544" s="1978"/>
      <c r="AE544" s="1978"/>
      <c r="AF544" s="1978"/>
      <c r="AG544" s="1978"/>
      <c r="AH544" s="1978"/>
      <c r="AI544" s="1978"/>
      <c r="AJ544" s="1979"/>
      <c r="AK544" s="629"/>
      <c r="AL544" s="629"/>
      <c r="AM544" s="629"/>
      <c r="AN544" s="631"/>
    </row>
    <row r="545" spans="1:45" s="584" customFormat="1" ht="12.75" customHeight="1">
      <c r="A545" s="658"/>
      <c r="B545" s="1980"/>
      <c r="C545" s="1981"/>
      <c r="D545" s="1981"/>
      <c r="E545" s="1981"/>
      <c r="F545" s="1981"/>
      <c r="G545" s="1981"/>
      <c r="H545" s="1981"/>
      <c r="I545" s="1981"/>
      <c r="J545" s="1981"/>
      <c r="K545" s="1981"/>
      <c r="L545" s="1981"/>
      <c r="M545" s="1981"/>
      <c r="N545" s="1981"/>
      <c r="O545" s="1981"/>
      <c r="P545" s="1981"/>
      <c r="Q545" s="1981"/>
      <c r="R545" s="1981"/>
      <c r="S545" s="1981"/>
      <c r="T545" s="1981"/>
      <c r="U545" s="1981"/>
      <c r="V545" s="1981"/>
      <c r="W545" s="1981"/>
      <c r="X545" s="1981"/>
      <c r="Y545" s="1981"/>
      <c r="Z545" s="1981"/>
      <c r="AA545" s="1981"/>
      <c r="AB545" s="1981"/>
      <c r="AC545" s="1981"/>
      <c r="AD545" s="1981"/>
      <c r="AE545" s="1981"/>
      <c r="AF545" s="1981"/>
      <c r="AG545" s="1981"/>
      <c r="AH545" s="1981"/>
      <c r="AI545" s="1981"/>
      <c r="AJ545" s="1982"/>
      <c r="AK545" s="629"/>
      <c r="AL545" s="629"/>
      <c r="AM545" s="629"/>
      <c r="AN545" s="631"/>
      <c r="AP545" s="1911">
        <f>AP546-AP541-AP542</f>
        <v>366384532</v>
      </c>
      <c r="AQ545" s="1932"/>
      <c r="AR545" s="1932"/>
      <c r="AS545" s="584" t="s">
        <v>2534</v>
      </c>
    </row>
    <row r="546" spans="1:45" s="584" customFormat="1" ht="12.75" customHeight="1">
      <c r="A546" s="658"/>
      <c r="B546" s="1983"/>
      <c r="C546" s="1984"/>
      <c r="D546" s="1984"/>
      <c r="E546" s="1984"/>
      <c r="F546" s="1984"/>
      <c r="G546" s="1984"/>
      <c r="H546" s="1984"/>
      <c r="I546" s="1984"/>
      <c r="J546" s="1984"/>
      <c r="K546" s="1984"/>
      <c r="L546" s="1984"/>
      <c r="M546" s="1984"/>
      <c r="N546" s="1984"/>
      <c r="O546" s="1984"/>
      <c r="P546" s="1984"/>
      <c r="Q546" s="1984"/>
      <c r="R546" s="1984"/>
      <c r="S546" s="1984"/>
      <c r="T546" s="1984"/>
      <c r="U546" s="1984"/>
      <c r="V546" s="1984"/>
      <c r="W546" s="1984"/>
      <c r="X546" s="1984"/>
      <c r="Y546" s="1984"/>
      <c r="Z546" s="1984"/>
      <c r="AA546" s="1984"/>
      <c r="AB546" s="1984"/>
      <c r="AC546" s="1984"/>
      <c r="AD546" s="1984"/>
      <c r="AE546" s="1984"/>
      <c r="AF546" s="1984"/>
      <c r="AG546" s="1984"/>
      <c r="AH546" s="1984"/>
      <c r="AI546" s="1984"/>
      <c r="AJ546" s="1985"/>
      <c r="AK546" s="629"/>
      <c r="AL546" s="629"/>
      <c r="AM546" s="629"/>
      <c r="AN546" s="631"/>
      <c r="AP546" s="1911">
        <f>Application!AJ1052</f>
        <v>471903277</v>
      </c>
      <c r="AQ546" s="1911"/>
      <c r="AR546" s="1911"/>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86">
        <f>IFERROR(IF(AND(C530="N/A",C533="N/A"),0,IF(AF542=0,0,IF((AF542*100)&gt;12,12,(AF542*100)))),0)</f>
        <v>12</v>
      </c>
      <c r="AL548" s="1986"/>
      <c r="AM548" s="1987"/>
      <c r="AN548" s="631"/>
      <c r="AP548" s="1900">
        <f>AP545+(AP539*AP543)</f>
        <v>471903277</v>
      </c>
      <c r="AQ548" s="1901"/>
      <c r="AR548" s="1902"/>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30" t="s">
        <v>1423</v>
      </c>
      <c r="AF551" s="1930"/>
      <c r="AG551" s="1930"/>
      <c r="AH551" s="1930"/>
      <c r="AI551" s="1930"/>
      <c r="AJ551" s="1930"/>
      <c r="AK551" s="193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7" t="s">
        <v>2335</v>
      </c>
      <c r="C553" s="1917"/>
      <c r="D553" s="1917"/>
      <c r="E553" s="1917"/>
      <c r="F553" s="1917"/>
      <c r="G553" s="1917"/>
      <c r="H553" s="1917"/>
      <c r="I553" s="1917"/>
      <c r="J553" s="1917"/>
      <c r="K553" s="1917"/>
      <c r="L553" s="1917"/>
      <c r="M553" s="1917"/>
      <c r="N553" s="1917"/>
      <c r="O553" s="1917"/>
      <c r="P553" s="1917"/>
      <c r="Q553" s="1917"/>
      <c r="R553" s="1917"/>
      <c r="S553" s="1917"/>
      <c r="T553" s="1917"/>
      <c r="U553" s="1917"/>
      <c r="V553" s="1917"/>
      <c r="W553" s="1917"/>
      <c r="X553" s="1917"/>
      <c r="Y553" s="1917"/>
      <c r="Z553" s="1917"/>
      <c r="AA553" s="1917"/>
      <c r="AB553" s="1917"/>
      <c r="AC553" s="1917"/>
      <c r="AD553" s="1917"/>
      <c r="AE553" s="1917"/>
      <c r="AF553" s="1917"/>
      <c r="AG553" s="1917"/>
      <c r="AH553" s="1917"/>
      <c r="AI553" s="1917"/>
      <c r="AJ553" s="1917"/>
      <c r="AK553" s="676"/>
      <c r="AL553" s="607"/>
      <c r="AM553" s="637"/>
      <c r="AN553" s="631"/>
    </row>
    <row r="554" spans="1:45" s="584" customFormat="1" ht="12.75" customHeight="1">
      <c r="A554" s="637"/>
      <c r="B554" s="1917"/>
      <c r="C554" s="1917"/>
      <c r="D554" s="1917"/>
      <c r="E554" s="1917"/>
      <c r="F554" s="1917"/>
      <c r="G554" s="1917"/>
      <c r="H554" s="1917"/>
      <c r="I554" s="1917"/>
      <c r="J554" s="1917"/>
      <c r="K554" s="1917"/>
      <c r="L554" s="1917"/>
      <c r="M554" s="1917"/>
      <c r="N554" s="1917"/>
      <c r="O554" s="1917"/>
      <c r="P554" s="1917"/>
      <c r="Q554" s="1917"/>
      <c r="R554" s="1917"/>
      <c r="S554" s="1917"/>
      <c r="T554" s="1917"/>
      <c r="U554" s="1917"/>
      <c r="V554" s="1917"/>
      <c r="W554" s="1917"/>
      <c r="X554" s="1917"/>
      <c r="Y554" s="1917"/>
      <c r="Z554" s="1917"/>
      <c r="AA554" s="1917"/>
      <c r="AB554" s="1917"/>
      <c r="AC554" s="1917"/>
      <c r="AD554" s="1917"/>
      <c r="AE554" s="1917"/>
      <c r="AF554" s="1917"/>
      <c r="AG554" s="1917"/>
      <c r="AH554" s="1917"/>
      <c r="AI554" s="1917"/>
      <c r="AJ554" s="1917"/>
      <c r="AK554" s="676"/>
      <c r="AL554" s="607"/>
      <c r="AM554" s="637"/>
      <c r="AN554" s="631"/>
    </row>
    <row r="555" spans="1:45" s="584" customFormat="1" ht="12.75" customHeight="1">
      <c r="A555" s="637"/>
      <c r="B555" s="1917"/>
      <c r="C555" s="1917"/>
      <c r="D555" s="1917"/>
      <c r="E555" s="1917"/>
      <c r="F555" s="1917"/>
      <c r="G555" s="1917"/>
      <c r="H555" s="1917"/>
      <c r="I555" s="1917"/>
      <c r="J555" s="1917"/>
      <c r="K555" s="1917"/>
      <c r="L555" s="1917"/>
      <c r="M555" s="1917"/>
      <c r="N555" s="1917"/>
      <c r="O555" s="1917"/>
      <c r="P555" s="1917"/>
      <c r="Q555" s="1917"/>
      <c r="R555" s="1917"/>
      <c r="S555" s="1917"/>
      <c r="T555" s="1917"/>
      <c r="U555" s="1917"/>
      <c r="V555" s="1917"/>
      <c r="W555" s="1917"/>
      <c r="X555" s="1917"/>
      <c r="Y555" s="1917"/>
      <c r="Z555" s="1917"/>
      <c r="AA555" s="1917"/>
      <c r="AB555" s="1917"/>
      <c r="AC555" s="1917"/>
      <c r="AD555" s="1917"/>
      <c r="AE555" s="1917"/>
      <c r="AF555" s="1917"/>
      <c r="AG555" s="1917"/>
      <c r="AH555" s="1917"/>
      <c r="AI555" s="1917"/>
      <c r="AJ555" s="1917"/>
      <c r="AK555" s="676"/>
      <c r="AL555" s="607"/>
      <c r="AM555" s="637"/>
      <c r="AN555" s="631"/>
    </row>
    <row r="556" spans="1:45" s="584" customFormat="1" ht="12.75" customHeight="1">
      <c r="A556" s="637"/>
      <c r="B556" s="1917"/>
      <c r="C556" s="1917"/>
      <c r="D556" s="1917"/>
      <c r="E556" s="1917"/>
      <c r="F556" s="1917"/>
      <c r="G556" s="1917"/>
      <c r="H556" s="1917"/>
      <c r="I556" s="1917"/>
      <c r="J556" s="1917"/>
      <c r="K556" s="1917"/>
      <c r="L556" s="1917"/>
      <c r="M556" s="1917"/>
      <c r="N556" s="1917"/>
      <c r="O556" s="1917"/>
      <c r="P556" s="1917"/>
      <c r="Q556" s="1917"/>
      <c r="R556" s="1917"/>
      <c r="S556" s="1917"/>
      <c r="T556" s="1917"/>
      <c r="U556" s="1917"/>
      <c r="V556" s="1917"/>
      <c r="W556" s="1917"/>
      <c r="X556" s="1917"/>
      <c r="Y556" s="1917"/>
      <c r="Z556" s="1917"/>
      <c r="AA556" s="1917"/>
      <c r="AB556" s="1917"/>
      <c r="AC556" s="1917"/>
      <c r="AD556" s="1917"/>
      <c r="AE556" s="1917"/>
      <c r="AF556" s="1917"/>
      <c r="AG556" s="1917"/>
      <c r="AH556" s="1917"/>
      <c r="AI556" s="1917"/>
      <c r="AJ556" s="1917"/>
      <c r="AK556" s="676"/>
      <c r="AL556" s="607"/>
      <c r="AM556" s="637"/>
      <c r="AN556" s="631"/>
    </row>
    <row r="557" spans="1:45" s="584" customFormat="1" ht="12.75" customHeight="1">
      <c r="A557" s="637"/>
      <c r="B557" s="1917"/>
      <c r="C557" s="1917"/>
      <c r="D557" s="1917"/>
      <c r="E557" s="1917"/>
      <c r="F557" s="1917"/>
      <c r="G557" s="1917"/>
      <c r="H557" s="1917"/>
      <c r="I557" s="1917"/>
      <c r="J557" s="1917"/>
      <c r="K557" s="1917"/>
      <c r="L557" s="1917"/>
      <c r="M557" s="1917"/>
      <c r="N557" s="1917"/>
      <c r="O557" s="1917"/>
      <c r="P557" s="1917"/>
      <c r="Q557" s="1917"/>
      <c r="R557" s="1917"/>
      <c r="S557" s="1917"/>
      <c r="T557" s="1917"/>
      <c r="U557" s="1917"/>
      <c r="V557" s="1917"/>
      <c r="W557" s="1917"/>
      <c r="X557" s="1917"/>
      <c r="Y557" s="1917"/>
      <c r="Z557" s="1917"/>
      <c r="AA557" s="1917"/>
      <c r="AB557" s="1917"/>
      <c r="AC557" s="1917"/>
      <c r="AD557" s="1917"/>
      <c r="AE557" s="1917"/>
      <c r="AF557" s="1917"/>
      <c r="AG557" s="1917"/>
      <c r="AH557" s="1917"/>
      <c r="AI557" s="1917"/>
      <c r="AJ557" s="1917"/>
      <c r="AK557" s="676"/>
      <c r="AL557" s="607"/>
      <c r="AM557" s="637"/>
      <c r="AN557" s="631"/>
    </row>
    <row r="558" spans="1:45" s="584" customFormat="1" ht="12.75" customHeight="1">
      <c r="A558" s="637"/>
      <c r="B558" s="1917"/>
      <c r="C558" s="1917"/>
      <c r="D558" s="1917"/>
      <c r="E558" s="1917"/>
      <c r="F558" s="1917"/>
      <c r="G558" s="1917"/>
      <c r="H558" s="1917"/>
      <c r="I558" s="1917"/>
      <c r="J558" s="1917"/>
      <c r="K558" s="1917"/>
      <c r="L558" s="1917"/>
      <c r="M558" s="1917"/>
      <c r="N558" s="1917"/>
      <c r="O558" s="1917"/>
      <c r="P558" s="1917"/>
      <c r="Q558" s="1917"/>
      <c r="R558" s="1917"/>
      <c r="S558" s="1917"/>
      <c r="T558" s="1917"/>
      <c r="U558" s="1917"/>
      <c r="V558" s="1917"/>
      <c r="W558" s="1917"/>
      <c r="X558" s="1917"/>
      <c r="Y558" s="1917"/>
      <c r="Z558" s="1917"/>
      <c r="AA558" s="1917"/>
      <c r="AB558" s="1917"/>
      <c r="AC558" s="1917"/>
      <c r="AD558" s="1917"/>
      <c r="AE558" s="1917"/>
      <c r="AF558" s="1917"/>
      <c r="AG558" s="1917"/>
      <c r="AH558" s="1917"/>
      <c r="AI558" s="1917"/>
      <c r="AJ558" s="1917"/>
      <c r="AK558" s="676"/>
      <c r="AL558" s="607"/>
      <c r="AM558" s="637"/>
      <c r="AN558" s="631"/>
    </row>
    <row r="559" spans="1:45" s="584" customFormat="1" ht="12.75" customHeight="1">
      <c r="A559" s="637"/>
      <c r="B559" s="1917"/>
      <c r="C559" s="1917"/>
      <c r="D559" s="1917"/>
      <c r="E559" s="1917"/>
      <c r="F559" s="1917"/>
      <c r="G559" s="1917"/>
      <c r="H559" s="1917"/>
      <c r="I559" s="1917"/>
      <c r="J559" s="1917"/>
      <c r="K559" s="1917"/>
      <c r="L559" s="1917"/>
      <c r="M559" s="1917"/>
      <c r="N559" s="1917"/>
      <c r="O559" s="1917"/>
      <c r="P559" s="1917"/>
      <c r="Q559" s="1917"/>
      <c r="R559" s="1917"/>
      <c r="S559" s="1917"/>
      <c r="T559" s="1917"/>
      <c r="U559" s="1917"/>
      <c r="V559" s="1917"/>
      <c r="W559" s="1917"/>
      <c r="X559" s="1917"/>
      <c r="Y559" s="1917"/>
      <c r="Z559" s="1917"/>
      <c r="AA559" s="1917"/>
      <c r="AB559" s="1917"/>
      <c r="AC559" s="1917"/>
      <c r="AD559" s="1917"/>
      <c r="AE559" s="1917"/>
      <c r="AF559" s="1917"/>
      <c r="AG559" s="1917"/>
      <c r="AH559" s="1917"/>
      <c r="AI559" s="1917"/>
      <c r="AJ559" s="1917"/>
      <c r="AK559" s="676"/>
      <c r="AL559" s="607"/>
      <c r="AM559" s="637"/>
      <c r="AN559" s="631"/>
    </row>
    <row r="560" spans="1:45" ht="12.75" customHeight="1">
      <c r="A560" s="637"/>
      <c r="B560" s="1917"/>
      <c r="C560" s="1917"/>
      <c r="D560" s="1917"/>
      <c r="E560" s="1917"/>
      <c r="F560" s="1917"/>
      <c r="G560" s="1917"/>
      <c r="H560" s="1917"/>
      <c r="I560" s="1917"/>
      <c r="J560" s="1917"/>
      <c r="K560" s="1917"/>
      <c r="L560" s="1917"/>
      <c r="M560" s="1917"/>
      <c r="N560" s="1917"/>
      <c r="O560" s="1917"/>
      <c r="P560" s="1917"/>
      <c r="Q560" s="1917"/>
      <c r="R560" s="1917"/>
      <c r="S560" s="1917"/>
      <c r="T560" s="1917"/>
      <c r="U560" s="1917"/>
      <c r="V560" s="1917"/>
      <c r="W560" s="1917"/>
      <c r="X560" s="1917"/>
      <c r="Y560" s="1917"/>
      <c r="Z560" s="1917"/>
      <c r="AA560" s="1917"/>
      <c r="AB560" s="1917"/>
      <c r="AC560" s="1917"/>
      <c r="AD560" s="1917"/>
      <c r="AE560" s="1917"/>
      <c r="AF560" s="1917"/>
      <c r="AG560" s="1917"/>
      <c r="AH560" s="1917"/>
      <c r="AI560" s="1917"/>
      <c r="AJ560" s="1917"/>
      <c r="AK560" s="676"/>
      <c r="AL560" s="607"/>
      <c r="AM560" s="637"/>
    </row>
    <row r="561" spans="1:42" s="584" customFormat="1" ht="12.75" customHeight="1">
      <c r="B561" s="1917"/>
      <c r="C561" s="1917"/>
      <c r="D561" s="1917"/>
      <c r="E561" s="1917"/>
      <c r="F561" s="1917"/>
      <c r="G561" s="1917"/>
      <c r="H561" s="1917"/>
      <c r="I561" s="1917"/>
      <c r="J561" s="1917"/>
      <c r="K561" s="1917"/>
      <c r="L561" s="1917"/>
      <c r="M561" s="1917"/>
      <c r="N561" s="1917"/>
      <c r="O561" s="1917"/>
      <c r="P561" s="1917"/>
      <c r="Q561" s="1917"/>
      <c r="R561" s="1917"/>
      <c r="S561" s="1917"/>
      <c r="T561" s="1917"/>
      <c r="U561" s="1917"/>
      <c r="V561" s="1917"/>
      <c r="W561" s="1917"/>
      <c r="X561" s="1917"/>
      <c r="Y561" s="1917"/>
      <c r="Z561" s="1917"/>
      <c r="AA561" s="1917"/>
      <c r="AB561" s="1917"/>
      <c r="AC561" s="1917"/>
      <c r="AD561" s="1917"/>
      <c r="AE561" s="1917"/>
      <c r="AF561" s="1917"/>
      <c r="AG561" s="1917"/>
      <c r="AH561" s="1917"/>
      <c r="AI561" s="1917"/>
      <c r="AJ561" s="1917"/>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7" t="s">
        <v>1447</v>
      </c>
      <c r="AG567" s="1997"/>
      <c r="AH567" s="1997"/>
      <c r="AI567" s="1997"/>
      <c r="AJ567" s="1997"/>
      <c r="AK567" s="1997"/>
      <c r="AL567" s="1997"/>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7" t="s">
        <v>1505</v>
      </c>
      <c r="AG574" s="1997"/>
      <c r="AH574" s="1997"/>
      <c r="AI574" s="1997"/>
      <c r="AJ574" s="1997"/>
      <c r="AK574" s="1997"/>
      <c r="AL574" s="1997"/>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278</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7" t="s">
        <v>1487</v>
      </c>
      <c r="AG580" s="1997"/>
      <c r="AH580" s="1997"/>
      <c r="AI580" s="1997"/>
      <c r="AJ580" s="1997"/>
      <c r="AK580" s="1997"/>
      <c r="AL580" s="1997"/>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7" t="s">
        <v>1508</v>
      </c>
      <c r="AG586" s="1997"/>
      <c r="AH586" s="1997"/>
      <c r="AI586" s="1997"/>
      <c r="AJ586" s="1997"/>
      <c r="AK586" s="1997"/>
      <c r="AL586" s="1997"/>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36" t="s">
        <v>1289</v>
      </c>
      <c r="P590" s="2036"/>
      <c r="Q590" s="2036"/>
      <c r="R590" s="2036"/>
      <c r="S590" s="2036"/>
      <c r="T590" s="2036"/>
      <c r="U590" s="2036"/>
      <c r="V590" s="2036"/>
      <c r="W590" s="2036"/>
      <c r="X590" s="2036"/>
      <c r="Y590" s="2036"/>
      <c r="Z590" s="2036"/>
      <c r="AA590" s="2036"/>
      <c r="AB590" s="203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7" t="s">
        <v>1461</v>
      </c>
      <c r="AG592" s="1997"/>
      <c r="AH592" s="1997"/>
      <c r="AI592" s="1997"/>
      <c r="AJ592" s="1997"/>
      <c r="AK592" s="1997"/>
      <c r="AL592" s="1997"/>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1509</v>
      </c>
      <c r="E595" s="971"/>
      <c r="F595" s="971"/>
      <c r="G595" s="971"/>
      <c r="H595" s="1941" t="s">
        <v>695</v>
      </c>
      <c r="I595" s="1941"/>
      <c r="J595" s="971"/>
      <c r="K595" s="971"/>
      <c r="L595" s="971"/>
      <c r="N595" s="22"/>
      <c r="O595" s="22"/>
      <c r="P595" s="22"/>
      <c r="Q595" s="1195" t="s">
        <v>2537</v>
      </c>
      <c r="R595" s="2037"/>
      <c r="S595" s="2037"/>
      <c r="T595" s="2037"/>
      <c r="U595" s="2037"/>
      <c r="V595" s="2037"/>
      <c r="W595" s="2037"/>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8" t="str">
        <f>IF(AND(H595="(i)",NOT(AP571)),AO588,IF(AND(H595="(iv)",OR(R595=AO584,R595=AO583),NOT(AP572)),AO589,""))</f>
        <v/>
      </c>
      <c r="Z596" s="2038"/>
      <c r="AA596" s="2038"/>
      <c r="AB596" s="2038"/>
      <c r="AC596" s="2038"/>
      <c r="AD596" s="2038"/>
      <c r="AE596" s="2038"/>
      <c r="AF596" s="2038"/>
      <c r="AG596" s="2038"/>
      <c r="AH596" s="2038"/>
      <c r="AI596" s="2038"/>
      <c r="AJ596" s="2038"/>
      <c r="AK596" s="2038"/>
      <c r="AL596" s="2038"/>
      <c r="AM596" s="2039"/>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8"/>
      <c r="Z597" s="2038"/>
      <c r="AA597" s="2038"/>
      <c r="AB597" s="2038"/>
      <c r="AC597" s="2038"/>
      <c r="AD597" s="2038"/>
      <c r="AE597" s="2038"/>
      <c r="AF597" s="2038"/>
      <c r="AG597" s="2038"/>
      <c r="AH597" s="2038"/>
      <c r="AI597" s="2038"/>
      <c r="AJ597" s="2038"/>
      <c r="AK597" s="2038"/>
      <c r="AL597" s="2038"/>
      <c r="AM597" s="2039"/>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1509</v>
      </c>
      <c r="F603" s="971"/>
      <c r="G603" s="971"/>
      <c r="I603" s="2035" t="s">
        <v>598</v>
      </c>
      <c r="J603" s="2035"/>
      <c r="K603" s="2035"/>
      <c r="L603" s="2035"/>
      <c r="M603" s="2035"/>
      <c r="N603" s="2035"/>
      <c r="O603" s="2035"/>
      <c r="P603" s="2035"/>
      <c r="Q603" s="2035"/>
      <c r="R603" s="2035"/>
      <c r="S603" s="2035"/>
      <c r="T603" s="2035"/>
      <c r="U603" s="2035"/>
      <c r="V603" s="2035"/>
      <c r="W603" s="2035"/>
      <c r="X603" s="2035"/>
      <c r="Y603" s="2035"/>
      <c r="Z603" s="2035"/>
      <c r="AA603" s="2035"/>
      <c r="AB603" s="2035"/>
      <c r="AC603" s="2035"/>
      <c r="AD603" s="2035"/>
      <c r="AE603" s="2035"/>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33" t="s">
        <v>598</v>
      </c>
      <c r="C605" s="2033"/>
      <c r="D605" s="676"/>
      <c r="E605" s="1917" t="s">
        <v>1512</v>
      </c>
      <c r="F605" s="1917"/>
      <c r="G605" s="1917"/>
      <c r="H605" s="1917"/>
      <c r="I605" s="1917"/>
      <c r="J605" s="1917"/>
      <c r="K605" s="1917"/>
      <c r="L605" s="1917"/>
      <c r="M605" s="1917"/>
      <c r="N605" s="1917"/>
      <c r="O605" s="1917"/>
      <c r="P605" s="1917"/>
      <c r="Q605" s="1917"/>
      <c r="R605" s="1917"/>
      <c r="S605" s="1917"/>
      <c r="T605" s="1917"/>
      <c r="U605" s="1917"/>
      <c r="V605" s="1917"/>
      <c r="W605" s="1917"/>
      <c r="X605" s="1917"/>
      <c r="Y605" s="1917"/>
      <c r="Z605" s="1917"/>
      <c r="AA605" s="1917"/>
      <c r="AB605" s="1917"/>
      <c r="AC605" s="1917"/>
      <c r="AD605" s="1917"/>
      <c r="AE605" s="1917"/>
      <c r="AF605" s="1917"/>
      <c r="AG605" s="1917"/>
      <c r="AH605" s="676"/>
      <c r="AI605" s="676"/>
      <c r="AJ605" s="676"/>
      <c r="AK605" s="676"/>
      <c r="AL605" s="676"/>
      <c r="AN605" s="631"/>
    </row>
    <row r="606" spans="2:47" s="584" customFormat="1" ht="12.75" customHeight="1">
      <c r="B606" s="570"/>
      <c r="C606" s="968"/>
      <c r="D606" s="676"/>
      <c r="E606" s="1917"/>
      <c r="F606" s="1917"/>
      <c r="G606" s="1917"/>
      <c r="H606" s="1917"/>
      <c r="I606" s="1917"/>
      <c r="J606" s="1917"/>
      <c r="K606" s="1917"/>
      <c r="L606" s="1917"/>
      <c r="M606" s="1917"/>
      <c r="N606" s="1917"/>
      <c r="O606" s="1917"/>
      <c r="P606" s="1917"/>
      <c r="Q606" s="1917"/>
      <c r="R606" s="1917"/>
      <c r="S606" s="1917"/>
      <c r="T606" s="1917"/>
      <c r="U606" s="1917"/>
      <c r="V606" s="1917"/>
      <c r="W606" s="1917"/>
      <c r="X606" s="1917"/>
      <c r="Y606" s="1917"/>
      <c r="Z606" s="1917"/>
      <c r="AA606" s="1917"/>
      <c r="AB606" s="1917"/>
      <c r="AC606" s="1917"/>
      <c r="AD606" s="1917"/>
      <c r="AE606" s="1917"/>
      <c r="AF606" s="1917"/>
      <c r="AG606" s="1917"/>
      <c r="AH606" s="676"/>
      <c r="AI606" s="676"/>
      <c r="AJ606" s="676"/>
      <c r="AK606" s="676"/>
      <c r="AL606" s="676"/>
      <c r="AN606" s="631"/>
    </row>
    <row r="607" spans="2:47" s="584" customFormat="1" ht="12.75" customHeight="1">
      <c r="B607" s="570"/>
      <c r="C607" s="968"/>
      <c r="D607" s="676"/>
      <c r="E607" s="1917"/>
      <c r="F607" s="1917"/>
      <c r="G607" s="1917"/>
      <c r="H607" s="1917"/>
      <c r="I607" s="1917"/>
      <c r="J607" s="1917"/>
      <c r="K607" s="1917"/>
      <c r="L607" s="1917"/>
      <c r="M607" s="1917"/>
      <c r="N607" s="1917"/>
      <c r="O607" s="1917"/>
      <c r="P607" s="1917"/>
      <c r="Q607" s="1917"/>
      <c r="R607" s="1917"/>
      <c r="S607" s="1917"/>
      <c r="T607" s="1917"/>
      <c r="U607" s="1917"/>
      <c r="V607" s="1917"/>
      <c r="W607" s="1917"/>
      <c r="X607" s="1917"/>
      <c r="Y607" s="1917"/>
      <c r="Z607" s="1917"/>
      <c r="AA607" s="1917"/>
      <c r="AB607" s="1917"/>
      <c r="AC607" s="1917"/>
      <c r="AD607" s="1917"/>
      <c r="AE607" s="1917"/>
      <c r="AF607" s="1917"/>
      <c r="AG607" s="1917"/>
      <c r="AH607" s="676"/>
      <c r="AI607" s="676"/>
      <c r="AJ607" s="676"/>
      <c r="AK607" s="676"/>
      <c r="AL607" s="676"/>
      <c r="AN607" s="631"/>
    </row>
    <row r="608" spans="2:47" s="584" customFormat="1" ht="12.75" customHeight="1">
      <c r="B608" s="570"/>
      <c r="C608" s="968"/>
      <c r="D608" s="676"/>
      <c r="E608" s="1917"/>
      <c r="F608" s="1917"/>
      <c r="G608" s="1917"/>
      <c r="H608" s="1917"/>
      <c r="I608" s="1917"/>
      <c r="J608" s="1917"/>
      <c r="K608" s="1917"/>
      <c r="L608" s="1917"/>
      <c r="M608" s="1917"/>
      <c r="N608" s="1917"/>
      <c r="O608" s="1917"/>
      <c r="P608" s="1917"/>
      <c r="Q608" s="1917"/>
      <c r="R608" s="1917"/>
      <c r="S608" s="1917"/>
      <c r="T608" s="1917"/>
      <c r="U608" s="1917"/>
      <c r="V608" s="1917"/>
      <c r="W608" s="1917"/>
      <c r="X608" s="1917"/>
      <c r="Y608" s="1917"/>
      <c r="Z608" s="1917"/>
      <c r="AA608" s="1917"/>
      <c r="AB608" s="1917"/>
      <c r="AC608" s="1917"/>
      <c r="AD608" s="1917"/>
      <c r="AE608" s="1917"/>
      <c r="AF608" s="1917"/>
      <c r="AG608" s="1917"/>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24">
        <f>VLOOKUP($H$595,$AO$575:$AP$580,2,FALSE)+IF(R595=AO583,0,VLOOKUP($I$603,$AO$602:$AP$604,2,FALSE))</f>
        <v>7</v>
      </c>
      <c r="AK610" s="192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34" t="s">
        <v>1882</v>
      </c>
      <c r="F614" s="2034"/>
      <c r="G614" s="2034"/>
      <c r="H614" s="2034"/>
      <c r="I614" s="2034"/>
      <c r="J614" s="2034"/>
      <c r="K614" s="2034"/>
      <c r="L614" s="2034"/>
      <c r="M614" s="2034"/>
      <c r="N614" s="2034"/>
      <c r="O614" s="2034"/>
      <c r="P614" s="2034"/>
      <c r="Q614" s="2034"/>
      <c r="R614" s="2034"/>
      <c r="S614" s="2034"/>
      <c r="T614" s="2034"/>
      <c r="U614" s="2034"/>
      <c r="V614" s="2034"/>
      <c r="W614" s="2034"/>
      <c r="X614" s="2034"/>
      <c r="Y614" s="2034"/>
      <c r="Z614" s="2034"/>
      <c r="AA614" s="2034"/>
      <c r="AB614" s="2034"/>
      <c r="AC614" s="2034"/>
      <c r="AD614" s="2034"/>
      <c r="AE614" s="573"/>
      <c r="AF614" s="1997" t="s">
        <v>1461</v>
      </c>
      <c r="AG614" s="1997"/>
      <c r="AH614" s="1997"/>
      <c r="AI614" s="1997"/>
      <c r="AJ614" s="1997"/>
      <c r="AK614" s="1997"/>
      <c r="AL614" s="1997"/>
      <c r="AM614" s="584"/>
      <c r="AN614" s="712"/>
    </row>
    <row r="615" spans="1:42" s="584" customFormat="1" ht="12.75" customHeight="1">
      <c r="A615" s="713"/>
      <c r="B615" s="570"/>
      <c r="C615" s="968"/>
      <c r="D615" s="697"/>
      <c r="E615" s="2034"/>
      <c r="F615" s="2034"/>
      <c r="G615" s="2034"/>
      <c r="H615" s="2034"/>
      <c r="I615" s="2034"/>
      <c r="J615" s="2034"/>
      <c r="K615" s="2034"/>
      <c r="L615" s="2034"/>
      <c r="M615" s="2034"/>
      <c r="N615" s="2034"/>
      <c r="O615" s="2034"/>
      <c r="P615" s="2034"/>
      <c r="Q615" s="2034"/>
      <c r="R615" s="2034"/>
      <c r="S615" s="2034"/>
      <c r="T615" s="2034"/>
      <c r="U615" s="2034"/>
      <c r="V615" s="2034"/>
      <c r="W615" s="2034"/>
      <c r="X615" s="2034"/>
      <c r="Y615" s="2034"/>
      <c r="Z615" s="2034"/>
      <c r="AA615" s="2034"/>
      <c r="AB615" s="2034"/>
      <c r="AC615" s="2034"/>
      <c r="AD615" s="2034"/>
      <c r="AE615" s="570"/>
      <c r="AF615" s="570"/>
      <c r="AG615" s="570"/>
      <c r="AH615" s="570"/>
      <c r="AI615" s="570"/>
      <c r="AJ615" s="570"/>
      <c r="AK615" s="570"/>
      <c r="AL615" s="570"/>
      <c r="AN615" s="631"/>
    </row>
    <row r="616" spans="1:42" s="584" customFormat="1" ht="12.75" customHeight="1">
      <c r="B616" s="570"/>
      <c r="C616" s="966"/>
      <c r="D616" s="697"/>
      <c r="E616" s="2034"/>
      <c r="F616" s="2034"/>
      <c r="G616" s="2034"/>
      <c r="H616" s="2034"/>
      <c r="I616" s="2034"/>
      <c r="J616" s="2034"/>
      <c r="K616" s="2034"/>
      <c r="L616" s="2034"/>
      <c r="M616" s="2034"/>
      <c r="N616" s="2034"/>
      <c r="O616" s="2034"/>
      <c r="P616" s="2034"/>
      <c r="Q616" s="2034"/>
      <c r="R616" s="2034"/>
      <c r="S616" s="2034"/>
      <c r="T616" s="2034"/>
      <c r="U616" s="2034"/>
      <c r="V616" s="2034"/>
      <c r="W616" s="2034"/>
      <c r="X616" s="2034"/>
      <c r="Y616" s="2034"/>
      <c r="Z616" s="2034"/>
      <c r="AA616" s="2034"/>
      <c r="AB616" s="2034"/>
      <c r="AC616" s="2034"/>
      <c r="AD616" s="2034"/>
      <c r="AE616" s="570"/>
      <c r="AF616" s="570"/>
      <c r="AG616" s="570"/>
      <c r="AH616" s="570"/>
      <c r="AI616" s="570"/>
      <c r="AJ616" s="570"/>
      <c r="AK616" s="570"/>
      <c r="AL616" s="570"/>
      <c r="AN616" s="631"/>
    </row>
    <row r="617" spans="1:42" s="584" customFormat="1" ht="12.75" customHeight="1">
      <c r="B617" s="570"/>
      <c r="C617" s="966"/>
      <c r="D617" s="697"/>
      <c r="E617" s="2034"/>
      <c r="F617" s="2034"/>
      <c r="G617" s="2034"/>
      <c r="H617" s="2034"/>
      <c r="I617" s="2034"/>
      <c r="J617" s="2034"/>
      <c r="K617" s="2034"/>
      <c r="L617" s="2034"/>
      <c r="M617" s="2034"/>
      <c r="N617" s="2034"/>
      <c r="O617" s="2034"/>
      <c r="P617" s="2034"/>
      <c r="Q617" s="2034"/>
      <c r="R617" s="2034"/>
      <c r="S617" s="2034"/>
      <c r="T617" s="2034"/>
      <c r="U617" s="2034"/>
      <c r="V617" s="2034"/>
      <c r="W617" s="2034"/>
      <c r="X617" s="2034"/>
      <c r="Y617" s="2034"/>
      <c r="Z617" s="2034"/>
      <c r="AA617" s="2034"/>
      <c r="AB617" s="2034"/>
      <c r="AC617" s="2034"/>
      <c r="AD617" s="2034"/>
      <c r="AE617" s="570"/>
      <c r="AF617" s="570"/>
      <c r="AG617" s="570"/>
      <c r="AH617" s="570"/>
      <c r="AI617" s="570"/>
      <c r="AJ617" s="570"/>
      <c r="AK617" s="570"/>
      <c r="AL617" s="570"/>
      <c r="AN617" s="631"/>
    </row>
    <row r="618" spans="1:42" s="584" customFormat="1" ht="12.75" customHeight="1">
      <c r="B618" s="570"/>
      <c r="C618" s="966"/>
      <c r="D618" s="697"/>
      <c r="E618" s="2034"/>
      <c r="F618" s="2034"/>
      <c r="G618" s="2034"/>
      <c r="H618" s="2034"/>
      <c r="I618" s="2034"/>
      <c r="J618" s="2034"/>
      <c r="K618" s="2034"/>
      <c r="L618" s="2034"/>
      <c r="M618" s="2034"/>
      <c r="N618" s="2034"/>
      <c r="O618" s="2034"/>
      <c r="P618" s="2034"/>
      <c r="Q618" s="2034"/>
      <c r="R618" s="2034"/>
      <c r="S618" s="2034"/>
      <c r="T618" s="2034"/>
      <c r="U618" s="2034"/>
      <c r="V618" s="2034"/>
      <c r="W618" s="2034"/>
      <c r="X618" s="2034"/>
      <c r="Y618" s="2034"/>
      <c r="Z618" s="2034"/>
      <c r="AA618" s="2034"/>
      <c r="AB618" s="2034"/>
      <c r="AC618" s="2034"/>
      <c r="AD618" s="2034"/>
      <c r="AE618" s="570"/>
      <c r="AF618" s="570"/>
      <c r="AG618" s="570"/>
      <c r="AH618" s="570"/>
      <c r="AI618" s="570"/>
      <c r="AJ618" s="570"/>
      <c r="AK618" s="570"/>
      <c r="AL618" s="570"/>
      <c r="AN618" s="631"/>
    </row>
    <row r="619" spans="1:42" s="584" customFormat="1" ht="12.75" customHeight="1">
      <c r="B619" s="570"/>
      <c r="C619" s="966"/>
      <c r="D619" s="697"/>
      <c r="E619" s="2034"/>
      <c r="F619" s="2034"/>
      <c r="G619" s="2034"/>
      <c r="H619" s="2034"/>
      <c r="I619" s="2034"/>
      <c r="J619" s="2034"/>
      <c r="K619" s="2034"/>
      <c r="L619" s="2034"/>
      <c r="M619" s="2034"/>
      <c r="N619" s="2034"/>
      <c r="O619" s="2034"/>
      <c r="P619" s="2034"/>
      <c r="Q619" s="2034"/>
      <c r="R619" s="2034"/>
      <c r="S619" s="2034"/>
      <c r="T619" s="2034"/>
      <c r="U619" s="2034"/>
      <c r="V619" s="2034"/>
      <c r="W619" s="2034"/>
      <c r="X619" s="2034"/>
      <c r="Y619" s="2034"/>
      <c r="Z619" s="2034"/>
      <c r="AA619" s="2034"/>
      <c r="AB619" s="2034"/>
      <c r="AC619" s="2034"/>
      <c r="AD619" s="2034"/>
      <c r="AE619" s="570"/>
      <c r="AF619" s="570"/>
      <c r="AG619" s="570"/>
      <c r="AH619" s="570"/>
      <c r="AI619" s="570"/>
      <c r="AJ619" s="570"/>
      <c r="AK619" s="570"/>
      <c r="AL619" s="570"/>
      <c r="AN619" s="631"/>
    </row>
    <row r="620" spans="1:42" s="584" customFormat="1" ht="12.75" customHeight="1">
      <c r="A620" s="671"/>
      <c r="B620" s="650"/>
      <c r="C620" s="975"/>
      <c r="D620" s="697"/>
      <c r="E620" s="2034"/>
      <c r="F620" s="2034"/>
      <c r="G620" s="2034"/>
      <c r="H620" s="2034"/>
      <c r="I620" s="2034"/>
      <c r="J620" s="2034"/>
      <c r="K620" s="2034"/>
      <c r="L620" s="2034"/>
      <c r="M620" s="2034"/>
      <c r="N620" s="2034"/>
      <c r="O620" s="2034"/>
      <c r="P620" s="2034"/>
      <c r="Q620" s="2034"/>
      <c r="R620" s="2034"/>
      <c r="S620" s="2034"/>
      <c r="T620" s="2034"/>
      <c r="U620" s="2034"/>
      <c r="V620" s="2034"/>
      <c r="W620" s="2034"/>
      <c r="X620" s="2034"/>
      <c r="Y620" s="2034"/>
      <c r="Z620" s="2034"/>
      <c r="AA620" s="2034"/>
      <c r="AB620" s="2034"/>
      <c r="AC620" s="2034"/>
      <c r="AD620" s="2034"/>
      <c r="AE620" s="650"/>
      <c r="AF620" s="650"/>
      <c r="AG620" s="650"/>
      <c r="AH620" s="650"/>
      <c r="AI620" s="650"/>
      <c r="AJ620" s="650"/>
      <c r="AK620" s="570"/>
      <c r="AL620" s="570"/>
      <c r="AN620" s="631"/>
    </row>
    <row r="621" spans="1:42" s="584" customFormat="1" ht="12.75" customHeight="1">
      <c r="B621" s="650"/>
      <c r="C621" s="975"/>
      <c r="D621" s="697"/>
      <c r="E621" s="2034"/>
      <c r="F621" s="2034"/>
      <c r="G621" s="2034"/>
      <c r="H621" s="2034"/>
      <c r="I621" s="2034"/>
      <c r="J621" s="2034"/>
      <c r="K621" s="2034"/>
      <c r="L621" s="2034"/>
      <c r="M621" s="2034"/>
      <c r="N621" s="2034"/>
      <c r="O621" s="2034"/>
      <c r="P621" s="2034"/>
      <c r="Q621" s="2034"/>
      <c r="R621" s="2034"/>
      <c r="S621" s="2034"/>
      <c r="T621" s="2034"/>
      <c r="U621" s="2034"/>
      <c r="V621" s="2034"/>
      <c r="W621" s="2034"/>
      <c r="X621" s="2034"/>
      <c r="Y621" s="2034"/>
      <c r="Z621" s="2034"/>
      <c r="AA621" s="2034"/>
      <c r="AB621" s="2034"/>
      <c r="AC621" s="2034"/>
      <c r="AD621" s="203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33" t="s">
        <v>598</v>
      </c>
      <c r="Y623" s="2033"/>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7" t="s">
        <v>1517</v>
      </c>
      <c r="AG625" s="1997"/>
      <c r="AH625" s="1997"/>
      <c r="AI625" s="1997"/>
      <c r="AJ625" s="1997"/>
      <c r="AK625" s="1997"/>
      <c r="AL625" s="1997"/>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41" t="s">
        <v>695</v>
      </c>
      <c r="I627" s="1941"/>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24">
        <f>VLOOKUP($H$627,$AO$594:$AP$596,2,FALSE)</f>
        <v>3</v>
      </c>
      <c r="AK629" s="1926"/>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17" t="s">
        <v>2414</v>
      </c>
      <c r="F633" s="1917"/>
      <c r="G633" s="1917"/>
      <c r="H633" s="1917"/>
      <c r="I633" s="1917"/>
      <c r="J633" s="1917"/>
      <c r="K633" s="1917"/>
      <c r="L633" s="1917"/>
      <c r="M633" s="1917"/>
      <c r="N633" s="1917"/>
      <c r="O633" s="1917"/>
      <c r="P633" s="1917"/>
      <c r="Q633" s="1917"/>
      <c r="R633" s="1917"/>
      <c r="S633" s="1917"/>
      <c r="T633" s="1917"/>
      <c r="U633" s="1917"/>
      <c r="V633" s="1917"/>
      <c r="W633" s="1917"/>
      <c r="X633" s="1917"/>
      <c r="Y633" s="1917"/>
      <c r="Z633" s="1917"/>
      <c r="AA633" s="1917"/>
      <c r="AB633" s="1917"/>
      <c r="AC633" s="1917"/>
      <c r="AD633" s="1917"/>
      <c r="AE633" s="570"/>
      <c r="AF633" s="1997" t="s">
        <v>1461</v>
      </c>
      <c r="AG633" s="1997"/>
      <c r="AH633" s="1997"/>
      <c r="AI633" s="1997"/>
      <c r="AJ633" s="1997"/>
      <c r="AK633" s="1997"/>
      <c r="AL633" s="1997"/>
      <c r="AN633" s="631"/>
    </row>
    <row r="634" spans="1:42" s="584" customFormat="1" ht="12.75" customHeight="1">
      <c r="B634" s="570"/>
      <c r="C634" s="570"/>
      <c r="D634" s="697"/>
      <c r="E634" s="1917"/>
      <c r="F634" s="1917"/>
      <c r="G634" s="1917"/>
      <c r="H634" s="1917"/>
      <c r="I634" s="1917"/>
      <c r="J634" s="1917"/>
      <c r="K634" s="1917"/>
      <c r="L634" s="1917"/>
      <c r="M634" s="1917"/>
      <c r="N634" s="1917"/>
      <c r="O634" s="1917"/>
      <c r="P634" s="1917"/>
      <c r="Q634" s="1917"/>
      <c r="R634" s="1917"/>
      <c r="S634" s="1917"/>
      <c r="T634" s="1917"/>
      <c r="U634" s="1917"/>
      <c r="V634" s="1917"/>
      <c r="W634" s="1917"/>
      <c r="X634" s="1917"/>
      <c r="Y634" s="1917"/>
      <c r="Z634" s="1917"/>
      <c r="AA634" s="1917"/>
      <c r="AB634" s="1917"/>
      <c r="AC634" s="1917"/>
      <c r="AD634" s="1917"/>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7" t="s">
        <v>1517</v>
      </c>
      <c r="AG636" s="1997"/>
      <c r="AH636" s="1997"/>
      <c r="AI636" s="1997"/>
      <c r="AJ636" s="1997"/>
      <c r="AK636" s="1997"/>
      <c r="AL636" s="1997"/>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41" t="s">
        <v>695</v>
      </c>
      <c r="I639" s="1941"/>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24">
        <f>VLOOKUP(H639,AT594:AU596,2,FALSE)</f>
        <v>3</v>
      </c>
      <c r="AK641" s="192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17" t="s">
        <v>1527</v>
      </c>
      <c r="F646" s="1917"/>
      <c r="G646" s="1917"/>
      <c r="H646" s="1917"/>
      <c r="I646" s="1917"/>
      <c r="J646" s="1917"/>
      <c r="K646" s="1917"/>
      <c r="L646" s="1917"/>
      <c r="M646" s="1917"/>
      <c r="N646" s="1917"/>
      <c r="O646" s="1917"/>
      <c r="P646" s="1917"/>
      <c r="Q646" s="1917"/>
      <c r="R646" s="1917"/>
      <c r="S646" s="1917"/>
      <c r="T646" s="1917"/>
      <c r="U646" s="1917"/>
      <c r="V646" s="1917"/>
      <c r="W646" s="1917"/>
      <c r="X646" s="1917"/>
      <c r="Y646" s="1917"/>
      <c r="Z646" s="1917"/>
      <c r="AA646" s="1917"/>
      <c r="AB646" s="1917"/>
      <c r="AC646" s="1917"/>
      <c r="AD646" s="570"/>
      <c r="AE646" s="570"/>
      <c r="AF646" s="1997" t="s">
        <v>1487</v>
      </c>
      <c r="AG646" s="1997"/>
      <c r="AH646" s="1997"/>
      <c r="AI646" s="1997"/>
      <c r="AJ646" s="1997"/>
      <c r="AK646" s="1997"/>
      <c r="AL646" s="1997"/>
      <c r="AN646" s="631"/>
    </row>
    <row r="647" spans="1:42" s="584" customFormat="1" ht="12.75" customHeight="1">
      <c r="B647" s="570"/>
      <c r="C647" s="573"/>
      <c r="D647" s="570"/>
      <c r="E647" s="1917"/>
      <c r="F647" s="1917"/>
      <c r="G647" s="1917"/>
      <c r="H647" s="1917"/>
      <c r="I647" s="1917"/>
      <c r="J647" s="1917"/>
      <c r="K647" s="1917"/>
      <c r="L647" s="1917"/>
      <c r="M647" s="1917"/>
      <c r="N647" s="1917"/>
      <c r="O647" s="1917"/>
      <c r="P647" s="1917"/>
      <c r="Q647" s="1917"/>
      <c r="R647" s="1917"/>
      <c r="S647" s="1917"/>
      <c r="T647" s="1917"/>
      <c r="U647" s="1917"/>
      <c r="V647" s="1917"/>
      <c r="W647" s="1917"/>
      <c r="X647" s="1917"/>
      <c r="Y647" s="1917"/>
      <c r="Z647" s="1917"/>
      <c r="AA647" s="1917"/>
      <c r="AB647" s="1917"/>
      <c r="AC647" s="1917"/>
      <c r="AD647" s="570"/>
      <c r="AE647" s="570"/>
      <c r="AF647" s="570"/>
      <c r="AG647" s="570"/>
      <c r="AH647" s="570"/>
      <c r="AI647" s="570"/>
      <c r="AJ647" s="570"/>
      <c r="AK647" s="570"/>
      <c r="AL647" s="570"/>
      <c r="AN647" s="631"/>
    </row>
    <row r="648" spans="1:42" s="584" customFormat="1" ht="12.75" customHeight="1">
      <c r="B648" s="570"/>
      <c r="C648" s="573"/>
      <c r="D648" s="697"/>
      <c r="E648" s="1917"/>
      <c r="F648" s="1917"/>
      <c r="G648" s="1917"/>
      <c r="H648" s="1917"/>
      <c r="I648" s="1917"/>
      <c r="J648" s="1917"/>
      <c r="K648" s="1917"/>
      <c r="L648" s="1917"/>
      <c r="M648" s="1917"/>
      <c r="N648" s="1917"/>
      <c r="O648" s="1917"/>
      <c r="P648" s="1917"/>
      <c r="Q648" s="1917"/>
      <c r="R648" s="1917"/>
      <c r="S648" s="1917"/>
      <c r="T648" s="1917"/>
      <c r="U648" s="1917"/>
      <c r="V648" s="1917"/>
      <c r="W648" s="1917"/>
      <c r="X648" s="1917"/>
      <c r="Y648" s="1917"/>
      <c r="Z648" s="1917"/>
      <c r="AA648" s="1917"/>
      <c r="AB648" s="1917"/>
      <c r="AC648" s="1917"/>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17" t="s">
        <v>1528</v>
      </c>
      <c r="F650" s="1917"/>
      <c r="G650" s="1917"/>
      <c r="H650" s="1917"/>
      <c r="I650" s="1917"/>
      <c r="J650" s="1917"/>
      <c r="K650" s="1917"/>
      <c r="L650" s="1917"/>
      <c r="M650" s="1917"/>
      <c r="N650" s="1917"/>
      <c r="O650" s="1917"/>
      <c r="P650" s="1917"/>
      <c r="Q650" s="1917"/>
      <c r="R650" s="1917"/>
      <c r="S650" s="1917"/>
      <c r="T650" s="1917"/>
      <c r="U650" s="1917"/>
      <c r="V650" s="1917"/>
      <c r="W650" s="1917"/>
      <c r="X650" s="1917"/>
      <c r="Y650" s="1917"/>
      <c r="Z650" s="1917"/>
      <c r="AA650" s="1917"/>
      <c r="AB650" s="1917"/>
      <c r="AC650" s="1917"/>
      <c r="AD650" s="570"/>
      <c r="AE650" s="570"/>
      <c r="AF650" s="1997" t="s">
        <v>1508</v>
      </c>
      <c r="AG650" s="1997"/>
      <c r="AH650" s="1997"/>
      <c r="AI650" s="1997"/>
      <c r="AJ650" s="1997"/>
      <c r="AK650" s="1997"/>
      <c r="AL650" s="1997"/>
      <c r="AN650" s="631"/>
    </row>
    <row r="651" spans="1:42" s="584" customFormat="1" ht="12.75" customHeight="1">
      <c r="B651" s="570"/>
      <c r="C651" s="573"/>
      <c r="D651" s="570"/>
      <c r="E651" s="1917"/>
      <c r="F651" s="1917"/>
      <c r="G651" s="1917"/>
      <c r="H651" s="1917"/>
      <c r="I651" s="1917"/>
      <c r="J651" s="1917"/>
      <c r="K651" s="1917"/>
      <c r="L651" s="1917"/>
      <c r="M651" s="1917"/>
      <c r="N651" s="1917"/>
      <c r="O651" s="1917"/>
      <c r="P651" s="1917"/>
      <c r="Q651" s="1917"/>
      <c r="R651" s="1917"/>
      <c r="S651" s="1917"/>
      <c r="T651" s="1917"/>
      <c r="U651" s="1917"/>
      <c r="V651" s="1917"/>
      <c r="W651" s="1917"/>
      <c r="X651" s="1917"/>
      <c r="Y651" s="1917"/>
      <c r="Z651" s="1917"/>
      <c r="AA651" s="1917"/>
      <c r="AB651" s="1917"/>
      <c r="AC651" s="1917"/>
      <c r="AD651" s="570"/>
      <c r="AE651" s="570"/>
      <c r="AF651" s="570"/>
      <c r="AG651" s="570"/>
      <c r="AH651" s="570"/>
      <c r="AI651" s="570"/>
      <c r="AJ651" s="570"/>
      <c r="AK651" s="570"/>
      <c r="AL651" s="570"/>
      <c r="AN651" s="631"/>
    </row>
    <row r="652" spans="1:42" s="584" customFormat="1" ht="15" customHeight="1">
      <c r="B652" s="570"/>
      <c r="C652" s="573"/>
      <c r="D652" s="697"/>
      <c r="E652" s="1917"/>
      <c r="F652" s="1917"/>
      <c r="G652" s="1917"/>
      <c r="H652" s="1917"/>
      <c r="I652" s="1917"/>
      <c r="J652" s="1917"/>
      <c r="K652" s="1917"/>
      <c r="L652" s="1917"/>
      <c r="M652" s="1917"/>
      <c r="N652" s="1917"/>
      <c r="O652" s="1917"/>
      <c r="P652" s="1917"/>
      <c r="Q652" s="1917"/>
      <c r="R652" s="1917"/>
      <c r="S652" s="1917"/>
      <c r="T652" s="1917"/>
      <c r="U652" s="1917"/>
      <c r="V652" s="1917"/>
      <c r="W652" s="1917"/>
      <c r="X652" s="1917"/>
      <c r="Y652" s="1917"/>
      <c r="Z652" s="1917"/>
      <c r="AA652" s="1917"/>
      <c r="AB652" s="1917"/>
      <c r="AC652" s="1917"/>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17" t="s">
        <v>1529</v>
      </c>
      <c r="F654" s="1917"/>
      <c r="G654" s="1917"/>
      <c r="H654" s="1917"/>
      <c r="I654" s="1917"/>
      <c r="J654" s="1917"/>
      <c r="K654" s="1917"/>
      <c r="L654" s="1917"/>
      <c r="M654" s="1917"/>
      <c r="N654" s="1917"/>
      <c r="O654" s="1917"/>
      <c r="P654" s="1917"/>
      <c r="Q654" s="1917"/>
      <c r="R654" s="1917"/>
      <c r="S654" s="1917"/>
      <c r="T654" s="1917"/>
      <c r="U654" s="1917"/>
      <c r="V654" s="1917"/>
      <c r="W654" s="1917"/>
      <c r="X654" s="1917"/>
      <c r="Y654" s="1917"/>
      <c r="Z654" s="1917"/>
      <c r="AA654" s="1917"/>
      <c r="AB654" s="1917"/>
      <c r="AC654" s="1917"/>
      <c r="AD654" s="570"/>
      <c r="AE654" s="570"/>
      <c r="AF654" s="1997" t="s">
        <v>1461</v>
      </c>
      <c r="AG654" s="1997"/>
      <c r="AH654" s="1997"/>
      <c r="AI654" s="1997"/>
      <c r="AJ654" s="1997"/>
      <c r="AK654" s="1997"/>
      <c r="AL654" s="1997"/>
      <c r="AN654" s="631"/>
    </row>
    <row r="655" spans="1:42" s="584" customFormat="1" ht="12.75" customHeight="1">
      <c r="B655" s="570"/>
      <c r="C655" s="966"/>
      <c r="D655" s="570"/>
      <c r="E655" s="1917"/>
      <c r="F655" s="1917"/>
      <c r="G655" s="1917"/>
      <c r="H655" s="1917"/>
      <c r="I655" s="1917"/>
      <c r="J655" s="1917"/>
      <c r="K655" s="1917"/>
      <c r="L655" s="1917"/>
      <c r="M655" s="1917"/>
      <c r="N655" s="1917"/>
      <c r="O655" s="1917"/>
      <c r="P655" s="1917"/>
      <c r="Q655" s="1917"/>
      <c r="R655" s="1917"/>
      <c r="S655" s="1917"/>
      <c r="T655" s="1917"/>
      <c r="U655" s="1917"/>
      <c r="V655" s="1917"/>
      <c r="W655" s="1917"/>
      <c r="X655" s="1917"/>
      <c r="Y655" s="1917"/>
      <c r="Z655" s="1917"/>
      <c r="AA655" s="1917"/>
      <c r="AB655" s="1917"/>
      <c r="AC655" s="1917"/>
      <c r="AD655" s="570"/>
      <c r="AE655" s="1997"/>
      <c r="AF655" s="1997"/>
      <c r="AG655" s="1997"/>
      <c r="AH655" s="1997"/>
      <c r="AI655" s="1997"/>
      <c r="AJ655" s="1997"/>
      <c r="AK655" s="1997"/>
      <c r="AL655" s="628"/>
      <c r="AN655" s="631"/>
      <c r="AO655" s="584" t="s">
        <v>598</v>
      </c>
      <c r="AP655" s="707">
        <v>0</v>
      </c>
    </row>
    <row r="656" spans="1:42" s="584" customFormat="1" ht="12.75" customHeight="1">
      <c r="A656" s="713"/>
      <c r="B656" s="570"/>
      <c r="C656" s="570"/>
      <c r="D656" s="697"/>
      <c r="E656" s="1917"/>
      <c r="F656" s="1917"/>
      <c r="G656" s="1917"/>
      <c r="H656" s="1917"/>
      <c r="I656" s="1917"/>
      <c r="J656" s="1917"/>
      <c r="K656" s="1917"/>
      <c r="L656" s="1917"/>
      <c r="M656" s="1917"/>
      <c r="N656" s="1917"/>
      <c r="O656" s="1917"/>
      <c r="P656" s="1917"/>
      <c r="Q656" s="1917"/>
      <c r="R656" s="1917"/>
      <c r="S656" s="1917"/>
      <c r="T656" s="1917"/>
      <c r="U656" s="1917"/>
      <c r="V656" s="1917"/>
      <c r="W656" s="1917"/>
      <c r="X656" s="1917"/>
      <c r="Y656" s="1917"/>
      <c r="Z656" s="1917"/>
      <c r="AA656" s="1917"/>
      <c r="AB656" s="1917"/>
      <c r="AC656" s="1917"/>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1506</v>
      </c>
      <c r="E658" s="1917" t="s">
        <v>1530</v>
      </c>
      <c r="F658" s="1917"/>
      <c r="G658" s="1917"/>
      <c r="H658" s="1917"/>
      <c r="I658" s="1917"/>
      <c r="J658" s="1917"/>
      <c r="K658" s="1917"/>
      <c r="L658" s="1917"/>
      <c r="M658" s="1917"/>
      <c r="N658" s="1917"/>
      <c r="O658" s="1917"/>
      <c r="P658" s="1917"/>
      <c r="Q658" s="1917"/>
      <c r="R658" s="1917"/>
      <c r="S658" s="1917"/>
      <c r="T658" s="1917"/>
      <c r="U658" s="1917"/>
      <c r="V658" s="1917"/>
      <c r="W658" s="1917"/>
      <c r="X658" s="1917"/>
      <c r="Y658" s="1917"/>
      <c r="Z658" s="1917"/>
      <c r="AA658" s="1917"/>
      <c r="AB658" s="1917"/>
      <c r="AC658" s="1917"/>
      <c r="AD658" s="570"/>
      <c r="AE658" s="570"/>
      <c r="AF658" s="1997" t="s">
        <v>1508</v>
      </c>
      <c r="AG658" s="1997"/>
      <c r="AH658" s="1997"/>
      <c r="AI658" s="1997"/>
      <c r="AJ658" s="1997"/>
      <c r="AK658" s="1997"/>
      <c r="AL658" s="1997"/>
      <c r="AN658" s="631"/>
    </row>
    <row r="659" spans="1:42" s="584" customFormat="1" ht="12.75" customHeight="1">
      <c r="A659" s="704"/>
      <c r="B659" s="570"/>
      <c r="C659" s="982"/>
      <c r="D659" s="697"/>
      <c r="E659" s="1917"/>
      <c r="F659" s="1917"/>
      <c r="G659" s="1917"/>
      <c r="H659" s="1917"/>
      <c r="I659" s="1917"/>
      <c r="J659" s="1917"/>
      <c r="K659" s="1917"/>
      <c r="L659" s="1917"/>
      <c r="M659" s="1917"/>
      <c r="N659" s="1917"/>
      <c r="O659" s="1917"/>
      <c r="P659" s="1917"/>
      <c r="Q659" s="1917"/>
      <c r="R659" s="1917"/>
      <c r="S659" s="1917"/>
      <c r="T659" s="1917"/>
      <c r="U659" s="1917"/>
      <c r="V659" s="1917"/>
      <c r="W659" s="1917"/>
      <c r="X659" s="1917"/>
      <c r="Y659" s="1917"/>
      <c r="Z659" s="1917"/>
      <c r="AA659" s="1917"/>
      <c r="AB659" s="1917"/>
      <c r="AC659" s="1917"/>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7"/>
      <c r="F660" s="1917"/>
      <c r="G660" s="1917"/>
      <c r="H660" s="1917"/>
      <c r="I660" s="1917"/>
      <c r="J660" s="1917"/>
      <c r="K660" s="1917"/>
      <c r="L660" s="1917"/>
      <c r="M660" s="1917"/>
      <c r="N660" s="1917"/>
      <c r="O660" s="1917"/>
      <c r="P660" s="1917"/>
      <c r="Q660" s="1917"/>
      <c r="R660" s="1917"/>
      <c r="S660" s="1917"/>
      <c r="T660" s="1917"/>
      <c r="U660" s="1917"/>
      <c r="V660" s="1917"/>
      <c r="W660" s="1917"/>
      <c r="X660" s="1917"/>
      <c r="Y660" s="1917"/>
      <c r="Z660" s="1917"/>
      <c r="AA660" s="1917"/>
      <c r="AB660" s="1917"/>
      <c r="AC660" s="1917"/>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17" t="s">
        <v>1531</v>
      </c>
      <c r="F662" s="1917"/>
      <c r="G662" s="1917"/>
      <c r="H662" s="1917"/>
      <c r="I662" s="1917"/>
      <c r="J662" s="1917"/>
      <c r="K662" s="1917"/>
      <c r="L662" s="1917"/>
      <c r="M662" s="1917"/>
      <c r="N662" s="1917"/>
      <c r="O662" s="1917"/>
      <c r="P662" s="1917"/>
      <c r="Q662" s="1917"/>
      <c r="R662" s="1917"/>
      <c r="S662" s="1917"/>
      <c r="T662" s="1917"/>
      <c r="U662" s="1917"/>
      <c r="V662" s="1917"/>
      <c r="W662" s="1917"/>
      <c r="X662" s="1917"/>
      <c r="Y662" s="1917"/>
      <c r="Z662" s="1917"/>
      <c r="AA662" s="1917"/>
      <c r="AB662" s="1917"/>
      <c r="AC662" s="1917"/>
      <c r="AD662" s="570"/>
      <c r="AE662" s="570"/>
      <c r="AF662" s="1997" t="s">
        <v>1461</v>
      </c>
      <c r="AG662" s="1997"/>
      <c r="AH662" s="1997"/>
      <c r="AI662" s="1997"/>
      <c r="AJ662" s="1997"/>
      <c r="AK662" s="1997"/>
      <c r="AL662" s="1997"/>
      <c r="AM662" s="630"/>
      <c r="AN662" s="631"/>
    </row>
    <row r="663" spans="1:42" s="584" customFormat="1" ht="12.75" customHeight="1">
      <c r="B663" s="570"/>
      <c r="C663" s="966"/>
      <c r="D663" s="697"/>
      <c r="E663" s="1917"/>
      <c r="F663" s="1917"/>
      <c r="G663" s="1917"/>
      <c r="H663" s="1917"/>
      <c r="I663" s="1917"/>
      <c r="J663" s="1917"/>
      <c r="K663" s="1917"/>
      <c r="L663" s="1917"/>
      <c r="M663" s="1917"/>
      <c r="N663" s="1917"/>
      <c r="O663" s="1917"/>
      <c r="P663" s="1917"/>
      <c r="Q663" s="1917"/>
      <c r="R663" s="1917"/>
      <c r="S663" s="1917"/>
      <c r="T663" s="1917"/>
      <c r="U663" s="1917"/>
      <c r="V663" s="1917"/>
      <c r="W663" s="1917"/>
      <c r="X663" s="1917"/>
      <c r="Y663" s="1917"/>
      <c r="Z663" s="1917"/>
      <c r="AA663" s="1917"/>
      <c r="AB663" s="1917"/>
      <c r="AC663" s="1917"/>
      <c r="AD663" s="570"/>
      <c r="AE663" s="570"/>
      <c r="AF663" s="570"/>
      <c r="AG663" s="570"/>
      <c r="AH663" s="570"/>
      <c r="AI663" s="570"/>
      <c r="AJ663" s="570"/>
      <c r="AK663" s="570"/>
      <c r="AL663" s="570"/>
      <c r="AM663" s="630"/>
      <c r="AN663" s="631"/>
    </row>
    <row r="664" spans="1:42" s="584" customFormat="1" ht="12.75" customHeight="1">
      <c r="B664" s="570"/>
      <c r="C664" s="966"/>
      <c r="D664" s="697"/>
      <c r="E664" s="1917"/>
      <c r="F664" s="1917"/>
      <c r="G664" s="1917"/>
      <c r="H664" s="1917"/>
      <c r="I664" s="1917"/>
      <c r="J664" s="1917"/>
      <c r="K664" s="1917"/>
      <c r="L664" s="1917"/>
      <c r="M664" s="1917"/>
      <c r="N664" s="1917"/>
      <c r="O664" s="1917"/>
      <c r="P664" s="1917"/>
      <c r="Q664" s="1917"/>
      <c r="R664" s="1917"/>
      <c r="S664" s="1917"/>
      <c r="T664" s="1917"/>
      <c r="U664" s="1917"/>
      <c r="V664" s="1917"/>
      <c r="W664" s="1917"/>
      <c r="X664" s="1917"/>
      <c r="Y664" s="1917"/>
      <c r="Z664" s="1917"/>
      <c r="AA664" s="1917"/>
      <c r="AB664" s="1917"/>
      <c r="AC664" s="1917"/>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17" t="s">
        <v>1532</v>
      </c>
      <c r="F666" s="1917"/>
      <c r="G666" s="1917"/>
      <c r="H666" s="1917"/>
      <c r="I666" s="1917"/>
      <c r="J666" s="1917"/>
      <c r="K666" s="1917"/>
      <c r="L666" s="1917"/>
      <c r="M666" s="1917"/>
      <c r="N666" s="1917"/>
      <c r="O666" s="1917"/>
      <c r="P666" s="1917"/>
      <c r="Q666" s="1917"/>
      <c r="R666" s="1917"/>
      <c r="S666" s="1917"/>
      <c r="T666" s="1917"/>
      <c r="U666" s="1917"/>
      <c r="V666" s="1917"/>
      <c r="W666" s="1917"/>
      <c r="X666" s="1917"/>
      <c r="Y666" s="1917"/>
      <c r="Z666" s="1917"/>
      <c r="AA666" s="1917"/>
      <c r="AB666" s="1917"/>
      <c r="AC666" s="1917"/>
      <c r="AD666" s="570"/>
      <c r="AE666" s="570"/>
      <c r="AF666" s="1997" t="s">
        <v>1517</v>
      </c>
      <c r="AG666" s="1997"/>
      <c r="AH666" s="1997"/>
      <c r="AI666" s="1997"/>
      <c r="AJ666" s="1997"/>
      <c r="AK666" s="1997"/>
      <c r="AL666" s="1997"/>
      <c r="AM666" s="630"/>
      <c r="AN666" s="631"/>
    </row>
    <row r="667" spans="1:42" s="584" customFormat="1" ht="12.75" customHeight="1">
      <c r="A667" s="713"/>
      <c r="B667" s="570"/>
      <c r="C667" s="966"/>
      <c r="D667" s="697"/>
      <c r="E667" s="1917"/>
      <c r="F667" s="1917"/>
      <c r="G667" s="1917"/>
      <c r="H667" s="1917"/>
      <c r="I667" s="1917"/>
      <c r="J667" s="1917"/>
      <c r="K667" s="1917"/>
      <c r="L667" s="1917"/>
      <c r="M667" s="1917"/>
      <c r="N667" s="1917"/>
      <c r="O667" s="1917"/>
      <c r="P667" s="1917"/>
      <c r="Q667" s="1917"/>
      <c r="R667" s="1917"/>
      <c r="S667" s="1917"/>
      <c r="T667" s="1917"/>
      <c r="U667" s="1917"/>
      <c r="V667" s="1917"/>
      <c r="W667" s="1917"/>
      <c r="X667" s="1917"/>
      <c r="Y667" s="1917"/>
      <c r="Z667" s="1917"/>
      <c r="AA667" s="1917"/>
      <c r="AB667" s="1917"/>
      <c r="AC667" s="1917"/>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7"/>
      <c r="F668" s="1917"/>
      <c r="G668" s="1917"/>
      <c r="H668" s="1917"/>
      <c r="I668" s="1917"/>
      <c r="J668" s="1917"/>
      <c r="K668" s="1917"/>
      <c r="L668" s="1917"/>
      <c r="M668" s="1917"/>
      <c r="N668" s="1917"/>
      <c r="O668" s="1917"/>
      <c r="P668" s="1917"/>
      <c r="Q668" s="1917"/>
      <c r="R668" s="1917"/>
      <c r="S668" s="1917"/>
      <c r="T668" s="1917"/>
      <c r="U668" s="1917"/>
      <c r="V668" s="1917"/>
      <c r="W668" s="1917"/>
      <c r="X668" s="1917"/>
      <c r="Y668" s="1917"/>
      <c r="Z668" s="1917"/>
      <c r="AA668" s="1917"/>
      <c r="AB668" s="1917"/>
      <c r="AC668" s="1917"/>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1520</v>
      </c>
      <c r="E670" s="1917" t="s">
        <v>1533</v>
      </c>
      <c r="F670" s="1917"/>
      <c r="G670" s="1917"/>
      <c r="H670" s="1917"/>
      <c r="I670" s="1917"/>
      <c r="J670" s="1917"/>
      <c r="K670" s="1917"/>
      <c r="L670" s="1917"/>
      <c r="M670" s="1917"/>
      <c r="N670" s="1917"/>
      <c r="O670" s="1917"/>
      <c r="P670" s="1917"/>
      <c r="Q670" s="1917"/>
      <c r="R670" s="1917"/>
      <c r="S670" s="1917"/>
      <c r="T670" s="1917"/>
      <c r="U670" s="1917"/>
      <c r="V670" s="1917"/>
      <c r="W670" s="1917"/>
      <c r="X670" s="1917"/>
      <c r="Y670" s="1917"/>
      <c r="Z670" s="1917"/>
      <c r="AA670" s="1917"/>
      <c r="AB670" s="1917"/>
      <c r="AC670" s="1917"/>
      <c r="AD670" s="570"/>
      <c r="AE670" s="570"/>
      <c r="AF670" s="1997" t="s">
        <v>1534</v>
      </c>
      <c r="AG670" s="1997"/>
      <c r="AH670" s="1997"/>
      <c r="AI670" s="1997"/>
      <c r="AJ670" s="1997"/>
      <c r="AK670" s="1997"/>
      <c r="AL670" s="1997"/>
      <c r="AM670" s="630"/>
      <c r="AN670" s="631"/>
      <c r="AO670" s="645" t="s">
        <v>695</v>
      </c>
      <c r="AP670" s="584">
        <v>3</v>
      </c>
    </row>
    <row r="671" spans="1:42" s="584" customFormat="1" ht="12.75" customHeight="1">
      <c r="A671" s="713"/>
      <c r="B671" s="570"/>
      <c r="C671" s="966"/>
      <c r="D671" s="697"/>
      <c r="E671" s="1917"/>
      <c r="F671" s="1917"/>
      <c r="G671" s="1917"/>
      <c r="H671" s="1917"/>
      <c r="I671" s="1917"/>
      <c r="J671" s="1917"/>
      <c r="K671" s="1917"/>
      <c r="L671" s="1917"/>
      <c r="M671" s="1917"/>
      <c r="N671" s="1917"/>
      <c r="O671" s="1917"/>
      <c r="P671" s="1917"/>
      <c r="Q671" s="1917"/>
      <c r="R671" s="1917"/>
      <c r="S671" s="1917"/>
      <c r="T671" s="1917"/>
      <c r="U671" s="1917"/>
      <c r="V671" s="1917"/>
      <c r="W671" s="1917"/>
      <c r="X671" s="1917"/>
      <c r="Y671" s="1917"/>
      <c r="Z671" s="1917"/>
      <c r="AA671" s="1917"/>
      <c r="AB671" s="1917"/>
      <c r="AC671" s="1917"/>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17"/>
      <c r="F672" s="1917"/>
      <c r="G672" s="1917"/>
      <c r="H672" s="1917"/>
      <c r="I672" s="1917"/>
      <c r="J672" s="1917"/>
      <c r="K672" s="1917"/>
      <c r="L672" s="1917"/>
      <c r="M672" s="1917"/>
      <c r="N672" s="1917"/>
      <c r="O672" s="1917"/>
      <c r="P672" s="1917"/>
      <c r="Q672" s="1917"/>
      <c r="R672" s="1917"/>
      <c r="S672" s="1917"/>
      <c r="T672" s="1917"/>
      <c r="U672" s="1917"/>
      <c r="V672" s="1917"/>
      <c r="W672" s="1917"/>
      <c r="X672" s="1917"/>
      <c r="Y672" s="1917"/>
      <c r="Z672" s="1917"/>
      <c r="AA672" s="1917"/>
      <c r="AB672" s="1917"/>
      <c r="AC672" s="1917"/>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41" t="s">
        <v>695</v>
      </c>
      <c r="I674" s="1941"/>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24">
        <f>VLOOKUP($H$674,$AO$622:$AP$629,2,FALSE)</f>
        <v>5</v>
      </c>
      <c r="AK676" s="192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421</v>
      </c>
    </row>
    <row r="680" spans="1:51" s="584" customFormat="1" ht="12.75" customHeight="1">
      <c r="A680" s="713"/>
      <c r="B680" s="570"/>
      <c r="C680" s="983"/>
      <c r="D680" s="697" t="s">
        <v>695</v>
      </c>
      <c r="E680" s="2032" t="s">
        <v>2550</v>
      </c>
      <c r="F680" s="2032"/>
      <c r="G680" s="2032"/>
      <c r="H680" s="2032"/>
      <c r="I680" s="2032"/>
      <c r="J680" s="2032"/>
      <c r="K680" s="2032"/>
      <c r="L680" s="2032"/>
      <c r="M680" s="2032"/>
      <c r="N680" s="2032"/>
      <c r="O680" s="2032"/>
      <c r="P680" s="2032"/>
      <c r="Q680" s="2032"/>
      <c r="R680" s="2032"/>
      <c r="S680" s="2032"/>
      <c r="T680" s="2032"/>
      <c r="U680" s="2032"/>
      <c r="V680" s="2032"/>
      <c r="W680" s="2032"/>
      <c r="X680" s="2032"/>
      <c r="Y680" s="2032"/>
      <c r="Z680" s="2032"/>
      <c r="AA680" s="2032"/>
      <c r="AB680" s="2032"/>
      <c r="AC680" s="570"/>
      <c r="AD680" s="570"/>
      <c r="AE680" s="570"/>
      <c r="AF680" s="1997" t="s">
        <v>1461</v>
      </c>
      <c r="AG680" s="1997"/>
      <c r="AH680" s="1997"/>
      <c r="AI680" s="1997"/>
      <c r="AJ680" s="1997"/>
      <c r="AK680" s="1997"/>
      <c r="AL680" s="1997"/>
      <c r="AN680" s="631"/>
      <c r="AW680" s="22" t="s">
        <v>2545</v>
      </c>
      <c r="AX680" s="584">
        <f>Application!CC632</f>
        <v>0</v>
      </c>
    </row>
    <row r="681" spans="1:51" s="584" customFormat="1" ht="12.75" customHeight="1">
      <c r="A681" s="713"/>
      <c r="B681" s="570"/>
      <c r="C681" s="983"/>
      <c r="D681" s="697"/>
      <c r="E681" s="2032"/>
      <c r="F681" s="2032"/>
      <c r="G681" s="2032"/>
      <c r="H681" s="2032"/>
      <c r="I681" s="2032"/>
      <c r="J681" s="2032"/>
      <c r="K681" s="2032"/>
      <c r="L681" s="2032"/>
      <c r="M681" s="2032"/>
      <c r="N681" s="2032"/>
      <c r="O681" s="2032"/>
      <c r="P681" s="2032"/>
      <c r="Q681" s="2032"/>
      <c r="R681" s="2032"/>
      <c r="S681" s="2032"/>
      <c r="T681" s="2032"/>
      <c r="U681" s="2032"/>
      <c r="V681" s="2032"/>
      <c r="W681" s="2032"/>
      <c r="X681" s="2032"/>
      <c r="Y681" s="2032"/>
      <c r="Z681" s="2032"/>
      <c r="AA681" s="2032"/>
      <c r="AB681" s="2032"/>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516</v>
      </c>
      <c r="E683" s="1917" t="s">
        <v>2451</v>
      </c>
      <c r="F683" s="1917"/>
      <c r="G683" s="1917"/>
      <c r="H683" s="1917"/>
      <c r="I683" s="1917"/>
      <c r="J683" s="1917"/>
      <c r="K683" s="1917"/>
      <c r="L683" s="1917"/>
      <c r="M683" s="1917"/>
      <c r="N683" s="1917"/>
      <c r="O683" s="1917"/>
      <c r="P683" s="1917"/>
      <c r="Q683" s="1917"/>
      <c r="R683" s="1917"/>
      <c r="S683" s="1917"/>
      <c r="T683" s="1917"/>
      <c r="U683" s="1917"/>
      <c r="V683" s="1917"/>
      <c r="W683" s="1917"/>
      <c r="X683" s="1917"/>
      <c r="Y683" s="1917"/>
      <c r="Z683" s="1917"/>
      <c r="AA683" s="1917"/>
      <c r="AB683" s="1917"/>
      <c r="AC683" s="570"/>
      <c r="AD683" s="570"/>
      <c r="AE683" s="570"/>
      <c r="AF683" s="1997" t="s">
        <v>1461</v>
      </c>
      <c r="AG683" s="1997"/>
      <c r="AH683" s="1997"/>
      <c r="AI683" s="1997"/>
      <c r="AJ683" s="1997"/>
      <c r="AK683" s="1997"/>
      <c r="AL683" s="1997"/>
      <c r="AN683" s="631"/>
      <c r="AW683" s="22" t="s">
        <v>2548</v>
      </c>
      <c r="AX683" s="584">
        <f>AX680+AX681+AX682</f>
        <v>0</v>
      </c>
    </row>
    <row r="684" spans="1:51" s="584" customFormat="1" ht="12.75" customHeight="1">
      <c r="B684" s="570"/>
      <c r="C684" s="975"/>
      <c r="D684" s="697"/>
      <c r="E684" s="1917"/>
      <c r="F684" s="1917"/>
      <c r="G684" s="1917"/>
      <c r="H684" s="1917"/>
      <c r="I684" s="1917"/>
      <c r="J684" s="1917"/>
      <c r="K684" s="1917"/>
      <c r="L684" s="1917"/>
      <c r="M684" s="1917"/>
      <c r="N684" s="1917"/>
      <c r="O684" s="1917"/>
      <c r="P684" s="1917"/>
      <c r="Q684" s="1917"/>
      <c r="R684" s="1917"/>
      <c r="S684" s="1917"/>
      <c r="T684" s="1917"/>
      <c r="U684" s="1917"/>
      <c r="V684" s="1917"/>
      <c r="W684" s="1917"/>
      <c r="X684" s="1917"/>
      <c r="Y684" s="1917"/>
      <c r="Z684" s="1917"/>
      <c r="AA684" s="1917"/>
      <c r="AB684" s="1917"/>
      <c r="AC684" s="570"/>
      <c r="AD684" s="570"/>
      <c r="AE684" s="650"/>
      <c r="AF684" s="570"/>
      <c r="AG684" s="570"/>
      <c r="AH684" s="570"/>
      <c r="AI684" s="570"/>
      <c r="AJ684" s="570"/>
      <c r="AK684" s="570"/>
      <c r="AL684" s="570"/>
      <c r="AN684" s="631"/>
      <c r="AO684" s="1932" t="b">
        <f>IF(Application!D211="Special Needs",IF(AY684&gt;=0.25,TRUE,FALSE),IF(AX684&gt;=0.25,TRUE,FALSE))</f>
        <v>0</v>
      </c>
      <c r="AP684" s="1932"/>
      <c r="AW684" s="22" t="s">
        <v>2549</v>
      </c>
      <c r="AX684" s="584">
        <f>IFERROR(AX683/AX679,0)</f>
        <v>0</v>
      </c>
      <c r="AY684" s="584">
        <f>IFERROR(AX683/(AX679-AX678),0)</f>
        <v>0</v>
      </c>
    </row>
    <row r="685" spans="1:51" s="584" customFormat="1" ht="12.75" customHeight="1">
      <c r="B685" s="570"/>
      <c r="C685" s="975"/>
      <c r="E685" s="1917"/>
      <c r="F685" s="1917"/>
      <c r="G685" s="1917"/>
      <c r="H685" s="1917"/>
      <c r="I685" s="1917"/>
      <c r="J685" s="1917"/>
      <c r="K685" s="1917"/>
      <c r="L685" s="1917"/>
      <c r="M685" s="1917"/>
      <c r="N685" s="1917"/>
      <c r="O685" s="1917"/>
      <c r="P685" s="1917"/>
      <c r="Q685" s="1917"/>
      <c r="R685" s="1917"/>
      <c r="S685" s="1917"/>
      <c r="T685" s="1917"/>
      <c r="U685" s="1917"/>
      <c r="V685" s="1917"/>
      <c r="W685" s="1917"/>
      <c r="X685" s="1917"/>
      <c r="Y685" s="1917"/>
      <c r="Z685" s="1917"/>
      <c r="AA685" s="1917"/>
      <c r="AB685" s="1917"/>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7"/>
      <c r="F686" s="1917"/>
      <c r="G686" s="1917"/>
      <c r="H686" s="1917"/>
      <c r="I686" s="1917"/>
      <c r="J686" s="1917"/>
      <c r="K686" s="1917"/>
      <c r="L686" s="1917"/>
      <c r="M686" s="1917"/>
      <c r="N686" s="1917"/>
      <c r="O686" s="1917"/>
      <c r="P686" s="1917"/>
      <c r="Q686" s="1917"/>
      <c r="R686" s="1917"/>
      <c r="S686" s="1917"/>
      <c r="T686" s="1917"/>
      <c r="U686" s="1917"/>
      <c r="V686" s="1917"/>
      <c r="W686" s="1917"/>
      <c r="X686" s="1917"/>
      <c r="Y686" s="1917"/>
      <c r="Z686" s="1917"/>
      <c r="AA686" s="1917"/>
      <c r="AB686" s="1917"/>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278</v>
      </c>
      <c r="E688" s="1917" t="s">
        <v>2452</v>
      </c>
      <c r="F688" s="1917"/>
      <c r="G688" s="1917"/>
      <c r="H688" s="1917"/>
      <c r="I688" s="1917"/>
      <c r="J688" s="1917"/>
      <c r="K688" s="1917"/>
      <c r="L688" s="1917"/>
      <c r="M688" s="1917"/>
      <c r="N688" s="1917"/>
      <c r="O688" s="1917"/>
      <c r="P688" s="1917"/>
      <c r="Q688" s="1917"/>
      <c r="R688" s="1917"/>
      <c r="S688" s="1917"/>
      <c r="T688" s="1917"/>
      <c r="U688" s="1917"/>
      <c r="V688" s="1917"/>
      <c r="W688" s="1917"/>
      <c r="X688" s="1917"/>
      <c r="Y688" s="1917"/>
      <c r="Z688" s="1917"/>
      <c r="AA688" s="1917"/>
      <c r="AB688" s="1917"/>
      <c r="AC688" s="570"/>
      <c r="AD688" s="570"/>
      <c r="AE688" s="570"/>
      <c r="AF688" s="1997" t="s">
        <v>1517</v>
      </c>
      <c r="AG688" s="1997"/>
      <c r="AH688" s="1997"/>
      <c r="AI688" s="1997"/>
      <c r="AJ688" s="1997"/>
      <c r="AK688" s="1997"/>
      <c r="AL688" s="1997"/>
      <c r="AN688" s="631"/>
      <c r="AO688" s="645" t="s">
        <v>516</v>
      </c>
      <c r="AP688" s="584">
        <v>1</v>
      </c>
    </row>
    <row r="689" spans="1:42" s="584" customFormat="1" ht="12" customHeight="1">
      <c r="B689" s="570"/>
      <c r="C689" s="966"/>
      <c r="E689" s="1917"/>
      <c r="F689" s="1917"/>
      <c r="G689" s="1917"/>
      <c r="H689" s="1917"/>
      <c r="I689" s="1917"/>
      <c r="J689" s="1917"/>
      <c r="K689" s="1917"/>
      <c r="L689" s="1917"/>
      <c r="M689" s="1917"/>
      <c r="N689" s="1917"/>
      <c r="O689" s="1917"/>
      <c r="P689" s="1917"/>
      <c r="Q689" s="1917"/>
      <c r="R689" s="1917"/>
      <c r="S689" s="1917"/>
      <c r="T689" s="1917"/>
      <c r="U689" s="1917"/>
      <c r="V689" s="1917"/>
      <c r="W689" s="1917"/>
      <c r="X689" s="1917"/>
      <c r="Y689" s="1917"/>
      <c r="Z689" s="1917"/>
      <c r="AA689" s="1917"/>
      <c r="AB689" s="1917"/>
      <c r="AC689" s="570"/>
      <c r="AD689" s="570"/>
      <c r="AE689" s="650"/>
      <c r="AF689" s="570"/>
      <c r="AG689" s="570"/>
      <c r="AH689" s="570"/>
      <c r="AI689" s="570"/>
      <c r="AJ689" s="570"/>
      <c r="AK689" s="570"/>
      <c r="AL689" s="570"/>
      <c r="AN689" s="631"/>
    </row>
    <row r="690" spans="1:42" s="584" customFormat="1" ht="12" customHeight="1">
      <c r="B690" s="570"/>
      <c r="C690" s="966"/>
      <c r="D690" s="570"/>
      <c r="E690" s="1917"/>
      <c r="F690" s="1917"/>
      <c r="G690" s="1917"/>
      <c r="H690" s="1917"/>
      <c r="I690" s="1917"/>
      <c r="J690" s="1917"/>
      <c r="K690" s="1917"/>
      <c r="L690" s="1917"/>
      <c r="M690" s="1917"/>
      <c r="N690" s="1917"/>
      <c r="O690" s="1917"/>
      <c r="P690" s="1917"/>
      <c r="Q690" s="1917"/>
      <c r="R690" s="1917"/>
      <c r="S690" s="1917"/>
      <c r="T690" s="1917"/>
      <c r="U690" s="1917"/>
      <c r="V690" s="1917"/>
      <c r="W690" s="1917"/>
      <c r="X690" s="1917"/>
      <c r="Y690" s="1917"/>
      <c r="Z690" s="1917"/>
      <c r="AA690" s="1917"/>
      <c r="AB690" s="1917"/>
      <c r="AC690" s="570"/>
      <c r="AD690" s="570"/>
      <c r="AE690" s="650"/>
      <c r="AF690" s="570"/>
      <c r="AG690" s="570"/>
      <c r="AH690" s="570"/>
      <c r="AI690" s="570"/>
      <c r="AJ690" s="570"/>
      <c r="AK690" s="570"/>
      <c r="AL690" s="570"/>
      <c r="AN690" s="631"/>
    </row>
    <row r="691" spans="1:42" s="584" customFormat="1" ht="12" customHeight="1">
      <c r="B691" s="570"/>
      <c r="C691" s="966"/>
      <c r="D691" s="570"/>
      <c r="E691" s="1917"/>
      <c r="F691" s="1917"/>
      <c r="G691" s="1917"/>
      <c r="H691" s="1917"/>
      <c r="I691" s="1917"/>
      <c r="J691" s="1917"/>
      <c r="K691" s="1917"/>
      <c r="L691" s="1917"/>
      <c r="M691" s="1917"/>
      <c r="N691" s="1917"/>
      <c r="O691" s="1917"/>
      <c r="P691" s="1917"/>
      <c r="Q691" s="1917"/>
      <c r="R691" s="1917"/>
      <c r="S691" s="1917"/>
      <c r="T691" s="1917"/>
      <c r="U691" s="1917"/>
      <c r="V691" s="1917"/>
      <c r="W691" s="1917"/>
      <c r="X691" s="1917"/>
      <c r="Y691" s="1917"/>
      <c r="Z691" s="1917"/>
      <c r="AA691" s="1917"/>
      <c r="AB691" s="1917"/>
      <c r="AC691" s="570"/>
      <c r="AD691" s="570"/>
      <c r="AE691" s="650"/>
      <c r="AF691" s="570"/>
      <c r="AG691" s="570"/>
      <c r="AH691" s="570"/>
      <c r="AI691" s="570"/>
      <c r="AJ691" s="570"/>
      <c r="AK691" s="570"/>
      <c r="AL691" s="570"/>
      <c r="AN691" s="631"/>
    </row>
    <row r="692" spans="1:42" s="604" customFormat="1" ht="12.9" customHeight="1">
      <c r="A692" s="584"/>
      <c r="B692" s="570"/>
      <c r="C692" s="966"/>
      <c r="D692" s="570"/>
      <c r="E692" s="1917"/>
      <c r="F692" s="1917"/>
      <c r="G692" s="1917"/>
      <c r="H692" s="1917"/>
      <c r="I692" s="1917"/>
      <c r="J692" s="1917"/>
      <c r="K692" s="1917"/>
      <c r="L692" s="1917"/>
      <c r="M692" s="1917"/>
      <c r="N692" s="1917"/>
      <c r="O692" s="1917"/>
      <c r="P692" s="1917"/>
      <c r="Q692" s="1917"/>
      <c r="R692" s="1917"/>
      <c r="S692" s="1917"/>
      <c r="T692" s="1917"/>
      <c r="U692" s="1917"/>
      <c r="V692" s="1917"/>
      <c r="W692" s="1917"/>
      <c r="X692" s="1917"/>
      <c r="Y692" s="1917"/>
      <c r="Z692" s="1917"/>
      <c r="AA692" s="1917"/>
      <c r="AB692" s="1917"/>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17" t="s">
        <v>1881</v>
      </c>
      <c r="F694" s="1917"/>
      <c r="G694" s="1917"/>
      <c r="H694" s="1917"/>
      <c r="I694" s="1917"/>
      <c r="J694" s="1917"/>
      <c r="K694" s="1917"/>
      <c r="L694" s="1917"/>
      <c r="M694" s="1917"/>
      <c r="N694" s="1917"/>
      <c r="O694" s="1917"/>
      <c r="P694" s="1917"/>
      <c r="Q694" s="1917"/>
      <c r="R694" s="1917"/>
      <c r="S694" s="1917"/>
      <c r="T694" s="1917"/>
      <c r="U694" s="1917"/>
      <c r="V694" s="1917"/>
      <c r="W694" s="1917"/>
      <c r="X694" s="1917"/>
      <c r="Y694" s="1917"/>
      <c r="Z694" s="1917"/>
      <c r="AA694" s="1917"/>
      <c r="AB694" s="1917"/>
      <c r="AC694" s="570"/>
      <c r="AD694" s="570"/>
      <c r="AE694" s="650"/>
      <c r="AF694" s="650"/>
      <c r="AG694" s="650"/>
      <c r="AH694" s="650"/>
      <c r="AI694" s="650"/>
      <c r="AJ694" s="570"/>
      <c r="AK694" s="570"/>
      <c r="AL694" s="570"/>
      <c r="AM694" s="584"/>
      <c r="AN694" s="718"/>
      <c r="AO694" s="645" t="s">
        <v>516</v>
      </c>
      <c r="AP694" s="584">
        <f>3*$AO$684</f>
        <v>0</v>
      </c>
    </row>
    <row r="695" spans="1:42" s="604" customFormat="1" ht="12.75" customHeight="1">
      <c r="A695" s="584"/>
      <c r="B695" s="570"/>
      <c r="C695" s="966"/>
      <c r="D695" s="570"/>
      <c r="E695" s="1917"/>
      <c r="F695" s="1917"/>
      <c r="G695" s="1917"/>
      <c r="H695" s="1917"/>
      <c r="I695" s="1917"/>
      <c r="J695" s="1917"/>
      <c r="K695" s="1917"/>
      <c r="L695" s="1917"/>
      <c r="M695" s="1917"/>
      <c r="N695" s="1917"/>
      <c r="O695" s="1917"/>
      <c r="P695" s="1917"/>
      <c r="Q695" s="1917"/>
      <c r="R695" s="1917"/>
      <c r="S695" s="1917"/>
      <c r="T695" s="1917"/>
      <c r="U695" s="1917"/>
      <c r="V695" s="1917"/>
      <c r="W695" s="1917"/>
      <c r="X695" s="1917"/>
      <c r="Y695" s="1917"/>
      <c r="Z695" s="1917"/>
      <c r="AA695" s="1917"/>
      <c r="AB695" s="1917"/>
      <c r="AC695" s="570"/>
      <c r="AD695" s="570"/>
      <c r="AE695" s="650"/>
      <c r="AF695" s="650"/>
      <c r="AG695" s="650"/>
      <c r="AH695" s="650"/>
      <c r="AI695" s="650"/>
      <c r="AJ695" s="570"/>
      <c r="AK695" s="570"/>
      <c r="AL695" s="570"/>
      <c r="AM695" s="584"/>
      <c r="AN695" s="718"/>
      <c r="AO695" s="645" t="s">
        <v>278</v>
      </c>
      <c r="AP695" s="584">
        <f>2*$AO$684</f>
        <v>0</v>
      </c>
    </row>
    <row r="696" spans="1:42" s="604" customFormat="1" ht="12.75" customHeight="1">
      <c r="A696" s="584"/>
      <c r="B696" s="570"/>
      <c r="C696" s="966"/>
      <c r="D696" s="570"/>
      <c r="E696" s="1917"/>
      <c r="F696" s="1917"/>
      <c r="G696" s="1917"/>
      <c r="H696" s="1917"/>
      <c r="I696" s="1917"/>
      <c r="J696" s="1917"/>
      <c r="K696" s="1917"/>
      <c r="L696" s="1917"/>
      <c r="M696" s="1917"/>
      <c r="N696" s="1917"/>
      <c r="O696" s="1917"/>
      <c r="P696" s="1917"/>
      <c r="Q696" s="1917"/>
      <c r="R696" s="1917"/>
      <c r="S696" s="1917"/>
      <c r="T696" s="1917"/>
      <c r="U696" s="1917"/>
      <c r="V696" s="1917"/>
      <c r="W696" s="1917"/>
      <c r="X696" s="1917"/>
      <c r="Y696" s="1917"/>
      <c r="Z696" s="1917"/>
      <c r="AA696" s="1917"/>
      <c r="AB696" s="1917"/>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41" t="s">
        <v>598</v>
      </c>
      <c r="I698" s="1941"/>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24">
        <f>VLOOKUP($H$698,$AO$692:$AP$695,2,FALSE)</f>
        <v>0</v>
      </c>
      <c r="AK700" s="1926"/>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695</v>
      </c>
      <c r="E704" s="2030" t="s">
        <v>1883</v>
      </c>
      <c r="F704" s="2030"/>
      <c r="G704" s="2030"/>
      <c r="H704" s="2030"/>
      <c r="I704" s="2030"/>
      <c r="J704" s="2030"/>
      <c r="K704" s="2030"/>
      <c r="L704" s="2030"/>
      <c r="M704" s="2030"/>
      <c r="N704" s="2030"/>
      <c r="O704" s="2030"/>
      <c r="P704" s="2030"/>
      <c r="Q704" s="2030"/>
      <c r="R704" s="2030"/>
      <c r="S704" s="2030"/>
      <c r="T704" s="2030"/>
      <c r="U704" s="2030"/>
      <c r="V704" s="2030"/>
      <c r="W704" s="2030"/>
      <c r="X704" s="2030"/>
      <c r="Y704" s="2030"/>
      <c r="Z704" s="2030"/>
      <c r="AA704" s="2030"/>
      <c r="AB704" s="2030"/>
      <c r="AC704" s="570"/>
      <c r="AD704" s="570"/>
      <c r="AE704" s="570"/>
      <c r="AF704" s="1997" t="s">
        <v>1461</v>
      </c>
      <c r="AG704" s="1997"/>
      <c r="AH704" s="1997"/>
      <c r="AI704" s="1997"/>
      <c r="AJ704" s="1997"/>
      <c r="AK704" s="1997"/>
      <c r="AL704" s="1997"/>
      <c r="AM704" s="584"/>
      <c r="AN704" s="718"/>
      <c r="AP704" s="604" t="s">
        <v>1541</v>
      </c>
    </row>
    <row r="705" spans="1:52" s="604" customFormat="1" ht="11.85" customHeight="1">
      <c r="A705" s="584"/>
      <c r="B705" s="570"/>
      <c r="C705" s="968"/>
      <c r="D705" s="697"/>
      <c r="E705" s="2030"/>
      <c r="F705" s="2030"/>
      <c r="G705" s="2030"/>
      <c r="H705" s="2030"/>
      <c r="I705" s="2030"/>
      <c r="J705" s="2030"/>
      <c r="K705" s="2030"/>
      <c r="L705" s="2030"/>
      <c r="M705" s="2030"/>
      <c r="N705" s="2030"/>
      <c r="O705" s="2030"/>
      <c r="P705" s="2030"/>
      <c r="Q705" s="2030"/>
      <c r="R705" s="2030"/>
      <c r="S705" s="2030"/>
      <c r="T705" s="2030"/>
      <c r="U705" s="2030"/>
      <c r="V705" s="2030"/>
      <c r="W705" s="2030"/>
      <c r="X705" s="2030"/>
      <c r="Y705" s="2030"/>
      <c r="Z705" s="2030"/>
      <c r="AA705" s="2030"/>
      <c r="AB705" s="2030"/>
      <c r="AC705" s="570"/>
      <c r="AD705" s="570"/>
      <c r="AE705" s="570"/>
      <c r="AF705" s="570"/>
      <c r="AG705" s="570"/>
      <c r="AH705" s="570"/>
      <c r="AI705" s="570"/>
      <c r="AJ705" s="570"/>
      <c r="AK705" s="570"/>
      <c r="AL705" s="570"/>
      <c r="AM705" s="584"/>
      <c r="AN705" s="718"/>
      <c r="AP705" s="604" t="s">
        <v>1542</v>
      </c>
    </row>
    <row r="706" spans="1:52" s="604" customFormat="1" ht="13.95" customHeight="1">
      <c r="A706" s="584"/>
      <c r="B706" s="644"/>
      <c r="C706" s="966"/>
      <c r="D706" s="697"/>
      <c r="E706" s="2030"/>
      <c r="F706" s="2030"/>
      <c r="G706" s="2030"/>
      <c r="H706" s="2030"/>
      <c r="I706" s="2030"/>
      <c r="J706" s="2030"/>
      <c r="K706" s="2030"/>
      <c r="L706" s="2030"/>
      <c r="M706" s="2030"/>
      <c r="N706" s="2030"/>
      <c r="O706" s="2030"/>
      <c r="P706" s="2030"/>
      <c r="Q706" s="2030"/>
      <c r="R706" s="2030"/>
      <c r="S706" s="2030"/>
      <c r="T706" s="2030"/>
      <c r="U706" s="2030"/>
      <c r="V706" s="2030"/>
      <c r="W706" s="2030"/>
      <c r="X706" s="2030"/>
      <c r="Y706" s="2030"/>
      <c r="Z706" s="2030"/>
      <c r="AA706" s="2030"/>
      <c r="AB706" s="2030"/>
      <c r="AC706" s="570"/>
      <c r="AD706" s="570"/>
      <c r="AE706" s="650"/>
      <c r="AF706" s="570"/>
      <c r="AG706" s="570"/>
      <c r="AH706" s="570"/>
      <c r="AI706" s="570"/>
      <c r="AJ706" s="570"/>
      <c r="AK706" s="570"/>
      <c r="AL706" s="570"/>
      <c r="AM706" s="584"/>
      <c r="AN706" s="718"/>
      <c r="AP706" s="604" t="s">
        <v>1543</v>
      </c>
    </row>
    <row r="707" spans="1:52" s="604" customFormat="1" ht="13.9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5" customHeight="1">
      <c r="A708" s="584"/>
      <c r="B708" s="570"/>
      <c r="C708" s="966"/>
      <c r="D708" s="697" t="s">
        <v>516</v>
      </c>
      <c r="E708" s="2031" t="s">
        <v>1544</v>
      </c>
      <c r="F708" s="2031"/>
      <c r="G708" s="2031"/>
      <c r="H708" s="2031"/>
      <c r="I708" s="2031"/>
      <c r="J708" s="2031"/>
      <c r="K708" s="2031"/>
      <c r="L708" s="2031"/>
      <c r="M708" s="2031"/>
      <c r="N708" s="2031"/>
      <c r="O708" s="2031"/>
      <c r="P708" s="2031"/>
      <c r="Q708" s="2031"/>
      <c r="R708" s="2031"/>
      <c r="S708" s="2031"/>
      <c r="T708" s="2031"/>
      <c r="U708" s="2031"/>
      <c r="V708" s="2031"/>
      <c r="W708" s="2031"/>
      <c r="X708" s="2031"/>
      <c r="Y708" s="2031"/>
      <c r="Z708" s="2031"/>
      <c r="AA708" s="2031"/>
      <c r="AB708" s="2031"/>
      <c r="AC708" s="570"/>
      <c r="AD708" s="570"/>
      <c r="AE708" s="570"/>
      <c r="AF708" s="1997" t="s">
        <v>1517</v>
      </c>
      <c r="AG708" s="1997"/>
      <c r="AH708" s="1997"/>
      <c r="AI708" s="1997"/>
      <c r="AJ708" s="1997"/>
      <c r="AK708" s="1997"/>
      <c r="AL708" s="1997"/>
      <c r="AM708" s="584"/>
      <c r="AN708" s="719"/>
    </row>
    <row r="709" spans="1:52" s="604" customFormat="1" ht="12.75" customHeight="1">
      <c r="A709" s="584"/>
      <c r="B709" s="570"/>
      <c r="C709" s="968"/>
      <c r="D709" s="570"/>
      <c r="E709" s="2031"/>
      <c r="F709" s="2031"/>
      <c r="G709" s="2031"/>
      <c r="H709" s="2031"/>
      <c r="I709" s="2031"/>
      <c r="J709" s="2031"/>
      <c r="K709" s="2031"/>
      <c r="L709" s="2031"/>
      <c r="M709" s="2031"/>
      <c r="N709" s="2031"/>
      <c r="O709" s="2031"/>
      <c r="P709" s="2031"/>
      <c r="Q709" s="2031"/>
      <c r="R709" s="2031"/>
      <c r="S709" s="2031"/>
      <c r="T709" s="2031"/>
      <c r="U709" s="2031"/>
      <c r="V709" s="2031"/>
      <c r="W709" s="2031"/>
      <c r="X709" s="2031"/>
      <c r="Y709" s="2031"/>
      <c r="Z709" s="2031"/>
      <c r="AA709" s="2031"/>
      <c r="AB709" s="2031"/>
      <c r="AC709" s="570"/>
      <c r="AD709" s="570"/>
      <c r="AE709" s="570"/>
      <c r="AF709" s="570"/>
      <c r="AG709" s="570"/>
      <c r="AH709" s="570"/>
      <c r="AI709" s="570"/>
      <c r="AJ709" s="570"/>
      <c r="AK709" s="570"/>
      <c r="AL709" s="570"/>
      <c r="AM709" s="584"/>
      <c r="AN709" s="718"/>
      <c r="AP709" s="584" t="s">
        <v>598</v>
      </c>
      <c r="AQ709" s="707">
        <v>0</v>
      </c>
    </row>
    <row r="710" spans="1:52" s="604" customFormat="1" ht="13.95" customHeight="1">
      <c r="A710" s="584"/>
      <c r="B710" s="570"/>
      <c r="C710" s="968"/>
      <c r="D710" s="570"/>
      <c r="E710" s="2031"/>
      <c r="F710" s="2031"/>
      <c r="G710" s="2031"/>
      <c r="H710" s="2031"/>
      <c r="I710" s="2031"/>
      <c r="J710" s="2031"/>
      <c r="K710" s="2031"/>
      <c r="L710" s="2031"/>
      <c r="M710" s="2031"/>
      <c r="N710" s="2031"/>
      <c r="O710" s="2031"/>
      <c r="P710" s="2031"/>
      <c r="Q710" s="2031"/>
      <c r="R710" s="2031"/>
      <c r="S710" s="2031"/>
      <c r="T710" s="2031"/>
      <c r="U710" s="2031"/>
      <c r="V710" s="2031"/>
      <c r="W710" s="2031"/>
      <c r="X710" s="2031"/>
      <c r="Y710" s="2031"/>
      <c r="Z710" s="2031"/>
      <c r="AA710" s="2031"/>
      <c r="AB710" s="2031"/>
      <c r="AC710" s="570"/>
      <c r="AD710" s="570"/>
      <c r="AE710" s="570"/>
      <c r="AF710" s="570"/>
      <c r="AG710" s="570"/>
      <c r="AH710" s="570"/>
      <c r="AI710" s="570"/>
      <c r="AJ710" s="570"/>
      <c r="AK710" s="570"/>
      <c r="AL710" s="570"/>
      <c r="AM710" s="584"/>
      <c r="AN710" s="718"/>
      <c r="AP710" s="645" t="s">
        <v>695</v>
      </c>
      <c r="AQ710" s="584">
        <v>3</v>
      </c>
    </row>
    <row r="711" spans="1:52" s="604" customFormat="1" ht="13.9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95" customHeight="1">
      <c r="A712" s="584"/>
      <c r="B712" s="570"/>
      <c r="C712" s="968"/>
      <c r="D712" s="570" t="s">
        <v>1509</v>
      </c>
      <c r="E712" s="971"/>
      <c r="F712" s="971"/>
      <c r="G712" s="971"/>
      <c r="H712" s="1941" t="s">
        <v>598</v>
      </c>
      <c r="I712" s="1941"/>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24">
        <f>VLOOKUP($H$712,$AP$709:$AQ$711,2,FALSE)</f>
        <v>0</v>
      </c>
      <c r="AK714" s="1926"/>
      <c r="AL714" s="629"/>
      <c r="AM714" s="584"/>
      <c r="AN714" s="718"/>
      <c r="AP714" s="1924"/>
      <c r="AQ714" s="192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17" t="s">
        <v>1884</v>
      </c>
      <c r="F718" s="1917"/>
      <c r="G718" s="1917"/>
      <c r="H718" s="1917"/>
      <c r="I718" s="1917"/>
      <c r="J718" s="1917"/>
      <c r="K718" s="1917"/>
      <c r="L718" s="1917"/>
      <c r="M718" s="1917"/>
      <c r="N718" s="1917"/>
      <c r="O718" s="1917"/>
      <c r="P718" s="1917"/>
      <c r="Q718" s="1917"/>
      <c r="R718" s="1917"/>
      <c r="S718" s="1917"/>
      <c r="T718" s="1917"/>
      <c r="U718" s="1917"/>
      <c r="V718" s="1917"/>
      <c r="W718" s="1917"/>
      <c r="X718" s="1917"/>
      <c r="Y718" s="1917"/>
      <c r="Z718" s="1917"/>
      <c r="AA718" s="1917"/>
      <c r="AB718" s="1917"/>
      <c r="AC718" s="570"/>
      <c r="AD718" s="570"/>
      <c r="AE718" s="570"/>
      <c r="AF718" s="1997" t="s">
        <v>1461</v>
      </c>
      <c r="AG718" s="1997"/>
      <c r="AH718" s="1997"/>
      <c r="AI718" s="1997"/>
      <c r="AJ718" s="1997"/>
      <c r="AK718" s="1997"/>
      <c r="AL718" s="1997"/>
      <c r="AM718" s="584"/>
      <c r="AN718" s="718"/>
      <c r="AT718" s="14"/>
      <c r="AU718" s="14"/>
      <c r="AV718" s="14"/>
      <c r="AW718" s="14"/>
      <c r="AX718" s="14"/>
      <c r="AY718" s="14"/>
      <c r="AZ718" s="14"/>
    </row>
    <row r="719" spans="1:52" s="604" customFormat="1">
      <c r="A719" s="584"/>
      <c r="B719" s="570"/>
      <c r="C719" s="968"/>
      <c r="D719" s="697"/>
      <c r="E719" s="1917"/>
      <c r="F719" s="1917"/>
      <c r="G719" s="1917"/>
      <c r="H719" s="1917"/>
      <c r="I719" s="1917"/>
      <c r="J719" s="1917"/>
      <c r="K719" s="1917"/>
      <c r="L719" s="1917"/>
      <c r="M719" s="1917"/>
      <c r="N719" s="1917"/>
      <c r="O719" s="1917"/>
      <c r="P719" s="1917"/>
      <c r="Q719" s="1917"/>
      <c r="R719" s="1917"/>
      <c r="S719" s="1917"/>
      <c r="T719" s="1917"/>
      <c r="U719" s="1917"/>
      <c r="V719" s="1917"/>
      <c r="W719" s="1917"/>
      <c r="X719" s="1917"/>
      <c r="Y719" s="1917"/>
      <c r="Z719" s="1917"/>
      <c r="AA719" s="1917"/>
      <c r="AB719" s="1917"/>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17" t="s">
        <v>1548</v>
      </c>
      <c r="F721" s="1917"/>
      <c r="G721" s="1917"/>
      <c r="H721" s="1917"/>
      <c r="I721" s="1917"/>
      <c r="J721" s="1917"/>
      <c r="K721" s="1917"/>
      <c r="L721" s="1917"/>
      <c r="M721" s="1917"/>
      <c r="N721" s="1917"/>
      <c r="O721" s="1917"/>
      <c r="P721" s="1917"/>
      <c r="Q721" s="1917"/>
      <c r="R721" s="1917"/>
      <c r="S721" s="1917"/>
      <c r="T721" s="1917"/>
      <c r="U721" s="1917"/>
      <c r="V721" s="1917"/>
      <c r="W721" s="1917"/>
      <c r="X721" s="1917"/>
      <c r="Y721" s="1917"/>
      <c r="Z721" s="1917"/>
      <c r="AA721" s="1917"/>
      <c r="AB721" s="1917"/>
      <c r="AC721" s="570"/>
      <c r="AD721" s="570"/>
      <c r="AE721" s="570"/>
      <c r="AF721" s="1997" t="s">
        <v>1517</v>
      </c>
      <c r="AG721" s="1997"/>
      <c r="AH721" s="1997"/>
      <c r="AI721" s="1997"/>
      <c r="AJ721" s="1997"/>
      <c r="AK721" s="1997"/>
      <c r="AL721" s="1997"/>
      <c r="AM721" s="584"/>
      <c r="AN721" s="718"/>
      <c r="AT721" s="14"/>
      <c r="AU721" s="14"/>
      <c r="AV721" s="14"/>
      <c r="AW721" s="14"/>
      <c r="AX721" s="14"/>
      <c r="AY721" s="14"/>
      <c r="AZ721" s="14"/>
    </row>
    <row r="722" spans="1:81" s="604" customFormat="1">
      <c r="A722" s="584"/>
      <c r="B722" s="570"/>
      <c r="C722" s="968"/>
      <c r="D722" s="570"/>
      <c r="E722" s="1917"/>
      <c r="F722" s="1917"/>
      <c r="G722" s="1917"/>
      <c r="H722" s="1917"/>
      <c r="I722" s="1917"/>
      <c r="J722" s="1917"/>
      <c r="K722" s="1917"/>
      <c r="L722" s="1917"/>
      <c r="M722" s="1917"/>
      <c r="N722" s="1917"/>
      <c r="O722" s="1917"/>
      <c r="P722" s="1917"/>
      <c r="Q722" s="1917"/>
      <c r="R722" s="1917"/>
      <c r="S722" s="1917"/>
      <c r="T722" s="1917"/>
      <c r="U722" s="1917"/>
      <c r="V722" s="1917"/>
      <c r="W722" s="1917"/>
      <c r="X722" s="1917"/>
      <c r="Y722" s="1917"/>
      <c r="Z722" s="1917"/>
      <c r="AA722" s="1917"/>
      <c r="AB722" s="1917"/>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41" t="s">
        <v>598</v>
      </c>
      <c r="I724" s="1941"/>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24">
        <f>VLOOKUP($H$724,$AO$655:$AP$657,2,FALSE)</f>
        <v>0</v>
      </c>
      <c r="AK726" s="192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17" t="s">
        <v>1551</v>
      </c>
      <c r="F730" s="1917"/>
      <c r="G730" s="1917"/>
      <c r="H730" s="1917"/>
      <c r="I730" s="1917"/>
      <c r="J730" s="1917"/>
      <c r="K730" s="1917"/>
      <c r="L730" s="1917"/>
      <c r="M730" s="1917"/>
      <c r="N730" s="1917"/>
      <c r="O730" s="1917"/>
      <c r="P730" s="1917"/>
      <c r="Q730" s="1917"/>
      <c r="R730" s="1917"/>
      <c r="S730" s="1917"/>
      <c r="T730" s="1917"/>
      <c r="U730" s="1917"/>
      <c r="V730" s="1917"/>
      <c r="W730" s="1917"/>
      <c r="X730" s="1917"/>
      <c r="Y730" s="1917"/>
      <c r="Z730" s="1917"/>
      <c r="AA730" s="1917"/>
      <c r="AB730" s="1917"/>
      <c r="AC730" s="570"/>
      <c r="AD730" s="570"/>
      <c r="AE730" s="570"/>
      <c r="AF730" s="1997" t="s">
        <v>1461</v>
      </c>
      <c r="AG730" s="1997"/>
      <c r="AH730" s="1997"/>
      <c r="AI730" s="1997"/>
      <c r="AJ730" s="1997"/>
      <c r="AK730" s="1997"/>
      <c r="AL730" s="1997"/>
      <c r="AM730" s="584"/>
      <c r="AN730" s="718"/>
      <c r="AT730" s="14"/>
      <c r="AU730" s="14"/>
      <c r="AV730" s="14"/>
      <c r="AW730" s="14"/>
      <c r="AX730" s="14"/>
      <c r="AY730" s="14"/>
      <c r="AZ730" s="14"/>
    </row>
    <row r="731" spans="1:81" s="604" customFormat="1">
      <c r="A731" s="584"/>
      <c r="B731" s="570"/>
      <c r="C731" s="966"/>
      <c r="D731" s="697"/>
      <c r="E731" s="1917"/>
      <c r="F731" s="1917"/>
      <c r="G731" s="1917"/>
      <c r="H731" s="1917"/>
      <c r="I731" s="1917"/>
      <c r="J731" s="1917"/>
      <c r="K731" s="1917"/>
      <c r="L731" s="1917"/>
      <c r="M731" s="1917"/>
      <c r="N731" s="1917"/>
      <c r="O731" s="1917"/>
      <c r="P731" s="1917"/>
      <c r="Q731" s="1917"/>
      <c r="R731" s="1917"/>
      <c r="S731" s="1917"/>
      <c r="T731" s="1917"/>
      <c r="U731" s="1917"/>
      <c r="V731" s="1917"/>
      <c r="W731" s="1917"/>
      <c r="X731" s="1917"/>
      <c r="Y731" s="1917"/>
      <c r="Z731" s="1917"/>
      <c r="AA731" s="1917"/>
      <c r="AB731" s="1917"/>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7"/>
      <c r="F732" s="1917"/>
      <c r="G732" s="1917"/>
      <c r="H732" s="1917"/>
      <c r="I732" s="1917"/>
      <c r="J732" s="1917"/>
      <c r="K732" s="1917"/>
      <c r="L732" s="1917"/>
      <c r="M732" s="1917"/>
      <c r="N732" s="1917"/>
      <c r="O732" s="1917"/>
      <c r="P732" s="1917"/>
      <c r="Q732" s="1917"/>
      <c r="R732" s="1917"/>
      <c r="S732" s="1917"/>
      <c r="T732" s="1917"/>
      <c r="U732" s="1917"/>
      <c r="V732" s="1917"/>
      <c r="W732" s="1917"/>
      <c r="X732" s="1917"/>
      <c r="Y732" s="1917"/>
      <c r="Z732" s="1917"/>
      <c r="AA732" s="1917"/>
      <c r="AB732" s="1917"/>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7"/>
      <c r="F733" s="1917"/>
      <c r="G733" s="1917"/>
      <c r="H733" s="1917"/>
      <c r="I733" s="1917"/>
      <c r="J733" s="1917"/>
      <c r="K733" s="1917"/>
      <c r="L733" s="1917"/>
      <c r="M733" s="1917"/>
      <c r="N733" s="1917"/>
      <c r="O733" s="1917"/>
      <c r="P733" s="1917"/>
      <c r="Q733" s="1917"/>
      <c r="R733" s="1917"/>
      <c r="S733" s="1917"/>
      <c r="T733" s="1917"/>
      <c r="U733" s="1917"/>
      <c r="V733" s="1917"/>
      <c r="W733" s="1917"/>
      <c r="X733" s="1917"/>
      <c r="Y733" s="1917"/>
      <c r="Z733" s="1917"/>
      <c r="AA733" s="1917"/>
      <c r="AB733" s="1917"/>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17" t="s">
        <v>1552</v>
      </c>
      <c r="F735" s="1917"/>
      <c r="G735" s="1917"/>
      <c r="H735" s="1917"/>
      <c r="I735" s="1917"/>
      <c r="J735" s="1917"/>
      <c r="K735" s="1917"/>
      <c r="L735" s="1917"/>
      <c r="M735" s="1917"/>
      <c r="N735" s="1917"/>
      <c r="O735" s="1917"/>
      <c r="P735" s="1917"/>
      <c r="Q735" s="1917"/>
      <c r="R735" s="1917"/>
      <c r="S735" s="1917"/>
      <c r="T735" s="1917"/>
      <c r="U735" s="1917"/>
      <c r="V735" s="1917"/>
      <c r="W735" s="1917"/>
      <c r="X735" s="1917"/>
      <c r="Y735" s="1917"/>
      <c r="Z735" s="1917"/>
      <c r="AA735" s="1917"/>
      <c r="AB735" s="609"/>
      <c r="AC735" s="570"/>
      <c r="AD735" s="570"/>
      <c r="AE735" s="570"/>
      <c r="AF735" s="1997" t="s">
        <v>1517</v>
      </c>
      <c r="AG735" s="1997"/>
      <c r="AH735" s="1997"/>
      <c r="AI735" s="1997"/>
      <c r="AJ735" s="1997"/>
      <c r="AK735" s="1997"/>
      <c r="AL735" s="1997"/>
      <c r="AM735" s="584"/>
      <c r="AN735" s="718"/>
      <c r="AO735" s="30"/>
      <c r="AP735" s="14"/>
    </row>
    <row r="736" spans="1:81" s="604" customFormat="1">
      <c r="A736" s="584"/>
      <c r="B736" s="570"/>
      <c r="C736" s="966"/>
      <c r="D736" s="697"/>
      <c r="E736" s="1917"/>
      <c r="F736" s="1917"/>
      <c r="G736" s="1917"/>
      <c r="H736" s="1917"/>
      <c r="I736" s="1917"/>
      <c r="J736" s="1917"/>
      <c r="K736" s="1917"/>
      <c r="L736" s="1917"/>
      <c r="M736" s="1917"/>
      <c r="N736" s="1917"/>
      <c r="O736" s="1917"/>
      <c r="P736" s="1917"/>
      <c r="Q736" s="1917"/>
      <c r="R736" s="1917"/>
      <c r="S736" s="1917"/>
      <c r="T736" s="1917"/>
      <c r="U736" s="1917"/>
      <c r="V736" s="1917"/>
      <c r="W736" s="1917"/>
      <c r="X736" s="1917"/>
      <c r="Y736" s="1917"/>
      <c r="Z736" s="1917"/>
      <c r="AA736" s="1917"/>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7"/>
      <c r="F737" s="1917"/>
      <c r="G737" s="1917"/>
      <c r="H737" s="1917"/>
      <c r="I737" s="1917"/>
      <c r="J737" s="1917"/>
      <c r="K737" s="1917"/>
      <c r="L737" s="1917"/>
      <c r="M737" s="1917"/>
      <c r="N737" s="1917"/>
      <c r="O737" s="1917"/>
      <c r="P737" s="1917"/>
      <c r="Q737" s="1917"/>
      <c r="R737" s="1917"/>
      <c r="S737" s="1917"/>
      <c r="T737" s="1917"/>
      <c r="U737" s="1917"/>
      <c r="V737" s="1917"/>
      <c r="W737" s="1917"/>
      <c r="X737" s="1917"/>
      <c r="Y737" s="1917"/>
      <c r="Z737" s="1917"/>
      <c r="AA737" s="1917"/>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7"/>
      <c r="F738" s="1917"/>
      <c r="G738" s="1917"/>
      <c r="H738" s="1917"/>
      <c r="I738" s="1917"/>
      <c r="J738" s="1917"/>
      <c r="K738" s="1917"/>
      <c r="L738" s="1917"/>
      <c r="M738" s="1917"/>
      <c r="N738" s="1917"/>
      <c r="O738" s="1917"/>
      <c r="P738" s="1917"/>
      <c r="Q738" s="1917"/>
      <c r="R738" s="1917"/>
      <c r="S738" s="1917"/>
      <c r="T738" s="1917"/>
      <c r="U738" s="1917"/>
      <c r="V738" s="1917"/>
      <c r="W738" s="1917"/>
      <c r="X738" s="1917"/>
      <c r="Y738" s="1917"/>
      <c r="Z738" s="1917"/>
      <c r="AA738" s="1917"/>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41" t="s">
        <v>695</v>
      </c>
      <c r="I740" s="1941"/>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24">
        <f>VLOOKUP($H$740,$AO$669:$AP$671,2,FALSE)</f>
        <v>3</v>
      </c>
      <c r="AK742" s="192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17" t="s">
        <v>1554</v>
      </c>
      <c r="F746" s="1917"/>
      <c r="G746" s="1917"/>
      <c r="H746" s="1917"/>
      <c r="I746" s="1917"/>
      <c r="J746" s="1917"/>
      <c r="K746" s="1917"/>
      <c r="L746" s="1917"/>
      <c r="M746" s="1917"/>
      <c r="N746" s="1917"/>
      <c r="O746" s="1917"/>
      <c r="P746" s="1917"/>
      <c r="Q746" s="1917"/>
      <c r="R746" s="1917"/>
      <c r="S746" s="1917"/>
      <c r="T746" s="1917"/>
      <c r="U746" s="1917"/>
      <c r="V746" s="1917"/>
      <c r="W746" s="1917"/>
      <c r="X746" s="1917"/>
      <c r="Y746" s="1917"/>
      <c r="Z746" s="1917"/>
      <c r="AA746" s="1917"/>
      <c r="AB746" s="1917"/>
      <c r="AC746" s="570"/>
      <c r="AD746" s="570"/>
      <c r="AE746" s="570"/>
      <c r="AF746" s="1997" t="s">
        <v>1517</v>
      </c>
      <c r="AG746" s="1997"/>
      <c r="AH746" s="1997"/>
      <c r="AI746" s="1997"/>
      <c r="AJ746" s="1997"/>
      <c r="AK746" s="1997"/>
      <c r="AL746" s="1997"/>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7"/>
      <c r="F747" s="1917"/>
      <c r="G747" s="1917"/>
      <c r="H747" s="1917"/>
      <c r="I747" s="1917"/>
      <c r="J747" s="1917"/>
      <c r="K747" s="1917"/>
      <c r="L747" s="1917"/>
      <c r="M747" s="1917"/>
      <c r="N747" s="1917"/>
      <c r="O747" s="1917"/>
      <c r="P747" s="1917"/>
      <c r="Q747" s="1917"/>
      <c r="R747" s="1917"/>
      <c r="S747" s="1917"/>
      <c r="T747" s="1917"/>
      <c r="U747" s="1917"/>
      <c r="V747" s="1917"/>
      <c r="W747" s="1917"/>
      <c r="X747" s="1917"/>
      <c r="Y747" s="1917"/>
      <c r="Z747" s="1917"/>
      <c r="AA747" s="1917"/>
      <c r="AB747" s="1917"/>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17" t="s">
        <v>1555</v>
      </c>
      <c r="F749" s="1917"/>
      <c r="G749" s="1917"/>
      <c r="H749" s="1917"/>
      <c r="I749" s="1917"/>
      <c r="J749" s="1917"/>
      <c r="K749" s="1917"/>
      <c r="L749" s="1917"/>
      <c r="M749" s="1917"/>
      <c r="N749" s="1917"/>
      <c r="O749" s="1917"/>
      <c r="P749" s="1917"/>
      <c r="Q749" s="1917"/>
      <c r="R749" s="1917"/>
      <c r="S749" s="1917"/>
      <c r="T749" s="1917"/>
      <c r="U749" s="1917"/>
      <c r="V749" s="1917"/>
      <c r="W749" s="1917"/>
      <c r="X749" s="1917"/>
      <c r="Y749" s="1917"/>
      <c r="Z749" s="1917"/>
      <c r="AA749" s="1917"/>
      <c r="AB749" s="1917"/>
      <c r="AC749" s="570"/>
      <c r="AD749" s="570"/>
      <c r="AE749" s="570"/>
      <c r="AF749" s="1997" t="s">
        <v>1534</v>
      </c>
      <c r="AG749" s="1997"/>
      <c r="AH749" s="1997"/>
      <c r="AI749" s="1997"/>
      <c r="AJ749" s="1997"/>
      <c r="AK749" s="1997"/>
      <c r="AL749" s="1997"/>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7"/>
      <c r="F750" s="1917"/>
      <c r="G750" s="1917"/>
      <c r="H750" s="1917"/>
      <c r="I750" s="1917"/>
      <c r="J750" s="1917"/>
      <c r="K750" s="1917"/>
      <c r="L750" s="1917"/>
      <c r="M750" s="1917"/>
      <c r="N750" s="1917"/>
      <c r="O750" s="1917"/>
      <c r="P750" s="1917"/>
      <c r="Q750" s="1917"/>
      <c r="R750" s="1917"/>
      <c r="S750" s="1917"/>
      <c r="T750" s="1917"/>
      <c r="U750" s="1917"/>
      <c r="V750" s="1917"/>
      <c r="W750" s="1917"/>
      <c r="X750" s="1917"/>
      <c r="Y750" s="1917"/>
      <c r="Z750" s="1917"/>
      <c r="AA750" s="1917"/>
      <c r="AB750" s="1917"/>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41" t="s">
        <v>695</v>
      </c>
      <c r="I752" s="1941"/>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24">
        <f>VLOOKUP($H$752,$AO$686:$AP$688,2,FALSE)</f>
        <v>2</v>
      </c>
      <c r="AK754" s="192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65" customHeight="1">
      <c r="A758" s="584"/>
      <c r="B758" s="650"/>
      <c r="C758" s="975"/>
      <c r="D758" s="697" t="s">
        <v>695</v>
      </c>
      <c r="E758" s="1917" t="s">
        <v>1880</v>
      </c>
      <c r="F758" s="1917"/>
      <c r="G758" s="1917"/>
      <c r="H758" s="1917"/>
      <c r="I758" s="1917"/>
      <c r="J758" s="1917"/>
      <c r="K758" s="1917"/>
      <c r="L758" s="1917"/>
      <c r="M758" s="1917"/>
      <c r="N758" s="1917"/>
      <c r="O758" s="1917"/>
      <c r="P758" s="1917"/>
      <c r="Q758" s="1917"/>
      <c r="R758" s="1917"/>
      <c r="S758" s="1917"/>
      <c r="T758" s="1917"/>
      <c r="U758" s="1917"/>
      <c r="V758" s="1917"/>
      <c r="W758" s="1917"/>
      <c r="X758" s="1917"/>
      <c r="Y758" s="1917"/>
      <c r="Z758" s="1917"/>
      <c r="AA758" s="1917"/>
      <c r="AB758" s="1917"/>
      <c r="AC758" s="1917"/>
      <c r="AD758" s="1917"/>
      <c r="AE758" s="570"/>
      <c r="AF758" s="1997" t="s">
        <v>1517</v>
      </c>
      <c r="AG758" s="1997"/>
      <c r="AH758" s="1997"/>
      <c r="AI758" s="1997"/>
      <c r="AJ758" s="1997"/>
      <c r="AK758" s="1997"/>
      <c r="AL758" s="1997"/>
      <c r="AM758" s="647"/>
      <c r="AN758" s="718"/>
      <c r="AO758" s="584" t="s">
        <v>598</v>
      </c>
      <c r="AP758" s="707">
        <v>0</v>
      </c>
    </row>
    <row r="759" spans="1:74" s="604" customFormat="1" ht="13.65" customHeight="1">
      <c r="A759" s="584"/>
      <c r="B759" s="650"/>
      <c r="C759" s="975"/>
      <c r="D759" s="697"/>
      <c r="E759" s="1917"/>
      <c r="F759" s="1917"/>
      <c r="G759" s="1917"/>
      <c r="H759" s="1917"/>
      <c r="I759" s="1917"/>
      <c r="J759" s="1917"/>
      <c r="K759" s="1917"/>
      <c r="L759" s="1917"/>
      <c r="M759" s="1917"/>
      <c r="N759" s="1917"/>
      <c r="O759" s="1917"/>
      <c r="P759" s="1917"/>
      <c r="Q759" s="1917"/>
      <c r="R759" s="1917"/>
      <c r="S759" s="1917"/>
      <c r="T759" s="1917"/>
      <c r="U759" s="1917"/>
      <c r="V759" s="1917"/>
      <c r="W759" s="1917"/>
      <c r="X759" s="1917"/>
      <c r="Y759" s="1917"/>
      <c r="Z759" s="1917"/>
      <c r="AA759" s="1917"/>
      <c r="AB759" s="1917"/>
      <c r="AC759" s="1917"/>
      <c r="AD759" s="1917"/>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17"/>
      <c r="F760" s="1917"/>
      <c r="G760" s="1917"/>
      <c r="H760" s="1917"/>
      <c r="I760" s="1917"/>
      <c r="J760" s="1917"/>
      <c r="K760" s="1917"/>
      <c r="L760" s="1917"/>
      <c r="M760" s="1917"/>
      <c r="N760" s="1917"/>
      <c r="O760" s="1917"/>
      <c r="P760" s="1917"/>
      <c r="Q760" s="1917"/>
      <c r="R760" s="1917"/>
      <c r="S760" s="1917"/>
      <c r="T760" s="1917"/>
      <c r="U760" s="1917"/>
      <c r="V760" s="1917"/>
      <c r="W760" s="1917"/>
      <c r="X760" s="1917"/>
      <c r="Y760" s="1917"/>
      <c r="Z760" s="1917"/>
      <c r="AA760" s="1917"/>
      <c r="AB760" s="1917"/>
      <c r="AC760" s="1917"/>
      <c r="AD760" s="1917"/>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7"/>
      <c r="F761" s="1917"/>
      <c r="G761" s="1917"/>
      <c r="H761" s="1917"/>
      <c r="I761" s="1917"/>
      <c r="J761" s="1917"/>
      <c r="K761" s="1917"/>
      <c r="L761" s="1917"/>
      <c r="M761" s="1917"/>
      <c r="N761" s="1917"/>
      <c r="O761" s="1917"/>
      <c r="P761" s="1917"/>
      <c r="Q761" s="1917"/>
      <c r="R761" s="1917"/>
      <c r="S761" s="1917"/>
      <c r="T761" s="1917"/>
      <c r="U761" s="1917"/>
      <c r="V761" s="1917"/>
      <c r="W761" s="1917"/>
      <c r="X761" s="1917"/>
      <c r="Y761" s="1917"/>
      <c r="Z761" s="1917"/>
      <c r="AA761" s="1917"/>
      <c r="AB761" s="1917"/>
      <c r="AC761" s="1917"/>
      <c r="AD761" s="1917"/>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29" t="s">
        <v>1885</v>
      </c>
      <c r="F763" s="2029"/>
      <c r="G763" s="2029"/>
      <c r="H763" s="2029"/>
      <c r="I763" s="2029"/>
      <c r="J763" s="2029"/>
      <c r="K763" s="2029"/>
      <c r="L763" s="2029"/>
      <c r="M763" s="2029"/>
      <c r="N763" s="2029"/>
      <c r="O763" s="2029"/>
      <c r="P763" s="2029"/>
      <c r="Q763" s="2029"/>
      <c r="R763" s="2029"/>
      <c r="S763" s="2029"/>
      <c r="T763" s="2029"/>
      <c r="U763" s="2029"/>
      <c r="V763" s="2029"/>
      <c r="W763" s="2029"/>
      <c r="X763" s="2029"/>
      <c r="Y763" s="2029"/>
      <c r="Z763" s="2029"/>
      <c r="AA763" s="2029"/>
      <c r="AB763" s="2029"/>
      <c r="AC763" s="2029"/>
      <c r="AD763" s="2029"/>
      <c r="AE763" s="570"/>
      <c r="AF763" s="1997" t="s">
        <v>1461</v>
      </c>
      <c r="AG763" s="1997"/>
      <c r="AH763" s="1997"/>
      <c r="AI763" s="1997"/>
      <c r="AJ763" s="1997"/>
      <c r="AK763" s="1997"/>
      <c r="AL763" s="1997"/>
      <c r="AM763" s="647"/>
      <c r="AN763" s="631"/>
    </row>
    <row r="764" spans="1:74" s="584" customFormat="1" ht="12.75" customHeight="1">
      <c r="B764" s="650"/>
      <c r="C764" s="975"/>
      <c r="D764" s="697"/>
      <c r="E764" s="2029"/>
      <c r="F764" s="2029"/>
      <c r="G764" s="2029"/>
      <c r="H764" s="2029"/>
      <c r="I764" s="2029"/>
      <c r="J764" s="2029"/>
      <c r="K764" s="2029"/>
      <c r="L764" s="2029"/>
      <c r="M764" s="2029"/>
      <c r="N764" s="2029"/>
      <c r="O764" s="2029"/>
      <c r="P764" s="2029"/>
      <c r="Q764" s="2029"/>
      <c r="R764" s="2029"/>
      <c r="S764" s="2029"/>
      <c r="T764" s="2029"/>
      <c r="U764" s="2029"/>
      <c r="V764" s="2029"/>
      <c r="W764" s="2029"/>
      <c r="X764" s="2029"/>
      <c r="Y764" s="2029"/>
      <c r="Z764" s="2029"/>
      <c r="AA764" s="2029"/>
      <c r="AB764" s="2029"/>
      <c r="AC764" s="2029"/>
      <c r="AD764" s="2029"/>
      <c r="AE764" s="628"/>
      <c r="AF764" s="628"/>
      <c r="AG764" s="628"/>
      <c r="AH764" s="628"/>
      <c r="AI764" s="628"/>
      <c r="AJ764" s="628"/>
      <c r="AK764" s="628"/>
      <c r="AL764" s="628"/>
      <c r="AM764" s="647"/>
      <c r="AN764" s="631"/>
    </row>
    <row r="765" spans="1:74" s="584" customFormat="1" ht="12.75" customHeight="1">
      <c r="B765" s="650"/>
      <c r="C765" s="975"/>
      <c r="D765" s="697"/>
      <c r="E765" s="2029"/>
      <c r="F765" s="2029"/>
      <c r="G765" s="2029"/>
      <c r="H765" s="2029"/>
      <c r="I765" s="2029"/>
      <c r="J765" s="2029"/>
      <c r="K765" s="2029"/>
      <c r="L765" s="2029"/>
      <c r="M765" s="2029"/>
      <c r="N765" s="2029"/>
      <c r="O765" s="2029"/>
      <c r="P765" s="2029"/>
      <c r="Q765" s="2029"/>
      <c r="R765" s="2029"/>
      <c r="S765" s="2029"/>
      <c r="T765" s="2029"/>
      <c r="U765" s="2029"/>
      <c r="V765" s="2029"/>
      <c r="W765" s="2029"/>
      <c r="X765" s="2029"/>
      <c r="Y765" s="2029"/>
      <c r="Z765" s="2029"/>
      <c r="AA765" s="2029"/>
      <c r="AB765" s="2029"/>
      <c r="AC765" s="2029"/>
      <c r="AD765" s="2029"/>
      <c r="AE765" s="628"/>
      <c r="AF765" s="628"/>
      <c r="AG765" s="628"/>
      <c r="AH765" s="628"/>
      <c r="AI765" s="628"/>
      <c r="AJ765" s="628"/>
      <c r="AK765" s="628"/>
      <c r="AL765" s="628"/>
      <c r="AM765" s="647"/>
      <c r="AN765" s="631"/>
    </row>
    <row r="766" spans="1:74" s="584" customFormat="1" ht="12.75" customHeight="1">
      <c r="B766" s="650"/>
      <c r="C766" s="975"/>
      <c r="D766" s="697"/>
      <c r="E766" s="2029"/>
      <c r="F766" s="2029"/>
      <c r="G766" s="2029"/>
      <c r="H766" s="2029"/>
      <c r="I766" s="2029"/>
      <c r="J766" s="2029"/>
      <c r="K766" s="2029"/>
      <c r="L766" s="2029"/>
      <c r="M766" s="2029"/>
      <c r="N766" s="2029"/>
      <c r="O766" s="2029"/>
      <c r="P766" s="2029"/>
      <c r="Q766" s="2029"/>
      <c r="R766" s="2029"/>
      <c r="S766" s="2029"/>
      <c r="T766" s="2029"/>
      <c r="U766" s="2029"/>
      <c r="V766" s="2029"/>
      <c r="W766" s="2029"/>
      <c r="X766" s="2029"/>
      <c r="Y766" s="2029"/>
      <c r="Z766" s="2029"/>
      <c r="AA766" s="2029"/>
      <c r="AB766" s="2029"/>
      <c r="AC766" s="2029"/>
      <c r="AD766" s="2029"/>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41" t="s">
        <v>598</v>
      </c>
      <c r="I768" s="1941"/>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24">
        <f>VLOOKUP($H$768,$AO$758:$AP$760,2,FALSE)</f>
        <v>0</v>
      </c>
      <c r="AK770" s="192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65" customHeight="1">
      <c r="A774" s="584"/>
      <c r="B774" s="650"/>
      <c r="C774" s="975"/>
      <c r="D774" s="697" t="s">
        <v>695</v>
      </c>
      <c r="E774" s="1917" t="s">
        <v>2345</v>
      </c>
      <c r="F774" s="1917"/>
      <c r="G774" s="1917"/>
      <c r="H774" s="1917"/>
      <c r="I774" s="1917"/>
      <c r="J774" s="1917"/>
      <c r="K774" s="1917"/>
      <c r="L774" s="1917"/>
      <c r="M774" s="1917"/>
      <c r="N774" s="1917"/>
      <c r="O774" s="1917"/>
      <c r="P774" s="1917"/>
      <c r="Q774" s="1917"/>
      <c r="R774" s="1917"/>
      <c r="S774" s="1917"/>
      <c r="T774" s="1917"/>
      <c r="U774" s="1917"/>
      <c r="V774" s="1917"/>
      <c r="W774" s="1917"/>
      <c r="X774" s="1917"/>
      <c r="Y774" s="1917"/>
      <c r="Z774" s="1917"/>
      <c r="AA774" s="1917"/>
      <c r="AB774" s="1917"/>
      <c r="AC774" s="1917"/>
      <c r="AD774" s="1917"/>
      <c r="AE774" s="570"/>
      <c r="AF774" s="1997" t="s">
        <v>1461</v>
      </c>
      <c r="AG774" s="1997"/>
      <c r="AH774" s="1997"/>
      <c r="AI774" s="1997"/>
      <c r="AJ774" s="1997"/>
      <c r="AK774" s="1997"/>
      <c r="AL774" s="1997"/>
      <c r="AM774" s="647"/>
      <c r="AN774" s="718"/>
      <c r="AO774" s="645" t="s">
        <v>552</v>
      </c>
      <c r="AP774" s="584">
        <v>3</v>
      </c>
      <c r="AT774" s="708"/>
      <c r="AU774" s="708"/>
      <c r="AV774" s="708"/>
      <c r="AW774" s="708"/>
      <c r="AX774" s="708"/>
      <c r="AY774" s="708"/>
      <c r="AZ774" s="708"/>
    </row>
    <row r="775" spans="1:81" s="604" customFormat="1" ht="13.65" customHeight="1">
      <c r="A775" s="584"/>
      <c r="B775" s="650"/>
      <c r="C775" s="975"/>
      <c r="D775" s="697"/>
      <c r="E775" s="1917"/>
      <c r="F775" s="1917"/>
      <c r="G775" s="1917"/>
      <c r="H775" s="1917"/>
      <c r="I775" s="1917"/>
      <c r="J775" s="1917"/>
      <c r="K775" s="1917"/>
      <c r="L775" s="1917"/>
      <c r="M775" s="1917"/>
      <c r="N775" s="1917"/>
      <c r="O775" s="1917"/>
      <c r="P775" s="1917"/>
      <c r="Q775" s="1917"/>
      <c r="R775" s="1917"/>
      <c r="S775" s="1917"/>
      <c r="T775" s="1917"/>
      <c r="U775" s="1917"/>
      <c r="V775" s="1917"/>
      <c r="W775" s="1917"/>
      <c r="X775" s="1917"/>
      <c r="Y775" s="1917"/>
      <c r="Z775" s="1917"/>
      <c r="AA775" s="1917"/>
      <c r="AB775" s="1917"/>
      <c r="AC775" s="1917"/>
      <c r="AD775" s="1917"/>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7"/>
      <c r="F776" s="1917"/>
      <c r="G776" s="1917"/>
      <c r="H776" s="1917"/>
      <c r="I776" s="1917"/>
      <c r="J776" s="1917"/>
      <c r="K776" s="1917"/>
      <c r="L776" s="1917"/>
      <c r="M776" s="1917"/>
      <c r="N776" s="1917"/>
      <c r="O776" s="1917"/>
      <c r="P776" s="1917"/>
      <c r="Q776" s="1917"/>
      <c r="R776" s="1917"/>
      <c r="S776" s="1917"/>
      <c r="T776" s="1917"/>
      <c r="U776" s="1917"/>
      <c r="V776" s="1917"/>
      <c r="W776" s="1917"/>
      <c r="X776" s="1917"/>
      <c r="Y776" s="1917"/>
      <c r="Z776" s="1917"/>
      <c r="AA776" s="1917"/>
      <c r="AB776" s="1917"/>
      <c r="AC776" s="1917"/>
      <c r="AD776" s="1917"/>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7"/>
      <c r="F777" s="1917"/>
      <c r="G777" s="1917"/>
      <c r="H777" s="1917"/>
      <c r="I777" s="1917"/>
      <c r="J777" s="1917"/>
      <c r="K777" s="1917"/>
      <c r="L777" s="1917"/>
      <c r="M777" s="1917"/>
      <c r="N777" s="1917"/>
      <c r="O777" s="1917"/>
      <c r="P777" s="1917"/>
      <c r="Q777" s="1917"/>
      <c r="R777" s="1917"/>
      <c r="S777" s="1917"/>
      <c r="T777" s="1917"/>
      <c r="U777" s="1917"/>
      <c r="V777" s="1917"/>
      <c r="W777" s="1917"/>
      <c r="X777" s="1917"/>
      <c r="Y777" s="1917"/>
      <c r="Z777" s="1917"/>
      <c r="AA777" s="1917"/>
      <c r="AB777" s="1917"/>
      <c r="AC777" s="1917"/>
      <c r="AD777" s="1917"/>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41" t="s">
        <v>598</v>
      </c>
      <c r="I779" s="1941"/>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24">
        <f>VLOOKUP($H$779,$AO$773:$AP$774,2,FALSE)</f>
        <v>0</v>
      </c>
      <c r="AK781" s="192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24">
        <f>IF(($AJ$610+$AJ$629+$AJ$641+$AJ$676+$AJ$700+$AJ$714+$AJ$726+$AJ$742+$AJ$754+$AJ$770+AJ781)&gt;10,10,($AJ$610+$AJ$629+$AJ$641+$AJ$676+$AJ$700+$AJ$714+$AJ$726+$AJ$742+$AJ$754+$AJ$770+AJ781))</f>
        <v>10</v>
      </c>
      <c r="AL783" s="1925"/>
      <c r="AM783" s="192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8" t="s">
        <v>1678</v>
      </c>
      <c r="B786" s="1989"/>
      <c r="C786" s="1989"/>
      <c r="D786" s="1989"/>
      <c r="E786" s="1989"/>
      <c r="F786" s="1989"/>
      <c r="G786" s="1989"/>
      <c r="H786" s="1989"/>
      <c r="I786" s="1989"/>
      <c r="J786" s="1989"/>
      <c r="K786" s="1989"/>
      <c r="L786" s="1989"/>
      <c r="M786" s="1989"/>
      <c r="N786" s="1989"/>
      <c r="O786" s="1989"/>
      <c r="P786" s="1989"/>
      <c r="Q786" s="1989"/>
      <c r="R786" s="1989"/>
      <c r="S786" s="1989"/>
      <c r="T786" s="1989"/>
      <c r="U786" s="1989"/>
      <c r="V786" s="1989"/>
      <c r="W786" s="1989"/>
      <c r="X786" s="1989"/>
      <c r="Y786" s="1989"/>
      <c r="Z786" s="1989"/>
      <c r="AA786" s="1989"/>
      <c r="AB786" s="1989"/>
      <c r="AC786" s="1989"/>
      <c r="AD786" s="1989"/>
      <c r="AE786" s="1989"/>
      <c r="AF786" s="1989"/>
      <c r="AG786" s="1989"/>
      <c r="AH786" s="1989"/>
      <c r="AI786" s="1989"/>
      <c r="AJ786" s="1989"/>
      <c r="AK786" s="1989"/>
      <c r="AL786" s="1989"/>
      <c r="AM786" s="1989"/>
    </row>
    <row r="787" spans="1:43">
      <c r="A787" s="1990"/>
      <c r="B787" s="1990"/>
      <c r="C787" s="1990"/>
      <c r="D787" s="1990"/>
      <c r="E787" s="1990"/>
      <c r="F787" s="1990"/>
      <c r="G787" s="1990"/>
      <c r="H787" s="1990"/>
      <c r="I787" s="1990"/>
      <c r="J787" s="1990"/>
      <c r="K787" s="1990"/>
      <c r="L787" s="1990"/>
      <c r="M787" s="1990"/>
      <c r="N787" s="1990"/>
      <c r="O787" s="1990"/>
      <c r="P787" s="1990"/>
      <c r="Q787" s="1990"/>
      <c r="R787" s="1990"/>
      <c r="S787" s="1990"/>
      <c r="T787" s="1990"/>
      <c r="U787" s="1990"/>
      <c r="V787" s="1990"/>
      <c r="W787" s="1990"/>
      <c r="X787" s="1990"/>
      <c r="Y787" s="1990"/>
      <c r="Z787" s="1990"/>
      <c r="AA787" s="1990"/>
      <c r="AB787" s="1990"/>
      <c r="AC787" s="1990"/>
      <c r="AD787" s="1990"/>
      <c r="AE787" s="1990"/>
      <c r="AF787" s="1990"/>
      <c r="AG787" s="1990"/>
      <c r="AH787" s="1990"/>
      <c r="AI787" s="1990"/>
      <c r="AJ787" s="1990"/>
      <c r="AK787" s="1990"/>
      <c r="AL787" s="1990"/>
      <c r="AM787" s="1990"/>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7"/>
      <c r="B789" s="1927"/>
      <c r="C789" s="1927"/>
      <c r="D789" s="1927"/>
      <c r="E789" s="1927"/>
      <c r="F789" s="1927"/>
      <c r="G789" s="1927"/>
      <c r="H789" s="1927"/>
      <c r="I789" s="1927"/>
      <c r="J789" s="1927"/>
      <c r="K789" s="1927"/>
      <c r="L789" s="1927"/>
      <c r="M789" s="1927"/>
      <c r="N789" s="1927"/>
      <c r="O789" s="1927"/>
      <c r="P789" s="1927"/>
      <c r="Q789" s="1927"/>
      <c r="R789" s="1927"/>
      <c r="S789" s="1927"/>
      <c r="T789" s="1927"/>
      <c r="U789" s="1927"/>
      <c r="V789" s="1927"/>
      <c r="W789" s="1927"/>
      <c r="X789" s="1927"/>
      <c r="Y789" s="1927"/>
      <c r="Z789" s="1927"/>
      <c r="AA789" s="1927"/>
      <c r="AB789" s="1927"/>
      <c r="AC789" s="1927"/>
      <c r="AD789" s="1927"/>
      <c r="AE789" s="1927"/>
      <c r="AF789" s="1927"/>
      <c r="AG789" s="1927"/>
      <c r="AH789" s="1927"/>
      <c r="AI789" s="1927"/>
      <c r="AJ789" s="1927"/>
      <c r="AK789" s="1927"/>
      <c r="AL789" s="1927"/>
      <c r="AM789" s="1927"/>
      <c r="AP789" s="850"/>
      <c r="AQ789" s="850"/>
    </row>
    <row r="790" spans="1:43">
      <c r="A790" s="1927"/>
      <c r="B790" s="1927"/>
      <c r="C790" s="1927"/>
      <c r="D790" s="1927"/>
      <c r="E790" s="1927"/>
      <c r="F790" s="1927"/>
      <c r="G790" s="1927"/>
      <c r="H790" s="1927"/>
      <c r="I790" s="1927"/>
      <c r="J790" s="1927"/>
      <c r="K790" s="1927"/>
      <c r="L790" s="1927"/>
      <c r="M790" s="1927"/>
      <c r="N790" s="1927"/>
      <c r="O790" s="1927"/>
      <c r="P790" s="1927"/>
      <c r="Q790" s="1927"/>
      <c r="R790" s="1927"/>
      <c r="S790" s="1927"/>
      <c r="T790" s="1927"/>
      <c r="U790" s="1927"/>
      <c r="V790" s="1927"/>
      <c r="W790" s="1927"/>
      <c r="X790" s="1927"/>
      <c r="Y790" s="1927"/>
      <c r="Z790" s="1927"/>
      <c r="AA790" s="1927"/>
      <c r="AB790" s="1927"/>
      <c r="AC790" s="1927"/>
      <c r="AD790" s="1927"/>
      <c r="AE790" s="1927"/>
      <c r="AF790" s="1927"/>
      <c r="AG790" s="1927"/>
      <c r="AH790" s="1927"/>
      <c r="AI790" s="1927"/>
      <c r="AJ790" s="1927"/>
      <c r="AK790" s="1927"/>
      <c r="AL790" s="1927"/>
      <c r="AM790" s="192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91" t="s">
        <v>1679</v>
      </c>
      <c r="U791" s="1992"/>
      <c r="V791" s="1992"/>
      <c r="W791" s="1992"/>
      <c r="X791" s="1992"/>
      <c r="Y791" s="1993"/>
      <c r="Z791" s="1991" t="s">
        <v>1680</v>
      </c>
      <c r="AA791" s="1992"/>
      <c r="AB791" s="1992"/>
      <c r="AC791" s="1992"/>
      <c r="AD791" s="1992"/>
      <c r="AE791" s="1993"/>
      <c r="AF791" s="1991" t="s">
        <v>1681</v>
      </c>
      <c r="AG791" s="1992"/>
      <c r="AH791" s="1992"/>
      <c r="AI791" s="1992"/>
      <c r="AJ791" s="1992"/>
      <c r="AK791" s="1993"/>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94"/>
      <c r="U792" s="1995"/>
      <c r="V792" s="1995"/>
      <c r="W792" s="1995"/>
      <c r="X792" s="1995"/>
      <c r="Y792" s="1996"/>
      <c r="Z792" s="1994"/>
      <c r="AA792" s="1995"/>
      <c r="AB792" s="1995"/>
      <c r="AC792" s="1995"/>
      <c r="AD792" s="1995"/>
      <c r="AE792" s="1996"/>
      <c r="AF792" s="1994"/>
      <c r="AG792" s="1995"/>
      <c r="AH792" s="1995"/>
      <c r="AI792" s="1995"/>
      <c r="AJ792" s="1995"/>
      <c r="AK792" s="1996"/>
      <c r="AL792" s="852"/>
      <c r="AM792" s="630"/>
      <c r="AO792" s="850"/>
      <c r="AP792" s="850"/>
      <c r="AQ792" s="850"/>
    </row>
    <row r="793" spans="1:43">
      <c r="A793" s="853" t="s">
        <v>765</v>
      </c>
      <c r="B793" s="1948" t="s">
        <v>1413</v>
      </c>
      <c r="C793" s="1948"/>
      <c r="D793" s="1948"/>
      <c r="E793" s="1948"/>
      <c r="F793" s="1948"/>
      <c r="G793" s="1948"/>
      <c r="H793" s="1948"/>
      <c r="I793" s="1948"/>
      <c r="J793" s="1948"/>
      <c r="K793" s="1948"/>
      <c r="L793" s="1948"/>
      <c r="M793" s="1948"/>
      <c r="N793" s="1948"/>
      <c r="O793" s="1948"/>
      <c r="P793" s="1948"/>
      <c r="Q793" s="1948"/>
      <c r="R793" s="1948"/>
      <c r="S793" s="1949"/>
      <c r="T793" s="1976">
        <f>AK56</f>
        <v>0</v>
      </c>
      <c r="U793" s="1952"/>
      <c r="V793" s="1952"/>
      <c r="W793" s="1952"/>
      <c r="X793" s="1952"/>
      <c r="Y793" s="1953"/>
      <c r="Z793" s="1951">
        <v>20</v>
      </c>
      <c r="AA793" s="1952"/>
      <c r="AB793" s="1952"/>
      <c r="AC793" s="1952"/>
      <c r="AD793" s="1952"/>
      <c r="AE793" s="1953"/>
      <c r="AF793" s="1937">
        <f>IF(T793&gt;Z793,Z793,T793)</f>
        <v>0</v>
      </c>
      <c r="AG793" s="1937"/>
      <c r="AH793" s="1937"/>
      <c r="AI793" s="1937"/>
      <c r="AJ793" s="1937"/>
      <c r="AK793" s="1937"/>
      <c r="AL793" s="852"/>
      <c r="AM793" s="630"/>
      <c r="AO793" s="850"/>
      <c r="AP793" s="850"/>
      <c r="AQ793" s="850"/>
    </row>
    <row r="794" spans="1:43">
      <c r="A794" s="853" t="s">
        <v>1651</v>
      </c>
      <c r="B794" s="1948" t="s">
        <v>1422</v>
      </c>
      <c r="C794" s="1948"/>
      <c r="D794" s="1948"/>
      <c r="E794" s="1948"/>
      <c r="F794" s="1948"/>
      <c r="G794" s="1948"/>
      <c r="H794" s="1948"/>
      <c r="I794" s="1948"/>
      <c r="J794" s="1948"/>
      <c r="K794" s="1948"/>
      <c r="L794" s="1948"/>
      <c r="M794" s="1948"/>
      <c r="N794" s="1948"/>
      <c r="O794" s="1948"/>
      <c r="P794" s="1948"/>
      <c r="Q794" s="1948"/>
      <c r="R794" s="1948"/>
      <c r="S794" s="1949"/>
      <c r="T794" s="1976">
        <f>AK78</f>
        <v>10</v>
      </c>
      <c r="U794" s="1952"/>
      <c r="V794" s="1952"/>
      <c r="W794" s="1952"/>
      <c r="X794" s="1952"/>
      <c r="Y794" s="1953"/>
      <c r="Z794" s="1951">
        <v>10</v>
      </c>
      <c r="AA794" s="1952"/>
      <c r="AB794" s="1952"/>
      <c r="AC794" s="1952"/>
      <c r="AD794" s="1952"/>
      <c r="AE794" s="1953"/>
      <c r="AF794" s="1937">
        <f>IF(T794&gt;Z794,Z794,T794)</f>
        <v>10</v>
      </c>
      <c r="AG794" s="1937"/>
      <c r="AH794" s="1937"/>
      <c r="AI794" s="1937"/>
      <c r="AJ794" s="1937"/>
      <c r="AK794" s="1937"/>
      <c r="AL794" s="852"/>
      <c r="AM794" s="630"/>
      <c r="AO794" s="850"/>
      <c r="AP794" s="850"/>
      <c r="AQ794" s="850"/>
    </row>
    <row r="795" spans="1:43">
      <c r="A795" s="853" t="s">
        <v>1660</v>
      </c>
      <c r="B795" s="1948" t="s">
        <v>1432</v>
      </c>
      <c r="C795" s="1948"/>
      <c r="D795" s="1948"/>
      <c r="E795" s="1948"/>
      <c r="F795" s="1948"/>
      <c r="G795" s="1948"/>
      <c r="H795" s="1948"/>
      <c r="I795" s="1948"/>
      <c r="J795" s="1948"/>
      <c r="K795" s="1948"/>
      <c r="L795" s="1948"/>
      <c r="M795" s="1948"/>
      <c r="N795" s="1948"/>
      <c r="O795" s="1948"/>
      <c r="P795" s="1948"/>
      <c r="Q795" s="1948"/>
      <c r="R795" s="1948"/>
      <c r="S795" s="1949"/>
      <c r="T795" s="1976">
        <f ca="1">AK103</f>
        <v>20</v>
      </c>
      <c r="U795" s="1952"/>
      <c r="V795" s="1952"/>
      <c r="W795" s="1952"/>
      <c r="X795" s="1952"/>
      <c r="Y795" s="1953"/>
      <c r="Z795" s="1951">
        <v>20</v>
      </c>
      <c r="AA795" s="1952"/>
      <c r="AB795" s="1952"/>
      <c r="AC795" s="1952"/>
      <c r="AD795" s="1952"/>
      <c r="AE795" s="1953"/>
      <c r="AF795" s="1937">
        <f ca="1">IF(T795&gt;Z795,Z795,T795)</f>
        <v>20</v>
      </c>
      <c r="AG795" s="1937"/>
      <c r="AH795" s="1937"/>
      <c r="AI795" s="1937"/>
      <c r="AJ795" s="1937"/>
      <c r="AK795" s="1937"/>
      <c r="AL795" s="852"/>
      <c r="AM795" s="630"/>
      <c r="AO795" s="850"/>
      <c r="AP795" s="850"/>
      <c r="AQ795" s="850"/>
    </row>
    <row r="796" spans="1:43">
      <c r="A796" s="853" t="s">
        <v>1682</v>
      </c>
      <c r="B796" s="1948" t="s">
        <v>1442</v>
      </c>
      <c r="C796" s="1948"/>
      <c r="D796" s="1948"/>
      <c r="E796" s="1948"/>
      <c r="F796" s="1948"/>
      <c r="G796" s="1948"/>
      <c r="H796" s="1948"/>
      <c r="I796" s="1948"/>
      <c r="J796" s="1948"/>
      <c r="K796" s="1948"/>
      <c r="L796" s="1948"/>
      <c r="M796" s="1948"/>
      <c r="N796" s="1948"/>
      <c r="O796" s="1948"/>
      <c r="P796" s="1948"/>
      <c r="Q796" s="1948"/>
      <c r="R796" s="1948"/>
      <c r="S796" s="1949"/>
      <c r="T796" s="1976">
        <f>AK137</f>
        <v>10</v>
      </c>
      <c r="U796" s="1952"/>
      <c r="V796" s="1952"/>
      <c r="W796" s="1952"/>
      <c r="X796" s="1952"/>
      <c r="Y796" s="1953"/>
      <c r="Z796" s="1951">
        <v>10</v>
      </c>
      <c r="AA796" s="1952"/>
      <c r="AB796" s="1952"/>
      <c r="AC796" s="1952"/>
      <c r="AD796" s="1952"/>
      <c r="AE796" s="1953"/>
      <c r="AF796" s="1937">
        <f>IF(T796&gt;Z796,Z796,T796)</f>
        <v>10</v>
      </c>
      <c r="AG796" s="1937"/>
      <c r="AH796" s="1937"/>
      <c r="AI796" s="1937"/>
      <c r="AJ796" s="1937"/>
      <c r="AK796" s="1937"/>
      <c r="AL796" s="852"/>
      <c r="AM796" s="630"/>
      <c r="AO796" s="850"/>
      <c r="AP796" s="850"/>
      <c r="AQ796" s="850"/>
    </row>
    <row r="797" spans="1:43">
      <c r="A797" s="854" t="s">
        <v>1683</v>
      </c>
      <c r="B797" s="1948" t="s">
        <v>1684</v>
      </c>
      <c r="C797" s="1948"/>
      <c r="D797" s="1948"/>
      <c r="E797" s="1948"/>
      <c r="F797" s="1948"/>
      <c r="G797" s="1948"/>
      <c r="H797" s="1948"/>
      <c r="I797" s="1948"/>
      <c r="J797" s="1948"/>
      <c r="K797" s="1948"/>
      <c r="L797" s="1948"/>
      <c r="M797" s="1948"/>
      <c r="N797" s="1948"/>
      <c r="O797" s="1948"/>
      <c r="P797" s="1948"/>
      <c r="Q797" s="1948"/>
      <c r="R797" s="1948"/>
      <c r="S797" s="1949"/>
      <c r="T797" s="1950">
        <f>SUM(T798:Y799)</f>
        <v>10</v>
      </c>
      <c r="U797" s="1950"/>
      <c r="V797" s="1950"/>
      <c r="W797" s="1950"/>
      <c r="X797" s="1950"/>
      <c r="Y797" s="1950"/>
      <c r="Z797" s="1937">
        <v>10</v>
      </c>
      <c r="AA797" s="1937"/>
      <c r="AB797" s="1937"/>
      <c r="AC797" s="1937"/>
      <c r="AD797" s="1937"/>
      <c r="AE797" s="1937"/>
      <c r="AF797" s="1937">
        <f>IF(T797&gt;Z797,Z797,T797)</f>
        <v>10</v>
      </c>
      <c r="AG797" s="1937"/>
      <c r="AH797" s="1937"/>
      <c r="AI797" s="1937"/>
      <c r="AJ797" s="1937"/>
      <c r="AK797" s="1937"/>
      <c r="AL797" s="852"/>
      <c r="AM797" s="630"/>
    </row>
    <row r="798" spans="1:43">
      <c r="A798" s="569"/>
      <c r="B798" s="635"/>
      <c r="C798" s="1954" t="s">
        <v>1685</v>
      </c>
      <c r="D798" s="1954"/>
      <c r="E798" s="1954"/>
      <c r="F798" s="1954"/>
      <c r="G798" s="1954"/>
      <c r="H798" s="1954"/>
      <c r="I798" s="1954"/>
      <c r="J798" s="1954"/>
      <c r="K798" s="1954"/>
      <c r="L798" s="1954"/>
      <c r="M798" s="1954"/>
      <c r="N798" s="1954"/>
      <c r="O798" s="1954"/>
      <c r="P798" s="1954"/>
      <c r="Q798" s="1954"/>
      <c r="R798" s="1954"/>
      <c r="S798" s="1955"/>
      <c r="T798" s="1956">
        <f>AJ155</f>
        <v>7</v>
      </c>
      <c r="U798" s="1956"/>
      <c r="V798" s="1956"/>
      <c r="W798" s="1956"/>
      <c r="X798" s="1956"/>
      <c r="Y798" s="1956"/>
      <c r="Z798" s="1957">
        <v>7</v>
      </c>
      <c r="AA798" s="1957"/>
      <c r="AB798" s="1957"/>
      <c r="AC798" s="1957"/>
      <c r="AD798" s="1957"/>
      <c r="AE798" s="1957"/>
      <c r="AF798" s="1958"/>
      <c r="AG798" s="1958"/>
      <c r="AH798" s="1958"/>
      <c r="AI798" s="1958"/>
      <c r="AJ798" s="1958"/>
      <c r="AK798" s="1958"/>
      <c r="AL798" s="852"/>
      <c r="AM798" s="630"/>
    </row>
    <row r="799" spans="1:43">
      <c r="A799" s="634"/>
      <c r="B799" s="635"/>
      <c r="C799" s="1954" t="s">
        <v>1686</v>
      </c>
      <c r="D799" s="1954"/>
      <c r="E799" s="1954"/>
      <c r="F799" s="1954"/>
      <c r="G799" s="1954"/>
      <c r="H799" s="1954"/>
      <c r="I799" s="1954"/>
      <c r="J799" s="1954"/>
      <c r="K799" s="1954"/>
      <c r="L799" s="1954"/>
      <c r="M799" s="1954"/>
      <c r="N799" s="1954"/>
      <c r="O799" s="1954"/>
      <c r="P799" s="1954"/>
      <c r="Q799" s="1954"/>
      <c r="R799" s="1954"/>
      <c r="S799" s="1955"/>
      <c r="T799" s="1956">
        <f>AJ169</f>
        <v>3</v>
      </c>
      <c r="U799" s="1956"/>
      <c r="V799" s="1956"/>
      <c r="W799" s="1956"/>
      <c r="X799" s="1956"/>
      <c r="Y799" s="1956"/>
      <c r="Z799" s="1957">
        <v>3</v>
      </c>
      <c r="AA799" s="1957"/>
      <c r="AB799" s="1957"/>
      <c r="AC799" s="1957"/>
      <c r="AD799" s="1957"/>
      <c r="AE799" s="1957"/>
      <c r="AF799" s="1958"/>
      <c r="AG799" s="1958"/>
      <c r="AH799" s="1958"/>
      <c r="AI799" s="1958"/>
      <c r="AJ799" s="1958"/>
      <c r="AK799" s="1958"/>
      <c r="AL799" s="852"/>
      <c r="AM799" s="630"/>
      <c r="AO799" s="584"/>
    </row>
    <row r="800" spans="1:43">
      <c r="A800" s="854" t="s">
        <v>1470</v>
      </c>
      <c r="B800" s="1948" t="s">
        <v>1687</v>
      </c>
      <c r="C800" s="1948"/>
      <c r="D800" s="1948"/>
      <c r="E800" s="1948"/>
      <c r="F800" s="1948"/>
      <c r="G800" s="1948"/>
      <c r="H800" s="1948"/>
      <c r="I800" s="1948"/>
      <c r="J800" s="1948"/>
      <c r="K800" s="1948"/>
      <c r="L800" s="1948"/>
      <c r="M800" s="1948"/>
      <c r="N800" s="1948"/>
      <c r="O800" s="1948"/>
      <c r="P800" s="1948"/>
      <c r="Q800" s="1948"/>
      <c r="R800" s="1948"/>
      <c r="S800" s="1949"/>
      <c r="T800" s="1950">
        <f>AK180</f>
        <v>10</v>
      </c>
      <c r="U800" s="1950"/>
      <c r="V800" s="1950"/>
      <c r="W800" s="1950"/>
      <c r="X800" s="1950"/>
      <c r="Y800" s="1950"/>
      <c r="Z800" s="1937">
        <v>10</v>
      </c>
      <c r="AA800" s="1937"/>
      <c r="AB800" s="1937"/>
      <c r="AC800" s="1937"/>
      <c r="AD800" s="1937"/>
      <c r="AE800" s="1937"/>
      <c r="AF800" s="1937">
        <f>IF(T800&gt;Z800,Z800,T800)</f>
        <v>10</v>
      </c>
      <c r="AG800" s="1937"/>
      <c r="AH800" s="1937"/>
      <c r="AI800" s="1937"/>
      <c r="AJ800" s="1937"/>
      <c r="AK800" s="1937"/>
      <c r="AL800" s="852"/>
      <c r="AM800" s="630"/>
    </row>
    <row r="801" spans="1:81">
      <c r="A801" s="853" t="s">
        <v>1479</v>
      </c>
      <c r="B801" s="1948" t="s">
        <v>1480</v>
      </c>
      <c r="C801" s="1948"/>
      <c r="D801" s="1948"/>
      <c r="E801" s="1948"/>
      <c r="F801" s="1948"/>
      <c r="G801" s="1948"/>
      <c r="H801" s="1948"/>
      <c r="I801" s="1948"/>
      <c r="J801" s="1948"/>
      <c r="K801" s="1948"/>
      <c r="L801" s="1948"/>
      <c r="M801" s="1948"/>
      <c r="N801" s="1948"/>
      <c r="O801" s="1948"/>
      <c r="P801" s="1948"/>
      <c r="Q801" s="1948"/>
      <c r="R801" s="1948"/>
      <c r="S801" s="1949"/>
      <c r="T801" s="1950">
        <f>AK262</f>
        <v>8</v>
      </c>
      <c r="U801" s="1950"/>
      <c r="V801" s="1950"/>
      <c r="W801" s="1950"/>
      <c r="X801" s="1950"/>
      <c r="Y801" s="1950"/>
      <c r="Z801" s="1951">
        <v>8</v>
      </c>
      <c r="AA801" s="1952"/>
      <c r="AB801" s="1952"/>
      <c r="AC801" s="1952"/>
      <c r="AD801" s="1952"/>
      <c r="AE801" s="1953"/>
      <c r="AF801" s="1937">
        <f>IF(T801&gt;Z801,Z801,T801)</f>
        <v>8</v>
      </c>
      <c r="AG801" s="1937"/>
      <c r="AH801" s="1937"/>
      <c r="AI801" s="1937"/>
      <c r="AJ801" s="1937"/>
      <c r="AK801" s="1937"/>
      <c r="AL801" s="852"/>
      <c r="AM801" s="630"/>
    </row>
    <row r="802" spans="1:81" s="568" customFormat="1" hidden="1">
      <c r="A802" s="854" t="s">
        <v>596</v>
      </c>
      <c r="B802" s="1948" t="s">
        <v>1688</v>
      </c>
      <c r="C802" s="1948"/>
      <c r="D802" s="1948"/>
      <c r="E802" s="1948"/>
      <c r="F802" s="1948"/>
      <c r="G802" s="1948"/>
      <c r="H802" s="1948"/>
      <c r="I802" s="1948"/>
      <c r="J802" s="1948"/>
      <c r="K802" s="1948"/>
      <c r="L802" s="1948"/>
      <c r="M802" s="1948"/>
      <c r="N802" s="1948"/>
      <c r="O802" s="1948"/>
      <c r="P802" s="1948"/>
      <c r="Q802" s="1948"/>
      <c r="R802" s="1948"/>
      <c r="S802" s="1949"/>
      <c r="T802" s="1950">
        <f>IF(AK524&gt;5,5,AK524)</f>
        <v>0</v>
      </c>
      <c r="U802" s="1950"/>
      <c r="V802" s="1950"/>
      <c r="W802" s="1950"/>
      <c r="X802" s="1950"/>
      <c r="Y802" s="1950"/>
      <c r="Z802" s="1937">
        <v>5</v>
      </c>
      <c r="AA802" s="1937"/>
      <c r="AB802" s="1937"/>
      <c r="AC802" s="1937"/>
      <c r="AD802" s="1937"/>
      <c r="AE802" s="1937"/>
      <c r="AF802" s="1937">
        <f>IF(T802&gt;Z802,5,T802)</f>
        <v>0</v>
      </c>
      <c r="AG802" s="1937"/>
      <c r="AH802" s="1937"/>
      <c r="AI802" s="1937"/>
      <c r="AJ802" s="1937"/>
      <c r="AK802" s="193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48" t="s">
        <v>1689</v>
      </c>
      <c r="C803" s="1948"/>
      <c r="D803" s="1948"/>
      <c r="E803" s="1948"/>
      <c r="F803" s="1948"/>
      <c r="G803" s="1948"/>
      <c r="H803" s="1948"/>
      <c r="I803" s="1948"/>
      <c r="J803" s="1948"/>
      <c r="K803" s="1948"/>
      <c r="L803" s="1948"/>
      <c r="M803" s="1948"/>
      <c r="N803" s="1948"/>
      <c r="O803" s="1948"/>
      <c r="P803" s="1948"/>
      <c r="Q803" s="1948"/>
      <c r="R803" s="1948"/>
      <c r="S803" s="1949"/>
      <c r="T803" s="1950">
        <f>AK274</f>
        <v>10</v>
      </c>
      <c r="U803" s="1950"/>
      <c r="V803" s="1950"/>
      <c r="W803" s="1950"/>
      <c r="X803" s="1950"/>
      <c r="Y803" s="1950"/>
      <c r="Z803" s="1937">
        <v>10</v>
      </c>
      <c r="AA803" s="1937"/>
      <c r="AB803" s="1937"/>
      <c r="AC803" s="1937"/>
      <c r="AD803" s="1937"/>
      <c r="AE803" s="1937"/>
      <c r="AF803" s="1959">
        <f>IF(T803&gt;Z803,Z803,T803)</f>
        <v>10</v>
      </c>
      <c r="AG803" s="1960"/>
      <c r="AH803" s="1960"/>
      <c r="AI803" s="1960"/>
      <c r="AJ803" s="1960"/>
      <c r="AK803" s="196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48" t="s">
        <v>1490</v>
      </c>
      <c r="C804" s="1948"/>
      <c r="D804" s="1948"/>
      <c r="E804" s="1948"/>
      <c r="F804" s="1948"/>
      <c r="G804" s="1948"/>
      <c r="H804" s="1948"/>
      <c r="I804" s="1948"/>
      <c r="J804" s="1948"/>
      <c r="K804" s="1948"/>
      <c r="L804" s="1948"/>
      <c r="M804" s="1948"/>
      <c r="N804" s="1948"/>
      <c r="O804" s="1948"/>
      <c r="P804" s="1948"/>
      <c r="Q804" s="1948"/>
      <c r="R804" s="1948"/>
      <c r="S804" s="1949"/>
      <c r="T804" s="1950">
        <f>AK327</f>
        <v>9</v>
      </c>
      <c r="U804" s="1950"/>
      <c r="V804" s="1950"/>
      <c r="W804" s="1950"/>
      <c r="X804" s="1950"/>
      <c r="Y804" s="1950"/>
      <c r="Z804" s="1959">
        <v>10</v>
      </c>
      <c r="AA804" s="1960"/>
      <c r="AB804" s="1960"/>
      <c r="AC804" s="1960"/>
      <c r="AD804" s="1960"/>
      <c r="AE804" s="1961"/>
      <c r="AF804" s="1959">
        <f>IF(T804&gt;Z804,Z804,T804)</f>
        <v>9</v>
      </c>
      <c r="AG804" s="1960"/>
      <c r="AH804" s="1960"/>
      <c r="AI804" s="1960"/>
      <c r="AJ804" s="1960"/>
      <c r="AK804" s="196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56">
        <f>AK327</f>
        <v>9</v>
      </c>
      <c r="U805" s="1956"/>
      <c r="V805" s="1956"/>
      <c r="W805" s="1956"/>
      <c r="X805" s="1956"/>
      <c r="Y805" s="1956"/>
      <c r="Z805" s="1924">
        <v>20</v>
      </c>
      <c r="AA805" s="1925"/>
      <c r="AB805" s="1925"/>
      <c r="AC805" s="1925"/>
      <c r="AD805" s="1925"/>
      <c r="AE805" s="1926"/>
      <c r="AF805" s="1958"/>
      <c r="AG805" s="1958"/>
      <c r="AH805" s="1958"/>
      <c r="AI805" s="1958"/>
      <c r="AJ805" s="1958"/>
      <c r="AK805" s="195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48" t="s">
        <v>855</v>
      </c>
      <c r="C806" s="1948"/>
      <c r="D806" s="1948"/>
      <c r="E806" s="1948"/>
      <c r="F806" s="1948"/>
      <c r="G806" s="1948"/>
      <c r="H806" s="1948"/>
      <c r="I806" s="1948"/>
      <c r="J806" s="1948"/>
      <c r="K806" s="1948"/>
      <c r="L806" s="1948"/>
      <c r="M806" s="1948"/>
      <c r="N806" s="1948"/>
      <c r="O806" s="1948"/>
      <c r="P806" s="1948"/>
      <c r="Q806" s="1948"/>
      <c r="R806" s="1948"/>
      <c r="S806" s="1949"/>
      <c r="T806" s="1950">
        <f>AK458</f>
        <v>10</v>
      </c>
      <c r="U806" s="1950"/>
      <c r="V806" s="1950"/>
      <c r="W806" s="1950"/>
      <c r="X806" s="1950"/>
      <c r="Y806" s="1950"/>
      <c r="Z806" s="1959">
        <v>10</v>
      </c>
      <c r="AA806" s="1960"/>
      <c r="AB806" s="1960"/>
      <c r="AC806" s="1960"/>
      <c r="AD806" s="1960"/>
      <c r="AE806" s="1961"/>
      <c r="AF806" s="1937">
        <f>IF(T806&gt;Z806,Z806,T806)</f>
        <v>10</v>
      </c>
      <c r="AG806" s="1937"/>
      <c r="AH806" s="1937"/>
      <c r="AI806" s="1937"/>
      <c r="AJ806" s="1937"/>
      <c r="AK806" s="193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48" t="s">
        <v>1669</v>
      </c>
      <c r="C807" s="1948"/>
      <c r="D807" s="1948"/>
      <c r="E807" s="1948"/>
      <c r="F807" s="1948"/>
      <c r="G807" s="1948"/>
      <c r="H807" s="1948"/>
      <c r="I807" s="1948"/>
      <c r="J807" s="1948"/>
      <c r="K807" s="1948"/>
      <c r="L807" s="1948"/>
      <c r="M807" s="1948"/>
      <c r="N807" s="1948"/>
      <c r="O807" s="1948"/>
      <c r="P807" s="1948"/>
      <c r="Q807" s="1948"/>
      <c r="R807" s="1948"/>
      <c r="S807" s="1949"/>
      <c r="T807" s="1950">
        <f>AK548</f>
        <v>12</v>
      </c>
      <c r="U807" s="1950"/>
      <c r="V807" s="1950"/>
      <c r="W807" s="1950"/>
      <c r="X807" s="1950"/>
      <c r="Y807" s="1950"/>
      <c r="Z807" s="1959">
        <v>12</v>
      </c>
      <c r="AA807" s="1960"/>
      <c r="AB807" s="1960"/>
      <c r="AC807" s="1960"/>
      <c r="AD807" s="1960"/>
      <c r="AE807" s="1961"/>
      <c r="AF807" s="1937">
        <f>IF(T807&gt;Z807,Z807,T807)</f>
        <v>12</v>
      </c>
      <c r="AG807" s="1937"/>
      <c r="AH807" s="1937"/>
      <c r="AI807" s="1937"/>
      <c r="AJ807" s="1937"/>
      <c r="AK807" s="193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1948" t="s">
        <v>1691</v>
      </c>
      <c r="C808" s="1948"/>
      <c r="D808" s="1948"/>
      <c r="E808" s="1948"/>
      <c r="F808" s="1948"/>
      <c r="G808" s="1948"/>
      <c r="H808" s="1948"/>
      <c r="I808" s="1948"/>
      <c r="J808" s="1948"/>
      <c r="K808" s="1948"/>
      <c r="L808" s="1948"/>
      <c r="M808" s="1948"/>
      <c r="N808" s="1948"/>
      <c r="O808" s="1948"/>
      <c r="P808" s="1948"/>
      <c r="Q808" s="1948"/>
      <c r="R808" s="1948"/>
      <c r="S808" s="1949"/>
      <c r="T808" s="1950">
        <f>AK783</f>
        <v>10</v>
      </c>
      <c r="U808" s="1950"/>
      <c r="V808" s="1950"/>
      <c r="W808" s="1950"/>
      <c r="X808" s="1950"/>
      <c r="Y808" s="1950"/>
      <c r="Z808" s="1959">
        <v>10</v>
      </c>
      <c r="AA808" s="1960"/>
      <c r="AB808" s="1960"/>
      <c r="AC808" s="1960"/>
      <c r="AD808" s="1960"/>
      <c r="AE808" s="1961"/>
      <c r="AF808" s="1937">
        <f>IF(T808&gt;Z808,Z808,T808)</f>
        <v>10</v>
      </c>
      <c r="AG808" s="1937"/>
      <c r="AH808" s="1937"/>
      <c r="AI808" s="1937"/>
      <c r="AJ808" s="1937"/>
      <c r="AK808" s="193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62" t="s">
        <v>1692</v>
      </c>
      <c r="B809" s="1948"/>
      <c r="C809" s="1948"/>
      <c r="D809" s="1948"/>
      <c r="E809" s="1948"/>
      <c r="F809" s="1948"/>
      <c r="G809" s="1948"/>
      <c r="H809" s="1948"/>
      <c r="I809" s="1948"/>
      <c r="J809" s="1948"/>
      <c r="K809" s="1948"/>
      <c r="L809" s="1948"/>
      <c r="M809" s="1948"/>
      <c r="N809" s="1948"/>
      <c r="O809" s="1948"/>
      <c r="P809" s="1948"/>
      <c r="Q809" s="1948"/>
      <c r="R809" s="1948"/>
      <c r="S809" s="1949"/>
      <c r="T809" s="1963"/>
      <c r="U809" s="1963"/>
      <c r="V809" s="1963"/>
      <c r="W809" s="1963"/>
      <c r="X809" s="1963"/>
      <c r="Y809" s="1963"/>
      <c r="Z809" s="1957" t="s">
        <v>1693</v>
      </c>
      <c r="AA809" s="1957"/>
      <c r="AB809" s="1957"/>
      <c r="AC809" s="1957"/>
      <c r="AD809" s="1957"/>
      <c r="AE809" s="1957"/>
      <c r="AF809" s="1959">
        <f>IF(T809&gt;0,T809,0)</f>
        <v>0</v>
      </c>
      <c r="AG809" s="1960"/>
      <c r="AH809" s="1960"/>
      <c r="AI809" s="1960"/>
      <c r="AJ809" s="1960"/>
      <c r="AK809" s="196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6">
      <c r="A810" s="1964" t="s">
        <v>1694</v>
      </c>
      <c r="B810" s="1965"/>
      <c r="C810" s="1965"/>
      <c r="D810" s="1965"/>
      <c r="E810" s="1965"/>
      <c r="F810" s="1965"/>
      <c r="G810" s="1965"/>
      <c r="H810" s="1965"/>
      <c r="I810" s="1965"/>
      <c r="J810" s="1965"/>
      <c r="K810" s="1965"/>
      <c r="L810" s="1965"/>
      <c r="M810" s="1965"/>
      <c r="N810" s="1965"/>
      <c r="O810" s="1965"/>
      <c r="P810" s="1965"/>
      <c r="Q810" s="1965"/>
      <c r="R810" s="1965"/>
      <c r="S810" s="1965"/>
      <c r="T810" s="1965"/>
      <c r="U810" s="1965"/>
      <c r="V810" s="1965"/>
      <c r="W810" s="1965"/>
      <c r="X810" s="1965"/>
      <c r="Y810" s="1965"/>
      <c r="Z810" s="1965"/>
      <c r="AA810" s="1965"/>
      <c r="AB810" s="1965"/>
      <c r="AC810" s="1965"/>
      <c r="AD810" s="1965"/>
      <c r="AE810" s="1966"/>
      <c r="AF810" s="1970">
        <f ca="1">SUM(AF793:AK808)-AF809</f>
        <v>119</v>
      </c>
      <c r="AG810" s="1971"/>
      <c r="AH810" s="1971"/>
      <c r="AI810" s="1971"/>
      <c r="AJ810" s="1971"/>
      <c r="AK810" s="197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6">
      <c r="A811" s="1967"/>
      <c r="B811" s="1968"/>
      <c r="C811" s="1968"/>
      <c r="D811" s="1968"/>
      <c r="E811" s="1968"/>
      <c r="F811" s="1968"/>
      <c r="G811" s="1968"/>
      <c r="H811" s="1968"/>
      <c r="I811" s="1968"/>
      <c r="J811" s="1968"/>
      <c r="K811" s="1968"/>
      <c r="L811" s="1968"/>
      <c r="M811" s="1968"/>
      <c r="N811" s="1968"/>
      <c r="O811" s="1968"/>
      <c r="P811" s="1968"/>
      <c r="Q811" s="1968"/>
      <c r="R811" s="1968"/>
      <c r="S811" s="1968"/>
      <c r="T811" s="1968"/>
      <c r="U811" s="1968"/>
      <c r="V811" s="1968"/>
      <c r="W811" s="1968"/>
      <c r="X811" s="1968"/>
      <c r="Y811" s="1968"/>
      <c r="Z811" s="1968"/>
      <c r="AA811" s="1968"/>
      <c r="AB811" s="1968"/>
      <c r="AC811" s="1968"/>
      <c r="AD811" s="1968"/>
      <c r="AE811" s="1969"/>
      <c r="AF811" s="1973"/>
      <c r="AG811" s="1974"/>
      <c r="AH811" s="1974"/>
      <c r="AI811" s="1974"/>
      <c r="AJ811" s="1974"/>
      <c r="AK811" s="197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B1" workbookViewId="0">
      <selection activeCell="I87" sqref="I87"/>
    </sheetView>
  </sheetViews>
  <sheetFormatPr defaultColWidth="9.109375" defaultRowHeight="13.8"/>
  <cols>
    <col min="1" max="1" width="2.44140625" style="1079" customWidth="1"/>
    <col min="2" max="9" width="14.6640625" style="1079" customWidth="1"/>
    <col min="10" max="10" width="2.33203125" style="1079" customWidth="1"/>
    <col min="11" max="11" width="11.88671875" style="1080" customWidth="1"/>
    <col min="12" max="12" width="10.6640625" style="1079" customWidth="1"/>
    <col min="13" max="13" width="10.44140625" style="1079" customWidth="1"/>
    <col min="14" max="14" width="10.88671875" style="1079" customWidth="1"/>
    <col min="15" max="16384" width="9.109375" style="1079"/>
  </cols>
  <sheetData>
    <row r="1" spans="1:13" ht="30" customHeight="1">
      <c r="A1" s="2156" t="s">
        <v>1695</v>
      </c>
      <c r="B1" s="2156"/>
      <c r="C1" s="2156"/>
      <c r="D1" s="2156"/>
      <c r="E1" s="2156"/>
      <c r="F1" s="2156"/>
      <c r="G1" s="2156"/>
      <c r="H1" s="2156"/>
      <c r="I1" s="2156"/>
      <c r="J1" s="2156"/>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69827264</v>
      </c>
      <c r="I3" s="1145"/>
    </row>
    <row r="4" spans="1:13" s="1086" customFormat="1" ht="20.100000000000001" customHeight="1">
      <c r="B4" s="1134"/>
      <c r="D4" s="1148"/>
      <c r="F4" s="1132" t="s">
        <v>2300</v>
      </c>
      <c r="G4" s="1131" t="s">
        <v>2299</v>
      </c>
      <c r="H4" s="1133">
        <f>I16</f>
        <v>51912136.999183007</v>
      </c>
      <c r="I4" s="1135"/>
      <c r="K4" s="1090"/>
    </row>
    <row r="5" spans="1:13" s="1086" customFormat="1" ht="20.100000000000001" customHeight="1" thickBot="1">
      <c r="B5" s="1136"/>
      <c r="C5" s="1137"/>
      <c r="D5" s="1149"/>
      <c r="E5" s="1138"/>
      <c r="F5" s="1149" t="s">
        <v>2240</v>
      </c>
      <c r="G5" s="1150"/>
      <c r="H5" s="1146">
        <f>H3/H4</f>
        <v>1.345104787365986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7" t="s">
        <v>2238</v>
      </c>
      <c r="C8" s="2158"/>
      <c r="D8" s="2158"/>
      <c r="E8" s="2159"/>
      <c r="G8" s="2160" t="s">
        <v>2239</v>
      </c>
      <c r="H8" s="2161"/>
      <c r="I8" s="2162"/>
      <c r="K8" s="1092"/>
    </row>
    <row r="9" spans="1:13" ht="15" customHeight="1">
      <c r="A9" s="1081"/>
      <c r="B9" s="2151" t="s">
        <v>2277</v>
      </c>
      <c r="C9" s="2151"/>
      <c r="D9" s="2151"/>
      <c r="E9" s="1094">
        <f>G31</f>
        <v>18945000</v>
      </c>
      <c r="G9" s="2154" t="s">
        <v>2275</v>
      </c>
      <c r="H9" s="2154"/>
      <c r="I9" s="1095">
        <f>Application!AM554</f>
        <v>101746126</v>
      </c>
      <c r="K9" s="1096"/>
      <c r="M9" s="1097"/>
    </row>
    <row r="10" spans="1:13" ht="15" customHeight="1" thickBot="1">
      <c r="A10" s="1081"/>
      <c r="B10" s="2151" t="s">
        <v>2278</v>
      </c>
      <c r="C10" s="2151"/>
      <c r="D10" s="2151"/>
      <c r="E10" s="1095">
        <f>G40</f>
        <v>22062564.000000004</v>
      </c>
      <c r="G10" s="2154" t="s">
        <v>2241</v>
      </c>
      <c r="H10" s="2154"/>
      <c r="I10" s="1182">
        <f>'Basis &amp; Credits'!AB78</f>
        <v>0</v>
      </c>
      <c r="M10" s="1097"/>
    </row>
    <row r="11" spans="1:13" ht="15" customHeight="1">
      <c r="A11" s="1098"/>
      <c r="B11" s="2151" t="s">
        <v>2279</v>
      </c>
      <c r="C11" s="2151"/>
      <c r="D11" s="2151"/>
      <c r="E11" s="1095">
        <f>G49</f>
        <v>0</v>
      </c>
      <c r="G11" s="2154" t="s">
        <v>2290</v>
      </c>
      <c r="H11" s="2154"/>
      <c r="I11" s="1181">
        <f>I9+I10</f>
        <v>101746126</v>
      </c>
      <c r="M11" s="1097"/>
    </row>
    <row r="12" spans="1:13" ht="15" customHeight="1">
      <c r="A12" s="1084"/>
      <c r="B12" s="2151" t="s">
        <v>2280</v>
      </c>
      <c r="C12" s="2151"/>
      <c r="D12" s="2151"/>
      <c r="E12" s="1095">
        <f>G58</f>
        <v>1160000</v>
      </c>
      <c r="G12" s="1183" t="s">
        <v>2315</v>
      </c>
      <c r="H12" s="1184"/>
      <c r="M12" s="1097"/>
    </row>
    <row r="13" spans="1:13" ht="15" customHeight="1">
      <c r="A13" s="1081"/>
      <c r="B13" s="2151" t="s">
        <v>2281</v>
      </c>
      <c r="C13" s="2151"/>
      <c r="D13" s="2151"/>
      <c r="E13" s="1100">
        <f>G83</f>
        <v>27659700</v>
      </c>
      <c r="G13" s="2155" t="s">
        <v>139</v>
      </c>
      <c r="H13" s="2155"/>
      <c r="I13" s="1099">
        <f>15%*(AND(G111="Yes",G113&lt;&gt;""))</f>
        <v>0.15</v>
      </c>
      <c r="M13" s="1097"/>
    </row>
    <row r="14" spans="1:13" ht="15" customHeight="1">
      <c r="A14" s="1081"/>
      <c r="B14" s="2151" t="s">
        <v>2282</v>
      </c>
      <c r="C14" s="2151"/>
      <c r="D14" s="2151"/>
      <c r="E14" s="1095">
        <f>IF(G96&gt;G106,G96,0)</f>
        <v>0</v>
      </c>
      <c r="G14" s="1179" t="s">
        <v>2291</v>
      </c>
      <c r="H14" s="1179"/>
      <c r="I14" s="1099">
        <f>IF(Application!AJ1031&gt;0,10%,IF(Application!AJ1035&gt;0,5%,0))</f>
        <v>0.1</v>
      </c>
      <c r="M14" s="1097"/>
    </row>
    <row r="15" spans="1:13" ht="15" customHeight="1" thickBot="1">
      <c r="A15" s="1081"/>
      <c r="B15" s="2152" t="s">
        <v>2301</v>
      </c>
      <c r="C15" s="2152"/>
      <c r="D15" s="2152"/>
      <c r="E15" s="1151">
        <f>IF(E14&gt;0,0,G106)</f>
        <v>0</v>
      </c>
      <c r="G15" s="2149" t="s">
        <v>2292</v>
      </c>
      <c r="H15" s="2150"/>
      <c r="I15" s="1153">
        <f>G123</f>
        <v>0.23978758169934641</v>
      </c>
      <c r="M15" s="1097"/>
    </row>
    <row r="16" spans="1:13" ht="15" customHeight="1">
      <c r="A16" s="1081"/>
      <c r="B16" s="2153" t="s">
        <v>2237</v>
      </c>
      <c r="C16" s="2153"/>
      <c r="D16" s="2153"/>
      <c r="E16" s="1152">
        <f>SUM(E9:E15)</f>
        <v>69827264</v>
      </c>
      <c r="G16" s="1180" t="s">
        <v>2276</v>
      </c>
      <c r="H16" s="1180"/>
      <c r="I16" s="1154">
        <f>I11-((I11*I13)+(I11*I14)+(I11*I15))</f>
        <v>51912136.999183007</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421</v>
      </c>
      <c r="O18" s="1124" t="s">
        <v>589</v>
      </c>
      <c r="P18" s="1079">
        <f>MATCH(Application!T189,Application!BV490:BV547,0)</f>
        <v>38</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385</v>
      </c>
    </row>
    <row r="20" spans="1:20" ht="15" customHeight="1">
      <c r="A20" s="1084"/>
      <c r="C20" s="2145" t="s">
        <v>2294</v>
      </c>
      <c r="D20" s="2145" t="s">
        <v>2295</v>
      </c>
      <c r="E20" s="2145" t="s">
        <v>2296</v>
      </c>
      <c r="F20" s="2145" t="s">
        <v>2297</v>
      </c>
      <c r="G20" s="2145" t="s">
        <v>2293</v>
      </c>
      <c r="H20" s="1108"/>
      <c r="I20" s="1107"/>
      <c r="L20" s="1079">
        <f>IFERROR(MIN(4,MATCH(Application!B718,UnitSizes,0)-1),"")</f>
        <v>0</v>
      </c>
      <c r="M20" s="1101">
        <f>Application!G718</f>
        <v>58</v>
      </c>
      <c r="N20" s="1109">
        <f>Application!AC718</f>
        <v>0.3</v>
      </c>
      <c r="O20" s="1109">
        <f>IF(Cdlac[[#This Row],[Quantity]]&gt;0,IF(Cdlac[[#This Row],[Federal]],30%,IF($G$36,40%,Cdlac[[#This Row],[iAMI]])),"")</f>
        <v>0.3</v>
      </c>
      <c r="P20" s="1101" cm="1">
        <f t="array" ref="P20">IF(Cdlac[[#This Row],[Quantity]]&gt;0,INDEX(TcacRents,$P$18,Cdlac[[#This Row],[Bedrooms]]+1)*Cdlac[[#This Row],[AMI]],"")</f>
        <v>1027.8</v>
      </c>
      <c r="Q20" s="1101" cm="1">
        <f t="array" ref="Q20">IF(Cdlac[[#This Row],[Quantity]]&gt;0,INDEX(HudFmrs,$P$18,Cdlac[[#This Row],[Bedrooms]]+1),"")</f>
        <v>2292</v>
      </c>
      <c r="R20" s="1101">
        <f>IF(Cdlac[[#This Row],[Quantity]]&gt;0,MAX(0,Cdlac[[#This Row],[Fair Market Rent]]-Cdlac[[#This Row],[Restricted Rent]]),"")</f>
        <v>1264.2</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46"/>
      <c r="D21" s="2146"/>
      <c r="E21" s="2146"/>
      <c r="F21" s="2146"/>
      <c r="G21" s="2146"/>
      <c r="H21" s="1108"/>
      <c r="I21" s="1107"/>
      <c r="L21" s="1079">
        <f>IFERROR(MIN(4,MATCH(Application!B719,UnitSizes,0)-1),"")</f>
        <v>0</v>
      </c>
      <c r="M21" s="1101">
        <f>Application!G719</f>
        <v>43</v>
      </c>
      <c r="N21" s="1109">
        <f>Application!AC719</f>
        <v>0.5</v>
      </c>
      <c r="O21" s="1109">
        <f>IF(Cdlac[[#This Row],[Quantity]]&gt;0,IF(Cdlac[[#This Row],[Federal]],30%,IF($G$36,40%,Cdlac[[#This Row],[iAMI]])),"")</f>
        <v>0.5</v>
      </c>
      <c r="P21" s="1101" cm="1">
        <f t="array" ref="P21">IF(Cdlac[[#This Row],[Quantity]]&gt;0,INDEX(TcacRents,$P$18,Cdlac[[#This Row],[Bedrooms]]+1)*Cdlac[[#This Row],[AMI]],"")</f>
        <v>1713</v>
      </c>
      <c r="Q21" s="1101" cm="1">
        <f t="array" ref="Q21">IF(Cdlac[[#This Row],[Quantity]]&gt;0,INDEX(HudFmrs,$P$18,Cdlac[[#This Row],[Bedrooms]]+1),"")</f>
        <v>2292</v>
      </c>
      <c r="R21" s="1101">
        <f>IF(Cdlac[[#This Row],[Quantity]]&gt;0,MAX(0,Cdlac[[#This Row],[Fair Market Rent]]-Cdlac[[#This Row],[Restricted Rent]]),"")</f>
        <v>579</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421</v>
      </c>
      <c r="F22" s="1110">
        <f>E22</f>
        <v>421</v>
      </c>
      <c r="G22" s="1110">
        <f>D22*F22</f>
        <v>378.90000000000003</v>
      </c>
      <c r="L22" s="1079">
        <f>IFERROR(MIN(4,MATCH(Application!B720,UnitSizes,0)-1),"")</f>
        <v>0</v>
      </c>
      <c r="M22" s="1101">
        <f>Application!G720</f>
        <v>103</v>
      </c>
      <c r="N22" s="1109">
        <f>Application!AC720</f>
        <v>0.6</v>
      </c>
      <c r="O22" s="1109">
        <f>IF(Cdlac[[#This Row],[Quantity]]&gt;0,IF(Cdlac[[#This Row],[Federal]],30%,IF($G$36,40%,Cdlac[[#This Row],[iAMI]])),"")</f>
        <v>0.6</v>
      </c>
      <c r="P22" s="1101" cm="1">
        <f t="array" ref="P22">IF(Cdlac[[#This Row],[Quantity]]&gt;0,INDEX(TcacRents,$P$18,Cdlac[[#This Row],[Bedrooms]]+1)*Cdlac[[#This Row],[AMI]],"")</f>
        <v>2055.6</v>
      </c>
      <c r="Q22" s="1101" cm="1">
        <f t="array" ref="Q22">IF(Cdlac[[#This Row],[Quantity]]&gt;0,INDEX(HudFmrs,$P$18,Cdlac[[#This Row],[Bedrooms]]+1),"")</f>
        <v>2292</v>
      </c>
      <c r="R22" s="1101">
        <f>IF(Cdlac[[#This Row],[Quantity]]&gt;0,MAX(0,Cdlac[[#This Row],[Fair Market Rent]]-Cdlac[[#This Row],[Restricted Rent]]),"")</f>
        <v>236.40000000000009</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0</v>
      </c>
      <c r="F23" s="1110">
        <f>E23</f>
        <v>0</v>
      </c>
      <c r="G23" s="1110">
        <f>D23*F23</f>
        <v>0</v>
      </c>
      <c r="L23" s="1079">
        <f>IFERROR(MIN(4,MATCH(Application!B721,UnitSizes,0)-1),"")</f>
        <v>0</v>
      </c>
      <c r="M23" s="1101">
        <f>Application!G721</f>
        <v>217</v>
      </c>
      <c r="N23" s="1109">
        <f>Application!AC721</f>
        <v>0.7</v>
      </c>
      <c r="O23" s="1109">
        <f>IF(Cdlac[[#This Row],[Quantity]]&gt;0,IF(Cdlac[[#This Row],[Federal]],30%,IF($G$36,40%,Cdlac[[#This Row],[iAMI]])),"")</f>
        <v>0.7</v>
      </c>
      <c r="P23" s="1101" cm="1">
        <f t="array" ref="P23">IF(Cdlac[[#This Row],[Quantity]]&gt;0,INDEX(TcacRents,$P$18,Cdlac[[#This Row],[Bedrooms]]+1)*Cdlac[[#This Row],[AMI]],"")</f>
        <v>2398.1999999999998</v>
      </c>
      <c r="Q23" s="1101" cm="1">
        <f t="array" ref="Q23">IF(Cdlac[[#This Row],[Quantity]]&gt;0,INDEX(HudFmrs,$P$18,Cdlac[[#This Row],[Bedrooms]]+1),"")</f>
        <v>2292</v>
      </c>
      <c r="R23" s="1101">
        <f>IF(Cdlac[[#This Row],[Quantity]]&gt;0,MAX(0,Cdlac[[#This Row],[Fair Market Rent]]-Cdlac[[#This Row],[Restricted Rent]]),"")</f>
        <v>0</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7" t="s">
        <v>1696</v>
      </c>
      <c r="D27" s="2148"/>
      <c r="E27" s="1129">
        <f>SUM(E22:E26)</f>
        <v>421</v>
      </c>
      <c r="F27" s="1129">
        <f>SUM(F22:F26)</f>
        <v>421</v>
      </c>
      <c r="G27" s="1130">
        <f>SUMPRODUCT(D22:D26,F22:F26)</f>
        <v>378.90000000000003</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378.90000000000003</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18945000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0.59999999999999987</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122569.80000000002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22062564.000000004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210</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58</v>
      </c>
    </row>
    <row r="54" spans="2:14" ht="15" customHeight="1">
      <c r="E54" s="1159" t="s">
        <v>2304</v>
      </c>
      <c r="G54" s="1117">
        <f>ROUNDDOWN(E27*50%,0)</f>
        <v>210</v>
      </c>
    </row>
    <row r="55" spans="2:14" ht="15" customHeight="1">
      <c r="E55" s="1159"/>
      <c r="G55" s="1117"/>
    </row>
    <row r="56" spans="2:14" ht="15" customHeight="1">
      <c r="E56" s="1159" t="s">
        <v>2255</v>
      </c>
      <c r="G56" s="1156">
        <f>MIN(G53:G54)</f>
        <v>58</v>
      </c>
    </row>
    <row r="57" spans="2:14" ht="15" customHeight="1">
      <c r="E57" s="1159" t="s">
        <v>2245</v>
      </c>
      <c r="F57" s="1155" t="s">
        <v>2302</v>
      </c>
      <c r="G57" s="1166">
        <v>20000</v>
      </c>
    </row>
    <row r="58" spans="2:14" ht="15" customHeight="1">
      <c r="E58" s="1160" t="s">
        <v>2284</v>
      </c>
      <c r="F58" s="1081"/>
      <c r="G58" s="1165">
        <f>G56*G57</f>
        <v>1160000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63" t="s">
        <v>1514</v>
      </c>
      <c r="N62" s="2164"/>
    </row>
    <row r="63" spans="2:14" ht="15" customHeight="1">
      <c r="E63" s="1124" t="s">
        <v>2245</v>
      </c>
      <c r="F63" s="1155" t="s">
        <v>2302</v>
      </c>
      <c r="G63" s="1114">
        <v>4000</v>
      </c>
      <c r="L63" s="1170" t="str">
        <f>'Points System'!H639</f>
        <v>(i)</v>
      </c>
      <c r="M63" s="2165" t="s">
        <v>2259</v>
      </c>
      <c r="N63" s="2166"/>
    </row>
    <row r="64" spans="2:14" ht="15" customHeight="1">
      <c r="E64" s="1124" t="s">
        <v>2306</v>
      </c>
      <c r="F64" s="1155" t="s">
        <v>2302</v>
      </c>
      <c r="G64" s="1168">
        <f>G27</f>
        <v>378.90000000000003</v>
      </c>
      <c r="L64" s="1170" t="str">
        <f>'Points System'!H674</f>
        <v>(i)</v>
      </c>
      <c r="M64" s="2165" t="s">
        <v>2260</v>
      </c>
      <c r="N64" s="2166"/>
    </row>
    <row r="65" spans="2:14" ht="15" customHeight="1">
      <c r="E65" s="1160" t="s">
        <v>2264</v>
      </c>
      <c r="F65" s="1081"/>
      <c r="G65" s="1165">
        <f>G62*G63*G64</f>
        <v>10609200.000000002</v>
      </c>
      <c r="L65" s="1170" t="str">
        <f>IF(OR('Points System'!H698="(ii)",'Points System'!H698="(i)"),"(i)","N/A")</f>
        <v>N/A</v>
      </c>
      <c r="M65" s="2165" t="s">
        <v>2261</v>
      </c>
      <c r="N65" s="2166"/>
    </row>
    <row r="66" spans="2:14" ht="15" customHeight="1">
      <c r="C66" s="1115"/>
      <c r="G66" s="1156"/>
      <c r="L66" s="1171" t="str">
        <f>'Points System'!H712</f>
        <v>N/A</v>
      </c>
      <c r="M66" s="2165" t="s">
        <v>1540</v>
      </c>
      <c r="N66" s="2166"/>
    </row>
    <row r="67" spans="2:14" ht="15" customHeight="1">
      <c r="E67" s="1124" t="s">
        <v>2307</v>
      </c>
      <c r="G67" s="1168">
        <f>COUNTIFS(L62:L69,"(i)")</f>
        <v>5</v>
      </c>
      <c r="L67" s="1170" t="str">
        <f>'Points System'!H724</f>
        <v>N/A</v>
      </c>
      <c r="M67" s="2165" t="s">
        <v>2262</v>
      </c>
      <c r="N67" s="2166"/>
    </row>
    <row r="68" spans="2:14" ht="15" customHeight="1">
      <c r="E68" s="1124" t="s">
        <v>2245</v>
      </c>
      <c r="F68" s="1155" t="s">
        <v>2302</v>
      </c>
      <c r="G68" s="1166">
        <v>4000</v>
      </c>
      <c r="L68" s="1170" t="str">
        <f>'Points System'!H740</f>
        <v>(i)</v>
      </c>
      <c r="M68" s="2165" t="s">
        <v>2263</v>
      </c>
      <c r="N68" s="2166"/>
    </row>
    <row r="69" spans="2:14" ht="15" customHeight="1" thickBot="1">
      <c r="E69" s="1160" t="s">
        <v>2265</v>
      </c>
      <c r="F69" s="1081"/>
      <c r="G69" s="1165">
        <f>G64*G67*G68</f>
        <v>7578000.0000000009</v>
      </c>
      <c r="L69" s="1172" t="str">
        <f>'Points System'!H752</f>
        <v>(i)</v>
      </c>
      <c r="M69" s="2171" t="s">
        <v>1543</v>
      </c>
      <c r="N69" s="2172"/>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552</v>
      </c>
    </row>
    <row r="75" spans="2:14" ht="15" customHeight="1">
      <c r="C75" s="1115" t="s">
        <v>2498</v>
      </c>
      <c r="G75" s="1078" t="s">
        <v>552</v>
      </c>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378.90000000000003</v>
      </c>
    </row>
    <row r="80" spans="2:14" ht="15" customHeight="1">
      <c r="E80" s="1124" t="s">
        <v>2245</v>
      </c>
      <c r="F80" s="1155" t="s">
        <v>2302</v>
      </c>
      <c r="G80" s="1166">
        <v>25000</v>
      </c>
    </row>
    <row r="81" spans="2:14" ht="15" customHeight="1">
      <c r="E81" s="1160" t="s">
        <v>2266</v>
      </c>
      <c r="F81" s="1081"/>
      <c r="G81" s="1165">
        <f>G77*G80*G64</f>
        <v>9472500</v>
      </c>
    </row>
    <row r="82" spans="2:14" ht="15" customHeight="1">
      <c r="C82" s="1115"/>
      <c r="E82" s="1115"/>
    </row>
    <row r="83" spans="2:14" ht="15" customHeight="1">
      <c r="E83" s="1160" t="s">
        <v>2243</v>
      </c>
      <c r="G83" s="1165">
        <f>G81+G69+G65</f>
        <v>27659700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552</v>
      </c>
      <c r="L87" s="2173" t="s">
        <v>2272</v>
      </c>
      <c r="M87" s="2174"/>
      <c r="N87" s="1173">
        <v>30000</v>
      </c>
    </row>
    <row r="88" spans="2:14" ht="15" customHeight="1">
      <c r="C88" s="1115" t="s">
        <v>2289</v>
      </c>
      <c r="G88" s="1119" t="str">
        <f>IF(Application!D211="Large Family","Yes","No")</f>
        <v>No</v>
      </c>
      <c r="L88" s="2167" t="s">
        <v>2236</v>
      </c>
      <c r="M88" s="2168"/>
      <c r="N88" s="1174">
        <v>20000</v>
      </c>
    </row>
    <row r="89" spans="2:14" ht="15" customHeight="1" thickBot="1">
      <c r="C89" s="1115" t="s">
        <v>2270</v>
      </c>
      <c r="G89" s="1078" t="s">
        <v>676</v>
      </c>
      <c r="L89" s="2169" t="s">
        <v>2273</v>
      </c>
      <c r="M89" s="2170"/>
      <c r="N89" s="1175">
        <v>10000</v>
      </c>
    </row>
    <row r="90" spans="2:14" ht="15" customHeight="1">
      <c r="C90" s="1115" t="s">
        <v>2271</v>
      </c>
      <c r="G90" s="1079" t="str">
        <f>Application!T193</f>
        <v>Low Resource</v>
      </c>
    </row>
    <row r="91" spans="2:14" ht="15" customHeight="1">
      <c r="C91" s="1115"/>
    </row>
    <row r="92" spans="2:14" ht="15" customHeight="1">
      <c r="E92" s="1124" t="s">
        <v>2309</v>
      </c>
      <c r="G92" s="1117" t="b">
        <f>AND(COUNTIFS(G88:G89,"Yes")&gt;=1,G87="Yes")</f>
        <v>0</v>
      </c>
    </row>
    <row r="93" spans="2:14" ht="15" customHeight="1">
      <c r="E93" s="1124"/>
      <c r="G93" s="1117"/>
    </row>
    <row r="94" spans="2:14" ht="15" customHeight="1">
      <c r="E94" s="1124" t="s">
        <v>2245</v>
      </c>
      <c r="G94" s="1116">
        <f>IFERROR(INDEX(N87:N89,MATCH(LEFT(G90,17),L87:L89,0)),0)</f>
        <v>0</v>
      </c>
    </row>
    <row r="95" spans="2:14" ht="15" customHeight="1">
      <c r="E95" s="1124" t="str">
        <f>E64</f>
        <v>Bedroom-Adjusted Low-Income Units</v>
      </c>
      <c r="F95" s="1155" t="s">
        <v>2302</v>
      </c>
      <c r="G95" s="1156">
        <f>G27</f>
        <v>378.90000000000003</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676</v>
      </c>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378.90000000000003</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42" t="s">
        <v>2783</v>
      </c>
      <c r="D110" s="2142"/>
      <c r="E110" s="2142"/>
      <c r="F110" s="2142"/>
    </row>
    <row r="111" spans="2:9" ht="15" customHeight="1">
      <c r="C111" s="2142"/>
      <c r="D111" s="2142"/>
      <c r="E111" s="2142"/>
      <c r="F111" s="2142"/>
      <c r="G111" s="1078" t="s">
        <v>552</v>
      </c>
    </row>
    <row r="112" spans="2:9" ht="15" customHeight="1"/>
    <row r="113" spans="2:9" ht="15" customHeight="1">
      <c r="C113" s="1079" t="s">
        <v>2784</v>
      </c>
      <c r="G113" s="2143" t="s">
        <v>2785</v>
      </c>
      <c r="H113" s="2143"/>
    </row>
    <row r="114" spans="2:9" ht="15" customHeight="1">
      <c r="G114" s="2143"/>
      <c r="H114" s="2143"/>
    </row>
    <row r="115" spans="2:9" ht="15" customHeight="1">
      <c r="G115" s="2144"/>
      <c r="H115" s="2144"/>
    </row>
    <row r="116" spans="2:9" ht="15" customHeight="1">
      <c r="G116" s="1264"/>
      <c r="H116" s="1264"/>
    </row>
    <row r="117" spans="2:9" ht="15" customHeight="1">
      <c r="B117" s="1104" t="s">
        <v>2311</v>
      </c>
      <c r="C117" s="1105"/>
      <c r="D117" s="1105"/>
      <c r="E117" s="1105"/>
      <c r="F117" s="1105"/>
      <c r="G117" s="1105"/>
      <c r="H117" s="1105"/>
      <c r="I117" s="1106"/>
    </row>
    <row r="118" spans="2:9" ht="15" customHeight="1"/>
    <row r="119" spans="2:9" ht="15" customHeight="1">
      <c r="E119" s="1124" t="s">
        <v>589</v>
      </c>
      <c r="G119" s="1079" t="str">
        <f>IF(Application!T189="","",Application!T189)</f>
        <v>San Francisco</v>
      </c>
    </row>
    <row r="120" spans="2:9" ht="15" customHeight="1">
      <c r="E120" s="1124"/>
      <c r="G120" s="1116"/>
    </row>
    <row r="121" spans="2:9" ht="15" customHeight="1">
      <c r="E121" s="1124" t="str">
        <f>"2-Bedroom "&amp;G119&amp;" County Basis Limit"</f>
        <v>2-Bedroom San Francisco County Basis Limit</v>
      </c>
      <c r="G121" s="1116">
        <f>Application!R987</f>
        <v>959200</v>
      </c>
    </row>
    <row r="122" spans="2:9" ht="15" customHeight="1">
      <c r="E122" s="1124" t="s">
        <v>2310</v>
      </c>
      <c r="G122" s="1116">
        <f>MEDIAN((Application!BR806:BR863))</f>
        <v>489600</v>
      </c>
    </row>
    <row r="123" spans="2:9" ht="15" customHeight="1">
      <c r="D123" s="1081"/>
      <c r="E123" s="1160" t="s">
        <v>2312</v>
      </c>
      <c r="F123" s="1176"/>
      <c r="G123" s="1177">
        <f>((G121-G122)/G122)*0.25</f>
        <v>0.23978758169934641</v>
      </c>
      <c r="H123" s="1077"/>
      <c r="I123" s="1077"/>
    </row>
    <row r="124" spans="2:9" ht="15" customHeight="1">
      <c r="D124" s="1080"/>
      <c r="E124" s="1080"/>
    </row>
  </sheetData>
  <sheetProtection algorithmName="SHA-512" hashValue="fJFRFCT5c8tnp0kfcseUh5GuO81a1vSttUOY5svtFsRonB5LBJRl4D1iaNLMr+k6S+ijK4j136gNIImJD0+9rg==" saltValue="c1wUj2qEUhXu7hw9sv9mgg==" spinCount="100000" sheet="1" objects="1" scenarios="1"/>
  <mergeCells count="35">
    <mergeCell ref="L89:M89"/>
    <mergeCell ref="M66:N66"/>
    <mergeCell ref="M67:N67"/>
    <mergeCell ref="M68:N68"/>
    <mergeCell ref="M69:N69"/>
    <mergeCell ref="L87:M87"/>
    <mergeCell ref="M62:N62"/>
    <mergeCell ref="M63:N63"/>
    <mergeCell ref="M64:N64"/>
    <mergeCell ref="M65:N65"/>
    <mergeCell ref="L88:M88"/>
    <mergeCell ref="G9:H9"/>
    <mergeCell ref="G10:H10"/>
    <mergeCell ref="G11:H11"/>
    <mergeCell ref="G13:H13"/>
    <mergeCell ref="A1:J1"/>
    <mergeCell ref="B9:D9"/>
    <mergeCell ref="B10:D10"/>
    <mergeCell ref="B11:D11"/>
    <mergeCell ref="B12:D12"/>
    <mergeCell ref="B8:E8"/>
    <mergeCell ref="G8:I8"/>
    <mergeCell ref="G15:H15"/>
    <mergeCell ref="G20:G21"/>
    <mergeCell ref="B13:D13"/>
    <mergeCell ref="B14:D14"/>
    <mergeCell ref="B15:D15"/>
    <mergeCell ref="B16:D16"/>
    <mergeCell ref="C110:F111"/>
    <mergeCell ref="G113:H115"/>
    <mergeCell ref="C20:C21"/>
    <mergeCell ref="D20:D21"/>
    <mergeCell ref="F20:F21"/>
    <mergeCell ref="E20:E21"/>
    <mergeCell ref="C27:D2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85a092-4895-4fa4-81ef-7d660761ec2e">
      <Terms xmlns="http://schemas.microsoft.com/office/infopath/2007/PartnerControls"/>
    </lcf76f155ced4ddcb4097134ff3c332f>
    <TaxCatchAll xmlns="2ee13490-1ba4-43a8-b4aa-08007f3c84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1E57F3E90B23D46B48C20A6A2A0CE55" ma:contentTypeVersion="17" ma:contentTypeDescription="Create a new document." ma:contentTypeScope="" ma:versionID="9e627136e542b8fc7efb6d0ea917696d">
  <xsd:schema xmlns:xsd="http://www.w3.org/2001/XMLSchema" xmlns:xs="http://www.w3.org/2001/XMLSchema" xmlns:p="http://schemas.microsoft.com/office/2006/metadata/properties" xmlns:ns2="da85a092-4895-4fa4-81ef-7d660761ec2e" xmlns:ns3="2ee13490-1ba4-43a8-b4aa-08007f3c84f4" targetNamespace="http://schemas.microsoft.com/office/2006/metadata/properties" ma:root="true" ma:fieldsID="d3bc0d7bac0dd8b7aa7a1455f5bac455" ns2:_="" ns3:_="">
    <xsd:import namespace="da85a092-4895-4fa4-81ef-7d660761ec2e"/>
    <xsd:import namespace="2ee13490-1ba4-43a8-b4aa-08007f3c84f4"/>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5a092-4895-4fa4-81ef-7d660761e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cd47c0e-e8f9-4bb2-a29a-e92e7d5b3ab2" ma:termSetId="09814cd3-568e-fe90-9814-8d621ff8fb84" ma:anchorId="fba54fb3-c3e1-fe81-a776-ca4b69148c4d" ma:open="true" ma:isKeyword="false">
      <xsd:complexType>
        <xsd:sequence>
          <xsd:element ref="pc:Terms" minOccurs="0" maxOccurs="1"/>
        </xsd:sequence>
      </xsd:complex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e13490-1ba4-43a8-b4aa-08007f3c84f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ee18f1e-7bff-480c-9723-3e4a4dfd14af}" ma:internalName="TaxCatchAll" ma:showField="CatchAllData" ma:web="2ee13490-1ba4-43a8-b4aa-08007f3c84f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6146B3-C51D-41E2-A19D-3E82CBE71474}">
  <ds:schemaRefs>
    <ds:schemaRef ds:uri="http://schemas.microsoft.com/office/2006/metadata/properties"/>
    <ds:schemaRef ds:uri="http://schemas.microsoft.com/office/infopath/2007/PartnerControls"/>
    <ds:schemaRef ds:uri="da85a092-4895-4fa4-81ef-7d660761ec2e"/>
    <ds:schemaRef ds:uri="2ee13490-1ba4-43a8-b4aa-08007f3c84f4"/>
  </ds:schemaRefs>
</ds:datastoreItem>
</file>

<file path=customXml/itemProps2.xml><?xml version="1.0" encoding="utf-8"?>
<ds:datastoreItem xmlns:ds="http://schemas.openxmlformats.org/officeDocument/2006/customXml" ds:itemID="{0E989522-7DF3-4F4A-82D2-2157539C5F82}">
  <ds:schemaRefs>
    <ds:schemaRef ds:uri="http://schemas.microsoft.com/sharepoint/v3/contenttype/forms"/>
  </ds:schemaRefs>
</ds:datastoreItem>
</file>

<file path=customXml/itemProps3.xml><?xml version="1.0" encoding="utf-8"?>
<ds:datastoreItem xmlns:ds="http://schemas.openxmlformats.org/officeDocument/2006/customXml" ds:itemID="{8CEEA375-748B-43E2-9A8A-16EE970723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85a092-4895-4fa4-81ef-7d660761ec2e"/>
    <ds:schemaRef ds:uri="2ee13490-1ba4-43a8-b4aa-08007f3c84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Danny Kolosta</cp:lastModifiedBy>
  <cp:lastPrinted>2024-08-19T23:33:29Z</cp:lastPrinted>
  <dcterms:created xsi:type="dcterms:W3CDTF">2007-12-27T18:26:28Z</dcterms:created>
  <dcterms:modified xsi:type="dcterms:W3CDTF">2024-08-27T19:19:28Z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0x01010051E57F3E90B23D46B48C20A6A2A0CE55</vt:lpwstr>
  </property>
  <property fmtid="{D5CDD505-2E9C-101B-9397-08002B2CF9AE}" pid="3" name="MediaServiceImageTags">
    <vt:lpwstr/>
  </property>
  <property fmtid="{D5CDD505-2E9C-101B-9397-08002B2CF9AE}" pid="4" name="Version">
    <vt:i4>20</vt:i4>
  </property>
</Properties>
</file>