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C:\Users\pbgs2\OneDrive\Documents\California Supportive Housing\LIHTC\24 R2 4%\Oak 80\"/>
    </mc:Choice>
  </mc:AlternateContent>
  <xr:revisionPtr revIDLastSave="0" documentId="13_ncr:1_{A389BB8E-62B6-40EF-A34F-566EE6694B8E}" xr6:coauthVersionLast="47" xr6:coauthVersionMax="47" xr10:uidLastSave="{00000000-0000-0000-0000-000000000000}"/>
  <bookViews>
    <workbookView xWindow="-110" yWindow="-110" windowWidth="25820" windowHeight="13900" tabRatio="899" firstSheet="3"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Breaker'!$A$1:$I$114</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oncurrentCalc="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722" i="3" l="1"/>
  <c r="BA671" i="3"/>
  <c r="AH722" i="3"/>
  <c r="X721" i="3"/>
  <c r="BA670" i="3"/>
  <c r="AH721" i="3"/>
  <c r="O753" i="3"/>
  <c r="Y801" i="3"/>
  <c r="E4" i="7"/>
  <c r="AO629" i="3"/>
  <c r="E29" i="4"/>
  <c r="R29" i="4"/>
  <c r="S29" i="4"/>
  <c r="F30" i="4"/>
  <c r="G30" i="4"/>
  <c r="K79" i="4"/>
  <c r="K80" i="4"/>
  <c r="K40" i="4"/>
  <c r="K41" i="4"/>
  <c r="K43" i="4"/>
  <c r="K30" i="4"/>
  <c r="E30" i="4"/>
  <c r="R30" i="4"/>
  <c r="S30" i="4"/>
  <c r="E31" i="4"/>
  <c r="R31" i="4"/>
  <c r="S31" i="4"/>
  <c r="E32" i="4"/>
  <c r="R32" i="4"/>
  <c r="S32" i="4"/>
  <c r="E33" i="4"/>
  <c r="R33" i="4"/>
  <c r="S33" i="4"/>
  <c r="E35" i="4"/>
  <c r="R35" i="4"/>
  <c r="S35" i="4"/>
  <c r="S38" i="4"/>
  <c r="E40" i="4"/>
  <c r="R40" i="4"/>
  <c r="S40" i="4"/>
  <c r="E41" i="4"/>
  <c r="R41" i="4"/>
  <c r="S41" i="4"/>
  <c r="S42" i="4"/>
  <c r="E43" i="4"/>
  <c r="R43" i="4"/>
  <c r="S43" i="4"/>
  <c r="B45" i="4"/>
  <c r="E45" i="4"/>
  <c r="R45" i="4"/>
  <c r="S45" i="4"/>
  <c r="B46" i="4"/>
  <c r="E46" i="4"/>
  <c r="R46" i="4"/>
  <c r="S46" i="4"/>
  <c r="E49" i="4"/>
  <c r="R49" i="4"/>
  <c r="S49" i="4"/>
  <c r="E50" i="4"/>
  <c r="R50" i="4"/>
  <c r="S50" i="4"/>
  <c r="E51" i="4"/>
  <c r="R51" i="4"/>
  <c r="S51" i="4"/>
  <c r="S54" i="4"/>
  <c r="S63" i="4"/>
  <c r="B69" i="4"/>
  <c r="E69" i="4"/>
  <c r="R69" i="4"/>
  <c r="S69" i="4"/>
  <c r="S70" i="4"/>
  <c r="H108" i="4"/>
  <c r="H79" i="4"/>
  <c r="E79" i="4"/>
  <c r="R79" i="4"/>
  <c r="S79" i="4"/>
  <c r="E80" i="4"/>
  <c r="R80" i="4"/>
  <c r="S80" i="4"/>
  <c r="S81" i="4"/>
  <c r="E84" i="4"/>
  <c r="R84" i="4"/>
  <c r="S84" i="4"/>
  <c r="B85" i="4"/>
  <c r="E85" i="4"/>
  <c r="R85" i="4"/>
  <c r="S85" i="4"/>
  <c r="C86" i="4"/>
  <c r="B86" i="4"/>
  <c r="E86" i="4"/>
  <c r="R86" i="4"/>
  <c r="S86" i="4"/>
  <c r="B87" i="4"/>
  <c r="E87" i="4"/>
  <c r="R87" i="4"/>
  <c r="S87" i="4"/>
  <c r="B90" i="4"/>
  <c r="E90" i="4"/>
  <c r="R90" i="4"/>
  <c r="S90" i="4"/>
  <c r="B91" i="4"/>
  <c r="E91" i="4"/>
  <c r="R91" i="4"/>
  <c r="S91" i="4"/>
  <c r="B92" i="4"/>
  <c r="E92" i="4"/>
  <c r="R92" i="4"/>
  <c r="S92" i="4"/>
  <c r="B93" i="4"/>
  <c r="E93" i="4"/>
  <c r="R93" i="4"/>
  <c r="S93" i="4"/>
  <c r="B94" i="4"/>
  <c r="E94" i="4"/>
  <c r="R94" i="4"/>
  <c r="S94" i="4"/>
  <c r="B95" i="4"/>
  <c r="E95" i="4"/>
  <c r="R95" i="4"/>
  <c r="S95" i="4"/>
  <c r="S96" i="4"/>
  <c r="S97" i="4"/>
  <c r="S99" i="4"/>
  <c r="E5" i="7"/>
  <c r="J4" i="8"/>
  <c r="J5" i="8"/>
  <c r="J6" i="8"/>
  <c r="J7" i="8"/>
  <c r="J8" i="8"/>
  <c r="J9" i="8"/>
  <c r="J10" i="8"/>
  <c r="J11" i="8"/>
  <c r="J12" i="8"/>
  <c r="J40" i="8"/>
  <c r="Z809" i="3"/>
  <c r="E6" i="7"/>
  <c r="E7" i="7"/>
  <c r="E11" i="7"/>
  <c r="W849" i="3"/>
  <c r="E16" i="7"/>
  <c r="W879" i="3"/>
  <c r="E21" i="7"/>
  <c r="E22" i="7"/>
  <c r="G753" i="3"/>
  <c r="AC884" i="3"/>
  <c r="AC889" i="3"/>
  <c r="E28" i="7"/>
  <c r="E35" i="7"/>
  <c r="E37" i="7"/>
  <c r="E40" i="7"/>
  <c r="E43" i="7"/>
  <c r="E45" i="7"/>
  <c r="E48" i="7"/>
  <c r="I9" i="21"/>
  <c r="S104" i="4"/>
  <c r="S105" i="4"/>
  <c r="S107" i="4"/>
  <c r="E107" i="13"/>
  <c r="T11" i="15"/>
  <c r="T23" i="15"/>
  <c r="AG437" i="3"/>
  <c r="AG439" i="3"/>
  <c r="AG440" i="3"/>
  <c r="AG441" i="3"/>
  <c r="AG445" i="3"/>
  <c r="T27" i="15"/>
  <c r="Y11" i="15"/>
  <c r="Y23" i="15"/>
  <c r="Y26" i="15"/>
  <c r="Y27" i="15"/>
  <c r="Y28" i="15"/>
  <c r="Y64" i="15"/>
  <c r="Y68" i="15"/>
  <c r="AD64" i="15"/>
  <c r="AD68" i="15"/>
  <c r="Y69" i="15"/>
  <c r="C8" i="4"/>
  <c r="C38" i="4"/>
  <c r="C42" i="4"/>
  <c r="C54" i="4"/>
  <c r="C62" i="4"/>
  <c r="C63" i="4"/>
  <c r="C70" i="4"/>
  <c r="C77" i="4"/>
  <c r="C81" i="4"/>
  <c r="C96" i="4"/>
  <c r="C97" i="4"/>
  <c r="C104" i="4"/>
  <c r="C105" i="4"/>
  <c r="B105" i="4"/>
  <c r="AB47" i="15"/>
  <c r="AO639" i="3"/>
  <c r="AB48" i="15"/>
  <c r="AB49" i="15"/>
  <c r="BN597" i="3"/>
  <c r="BN598" i="3"/>
  <c r="BN599" i="3"/>
  <c r="BN600" i="3"/>
  <c r="BN601" i="3"/>
  <c r="BN602" i="3"/>
  <c r="BN603" i="3"/>
  <c r="BN604" i="3"/>
  <c r="BN605" i="3"/>
  <c r="BN632" i="3"/>
  <c r="BN660" i="3"/>
  <c r="AB985" i="3"/>
  <c r="AJ985" i="3"/>
  <c r="BS597" i="3"/>
  <c r="BS598" i="3"/>
  <c r="BS599" i="3"/>
  <c r="BS600" i="3"/>
  <c r="BS601" i="3"/>
  <c r="BS602" i="3"/>
  <c r="BS603" i="3"/>
  <c r="BS604" i="3"/>
  <c r="BS605" i="3"/>
  <c r="BS632" i="3"/>
  <c r="BS660" i="3"/>
  <c r="AB986" i="3"/>
  <c r="AJ986" i="3"/>
  <c r="BX597" i="3"/>
  <c r="BX598" i="3"/>
  <c r="BX599" i="3"/>
  <c r="BX600" i="3"/>
  <c r="BX601" i="3"/>
  <c r="BX602" i="3"/>
  <c r="BX603" i="3"/>
  <c r="BX604" i="3"/>
  <c r="BX605" i="3"/>
  <c r="BX632" i="3"/>
  <c r="BX660" i="3"/>
  <c r="AB987" i="3"/>
  <c r="AJ987" i="3"/>
  <c r="CC597" i="3"/>
  <c r="CC598" i="3"/>
  <c r="CC599" i="3"/>
  <c r="CC600" i="3"/>
  <c r="CC601" i="3"/>
  <c r="CC602" i="3"/>
  <c r="CC603" i="3"/>
  <c r="CC604" i="3"/>
  <c r="CC605" i="3"/>
  <c r="CC632" i="3"/>
  <c r="CC660" i="3"/>
  <c r="AB988" i="3"/>
  <c r="AJ988" i="3"/>
  <c r="CM597" i="3"/>
  <c r="CM598" i="3"/>
  <c r="CM599" i="3"/>
  <c r="CM600" i="3"/>
  <c r="CM601" i="3"/>
  <c r="CM602" i="3"/>
  <c r="CM603" i="3"/>
  <c r="CM604" i="3"/>
  <c r="CM605" i="3"/>
  <c r="CM632" i="3"/>
  <c r="CM660" i="3"/>
  <c r="CH597" i="3"/>
  <c r="CH598" i="3"/>
  <c r="CH599" i="3"/>
  <c r="CH600" i="3"/>
  <c r="CH601" i="3"/>
  <c r="CH602" i="3"/>
  <c r="CH603" i="3"/>
  <c r="CH604" i="3"/>
  <c r="CH605" i="3"/>
  <c r="CH632" i="3"/>
  <c r="CH660" i="3"/>
  <c r="AB989" i="3"/>
  <c r="AJ989" i="3"/>
  <c r="AJ991" i="3"/>
  <c r="AJ993" i="3"/>
  <c r="AJ1000" i="3"/>
  <c r="AJ1006" i="3"/>
  <c r="AJ1010" i="3"/>
  <c r="AJ1012" i="3"/>
  <c r="AJ1015" i="3"/>
  <c r="AJ1019" i="3"/>
  <c r="AJ1028" i="3"/>
  <c r="AJ1031" i="3"/>
  <c r="AJ1035" i="3"/>
  <c r="AJ1040" i="3"/>
  <c r="BE597" i="3"/>
  <c r="BG597" i="3"/>
  <c r="BE598" i="3"/>
  <c r="BG598" i="3"/>
  <c r="BE599" i="3"/>
  <c r="BG599" i="3"/>
  <c r="BE600" i="3"/>
  <c r="BG600" i="3"/>
  <c r="BE601" i="3"/>
  <c r="BG601" i="3"/>
  <c r="BE602" i="3"/>
  <c r="BG602" i="3"/>
  <c r="BE603" i="3"/>
  <c r="BG603" i="3"/>
  <c r="BE604" i="3"/>
  <c r="BG604" i="3"/>
  <c r="BE605" i="3"/>
  <c r="BG605" i="3"/>
  <c r="BG632" i="3"/>
  <c r="X1047" i="3"/>
  <c r="AY1002" i="3"/>
  <c r="I1047" i="3"/>
  <c r="AY1004" i="3"/>
  <c r="AJ1044" i="3"/>
  <c r="BI597" i="3"/>
  <c r="BK597" i="3"/>
  <c r="BI598" i="3"/>
  <c r="BK598" i="3"/>
  <c r="BI599" i="3"/>
  <c r="BK599" i="3"/>
  <c r="BI600" i="3"/>
  <c r="BK600" i="3"/>
  <c r="BI601" i="3"/>
  <c r="BK601" i="3"/>
  <c r="BI602" i="3"/>
  <c r="BK602" i="3"/>
  <c r="BI603" i="3"/>
  <c r="BK603" i="3"/>
  <c r="BI604" i="3"/>
  <c r="BK604" i="3"/>
  <c r="BI605" i="3"/>
  <c r="BK605" i="3"/>
  <c r="BK632" i="3"/>
  <c r="X1051" i="3"/>
  <c r="I1051" i="3"/>
  <c r="AY1005" i="3"/>
  <c r="AJ1048" i="3"/>
  <c r="AJ1052" i="3"/>
  <c r="T24" i="15"/>
  <c r="T26" i="15"/>
  <c r="T28" i="15"/>
  <c r="Y38" i="15"/>
  <c r="Y40" i="15"/>
  <c r="AD27" i="15"/>
  <c r="AD28" i="15"/>
  <c r="AI27" i="15"/>
  <c r="AI28" i="15"/>
  <c r="AD38" i="15"/>
  <c r="AD40" i="15"/>
  <c r="Y41" i="15"/>
  <c r="AB54" i="15"/>
  <c r="AB55" i="15"/>
  <c r="AB56" i="15"/>
  <c r="AB57" i="15"/>
  <c r="AB59" i="15"/>
  <c r="AB77" i="15"/>
  <c r="AB78" i="15"/>
  <c r="I10" i="21"/>
  <c r="I11" i="21"/>
  <c r="I13" i="21"/>
  <c r="I14" i="21"/>
  <c r="I16" i="21"/>
  <c r="H4" i="21"/>
  <c r="AC883" i="3"/>
  <c r="AC885" i="3"/>
  <c r="BT668" i="3"/>
  <c r="BT669" i="3"/>
  <c r="BT670" i="3"/>
  <c r="BT671" i="3"/>
  <c r="BT672" i="3"/>
  <c r="BT673" i="3"/>
  <c r="BT674" i="3"/>
  <c r="BT675" i="3"/>
  <c r="BT676" i="3"/>
  <c r="BT703" i="3"/>
  <c r="BU668" i="3"/>
  <c r="X718" i="3"/>
  <c r="BA667" i="3"/>
  <c r="AH718" i="3"/>
  <c r="BV668" i="3"/>
  <c r="BU669" i="3"/>
  <c r="X719" i="3"/>
  <c r="BA668" i="3"/>
  <c r="AH719" i="3"/>
  <c r="BV669" i="3"/>
  <c r="BU670" i="3"/>
  <c r="X720" i="3"/>
  <c r="BA669" i="3"/>
  <c r="AH720" i="3"/>
  <c r="BV670" i="3"/>
  <c r="BU671" i="3"/>
  <c r="BV671" i="3"/>
  <c r="BU672" i="3"/>
  <c r="BV672" i="3"/>
  <c r="BU673" i="3"/>
  <c r="X723" i="3"/>
  <c r="BA672" i="3"/>
  <c r="AH723" i="3"/>
  <c r="BV673" i="3"/>
  <c r="BU674" i="3"/>
  <c r="X724" i="3"/>
  <c r="BA673" i="3"/>
  <c r="AH724" i="3"/>
  <c r="BV674" i="3"/>
  <c r="BU675" i="3"/>
  <c r="X725" i="3"/>
  <c r="BA674" i="3"/>
  <c r="AH725" i="3"/>
  <c r="BV675" i="3"/>
  <c r="BU676" i="3"/>
  <c r="X726" i="3"/>
  <c r="BA675" i="3"/>
  <c r="AH726" i="3"/>
  <c r="BV676" i="3"/>
  <c r="BU677" i="3"/>
  <c r="BV677" i="3"/>
  <c r="BU678" i="3"/>
  <c r="BV678" i="3"/>
  <c r="BU679" i="3"/>
  <c r="BV679" i="3"/>
  <c r="BU680" i="3"/>
  <c r="BV680" i="3"/>
  <c r="BU681" i="3"/>
  <c r="BV681" i="3"/>
  <c r="BU682" i="3"/>
  <c r="BV682" i="3"/>
  <c r="BU683" i="3"/>
  <c r="BV683" i="3"/>
  <c r="BU684" i="3"/>
  <c r="BV684" i="3"/>
  <c r="BU685" i="3"/>
  <c r="BV685" i="3"/>
  <c r="BU686" i="3"/>
  <c r="BV686" i="3"/>
  <c r="BU687" i="3"/>
  <c r="BV687" i="3"/>
  <c r="BU688" i="3"/>
  <c r="BV688" i="3"/>
  <c r="BU689" i="3"/>
  <c r="BV689" i="3"/>
  <c r="BU690" i="3"/>
  <c r="BV690" i="3"/>
  <c r="BU691" i="3"/>
  <c r="BV691" i="3"/>
  <c r="BU692" i="3"/>
  <c r="BV692" i="3"/>
  <c r="BU693" i="3"/>
  <c r="BV693" i="3"/>
  <c r="BU694" i="3"/>
  <c r="BV694" i="3"/>
  <c r="BU695" i="3"/>
  <c r="BV695" i="3"/>
  <c r="BU696" i="3"/>
  <c r="BV696" i="3"/>
  <c r="BU697" i="3"/>
  <c r="BV697" i="3"/>
  <c r="BU698" i="3"/>
  <c r="BV698" i="3"/>
  <c r="BU699" i="3"/>
  <c r="BV699" i="3"/>
  <c r="BU700" i="3"/>
  <c r="BV700" i="3"/>
  <c r="BU701" i="3"/>
  <c r="BV701" i="3"/>
  <c r="BU702" i="3"/>
  <c r="BV702" i="3"/>
  <c r="BV703" i="3"/>
  <c r="AH753" i="3"/>
  <c r="E4" i="4"/>
  <c r="E8" i="4"/>
  <c r="E38" i="4"/>
  <c r="E42" i="4"/>
  <c r="E54" i="4"/>
  <c r="B56" i="4"/>
  <c r="E56" i="4"/>
  <c r="B58" i="4"/>
  <c r="E58" i="4"/>
  <c r="B61" i="4"/>
  <c r="E61" i="4"/>
  <c r="E62" i="4"/>
  <c r="E63" i="4"/>
  <c r="E70" i="4"/>
  <c r="B74" i="4"/>
  <c r="E74" i="4"/>
  <c r="B75" i="4"/>
  <c r="E75" i="4"/>
  <c r="B76" i="4"/>
  <c r="J108" i="4"/>
  <c r="J99" i="4"/>
  <c r="J76" i="4"/>
  <c r="E76" i="4"/>
  <c r="E77" i="4"/>
  <c r="E81" i="4"/>
  <c r="B83" i="4"/>
  <c r="E83" i="4"/>
  <c r="B88" i="4"/>
  <c r="E88" i="4"/>
  <c r="E96" i="4"/>
  <c r="E97" i="4"/>
  <c r="I99" i="4"/>
  <c r="E99" i="4"/>
  <c r="E104" i="4"/>
  <c r="E105" i="4"/>
  <c r="AO640" i="3"/>
  <c r="AE699" i="3"/>
  <c r="AC456" i="3"/>
  <c r="AC454" i="3"/>
  <c r="AO641" i="3"/>
  <c r="AM555" i="3"/>
  <c r="AA948" i="3"/>
  <c r="AM560" i="3"/>
  <c r="AA918" i="3"/>
  <c r="AG448" i="3"/>
  <c r="AG446" i="3"/>
  <c r="AG442" i="3"/>
  <c r="AG449" i="3"/>
  <c r="AG443" i="3"/>
  <c r="AG444" i="3"/>
  <c r="H598" i="3"/>
  <c r="G597" i="3"/>
  <c r="G596" i="3"/>
  <c r="G595" i="3"/>
  <c r="G594" i="3"/>
  <c r="AM557" i="3"/>
  <c r="AM558" i="3"/>
  <c r="AM559" i="3"/>
  <c r="H293" i="3"/>
  <c r="M256" i="3"/>
  <c r="G54" i="7"/>
  <c r="G53" i="7"/>
  <c r="W872" i="3"/>
  <c r="E20" i="7"/>
  <c r="G20" i="7"/>
  <c r="I20" i="7"/>
  <c r="K20" i="7"/>
  <c r="M20" i="7"/>
  <c r="O20" i="7"/>
  <c r="Q20" i="7"/>
  <c r="S20" i="7"/>
  <c r="U20" i="7"/>
  <c r="W20" i="7"/>
  <c r="Y20" i="7"/>
  <c r="AA20" i="7"/>
  <c r="AC20" i="7"/>
  <c r="AE20" i="7"/>
  <c r="AG20" i="7"/>
  <c r="W847" i="3"/>
  <c r="E15" i="7"/>
  <c r="G15" i="7"/>
  <c r="I15" i="7"/>
  <c r="K15" i="7"/>
  <c r="M15" i="7"/>
  <c r="O15" i="7"/>
  <c r="Q15" i="7"/>
  <c r="S15" i="7"/>
  <c r="U15" i="7"/>
  <c r="W15" i="7"/>
  <c r="Y15" i="7"/>
  <c r="AA15" i="7"/>
  <c r="AC15" i="7"/>
  <c r="AE15" i="7"/>
  <c r="AG15" i="7"/>
  <c r="W862" i="3"/>
  <c r="E18" i="7"/>
  <c r="G18" i="7"/>
  <c r="I18" i="7"/>
  <c r="K18" i="7"/>
  <c r="M18" i="7"/>
  <c r="O18" i="7"/>
  <c r="Q18" i="7"/>
  <c r="S18" i="7"/>
  <c r="U18" i="7"/>
  <c r="W18" i="7"/>
  <c r="Y18" i="7"/>
  <c r="AA18" i="7"/>
  <c r="AC18" i="7"/>
  <c r="AE18" i="7"/>
  <c r="AG18" i="7"/>
  <c r="G16" i="7"/>
  <c r="I16" i="7"/>
  <c r="K16" i="7"/>
  <c r="M16" i="7"/>
  <c r="O16" i="7"/>
  <c r="Q16" i="7"/>
  <c r="S16" i="7"/>
  <c r="U16" i="7"/>
  <c r="W16" i="7"/>
  <c r="Y16" i="7"/>
  <c r="AA16" i="7"/>
  <c r="AC16" i="7"/>
  <c r="AE16" i="7"/>
  <c r="AG16" i="7"/>
  <c r="G21" i="7"/>
  <c r="I21" i="7"/>
  <c r="K21" i="7"/>
  <c r="M21" i="7"/>
  <c r="O21" i="7"/>
  <c r="Q21" i="7"/>
  <c r="S21" i="7"/>
  <c r="U21" i="7"/>
  <c r="W21" i="7"/>
  <c r="Y21" i="7"/>
  <c r="AA21" i="7"/>
  <c r="AC21" i="7"/>
  <c r="AE21" i="7"/>
  <c r="AG21" i="7"/>
  <c r="AG22" i="7"/>
  <c r="AG28" i="7"/>
  <c r="AG35" i="7"/>
  <c r="Z817" i="3"/>
  <c r="E8" i="7"/>
  <c r="G8" i="7"/>
  <c r="I8" i="7"/>
  <c r="K8" i="7"/>
  <c r="M8" i="7"/>
  <c r="O8" i="7"/>
  <c r="Q8" i="7"/>
  <c r="S8" i="7"/>
  <c r="U8" i="7"/>
  <c r="W8" i="7"/>
  <c r="Y8" i="7"/>
  <c r="AA8" i="7"/>
  <c r="AC8" i="7"/>
  <c r="AE8" i="7"/>
  <c r="AG8" i="7"/>
  <c r="AG9" i="7"/>
  <c r="G4" i="7"/>
  <c r="I4" i="7"/>
  <c r="K4" i="7"/>
  <c r="M4" i="7"/>
  <c r="O4" i="7"/>
  <c r="Q4" i="7"/>
  <c r="S4" i="7"/>
  <c r="U4" i="7"/>
  <c r="W4" i="7"/>
  <c r="Y4" i="7"/>
  <c r="AA4" i="7"/>
  <c r="AC4" i="7"/>
  <c r="AE4" i="7"/>
  <c r="AG4" i="7"/>
  <c r="AG5" i="7"/>
  <c r="G6" i="7"/>
  <c r="I6" i="7"/>
  <c r="K6" i="7"/>
  <c r="M6" i="7"/>
  <c r="O6" i="7"/>
  <c r="Q6" i="7"/>
  <c r="S6" i="7"/>
  <c r="U6" i="7"/>
  <c r="W6" i="7"/>
  <c r="Y6" i="7"/>
  <c r="AA6" i="7"/>
  <c r="AC6" i="7"/>
  <c r="AE6" i="7"/>
  <c r="AG6" i="7"/>
  <c r="AG7" i="7"/>
  <c r="AG11" i="7"/>
  <c r="AG37" i="7"/>
  <c r="AG40" i="7"/>
  <c r="AG43" i="7"/>
  <c r="AG45" i="7"/>
  <c r="I53" i="7"/>
  <c r="K53" i="7"/>
  <c r="M53" i="7"/>
  <c r="O53" i="7"/>
  <c r="Q53" i="7"/>
  <c r="S53" i="7"/>
  <c r="U53" i="7"/>
  <c r="W53" i="7"/>
  <c r="Y53" i="7"/>
  <c r="AA53" i="7"/>
  <c r="AC53" i="7"/>
  <c r="AE53" i="7"/>
  <c r="AG53"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AG58" i="7"/>
  <c r="AG60" i="7"/>
  <c r="AG67" i="7"/>
  <c r="AG66" i="7"/>
  <c r="AE22" i="7"/>
  <c r="AE28" i="7"/>
  <c r="AE35" i="7"/>
  <c r="AE9" i="7"/>
  <c r="AE5" i="7"/>
  <c r="AE7" i="7"/>
  <c r="AE11" i="7"/>
  <c r="AE37" i="7"/>
  <c r="AE40" i="7"/>
  <c r="AE43" i="7"/>
  <c r="AE45" i="7"/>
  <c r="AE58" i="7"/>
  <c r="AE60" i="7"/>
  <c r="AE67" i="7"/>
  <c r="AE66" i="7"/>
  <c r="AC22" i="7"/>
  <c r="AC28" i="7"/>
  <c r="AC35" i="7"/>
  <c r="AC9" i="7"/>
  <c r="AC5" i="7"/>
  <c r="AC7" i="7"/>
  <c r="AC11" i="7"/>
  <c r="AC37" i="7"/>
  <c r="AC40" i="7"/>
  <c r="AC43" i="7"/>
  <c r="AC45" i="7"/>
  <c r="AC58" i="7"/>
  <c r="AC60" i="7"/>
  <c r="AC67" i="7"/>
  <c r="AC66" i="7"/>
  <c r="AA22" i="7"/>
  <c r="AA28" i="7"/>
  <c r="AA35" i="7"/>
  <c r="AA9" i="7"/>
  <c r="AA5" i="7"/>
  <c r="AA7" i="7"/>
  <c r="AA11" i="7"/>
  <c r="AA37" i="7"/>
  <c r="AA40" i="7"/>
  <c r="AA43" i="7"/>
  <c r="AA45" i="7"/>
  <c r="AA58" i="7"/>
  <c r="AA60" i="7"/>
  <c r="AA67" i="7"/>
  <c r="AA66" i="7"/>
  <c r="Y22" i="7"/>
  <c r="Y28" i="7"/>
  <c r="Y35" i="7"/>
  <c r="Y9" i="7"/>
  <c r="Y5" i="7"/>
  <c r="Y7" i="7"/>
  <c r="Y11" i="7"/>
  <c r="Y37" i="7"/>
  <c r="Y40" i="7"/>
  <c r="Y43" i="7"/>
  <c r="Y45" i="7"/>
  <c r="Y58" i="7"/>
  <c r="Y60" i="7"/>
  <c r="Y67" i="7"/>
  <c r="Y66" i="7"/>
  <c r="W22" i="7"/>
  <c r="W28" i="7"/>
  <c r="W35" i="7"/>
  <c r="W9" i="7"/>
  <c r="W5" i="7"/>
  <c r="W7" i="7"/>
  <c r="W11" i="7"/>
  <c r="W37" i="7"/>
  <c r="W40" i="7"/>
  <c r="W43" i="7"/>
  <c r="W45" i="7"/>
  <c r="W58" i="7"/>
  <c r="W60" i="7"/>
  <c r="W67" i="7"/>
  <c r="W66" i="7"/>
  <c r="U22" i="7"/>
  <c r="U28" i="7"/>
  <c r="U35" i="7"/>
  <c r="U9" i="7"/>
  <c r="U5" i="7"/>
  <c r="U7" i="7"/>
  <c r="U11" i="7"/>
  <c r="U37" i="7"/>
  <c r="U40" i="7"/>
  <c r="U43" i="7"/>
  <c r="U45" i="7"/>
  <c r="U58" i="7"/>
  <c r="U60" i="7"/>
  <c r="U67" i="7"/>
  <c r="U66" i="7"/>
  <c r="S22" i="7"/>
  <c r="S28" i="7"/>
  <c r="S35" i="7"/>
  <c r="S9" i="7"/>
  <c r="S5" i="7"/>
  <c r="S7" i="7"/>
  <c r="S11" i="7"/>
  <c r="S37" i="7"/>
  <c r="S40" i="7"/>
  <c r="S43" i="7"/>
  <c r="S45" i="7"/>
  <c r="S58" i="7"/>
  <c r="S60" i="7"/>
  <c r="S67" i="7"/>
  <c r="S66" i="7"/>
  <c r="Q22" i="7"/>
  <c r="Q28" i="7"/>
  <c r="Q35" i="7"/>
  <c r="Q9" i="7"/>
  <c r="Q5" i="7"/>
  <c r="Q7" i="7"/>
  <c r="Q11" i="7"/>
  <c r="Q37" i="7"/>
  <c r="Q40" i="7"/>
  <c r="Q43" i="7"/>
  <c r="Q45" i="7"/>
  <c r="Q58" i="7"/>
  <c r="Q60" i="7"/>
  <c r="Q67" i="7"/>
  <c r="Q66" i="7"/>
  <c r="O22" i="7"/>
  <c r="O28" i="7"/>
  <c r="O35" i="7"/>
  <c r="O9" i="7"/>
  <c r="O5" i="7"/>
  <c r="O7" i="7"/>
  <c r="O11" i="7"/>
  <c r="O37" i="7"/>
  <c r="O40" i="7"/>
  <c r="O43" i="7"/>
  <c r="O45" i="7"/>
  <c r="O58" i="7"/>
  <c r="O60" i="7"/>
  <c r="O67" i="7"/>
  <c r="O66" i="7"/>
  <c r="M22" i="7"/>
  <c r="M28" i="7"/>
  <c r="M35" i="7"/>
  <c r="M9" i="7"/>
  <c r="M5" i="7"/>
  <c r="M7" i="7"/>
  <c r="M11" i="7"/>
  <c r="M37" i="7"/>
  <c r="M40" i="7"/>
  <c r="M43" i="7"/>
  <c r="M45" i="7"/>
  <c r="M58" i="7"/>
  <c r="M60" i="7"/>
  <c r="M67" i="7"/>
  <c r="M66" i="7"/>
  <c r="K22" i="7"/>
  <c r="K28" i="7"/>
  <c r="K35" i="7"/>
  <c r="K9" i="7"/>
  <c r="K5" i="7"/>
  <c r="K7" i="7"/>
  <c r="K11" i="7"/>
  <c r="K37" i="7"/>
  <c r="K40" i="7"/>
  <c r="K43" i="7"/>
  <c r="K45" i="7"/>
  <c r="K58" i="7"/>
  <c r="K60" i="7"/>
  <c r="K67" i="7"/>
  <c r="K66" i="7"/>
  <c r="I22" i="7"/>
  <c r="I28" i="7"/>
  <c r="I35" i="7"/>
  <c r="I9" i="7"/>
  <c r="I5" i="7"/>
  <c r="I7" i="7"/>
  <c r="I11" i="7"/>
  <c r="I37" i="7"/>
  <c r="I40" i="7"/>
  <c r="I43" i="7"/>
  <c r="I45" i="7"/>
  <c r="I58" i="7"/>
  <c r="I60" i="7"/>
  <c r="I67" i="7"/>
  <c r="I66" i="7"/>
  <c r="G22" i="7"/>
  <c r="G28" i="7"/>
  <c r="G35" i="7"/>
  <c r="G9" i="7"/>
  <c r="G5" i="7"/>
  <c r="G7" i="7"/>
  <c r="G11" i="7"/>
  <c r="G37" i="7"/>
  <c r="G40" i="7"/>
  <c r="G43" i="7"/>
  <c r="G45" i="7"/>
  <c r="G58" i="7"/>
  <c r="G60" i="7"/>
  <c r="G67" i="7"/>
  <c r="G66" i="7"/>
  <c r="E9" i="7"/>
  <c r="E58" i="7"/>
  <c r="E60" i="7"/>
  <c r="E66" i="7"/>
  <c r="E67" i="7"/>
  <c r="C67" i="7"/>
  <c r="A67" i="7"/>
  <c r="A66" i="7"/>
  <c r="Q632" i="3"/>
  <c r="M108" i="4"/>
  <c r="M79" i="4"/>
  <c r="AA590" i="3"/>
  <c r="B104" i="4"/>
  <c r="E27" i="7"/>
  <c r="AJ1024" i="3"/>
  <c r="Q628" i="3"/>
  <c r="Q627" i="3"/>
  <c r="C65" i="7"/>
  <c r="B79" i="4"/>
  <c r="B80" i="4"/>
  <c r="J75" i="4"/>
  <c r="E65" i="4"/>
  <c r="Z663" i="3"/>
  <c r="M495" i="3"/>
  <c r="AA299" i="3"/>
  <c r="Q391" i="3"/>
  <c r="B57" i="4"/>
  <c r="E57" i="4"/>
  <c r="E11" i="4"/>
  <c r="B89" i="4"/>
  <c r="E89" i="4"/>
  <c r="R89" i="4"/>
  <c r="S89" i="4"/>
  <c r="R65" i="4"/>
  <c r="S65" i="4"/>
  <c r="G671" i="3"/>
  <c r="H672" i="3"/>
  <c r="H582" i="3"/>
  <c r="AA648" i="3"/>
  <c r="H648" i="3"/>
  <c r="Z651" i="3"/>
  <c r="AA656" i="3"/>
  <c r="G651" i="3"/>
  <c r="H656" i="3"/>
  <c r="G659" i="3"/>
  <c r="H664" i="3"/>
  <c r="Z659" i="3"/>
  <c r="G663" i="3"/>
  <c r="G655" i="3"/>
  <c r="Z655" i="3"/>
  <c r="Z589" i="3"/>
  <c r="E29" i="13"/>
  <c r="E31" i="13"/>
  <c r="E32" i="13"/>
  <c r="E33" i="13"/>
  <c r="E35" i="13"/>
  <c r="F38" i="13"/>
  <c r="E40" i="13"/>
  <c r="F42" i="13"/>
  <c r="E45" i="13"/>
  <c r="E46" i="13"/>
  <c r="E49" i="13"/>
  <c r="E50" i="13"/>
  <c r="F54" i="13"/>
  <c r="F63" i="13"/>
  <c r="E69" i="13"/>
  <c r="E65" i="13"/>
  <c r="F70" i="13"/>
  <c r="E79" i="13"/>
  <c r="E80" i="13"/>
  <c r="F81" i="13"/>
  <c r="E84" i="13"/>
  <c r="E85" i="13"/>
  <c r="E86" i="13"/>
  <c r="E87" i="13"/>
  <c r="E89" i="13"/>
  <c r="E90" i="13"/>
  <c r="E91" i="13"/>
  <c r="E92" i="13"/>
  <c r="E93" i="13"/>
  <c r="E94" i="13"/>
  <c r="E95" i="13"/>
  <c r="F96" i="13"/>
  <c r="F97" i="13"/>
  <c r="F104" i="13"/>
  <c r="F105" i="13"/>
  <c r="F107" i="13"/>
  <c r="Y67" i="15"/>
  <c r="AD67" i="15"/>
  <c r="C73" i="13"/>
  <c r="C72" i="13"/>
  <c r="B65" i="13"/>
  <c r="T99" i="4"/>
  <c r="S68" i="4"/>
  <c r="S67" i="4"/>
  <c r="S66" i="4"/>
  <c r="S53" i="4"/>
  <c r="S52" i="4"/>
  <c r="S48" i="4"/>
  <c r="S47" i="4"/>
  <c r="S37" i="4"/>
  <c r="S36" i="4"/>
  <c r="S34" i="4"/>
  <c r="L75" i="4"/>
  <c r="E60" i="4"/>
  <c r="E59" i="4"/>
  <c r="E53" i="4"/>
  <c r="E52" i="4"/>
  <c r="E48" i="4"/>
  <c r="E47" i="4"/>
  <c r="E34" i="4"/>
  <c r="H590" i="3"/>
  <c r="Z646" i="3"/>
  <c r="Z645" i="3"/>
  <c r="Z644" i="3"/>
  <c r="G646" i="3"/>
  <c r="G645" i="3"/>
  <c r="G644" i="3"/>
  <c r="AA582" i="3"/>
  <c r="AA573" i="3"/>
  <c r="H573" i="3"/>
  <c r="Z572" i="3"/>
  <c r="Z571" i="3"/>
  <c r="Z570" i="3"/>
  <c r="Z569" i="3"/>
  <c r="AA917" i="3"/>
  <c r="C627" i="3"/>
  <c r="I421" i="3"/>
  <c r="H291" i="3"/>
  <c r="AA297" i="3"/>
  <c r="AA296" i="3"/>
  <c r="H290" i="3"/>
  <c r="H288" i="3"/>
  <c r="AB276" i="3"/>
  <c r="V276" i="3"/>
  <c r="L279" i="3"/>
  <c r="L278" i="3"/>
  <c r="L277" i="3"/>
  <c r="L276" i="3"/>
  <c r="L275" i="3"/>
  <c r="W253" i="3"/>
  <c r="AC253" i="3"/>
  <c r="M255" i="3"/>
  <c r="M254" i="3"/>
  <c r="M253" i="3"/>
  <c r="M252" i="3"/>
  <c r="M248" i="3"/>
  <c r="M247" i="3"/>
  <c r="AC245" i="3"/>
  <c r="W245" i="3"/>
  <c r="M244" i="3"/>
  <c r="M245" i="3"/>
  <c r="M246" i="3"/>
  <c r="C167" i="20"/>
  <c r="U363" i="20"/>
  <c r="AJ700" i="20"/>
  <c r="L65" i="21"/>
  <c r="BQ98" i="27"/>
  <c r="BQ97" i="27"/>
  <c r="BQ96" i="27"/>
  <c r="X752" i="3"/>
  <c r="AH752" i="3"/>
  <c r="BG701" i="3"/>
  <c r="BT701" i="3"/>
  <c r="BT702" i="3"/>
  <c r="BA700" i="3"/>
  <c r="BA701" i="3"/>
  <c r="P18" i="21"/>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AX679" i="20"/>
  <c r="AX678" i="20"/>
  <c r="AJ714"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I12" i="8"/>
  <c r="I11" i="8"/>
  <c r="I10" i="8"/>
  <c r="I9" i="8"/>
  <c r="I8" i="8"/>
  <c r="I7" i="8"/>
  <c r="I6" i="8"/>
  <c r="I5" i="8"/>
  <c r="I4" i="8"/>
  <c r="AH750" i="3"/>
  <c r="AH749" i="3"/>
  <c r="AH748" i="3"/>
  <c r="AH747" i="3"/>
  <c r="AH746" i="3"/>
  <c r="AH745" i="3"/>
  <c r="AH744" i="3"/>
  <c r="AH743" i="3"/>
  <c r="AH741" i="3"/>
  <c r="AH740" i="3"/>
  <c r="AH739" i="3"/>
  <c r="AH738" i="3"/>
  <c r="AH737" i="3"/>
  <c r="AH736" i="3"/>
  <c r="AH735" i="3"/>
  <c r="AH734" i="3"/>
  <c r="AH733" i="3"/>
  <c r="AH732" i="3"/>
  <c r="AH731" i="3"/>
  <c r="AH729"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D40" i="8"/>
  <c r="X742" i="3"/>
  <c r="X743" i="3"/>
  <c r="X744" i="3"/>
  <c r="X745" i="3"/>
  <c r="X746" i="3"/>
  <c r="X747" i="3"/>
  <c r="X748" i="3"/>
  <c r="X749" i="3"/>
  <c r="X750" i="3"/>
  <c r="X751" i="3"/>
  <c r="AJ169" i="20"/>
  <c r="AJ155" i="20"/>
  <c r="AP282" i="20"/>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C5" i="7"/>
  <c r="C7" i="7"/>
  <c r="C9" i="7"/>
  <c r="A40" i="7"/>
  <c r="E33" i="7"/>
  <c r="E32" i="7"/>
  <c r="E31" i="7"/>
  <c r="E30" i="7"/>
  <c r="E29" i="7"/>
  <c r="E26" i="7"/>
  <c r="W855" i="3"/>
  <c r="E17" i="7"/>
  <c r="G17" i="7"/>
  <c r="I17" i="7"/>
  <c r="K17" i="7"/>
  <c r="M17" i="7"/>
  <c r="O17" i="7"/>
  <c r="Q17" i="7"/>
  <c r="S17" i="7"/>
  <c r="U17" i="7"/>
  <c r="W17" i="7"/>
  <c r="Y17" i="7"/>
  <c r="AA17" i="7"/>
  <c r="AC17" i="7"/>
  <c r="AE17" i="7"/>
  <c r="AG17" i="7"/>
  <c r="E19" i="7"/>
  <c r="AC773" i="3"/>
  <c r="AC774" i="3"/>
  <c r="AC775" i="3"/>
  <c r="AC776" i="3"/>
  <c r="AC787" i="3"/>
  <c r="AC788" i="3"/>
  <c r="AC789" i="3"/>
  <c r="AC790" i="3"/>
  <c r="AC791" i="3"/>
  <c r="AC792" i="3"/>
  <c r="AC793" i="3"/>
  <c r="AC794" i="3"/>
  <c r="AC795" i="3"/>
  <c r="AC796" i="3"/>
  <c r="T25" i="15"/>
  <c r="AD7" i="15"/>
  <c r="CB796" i="3"/>
  <c r="R988" i="3"/>
  <c r="DX598" i="3"/>
  <c r="DX599" i="3"/>
  <c r="DX600" i="3"/>
  <c r="DX601" i="3"/>
  <c r="DX602" i="3"/>
  <c r="DX603" i="3"/>
  <c r="DX604"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EC598" i="3"/>
  <c r="EC599" i="3"/>
  <c r="EC600" i="3"/>
  <c r="EC601" i="3"/>
  <c r="EC602" i="3"/>
  <c r="EC603" i="3"/>
  <c r="EC604"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EH597" i="3"/>
  <c r="EH598" i="3"/>
  <c r="EH599" i="3"/>
  <c r="EH600" i="3"/>
  <c r="EH601" i="3"/>
  <c r="EH602" i="3"/>
  <c r="EH603" i="3"/>
  <c r="EH604"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EM597" i="3"/>
  <c r="EM598" i="3"/>
  <c r="EM599" i="3"/>
  <c r="EM600" i="3"/>
  <c r="EM601" i="3"/>
  <c r="EM602" i="3"/>
  <c r="EM603" i="3"/>
  <c r="EM604"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EW597" i="3"/>
  <c r="EW598" i="3"/>
  <c r="EW599" i="3"/>
  <c r="EW600" i="3"/>
  <c r="EW601" i="3"/>
  <c r="EW602" i="3"/>
  <c r="EW603" i="3"/>
  <c r="EW604"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ER597" i="3"/>
  <c r="ER598" i="3"/>
  <c r="ER599" i="3"/>
  <c r="ER600" i="3"/>
  <c r="ER601" i="3"/>
  <c r="ER602" i="3"/>
  <c r="ER603" i="3"/>
  <c r="ER604"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Z846"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K327" i="20"/>
  <c r="AO28" i="20"/>
  <c r="AO29" i="20"/>
  <c r="AO24" i="20"/>
  <c r="AO25" i="20"/>
  <c r="AO21" i="20"/>
  <c r="AO20" i="20"/>
  <c r="AO22" i="20"/>
  <c r="AO16" i="20"/>
  <c r="AO15" i="20"/>
  <c r="AO14" i="20"/>
  <c r="AO13" i="20"/>
  <c r="G113" i="21"/>
  <c r="G110" i="21"/>
  <c r="E112" i="21"/>
  <c r="S26" i="4"/>
  <c r="C26" i="4"/>
  <c r="B26" i="13"/>
  <c r="G90" i="21"/>
  <c r="G94" i="21"/>
  <c r="G77" i="21"/>
  <c r="M20" i="21"/>
  <c r="M21" i="21"/>
  <c r="S21" i="21"/>
  <c r="M22" i="21"/>
  <c r="S22" i="21"/>
  <c r="M23" i="21"/>
  <c r="S23" i="21"/>
  <c r="M24" i="21"/>
  <c r="T24" i="21"/>
  <c r="M25" i="21"/>
  <c r="S25" i="21"/>
  <c r="M26" i="21"/>
  <c r="M27" i="21"/>
  <c r="S27" i="21"/>
  <c r="M28" i="21"/>
  <c r="T28" i="21"/>
  <c r="M29" i="21"/>
  <c r="M30" i="21"/>
  <c r="Q30" i="21" a="1"/>
  <c r="Q30" i="21"/>
  <c r="M31" i="21"/>
  <c r="S31" i="21"/>
  <c r="M32" i="21"/>
  <c r="M33" i="21"/>
  <c r="T33" i="21"/>
  <c r="M34" i="21"/>
  <c r="S34" i="21"/>
  <c r="M35" i="21"/>
  <c r="S35" i="21"/>
  <c r="M36" i="21"/>
  <c r="R36" i="21"/>
  <c r="M37" i="21"/>
  <c r="O37" i="21"/>
  <c r="M38" i="21"/>
  <c r="O38" i="21"/>
  <c r="M39" i="21"/>
  <c r="S39" i="21"/>
  <c r="M40" i="21"/>
  <c r="S40" i="21"/>
  <c r="M41" i="21"/>
  <c r="Q41" i="21" a="1"/>
  <c r="Q41" i="21"/>
  <c r="M42" i="21"/>
  <c r="Q42" i="21" a="1"/>
  <c r="Q42" i="21"/>
  <c r="M43" i="21"/>
  <c r="S43" i="21"/>
  <c r="M44" i="21"/>
  <c r="S44" i="2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c r="B5" i="8"/>
  <c r="G5" i="8"/>
  <c r="B6" i="8"/>
  <c r="G6" i="8"/>
  <c r="G102" i="21"/>
  <c r="G88" i="21"/>
  <c r="G92" i="21"/>
  <c r="B10" i="8"/>
  <c r="G10" i="8"/>
  <c r="CS649" i="3"/>
  <c r="E104" i="21"/>
  <c r="E95" i="21"/>
  <c r="B85" i="21"/>
  <c r="B60" i="21"/>
  <c r="B51" i="21"/>
  <c r="B42" i="21"/>
  <c r="B33" i="21"/>
  <c r="B18" i="21"/>
  <c r="B7" i="8"/>
  <c r="G7" i="8"/>
  <c r="AV775" i="3"/>
  <c r="AK274" i="20"/>
  <c r="T803" i="20"/>
  <c r="AF803" i="20"/>
  <c r="B24" i="4"/>
  <c r="R36" i="4"/>
  <c r="B36" i="4"/>
  <c r="B66" i="4"/>
  <c r="B67" i="4"/>
  <c r="B68" i="4"/>
  <c r="R66" i="4"/>
  <c r="R67" i="4"/>
  <c r="R68" i="4"/>
  <c r="A104" i="11"/>
  <c r="C101" i="11"/>
  <c r="C102" i="11"/>
  <c r="C103" i="11"/>
  <c r="C104" i="11"/>
  <c r="B101" i="11"/>
  <c r="B102" i="11"/>
  <c r="B103" i="11"/>
  <c r="B104" i="11"/>
  <c r="C85" i="11"/>
  <c r="C86" i="11"/>
  <c r="C87" i="11"/>
  <c r="C88" i="11"/>
  <c r="B88" i="11"/>
  <c r="D88" i="11"/>
  <c r="C89" i="11"/>
  <c r="C90" i="11"/>
  <c r="C91" i="11"/>
  <c r="C92" i="11"/>
  <c r="C93" i="11"/>
  <c r="C94" i="11"/>
  <c r="C95" i="11"/>
  <c r="C96" i="11"/>
  <c r="B85" i="11"/>
  <c r="B86" i="11"/>
  <c r="B87" i="11"/>
  <c r="B89" i="11"/>
  <c r="B90" i="11"/>
  <c r="B91" i="11"/>
  <c r="B92" i="11"/>
  <c r="B93" i="11"/>
  <c r="B94" i="11"/>
  <c r="B95" i="11"/>
  <c r="B96" i="11"/>
  <c r="A70" i="11"/>
  <c r="C67" i="11"/>
  <c r="C68" i="11"/>
  <c r="C69" i="11"/>
  <c r="C70" i="11"/>
  <c r="C66" i="11"/>
  <c r="C71" i="11"/>
  <c r="B67" i="11"/>
  <c r="B68" i="11"/>
  <c r="B69" i="11"/>
  <c r="B70" i="11"/>
  <c r="A62" i="11"/>
  <c r="A54" i="11"/>
  <c r="A38" i="11"/>
  <c r="A26" i="11"/>
  <c r="C31" i="11"/>
  <c r="C32" i="11"/>
  <c r="C33" i="11"/>
  <c r="B33" i="11"/>
  <c r="D33" i="11"/>
  <c r="C34" i="11"/>
  <c r="B34" i="11"/>
  <c r="D34" i="11"/>
  <c r="C35" i="11"/>
  <c r="C36" i="11"/>
  <c r="B36" i="11"/>
  <c r="D36" i="11"/>
  <c r="C37" i="11"/>
  <c r="C38" i="11"/>
  <c r="B31" i="11"/>
  <c r="B32" i="11"/>
  <c r="B35" i="11"/>
  <c r="B37" i="11"/>
  <c r="B38" i="11"/>
  <c r="C24" i="11"/>
  <c r="C25" i="11"/>
  <c r="C26" i="11"/>
  <c r="B25" i="11"/>
  <c r="B26" i="11"/>
  <c r="D70" i="4"/>
  <c r="B70" i="4"/>
  <c r="B70" i="13"/>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E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77" i="3"/>
  <c r="BT678" i="3"/>
  <c r="BT679" i="3"/>
  <c r="BT680" i="3"/>
  <c r="BT681" i="3"/>
  <c r="BT682" i="3"/>
  <c r="BT683" i="3"/>
  <c r="BT684" i="3"/>
  <c r="BT685" i="3"/>
  <c r="BT686" i="3"/>
  <c r="BT687" i="3"/>
  <c r="BT688" i="3"/>
  <c r="BT689" i="3"/>
  <c r="BT690" i="3"/>
  <c r="BT691" i="3"/>
  <c r="BA678" i="3"/>
  <c r="X729" i="3"/>
  <c r="BA676" i="3"/>
  <c r="X727" i="3"/>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B59" i="4"/>
  <c r="C80" i="11"/>
  <c r="C81" i="11"/>
  <c r="C82" i="11"/>
  <c r="B80" i="11"/>
  <c r="B81" i="11"/>
  <c r="I96" i="13"/>
  <c r="J96" i="13"/>
  <c r="J81" i="13"/>
  <c r="I81" i="13"/>
  <c r="G81" i="13"/>
  <c r="D81" i="13"/>
  <c r="H80" i="13"/>
  <c r="B80" i="13"/>
  <c r="D81" i="4"/>
  <c r="F81" i="4"/>
  <c r="G81" i="4"/>
  <c r="H81" i="4"/>
  <c r="I81" i="4"/>
  <c r="J81" i="4"/>
  <c r="K81" i="4"/>
  <c r="L81" i="4"/>
  <c r="M81" i="4"/>
  <c r="N81" i="4"/>
  <c r="O81" i="4"/>
  <c r="P81" i="4"/>
  <c r="Q81" i="4"/>
  <c r="T81" i="4"/>
  <c r="H81" i="13"/>
  <c r="B81" i="13"/>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53" i="13"/>
  <c r="E52" i="13"/>
  <c r="E51" i="13"/>
  <c r="E48" i="13"/>
  <c r="E47" i="13"/>
  <c r="E43" i="13"/>
  <c r="E37" i="13"/>
  <c r="E34"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83" i="13"/>
  <c r="B79" i="13"/>
  <c r="B76" i="13"/>
  <c r="C76" i="13"/>
  <c r="B75" i="13"/>
  <c r="B74" i="13"/>
  <c r="C74" i="13"/>
  <c r="B73" i="13"/>
  <c r="B72" i="13"/>
  <c r="B61" i="13"/>
  <c r="B60" i="13"/>
  <c r="B59" i="13"/>
  <c r="B58" i="13"/>
  <c r="B57" i="13"/>
  <c r="B56" i="13"/>
  <c r="B53" i="13"/>
  <c r="B52" i="13"/>
  <c r="B51" i="13"/>
  <c r="B50" i="13"/>
  <c r="B49" i="13"/>
  <c r="B48" i="13"/>
  <c r="B47" i="13"/>
  <c r="B46" i="13"/>
  <c r="B45" i="13"/>
  <c r="B43" i="13"/>
  <c r="B42" i="4"/>
  <c r="B41" i="13"/>
  <c r="B40" i="13"/>
  <c r="B37" i="13"/>
  <c r="B35" i="13"/>
  <c r="B34" i="13"/>
  <c r="B33" i="13"/>
  <c r="B32" i="13"/>
  <c r="B31" i="13"/>
  <c r="B30" i="13"/>
  <c r="B29" i="13"/>
  <c r="B27" i="13"/>
  <c r="B25" i="13"/>
  <c r="B23" i="13"/>
  <c r="B22" i="13"/>
  <c r="B21" i="13"/>
  <c r="B20" i="13"/>
  <c r="B19" i="13"/>
  <c r="B18" i="13"/>
  <c r="B17" i="13"/>
  <c r="B5" i="13"/>
  <c r="B6" i="13"/>
  <c r="B7" i="13"/>
  <c r="B8" i="13"/>
  <c r="B9" i="13"/>
  <c r="B10" i="13"/>
  <c r="B13" i="13"/>
  <c r="B14" i="13"/>
  <c r="B15" i="13"/>
  <c r="B4" i="13"/>
  <c r="J104" i="13"/>
  <c r="I104" i="13"/>
  <c r="G104" i="13"/>
  <c r="D104" i="13"/>
  <c r="G96" i="13"/>
  <c r="D96" i="13"/>
  <c r="D77" i="13"/>
  <c r="J70" i="13"/>
  <c r="I70" i="13"/>
  <c r="G70" i="13"/>
  <c r="D70" i="13"/>
  <c r="C70" i="13"/>
  <c r="D62" i="13"/>
  <c r="J54" i="13"/>
  <c r="I54" i="13"/>
  <c r="G54" i="13"/>
  <c r="D54" i="13"/>
  <c r="J42" i="13"/>
  <c r="I42" i="13"/>
  <c r="G42" i="13"/>
  <c r="F26" i="13"/>
  <c r="D42" i="13"/>
  <c r="J38" i="13"/>
  <c r="I38" i="13"/>
  <c r="G38" i="13"/>
  <c r="D38" i="13"/>
  <c r="J26" i="13"/>
  <c r="I26" i="13"/>
  <c r="I11" i="13"/>
  <c r="G26" i="13"/>
  <c r="D26" i="13"/>
  <c r="C26" i="13"/>
  <c r="J11" i="13"/>
  <c r="D11" i="13"/>
  <c r="C11" i="13"/>
  <c r="C8" i="13"/>
  <c r="D8" i="13"/>
  <c r="T104" i="4"/>
  <c r="T105" i="4"/>
  <c r="H104" i="13"/>
  <c r="R103" i="4"/>
  <c r="R102" i="4"/>
  <c r="R101" i="4"/>
  <c r="R72" i="4"/>
  <c r="R73" i="4"/>
  <c r="E70" i="13"/>
  <c r="R60" i="4"/>
  <c r="R59" i="4"/>
  <c r="R57" i="4"/>
  <c r="R53" i="4"/>
  <c r="R52" i="4"/>
  <c r="R48" i="4"/>
  <c r="R47" i="4"/>
  <c r="R37" i="4"/>
  <c r="R34" i="4"/>
  <c r="R27" i="4"/>
  <c r="R25" i="4"/>
  <c r="R23" i="4"/>
  <c r="R22" i="4"/>
  <c r="R21" i="4"/>
  <c r="R20" i="4"/>
  <c r="R19" i="4"/>
  <c r="R18" i="4"/>
  <c r="R17" i="4"/>
  <c r="R15" i="4"/>
  <c r="R14" i="4"/>
  <c r="R13" i="4"/>
  <c r="R9" i="4"/>
  <c r="R11" i="4"/>
  <c r="R7" i="4"/>
  <c r="R6" i="4"/>
  <c r="R5" i="4"/>
  <c r="R4" i="4"/>
  <c r="R8" i="4"/>
  <c r="B5" i="11"/>
  <c r="B9" i="11"/>
  <c r="B13" i="11"/>
  <c r="C5" i="11"/>
  <c r="C9" i="11"/>
  <c r="B6" i="11"/>
  <c r="C6" i="11"/>
  <c r="B7" i="11"/>
  <c r="C7" i="11"/>
  <c r="C8" i="11"/>
  <c r="B8" i="11"/>
  <c r="B10" i="11"/>
  <c r="B11" i="11"/>
  <c r="C10" i="11"/>
  <c r="C11" i="11"/>
  <c r="B14" i="11"/>
  <c r="C14" i="11"/>
  <c r="B15" i="11"/>
  <c r="C15" i="11"/>
  <c r="B16" i="11"/>
  <c r="C16" i="11"/>
  <c r="B18" i="11"/>
  <c r="C18" i="11"/>
  <c r="D18" i="11"/>
  <c r="B19" i="11"/>
  <c r="C19" i="11"/>
  <c r="B20" i="11"/>
  <c r="C20" i="11"/>
  <c r="B21" i="11"/>
  <c r="C21" i="11"/>
  <c r="D21" i="11"/>
  <c r="B22" i="11"/>
  <c r="C22" i="11"/>
  <c r="D22" i="11"/>
  <c r="B23" i="11"/>
  <c r="C23" i="11"/>
  <c r="B24" i="11"/>
  <c r="B28" i="11"/>
  <c r="C28" i="11"/>
  <c r="B30" i="11"/>
  <c r="C30" i="11"/>
  <c r="B41" i="11"/>
  <c r="C41" i="11"/>
  <c r="C42" i="11"/>
  <c r="B42" i="11"/>
  <c r="B44" i="11"/>
  <c r="C44" i="11"/>
  <c r="B46" i="11"/>
  <c r="C46" i="11"/>
  <c r="B47" i="11"/>
  <c r="C47" i="11"/>
  <c r="B48" i="11"/>
  <c r="B49" i="11"/>
  <c r="B50" i="11"/>
  <c r="B51" i="11"/>
  <c r="B52" i="11"/>
  <c r="C52" i="11"/>
  <c r="D52" i="11"/>
  <c r="B53" i="11"/>
  <c r="D53" i="11"/>
  <c r="C48" i="11"/>
  <c r="D48" i="11"/>
  <c r="C49" i="11"/>
  <c r="C50" i="11"/>
  <c r="C51" i="11"/>
  <c r="C53" i="11"/>
  <c r="B57" i="11"/>
  <c r="C57" i="11"/>
  <c r="D57" i="11"/>
  <c r="B58" i="11"/>
  <c r="C58" i="11"/>
  <c r="B59" i="11"/>
  <c r="C59" i="11"/>
  <c r="B60" i="11"/>
  <c r="C60" i="11"/>
  <c r="B61" i="11"/>
  <c r="C61" i="11"/>
  <c r="B62" i="11"/>
  <c r="C62" i="11"/>
  <c r="B66" i="11"/>
  <c r="B73" i="11"/>
  <c r="C73" i="11"/>
  <c r="B74" i="11"/>
  <c r="C74" i="11"/>
  <c r="B75" i="11"/>
  <c r="C75" i="11"/>
  <c r="B76" i="11"/>
  <c r="C76" i="11"/>
  <c r="B77" i="11"/>
  <c r="C77" i="11"/>
  <c r="B84" i="11"/>
  <c r="C84" i="11"/>
  <c r="D84"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H11" i="13"/>
  <c r="T26" i="4"/>
  <c r="H26" i="13"/>
  <c r="T38" i="4"/>
  <c r="H38" i="13"/>
  <c r="T42" i="4"/>
  <c r="H42" i="13"/>
  <c r="T54" i="4"/>
  <c r="H54" i="13"/>
  <c r="T70" i="4"/>
  <c r="H70" i="13"/>
  <c r="T96" i="4"/>
  <c r="H96" i="13"/>
  <c r="C11" i="4"/>
  <c r="B38" i="4"/>
  <c r="B54" i="4"/>
  <c r="B62" i="4"/>
  <c r="B77" i="13"/>
  <c r="B96" i="4"/>
  <c r="D8" i="4"/>
  <c r="D11" i="4"/>
  <c r="D26" i="4"/>
  <c r="D38" i="4"/>
  <c r="D42" i="4"/>
  <c r="D54" i="4"/>
  <c r="D62" i="4"/>
  <c r="D77" i="4"/>
  <c r="D96" i="4"/>
  <c r="D104" i="4"/>
  <c r="E26" i="13"/>
  <c r="F2" i="4"/>
  <c r="G2" i="4"/>
  <c r="H2" i="4"/>
  <c r="I2" i="4"/>
  <c r="J2" i="4"/>
  <c r="K2" i="4"/>
  <c r="L2" i="4"/>
  <c r="M2" i="4"/>
  <c r="N2" i="4"/>
  <c r="O2" i="4"/>
  <c r="P2" i="4"/>
  <c r="Q2" i="4"/>
  <c r="B4" i="4"/>
  <c r="B5" i="4"/>
  <c r="B6" i="4"/>
  <c r="B7" i="4"/>
  <c r="E12" i="4"/>
  <c r="F8" i="4"/>
  <c r="G8" i="4"/>
  <c r="G11" i="4"/>
  <c r="H8" i="4"/>
  <c r="H11" i="4"/>
  <c r="I8" i="4"/>
  <c r="I11" i="4"/>
  <c r="J8" i="4"/>
  <c r="J11" i="4"/>
  <c r="J26" i="4"/>
  <c r="J38" i="4"/>
  <c r="J42" i="4"/>
  <c r="J54" i="4"/>
  <c r="J62" i="4"/>
  <c r="J70" i="4"/>
  <c r="J77" i="4"/>
  <c r="J97" i="4"/>
  <c r="J104" i="4"/>
  <c r="J105" i="4"/>
  <c r="J96" i="4"/>
  <c r="K8" i="4"/>
  <c r="K11" i="4"/>
  <c r="L8" i="4"/>
  <c r="L11" i="4"/>
  <c r="M8" i="4"/>
  <c r="M11" i="4"/>
  <c r="N8" i="4"/>
  <c r="O8" i="4"/>
  <c r="Q8" i="4"/>
  <c r="Q11" i="4"/>
  <c r="B9" i="4"/>
  <c r="B10" i="4"/>
  <c r="F11" i="4"/>
  <c r="F12"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7" i="4"/>
  <c r="M105" i="4"/>
  <c r="M96" i="4"/>
  <c r="M104" i="4"/>
  <c r="N26" i="4"/>
  <c r="N38" i="4"/>
  <c r="N42" i="4"/>
  <c r="N54" i="4"/>
  <c r="N62" i="4"/>
  <c r="N70" i="4"/>
  <c r="N77" i="4"/>
  <c r="N97" i="4"/>
  <c r="N105" i="4"/>
  <c r="N96" i="4"/>
  <c r="N104" i="4"/>
  <c r="O26" i="4"/>
  <c r="P26" i="4"/>
  <c r="Q26" i="4"/>
  <c r="B27" i="4"/>
  <c r="B29" i="4"/>
  <c r="B30" i="4"/>
  <c r="B31" i="4"/>
  <c r="B32" i="4"/>
  <c r="B33" i="4"/>
  <c r="B34" i="4"/>
  <c r="B35" i="4"/>
  <c r="B37" i="4"/>
  <c r="G38" i="4"/>
  <c r="G63" i="4"/>
  <c r="G97" i="4"/>
  <c r="G105" i="4"/>
  <c r="H38" i="4"/>
  <c r="L38" i="4"/>
  <c r="O38" i="4"/>
  <c r="P38" i="4"/>
  <c r="P42" i="4"/>
  <c r="P54" i="4"/>
  <c r="P62" i="4"/>
  <c r="P70" i="4"/>
  <c r="P77" i="4"/>
  <c r="P96" i="4"/>
  <c r="P104" i="4"/>
  <c r="Q38" i="4"/>
  <c r="B40" i="4"/>
  <c r="B41" i="4"/>
  <c r="G42" i="4"/>
  <c r="H42" i="4"/>
  <c r="L42" i="4"/>
  <c r="O42" i="4"/>
  <c r="Q42" i="4"/>
  <c r="B43" i="4"/>
  <c r="B47" i="4"/>
  <c r="B48" i="4"/>
  <c r="B49" i="4"/>
  <c r="B50" i="4"/>
  <c r="B51" i="4"/>
  <c r="B52" i="4"/>
  <c r="B53" i="4"/>
  <c r="G54" i="4"/>
  <c r="H54" i="4"/>
  <c r="K54" i="4"/>
  <c r="L54" i="4"/>
  <c r="O54" i="4"/>
  <c r="Q54" i="4"/>
  <c r="R56" i="4"/>
  <c r="R58" i="4"/>
  <c r="B60" i="4"/>
  <c r="R61" i="4"/>
  <c r="G62" i="4"/>
  <c r="H62" i="4"/>
  <c r="K62" i="4"/>
  <c r="L62" i="4"/>
  <c r="O62" i="4"/>
  <c r="O70" i="4"/>
  <c r="O77" i="4"/>
  <c r="O96" i="4"/>
  <c r="O104" i="4"/>
  <c r="Q62" i="4"/>
  <c r="B65" i="4"/>
  <c r="F70" i="4"/>
  <c r="G70" i="4"/>
  <c r="H70" i="4"/>
  <c r="I70" i="4"/>
  <c r="K70" i="4"/>
  <c r="L70" i="4"/>
  <c r="Q70" i="4"/>
  <c r="B72" i="4"/>
  <c r="B73" i="4"/>
  <c r="R74" i="4"/>
  <c r="R75" i="4"/>
  <c r="R76" i="4"/>
  <c r="F77" i="4"/>
  <c r="G77" i="4"/>
  <c r="H77" i="4"/>
  <c r="I77" i="4"/>
  <c r="K77" i="4"/>
  <c r="L77" i="4"/>
  <c r="Q77" i="4"/>
  <c r="R83" i="4"/>
  <c r="B84" i="4"/>
  <c r="R88" i="4"/>
  <c r="F96" i="4"/>
  <c r="G96" i="4"/>
  <c r="H96" i="4"/>
  <c r="I96" i="4"/>
  <c r="K96" i="4"/>
  <c r="L96" i="4"/>
  <c r="Q96" i="4"/>
  <c r="B101" i="4"/>
  <c r="B102" i="4"/>
  <c r="B103" i="4"/>
  <c r="F104" i="4"/>
  <c r="G104" i="4"/>
  <c r="H104" i="4"/>
  <c r="I104" i="4"/>
  <c r="I105" i="4"/>
  <c r="K104" i="4"/>
  <c r="L104" i="4"/>
  <c r="Q104" i="4"/>
  <c r="F108" i="4"/>
  <c r="G108" i="4"/>
  <c r="I108" i="4"/>
  <c r="K108" i="4"/>
  <c r="L108" i="4"/>
  <c r="N108" i="4"/>
  <c r="O108" i="4"/>
  <c r="P108" i="4"/>
  <c r="Q108" i="4"/>
  <c r="B131" i="4"/>
  <c r="I184" i="3"/>
  <c r="W418" i="3"/>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67" i="3"/>
  <c r="Z667" i="3"/>
  <c r="G675" i="3"/>
  <c r="Z675" i="3"/>
  <c r="BA679" i="3"/>
  <c r="BA680" i="3"/>
  <c r="BA681" i="3"/>
  <c r="BA682" i="3"/>
  <c r="BA683" i="3"/>
  <c r="BA684" i="3"/>
  <c r="BA685" i="3"/>
  <c r="BA686" i="3"/>
  <c r="G683" i="3"/>
  <c r="Z683" i="3"/>
  <c r="BA687" i="3"/>
  <c r="BA688" i="3"/>
  <c r="BA689" i="3"/>
  <c r="BA690"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7" i="4"/>
  <c r="D49" i="11"/>
  <c r="I63" i="13"/>
  <c r="I97" i="13"/>
  <c r="I105" i="13"/>
  <c r="I107" i="13"/>
  <c r="D54" i="11"/>
  <c r="J63" i="13"/>
  <c r="J97" i="13"/>
  <c r="J105" i="13"/>
  <c r="J107" i="13"/>
  <c r="L12" i="4"/>
  <c r="D5" i="11"/>
  <c r="I12" i="4"/>
  <c r="G12" i="4"/>
  <c r="D6" i="11"/>
  <c r="L63" i="4"/>
  <c r="L97" i="4"/>
  <c r="L105" i="4"/>
  <c r="Q12" i="4"/>
  <c r="B11" i="4"/>
  <c r="O63" i="4"/>
  <c r="O97" i="4"/>
  <c r="O105" i="4"/>
  <c r="D10" i="11"/>
  <c r="G63" i="13"/>
  <c r="G97" i="13"/>
  <c r="G105" i="13"/>
  <c r="G107" i="13"/>
  <c r="D61" i="11"/>
  <c r="D20" i="11"/>
  <c r="D8" i="11"/>
  <c r="D85" i="11"/>
  <c r="D102" i="11"/>
  <c r="K12" i="4"/>
  <c r="C12" i="13"/>
  <c r="D7" i="11"/>
  <c r="J12" i="4"/>
  <c r="O12" i="4"/>
  <c r="I63" i="4"/>
  <c r="I97" i="4"/>
  <c r="B11" i="13"/>
  <c r="H12" i="4"/>
  <c r="D19" i="11"/>
  <c r="D73" i="11"/>
  <c r="D44" i="11"/>
  <c r="D35" i="11"/>
  <c r="D15" i="11"/>
  <c r="D63" i="13"/>
  <c r="D97" i="13"/>
  <c r="D105" i="13"/>
  <c r="D14" i="11"/>
  <c r="Q63" i="4"/>
  <c r="Q97" i="4"/>
  <c r="Q105" i="4"/>
  <c r="D87" i="11"/>
  <c r="N63" i="4"/>
  <c r="N12" i="4"/>
  <c r="M12" i="4"/>
  <c r="D74" i="11"/>
  <c r="D38" i="11"/>
  <c r="P63" i="4"/>
  <c r="P97" i="4"/>
  <c r="P105" i="4"/>
  <c r="D12" i="13"/>
  <c r="D58" i="11"/>
  <c r="D101" i="11"/>
  <c r="D66" i="11"/>
  <c r="D28" i="11"/>
  <c r="D103" i="11"/>
  <c r="D16" i="11"/>
  <c r="B12" i="11"/>
  <c r="AD199" i="20"/>
  <c r="M63" i="4"/>
  <c r="J63" i="4"/>
  <c r="C12" i="11"/>
  <c r="D104" i="11"/>
  <c r="T63" i="4"/>
  <c r="T97" i="4"/>
  <c r="D11" i="11"/>
  <c r="D12" i="11"/>
  <c r="H63" i="13"/>
  <c r="H97" i="13"/>
  <c r="D96" i="11"/>
  <c r="D50" i="11"/>
  <c r="D32" i="11"/>
  <c r="B81" i="4"/>
  <c r="D89" i="11"/>
  <c r="B62" i="13"/>
  <c r="D41" i="11"/>
  <c r="C42" i="13"/>
  <c r="B42" i="13"/>
  <c r="C81" i="13"/>
  <c r="D70" i="11"/>
  <c r="D59" i="11"/>
  <c r="D42" i="11"/>
  <c r="D91" i="11"/>
  <c r="D47" i="11"/>
  <c r="D51" i="11"/>
  <c r="B96" i="13"/>
  <c r="D90" i="11"/>
  <c r="B54" i="13"/>
  <c r="C43" i="11"/>
  <c r="E81" i="13"/>
  <c r="D92" i="11"/>
  <c r="C77" i="13"/>
  <c r="D81" i="11"/>
  <c r="B43" i="11"/>
  <c r="C62" i="13"/>
  <c r="D77" i="11"/>
  <c r="D62" i="11"/>
  <c r="C38" i="13"/>
  <c r="D30" i="11"/>
  <c r="C54" i="13"/>
  <c r="R54" i="4"/>
  <c r="C13" i="11"/>
  <c r="D13" i="11"/>
  <c r="D9" i="11"/>
  <c r="B82" i="11"/>
  <c r="D82" i="11"/>
  <c r="B8" i="4"/>
  <c r="N187" i="27"/>
  <c r="D80" i="11"/>
  <c r="C78" i="11"/>
  <c r="C63" i="11"/>
  <c r="B55" i="11"/>
  <c r="R62" i="4"/>
  <c r="D95" i="11"/>
  <c r="B39" i="11"/>
  <c r="D94" i="11"/>
  <c r="D93" i="11"/>
  <c r="C12" i="4"/>
  <c r="B12" i="13"/>
  <c r="R70" i="4"/>
  <c r="B97" i="11"/>
  <c r="C96" i="13"/>
  <c r="D76" i="11"/>
  <c r="D31" i="11"/>
  <c r="B78" i="11"/>
  <c r="B63" i="11"/>
  <c r="B38" i="13"/>
  <c r="D86" i="11"/>
  <c r="AH730" i="3"/>
  <c r="G67" i="21"/>
  <c r="T107" i="4"/>
  <c r="H107" i="13"/>
  <c r="AD11" i="15"/>
  <c r="H105" i="13"/>
  <c r="N186" i="27"/>
  <c r="C97" i="11"/>
  <c r="R81" i="4"/>
  <c r="R77" i="4"/>
  <c r="D75" i="11"/>
  <c r="B71" i="11"/>
  <c r="D71" i="11"/>
  <c r="D60" i="11"/>
  <c r="D46" i="11"/>
  <c r="C55" i="11"/>
  <c r="D25" i="11"/>
  <c r="H63" i="4"/>
  <c r="H97" i="4"/>
  <c r="H105" i="4"/>
  <c r="C39" i="11"/>
  <c r="D23" i="11"/>
  <c r="D24" i="11"/>
  <c r="R26" i="4"/>
  <c r="B26" i="4"/>
  <c r="C27" i="11"/>
  <c r="R12" i="4"/>
  <c r="F63" i="4"/>
  <c r="F97" i="4"/>
  <c r="F105" i="4"/>
  <c r="D63" i="4"/>
  <c r="D97" i="4"/>
  <c r="D105" i="4"/>
  <c r="D12" i="4"/>
  <c r="AH728" i="3"/>
  <c r="AH727" i="3"/>
  <c r="AD23" i="15"/>
  <c r="AD26" i="15"/>
  <c r="B63" i="13"/>
  <c r="AA29" i="7"/>
  <c r="R44" i="21"/>
  <c r="O29" i="7"/>
  <c r="C798" i="3"/>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AY1010" i="3"/>
  <c r="AF1016" i="3"/>
  <c r="AZ843" i="3"/>
  <c r="AZ851" i="3"/>
  <c r="AB223" i="20"/>
  <c r="AB239" i="20"/>
  <c r="AB241" i="20"/>
  <c r="AB243" i="20"/>
  <c r="AB249" i="20"/>
  <c r="AD198" i="20"/>
  <c r="AO65" i="20"/>
  <c r="AP364" i="20"/>
  <c r="AQ364" i="20"/>
  <c r="AK524" i="20"/>
  <c r="T802" i="20"/>
  <c r="AF802" i="20"/>
  <c r="BG703" i="3"/>
  <c r="EC648" i="3"/>
  <c r="EC597" i="3"/>
  <c r="EC632" i="3"/>
  <c r="Y7" i="15"/>
  <c r="AI7" i="15"/>
  <c r="DX597" i="3"/>
  <c r="DX669" i="3"/>
  <c r="CS632" i="3"/>
  <c r="AG29" i="7"/>
  <c r="K29" i="7"/>
  <c r="S29" i="7"/>
  <c r="AK172" i="20"/>
  <c r="AP355" i="20"/>
  <c r="AQ355" i="20"/>
  <c r="AS349" i="20"/>
  <c r="T805" i="20"/>
  <c r="AO17" i="20"/>
  <c r="AO36" i="20"/>
  <c r="AK56" i="20"/>
  <c r="T797" i="20"/>
  <c r="AF797" i="20"/>
  <c r="T44" i="21"/>
  <c r="P44" i="21" a="1"/>
  <c r="P44" i="21"/>
  <c r="Q21" i="21" a="1"/>
  <c r="Q21" i="21"/>
  <c r="T21" i="21"/>
  <c r="G32" i="7"/>
  <c r="I32" i="7"/>
  <c r="K32" i="7"/>
  <c r="M32" i="7"/>
  <c r="O32" i="7"/>
  <c r="Q32" i="7"/>
  <c r="S32" i="7"/>
  <c r="U32" i="7"/>
  <c r="W32" i="7"/>
  <c r="Y32" i="7"/>
  <c r="AA32" i="7"/>
  <c r="AC32" i="7"/>
  <c r="AE32" i="7"/>
  <c r="AG32" i="7"/>
  <c r="T30" i="21"/>
  <c r="P43" i="21" a="1"/>
  <c r="P43" i="21"/>
  <c r="G33" i="7"/>
  <c r="I33" i="7"/>
  <c r="K33" i="7"/>
  <c r="M33" i="7"/>
  <c r="O33" i="7"/>
  <c r="Q33" i="7"/>
  <c r="S33" i="7"/>
  <c r="U33" i="7"/>
  <c r="W33" i="7"/>
  <c r="Y33" i="7"/>
  <c r="AA33" i="7"/>
  <c r="AC33" i="7"/>
  <c r="AE33" i="7"/>
  <c r="AG3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I29" i="7"/>
  <c r="Q28" i="21" a="1"/>
  <c r="Q28" i="21"/>
  <c r="DR632" i="3"/>
  <c r="S24" i="21"/>
  <c r="B27" i="11"/>
  <c r="D26" i="11"/>
  <c r="D27" i="11"/>
  <c r="S30" i="21"/>
  <c r="O40" i="21"/>
  <c r="T7" i="15"/>
  <c r="AC29" i="7"/>
  <c r="M29" i="7"/>
  <c r="Q44" i="21" a="1"/>
  <c r="Q44" i="21"/>
  <c r="G29" i="7"/>
  <c r="Q29" i="7"/>
  <c r="O36" i="21"/>
  <c r="AE29" i="7"/>
  <c r="P36" i="21" a="1"/>
  <c r="P36" i="21"/>
  <c r="S28" i="21"/>
  <c r="W29" i="7"/>
  <c r="P40" i="21" a="1"/>
  <c r="P40" i="21"/>
  <c r="U29" i="7"/>
  <c r="P31" i="21" a="1"/>
  <c r="P31" i="21"/>
  <c r="Q25" i="21" a="1"/>
  <c r="Q25" i="21"/>
  <c r="S36" i="21"/>
  <c r="T38" i="21"/>
  <c r="S42" i="21"/>
  <c r="T27" i="21"/>
  <c r="BS641" i="3"/>
  <c r="BW642" i="3"/>
  <c r="DH632" i="3"/>
  <c r="S33" i="21"/>
  <c r="CM641" i="3"/>
  <c r="CQ642" i="3"/>
  <c r="BX641" i="3"/>
  <c r="CB642" i="3"/>
  <c r="DC632" i="3"/>
  <c r="CC641" i="3"/>
  <c r="CG642" i="3"/>
  <c r="Q39" i="21" a="1"/>
  <c r="Q39" i="21"/>
  <c r="DM632" i="3"/>
  <c r="R39" i="21"/>
  <c r="Q27" i="21" a="1"/>
  <c r="Q27" i="21"/>
  <c r="CH641" i="3"/>
  <c r="CL642" i="3"/>
  <c r="CM655" i="3"/>
  <c r="CQ656" i="3"/>
  <c r="AC797" i="3"/>
  <c r="CX655" i="3"/>
  <c r="Q35" i="21" a="1"/>
  <c r="Q35" i="21"/>
  <c r="Q43" i="21" a="1"/>
  <c r="Q43" i="21"/>
  <c r="O35" i="21"/>
  <c r="Q31" i="21" a="1"/>
  <c r="Q31" i="21"/>
  <c r="R987" i="3"/>
  <c r="G112" i="21"/>
  <c r="G114" i="21"/>
  <c r="I15" i="21"/>
  <c r="R986" i="3"/>
  <c r="R985" i="3"/>
  <c r="AC777" i="3"/>
  <c r="O34" i="21"/>
  <c r="T22" i="21"/>
  <c r="S41" i="21"/>
  <c r="E99" i="20"/>
  <c r="O44" i="21"/>
  <c r="R41" i="21"/>
  <c r="T41" i="21"/>
  <c r="Q23" i="21" a="1"/>
  <c r="Q23" i="21"/>
  <c r="E98" i="20"/>
  <c r="Q40" i="21" a="1"/>
  <c r="Q40" i="21"/>
  <c r="O41" i="21"/>
  <c r="R40" i="21"/>
  <c r="T40" i="21"/>
  <c r="BG243" i="3"/>
  <c r="BO245" i="3"/>
  <c r="T267" i="3"/>
  <c r="P34" i="21" a="1"/>
  <c r="P34" i="21"/>
  <c r="P41" i="21" a="1"/>
  <c r="P41" i="21"/>
  <c r="Q29" i="21" a="1"/>
  <c r="Q29" i="21"/>
  <c r="CX632" i="3"/>
  <c r="Q34" i="21" a="1"/>
  <c r="Q34" i="21"/>
  <c r="R38" i="21"/>
  <c r="T35" i="21"/>
  <c r="T23" i="21"/>
  <c r="BN641" i="3"/>
  <c r="BR642" i="3"/>
  <c r="P35" i="21" a="1"/>
  <c r="P35" i="21"/>
  <c r="R35" i="21"/>
  <c r="R989" i="3"/>
  <c r="ER632" i="3"/>
  <c r="BX655" i="3"/>
  <c r="CB656" i="3"/>
  <c r="DC652" i="3"/>
  <c r="DC655" i="3"/>
  <c r="Q32" i="21" a="1"/>
  <c r="Q32" i="21"/>
  <c r="T32" i="21"/>
  <c r="S32" i="21"/>
  <c r="S26" i="21"/>
  <c r="T26" i="21"/>
  <c r="Q26" i="21" a="1"/>
  <c r="Q26" i="21"/>
  <c r="AX681" i="20"/>
  <c r="BS655" i="3"/>
  <c r="BW656" i="3"/>
  <c r="T20" i="21"/>
  <c r="M18" i="21"/>
  <c r="T37" i="21"/>
  <c r="Q37" i="21" a="1"/>
  <c r="Q37" i="21"/>
  <c r="P37" i="21" a="1"/>
  <c r="P37" i="21"/>
  <c r="R37" i="21"/>
  <c r="S37" i="21"/>
  <c r="AX682" i="20"/>
  <c r="AX680" i="20"/>
  <c r="DR655" i="3"/>
  <c r="CH655" i="3"/>
  <c r="CL656" i="3"/>
  <c r="DM645" i="3"/>
  <c r="DM655" i="3"/>
  <c r="DH655" i="3"/>
  <c r="CC655" i="3"/>
  <c r="CG656" i="3"/>
  <c r="EH632" i="3"/>
  <c r="CS648" i="3"/>
  <c r="CS655" i="3"/>
  <c r="BN655" i="3"/>
  <c r="P39" i="21" a="1"/>
  <c r="P39" i="21"/>
  <c r="O39" i="21"/>
  <c r="R31" i="21"/>
  <c r="T36" i="21"/>
  <c r="O31" i="21"/>
  <c r="T31" i="21"/>
  <c r="AV116" i="20"/>
  <c r="AW115" i="20"/>
  <c r="Q36" i="21" a="1"/>
  <c r="Q36" i="21"/>
  <c r="O42" i="21"/>
  <c r="O33" i="21"/>
  <c r="T39" i="21"/>
  <c r="Q22" i="21" a="1"/>
  <c r="Q22" i="21"/>
  <c r="S38" i="21"/>
  <c r="S29" i="21"/>
  <c r="S20" i="21"/>
  <c r="P38" i="21" a="1"/>
  <c r="P38" i="21"/>
  <c r="T29" i="21"/>
  <c r="Q38" i="21" a="1"/>
  <c r="Q38" i="21"/>
  <c r="Q20" i="21" a="1"/>
  <c r="Q20" i="21"/>
  <c r="R43" i="21"/>
  <c r="T43" i="21"/>
  <c r="P33" i="21" a="1"/>
  <c r="P33" i="21"/>
  <c r="P42" i="21" a="1"/>
  <c r="P42" i="21"/>
  <c r="R42" i="21"/>
  <c r="R34" i="21"/>
  <c r="T42" i="21"/>
  <c r="T34" i="21"/>
  <c r="G19" i="7"/>
  <c r="I19" i="7"/>
  <c r="K19" i="7"/>
  <c r="M19" i="7"/>
  <c r="O19" i="7"/>
  <c r="Q19" i="7"/>
  <c r="S19" i="7"/>
  <c r="U19" i="7"/>
  <c r="W19" i="7"/>
  <c r="Y19" i="7"/>
  <c r="AA19" i="7"/>
  <c r="AC19" i="7"/>
  <c r="AE19" i="7"/>
  <c r="AG19" i="7"/>
  <c r="Q33" i="21" a="1"/>
  <c r="Q33" i="21"/>
  <c r="R33" i="21"/>
  <c r="T25" i="21"/>
  <c r="O43" i="21"/>
  <c r="Q24" i="21" a="1"/>
  <c r="Q24" i="21"/>
  <c r="E25" i="21"/>
  <c r="G53" i="21"/>
  <c r="E24" i="21"/>
  <c r="E22" i="21"/>
  <c r="F22" i="21"/>
  <c r="G40" i="8"/>
  <c r="E26" i="21"/>
  <c r="E23" i="21"/>
  <c r="F23" i="21"/>
  <c r="G23" i="21"/>
  <c r="C64" i="11"/>
  <c r="B64" i="11"/>
  <c r="B98" i="11"/>
  <c r="C63" i="13"/>
  <c r="C97" i="13"/>
  <c r="D39" i="11"/>
  <c r="D55" i="11"/>
  <c r="D78" i="11"/>
  <c r="D43" i="11"/>
  <c r="E54" i="13"/>
  <c r="D97" i="11"/>
  <c r="B12" i="4"/>
  <c r="B63" i="4"/>
  <c r="D63" i="11"/>
  <c r="N193" i="27"/>
  <c r="R96" i="4"/>
  <c r="B97" i="13"/>
  <c r="DX635" i="3"/>
  <c r="BH702" i="3"/>
  <c r="BI702" i="3"/>
  <c r="BH701" i="3"/>
  <c r="BI701" i="3"/>
  <c r="BH674" i="3"/>
  <c r="BI674" i="3"/>
  <c r="BH675" i="3"/>
  <c r="BI675" i="3"/>
  <c r="BH683" i="3"/>
  <c r="BI683" i="3"/>
  <c r="BH691" i="3"/>
  <c r="BI691" i="3"/>
  <c r="BH699" i="3"/>
  <c r="BI699" i="3"/>
  <c r="BH676" i="3"/>
  <c r="BI676" i="3"/>
  <c r="BH684" i="3"/>
  <c r="BI684" i="3"/>
  <c r="BH692" i="3"/>
  <c r="BI692" i="3"/>
  <c r="BH700" i="3"/>
  <c r="BI700" i="3"/>
  <c r="BH672" i="3"/>
  <c r="BI672" i="3"/>
  <c r="BH688" i="3"/>
  <c r="BI688" i="3"/>
  <c r="BH669" i="3"/>
  <c r="BI669" i="3"/>
  <c r="BH677" i="3"/>
  <c r="BI677" i="3"/>
  <c r="BH685" i="3"/>
  <c r="BI685" i="3"/>
  <c r="BH693" i="3"/>
  <c r="BH671" i="3"/>
  <c r="BI671" i="3"/>
  <c r="BH687" i="3"/>
  <c r="BI687" i="3"/>
  <c r="BH696" i="3"/>
  <c r="BI696" i="3"/>
  <c r="BH690" i="3"/>
  <c r="BI690" i="3"/>
  <c r="BH670" i="3"/>
  <c r="BI670" i="3"/>
  <c r="BH678" i="3"/>
  <c r="BI678" i="3"/>
  <c r="BH686" i="3"/>
  <c r="BI686" i="3"/>
  <c r="BH694" i="3"/>
  <c r="BI694" i="3"/>
  <c r="BH668" i="3"/>
  <c r="BH679" i="3"/>
  <c r="BI679" i="3"/>
  <c r="BH695" i="3"/>
  <c r="BI695" i="3"/>
  <c r="BH680" i="3"/>
  <c r="BI680" i="3"/>
  <c r="BH682" i="3"/>
  <c r="BI682" i="3"/>
  <c r="BH698" i="3"/>
  <c r="BI698" i="3"/>
  <c r="BH673" i="3"/>
  <c r="BI673" i="3"/>
  <c r="BH681" i="3"/>
  <c r="BI681" i="3"/>
  <c r="BH689" i="3"/>
  <c r="BI689" i="3"/>
  <c r="BH697" i="3"/>
  <c r="BI697" i="3"/>
  <c r="AX683" i="20"/>
  <c r="AY684" i="20"/>
  <c r="AS351" i="20"/>
  <c r="AS347" i="20"/>
  <c r="AK458" i="20"/>
  <c r="T806" i="20"/>
  <c r="AF806" i="20"/>
  <c r="DX661" i="3"/>
  <c r="BR634"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EC652" i="3"/>
  <c r="T804" i="20"/>
  <c r="AF804" i="20"/>
  <c r="T793" i="20"/>
  <c r="AF793" i="20"/>
  <c r="AK78" i="20"/>
  <c r="Y800" i="3"/>
  <c r="D64" i="11"/>
  <c r="C98" i="1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S18" i="21"/>
  <c r="G44" i="21"/>
  <c r="CS641" i="3"/>
  <c r="EC642" i="3"/>
  <c r="AW111" i="20"/>
  <c r="AW114" i="20"/>
  <c r="EH641" i="3"/>
  <c r="AG1044" i="3"/>
  <c r="CQ634" i="3"/>
  <c r="EW652" i="3"/>
  <c r="EW647" i="3"/>
  <c r="EW644" i="3"/>
  <c r="EW656" i="3"/>
  <c r="EW650" i="3"/>
  <c r="EW654" i="3"/>
  <c r="EW655" i="3"/>
  <c r="EW657" i="3"/>
  <c r="EW653" i="3"/>
  <c r="EW639" i="3"/>
  <c r="EW648" i="3"/>
  <c r="EW646" i="3"/>
  <c r="EW645" i="3"/>
  <c r="EW642" i="3"/>
  <c r="EW668" i="3"/>
  <c r="EW649" i="3"/>
  <c r="EW635" i="3"/>
  <c r="EW640" i="3"/>
  <c r="EW641" i="3"/>
  <c r="EW638" i="3"/>
  <c r="EW636" i="3"/>
  <c r="EW669" i="3"/>
  <c r="EW632" i="3"/>
  <c r="EW637" i="3"/>
  <c r="CL634"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c r="G36" i="2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ER668" i="3"/>
  <c r="BR656" i="3"/>
  <c r="CS658" i="3"/>
  <c r="CS657" i="3"/>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27" i="21"/>
  <c r="G22" i="21"/>
  <c r="B97" i="4"/>
  <c r="O29" i="21"/>
  <c r="P29" i="21" a="1"/>
  <c r="P29" i="21"/>
  <c r="R29" i="21"/>
  <c r="O32" i="21"/>
  <c r="P32" i="21" a="1"/>
  <c r="P32" i="21"/>
  <c r="R32" i="21"/>
  <c r="O30" i="21"/>
  <c r="P30" i="21" a="1"/>
  <c r="P30" i="21"/>
  <c r="R30" i="21"/>
  <c r="O27" i="21"/>
  <c r="P27" i="21" a="1"/>
  <c r="P27" i="21"/>
  <c r="R27" i="21"/>
  <c r="O28" i="21"/>
  <c r="P28" i="21" a="1"/>
  <c r="P28" i="21"/>
  <c r="R28" i="21"/>
  <c r="O24" i="21"/>
  <c r="P24" i="21" a="1"/>
  <c r="P24" i="21"/>
  <c r="R24" i="21"/>
  <c r="O26" i="21"/>
  <c r="P26" i="21" a="1"/>
  <c r="P26" i="21"/>
  <c r="R26" i="21"/>
  <c r="O25" i="21"/>
  <c r="P25" i="21" a="1"/>
  <c r="P25" i="21"/>
  <c r="R25" i="21"/>
  <c r="CS634" i="3"/>
  <c r="O756" i="3"/>
  <c r="BH703" i="3"/>
  <c r="AI23" i="15"/>
  <c r="AI26" i="15"/>
  <c r="O22" i="21"/>
  <c r="P22" i="21" a="1"/>
  <c r="P22" i="21"/>
  <c r="R22" i="21"/>
  <c r="O23" i="21"/>
  <c r="P23" i="21" a="1"/>
  <c r="P23" i="21"/>
  <c r="R23" i="21"/>
  <c r="O20" i="21"/>
  <c r="P20" i="21" a="1"/>
  <c r="P20" i="21"/>
  <c r="R20" i="21"/>
  <c r="O21" i="21"/>
  <c r="P21" i="21" a="1"/>
  <c r="P21" i="21"/>
  <c r="R21" i="21"/>
  <c r="BU703" i="3"/>
  <c r="AX684" i="20"/>
  <c r="AO684" i="20"/>
  <c r="BI668" i="3"/>
  <c r="DX670" i="3"/>
  <c r="E124" i="20"/>
  <c r="E127" i="20"/>
  <c r="E130" i="20"/>
  <c r="AW116" i="20"/>
  <c r="AK180" i="20"/>
  <c r="T800" i="20"/>
  <c r="AF800" i="20"/>
  <c r="T794" i="20"/>
  <c r="AF794" i="20"/>
  <c r="D98" i="11"/>
  <c r="EC670" i="3"/>
  <c r="J124" i="20"/>
  <c r="J127" i="20"/>
  <c r="J130" i="20"/>
  <c r="Z818" i="3"/>
  <c r="EW670" i="3"/>
  <c r="AD124" i="20"/>
  <c r="AD127" i="20"/>
  <c r="AD130" i="20"/>
  <c r="EH670" i="3"/>
  <c r="O124" i="20"/>
  <c r="O127" i="20"/>
  <c r="O130" i="20"/>
  <c r="ER670" i="3"/>
  <c r="Y124" i="20"/>
  <c r="Y127" i="20"/>
  <c r="Y130" i="20"/>
  <c r="EM670" i="3"/>
  <c r="T124" i="20"/>
  <c r="T127" i="20"/>
  <c r="T130" i="20"/>
  <c r="F25" i="21"/>
  <c r="G54" i="21"/>
  <c r="G56" i="21"/>
  <c r="G58" i="21"/>
  <c r="E12" i="21"/>
  <c r="F26" i="21"/>
  <c r="G26" i="21"/>
  <c r="G45" i="21"/>
  <c r="G47" i="21"/>
  <c r="G49" i="21"/>
  <c r="E11" i="21"/>
  <c r="E96" i="13"/>
  <c r="AF418" i="3"/>
  <c r="AP571" i="20"/>
  <c r="G38" i="21"/>
  <c r="G40" i="21"/>
  <c r="E10" i="21"/>
  <c r="AP694" i="20"/>
  <c r="AP695" i="20"/>
  <c r="E132" i="20"/>
  <c r="E133" i="20"/>
  <c r="AK137" i="20"/>
  <c r="T796" i="20"/>
  <c r="AF796" i="20"/>
  <c r="AB990" i="3"/>
  <c r="CS660" i="3"/>
  <c r="U362" i="20"/>
  <c r="P421" i="3"/>
  <c r="G25" i="21"/>
  <c r="F24" i="21"/>
  <c r="AC886" i="3"/>
  <c r="AP541" i="20"/>
  <c r="Y596" i="20"/>
  <c r="AP576" i="20"/>
  <c r="AU183" i="27"/>
  <c r="AU184" i="27"/>
  <c r="AU185" i="27"/>
  <c r="B1059" i="3"/>
  <c r="AP542" i="20"/>
  <c r="AP539" i="20"/>
  <c r="G24" i="21"/>
  <c r="F27" i="21"/>
  <c r="E49" i="7"/>
  <c r="AJ610" i="20"/>
  <c r="AK783" i="20"/>
  <c r="T808" i="20"/>
  <c r="AF808" i="20"/>
  <c r="G62" i="21"/>
  <c r="C757" i="3"/>
  <c r="AB212" i="3"/>
  <c r="AF1013" i="3"/>
  <c r="AP543" i="20"/>
  <c r="E47" i="7"/>
  <c r="E62" i="7"/>
  <c r="AP546" i="20"/>
  <c r="AP545" i="20"/>
  <c r="AP548" i="20"/>
  <c r="AF541" i="20"/>
  <c r="G49" i="7"/>
  <c r="C104" i="13"/>
  <c r="C105" i="13"/>
  <c r="G47" i="7"/>
  <c r="G48" i="7"/>
  <c r="I49" i="7"/>
  <c r="E70" i="7"/>
  <c r="E72" i="7"/>
  <c r="K49" i="7"/>
  <c r="G62" i="7"/>
  <c r="I48" i="7"/>
  <c r="I47" i="7"/>
  <c r="G70" i="7"/>
  <c r="G72" i="7"/>
  <c r="I62" i="7"/>
  <c r="M49" i="7"/>
  <c r="K48" i="7"/>
  <c r="K47" i="7"/>
  <c r="I70" i="7"/>
  <c r="I72" i="7"/>
  <c r="K62" i="7"/>
  <c r="M47" i="7"/>
  <c r="M48" i="7"/>
  <c r="O49" i="7"/>
  <c r="O48" i="7"/>
  <c r="O47" i="7"/>
  <c r="M62" i="7"/>
  <c r="Q49" i="7"/>
  <c r="K70" i="7"/>
  <c r="K72" i="7"/>
  <c r="M70" i="7"/>
  <c r="M72" i="7"/>
  <c r="Q48" i="7"/>
  <c r="Q47" i="7"/>
  <c r="S49" i="7"/>
  <c r="O62" i="7"/>
  <c r="S48" i="7"/>
  <c r="S47" i="7"/>
  <c r="U49" i="7"/>
  <c r="Q62" i="7"/>
  <c r="O70" i="7"/>
  <c r="O72" i="7"/>
  <c r="W49" i="7"/>
  <c r="U47" i="7"/>
  <c r="U48" i="7"/>
  <c r="S62" i="7"/>
  <c r="Q70" i="7"/>
  <c r="Q72" i="7"/>
  <c r="S70" i="7"/>
  <c r="S72" i="7"/>
  <c r="U62" i="7"/>
  <c r="Y49" i="7"/>
  <c r="W47" i="7"/>
  <c r="W48" i="7"/>
  <c r="W62" i="7"/>
  <c r="AA49" i="7"/>
  <c r="Y47" i="7"/>
  <c r="Y48" i="7"/>
  <c r="U70" i="7"/>
  <c r="U72" i="7"/>
  <c r="W70" i="7"/>
  <c r="W72" i="7"/>
  <c r="Y62" i="7"/>
  <c r="AC49" i="7"/>
  <c r="AG49" i="7"/>
  <c r="AA47" i="7"/>
  <c r="AA48" i="7"/>
  <c r="AE49" i="7"/>
  <c r="AG47" i="7"/>
  <c r="AA62" i="7"/>
  <c r="AC48" i="7"/>
  <c r="AC47" i="7"/>
  <c r="Y70" i="7"/>
  <c r="Y72" i="7"/>
  <c r="AG48" i="7"/>
  <c r="AG62" i="7"/>
  <c r="AA70" i="7"/>
  <c r="AA72" i="7"/>
  <c r="AE48" i="7"/>
  <c r="AE47" i="7"/>
  <c r="AC62" i="7"/>
  <c r="AC70" i="7"/>
  <c r="AC72" i="7"/>
  <c r="AE62" i="7"/>
  <c r="BI693" i="3"/>
  <c r="AG70" i="7"/>
  <c r="AG72" i="7"/>
  <c r="AE70" i="7"/>
  <c r="AE72" i="7"/>
  <c r="BI703" i="3"/>
  <c r="AC753" i="3"/>
  <c r="E87" i="20"/>
  <c r="E88" i="20"/>
  <c r="E89" i="20"/>
  <c r="E97" i="20"/>
  <c r="E100" i="20"/>
  <c r="AP100" i="20"/>
  <c r="AK103" i="20"/>
  <c r="T795" i="20"/>
  <c r="AF795" i="20"/>
  <c r="AD188" i="20"/>
  <c r="AD200" i="20"/>
  <c r="AB255" i="20"/>
  <c r="AG257" i="20"/>
  <c r="AG258" i="20"/>
  <c r="AG259" i="20"/>
  <c r="AK262" i="20"/>
  <c r="T801" i="20"/>
  <c r="AF801" i="20"/>
  <c r="AF540" i="20"/>
  <c r="AF542" i="20"/>
  <c r="AK548" i="20"/>
  <c r="T807" i="20"/>
  <c r="AF807" i="20"/>
  <c r="AF810" i="20"/>
  <c r="M27" i="3"/>
  <c r="P205" i="3"/>
  <c r="AB79" i="15"/>
  <c r="AB81" i="15"/>
  <c r="J82" i="15"/>
  <c r="M26" i="3"/>
  <c r="P204" i="3"/>
  <c r="N183" i="27"/>
  <c r="N184" i="27"/>
  <c r="N194" i="27"/>
  <c r="F457" i="3"/>
  <c r="AM566" i="3"/>
  <c r="T29" i="15"/>
  <c r="AC455" i="3"/>
  <c r="B105" i="13"/>
  <c r="E108" i="4"/>
  <c r="C100" i="11"/>
  <c r="C105" i="11"/>
  <c r="C106" i="11"/>
  <c r="B100" i="11"/>
  <c r="B105" i="11"/>
  <c r="B106" i="11"/>
  <c r="D106" i="11"/>
  <c r="D105" i="11"/>
  <c r="B104" i="13"/>
  <c r="D100" i="11"/>
  <c r="R38" i="4"/>
  <c r="R42" i="4"/>
  <c r="R63" i="4"/>
  <c r="R97" i="4"/>
  <c r="R99" i="4"/>
  <c r="R104" i="4"/>
  <c r="R105" i="4"/>
  <c r="E105" i="13"/>
  <c r="B99" i="4"/>
  <c r="B99" i="13"/>
  <c r="E104" i="13"/>
  <c r="E97" i="13"/>
  <c r="E63" i="13"/>
  <c r="E38" i="13"/>
  <c r="E42" i="13"/>
  <c r="K38" i="4"/>
  <c r="K42" i="4"/>
  <c r="K63" i="4"/>
  <c r="K97" i="4"/>
  <c r="K105" i="4"/>
  <c r="E99" i="13"/>
  <c r="E41" i="13"/>
  <c r="E30" i="13"/>
  <c r="G27" i="21"/>
  <c r="G64" i="21"/>
  <c r="G81" i="21"/>
  <c r="G69" i="21"/>
  <c r="G65" i="21"/>
  <c r="G83" i="21"/>
  <c r="E13" i="21"/>
  <c r="G95" i="21"/>
  <c r="G96" i="21"/>
  <c r="G104" i="21"/>
  <c r="G106" i="21"/>
  <c r="E14" i="21"/>
  <c r="E15" i="21"/>
  <c r="G79" i="21"/>
  <c r="G29" i="21"/>
  <c r="G31" i="21"/>
  <c r="E9" i="21"/>
  <c r="E16" i="21"/>
  <c r="H3" i="21"/>
  <c r="H5"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E4EE148C-59CB-4379-A71E-41BEE1E5DFEE}">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<sst xmlns="http://schemas.openxmlformats.org/spreadsheetml/2006/main" count="5262" uniqueCount="2757">
  <si>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</si>
  <si>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</si>
  <si>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</si>
  <si>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</si>
  <si>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</si>
  <si>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</si>
  <si>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</si>
  <si>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</si>
  <si>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</si>
  <si>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</si>
  <si>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</si>
  <si>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</si>
  <si>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</si>
  <si>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</si>
  <si>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</si>
  <si>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</si>
  <si>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</si>
  <si>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</si>
  <si>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</si>
  <si>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</si>
  <si>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</si>
  <si>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</si>
  <si>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</si>
  <si>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</si>
  <si>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</si>
  <si>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</si>
  <si>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</si>
  <si>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</si>
  <si>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</si>
  <si>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</si>
  <si>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</si>
  <si>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</si>
  <si>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</si>
  <si>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</si>
  <si>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</si>
  <si>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</si>
  <si>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</si>
  <si>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</si>
  <si>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</si>
  <si>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</si>
  <si>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</si>
  <si>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</si>
  <si>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</si>
  <si>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</si>
  <si>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</si>
  <si>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</si>
  <si>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</si>
  <si>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</si>
  <si>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</si>
  <si>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</si>
  <si>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</si>
  <si>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</si>
  <si>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</si>
  <si>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</si>
  <si>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</si>
  <si>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</si>
  <si>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</si>
  <si>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</si>
  <si>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</si>
  <si>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</si>
  <si>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</si>
  <si>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</si>
  <si>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</si>
  <si>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</si>
  <si>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</si>
  <si>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</si>
  <si>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</si>
  <si>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</si>
  <si>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</si>
  <si>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</si>
  <si>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</si>
  <si>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</si>
  <si>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</si>
  <si>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</si>
  <si>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</si>
  <si>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</si>
  <si>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</si>
  <si>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</si>
  <si>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</si>
  <si>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</si>
  <si>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</si>
  <si>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</si>
  <si>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</si>
  <si>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</si>
  <si>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</si>
  <si>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</si>
  <si>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</si>
  <si>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</si>
  <si>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</si>
  <si>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</si>
  <si>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</si>
  <si>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</si>
  <si>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</si>
  <si>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</si>
  <si>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</si>
  <si>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</si>
  <si>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</si>
  <si>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</si>
  <si>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</si>
  <si>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</si>
  <si>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</si>
  <si>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</si>
  <si>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</si>
  <si>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</si>
  <si>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</si>
  <si>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</si>
  <si>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</si>
  <si>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</si>
  <si>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</si>
  <si>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</si>
  <si>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</si>
  <si>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</si>
  <si>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</si>
  <si>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</si>
  <si>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</si>
  <si>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</si>
  <si>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</si>
  <si>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</si>
  <si>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</si>
  <si>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</si>
  <si>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</si>
  <si>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</si>
  <si>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</si>
  <si>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</si>
  <si>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</si>
  <si>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</si>
  <si>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</si>
  <si>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</si>
  <si>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</si>
  <si>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</si>
  <si>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</si>
  <si>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</si>
  <si>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</si>
  <si>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</si>
  <si>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</si>
  <si>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</si>
  <si>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</si>
  <si>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</si>
  <si>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</si>
  <si>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</si>
  <si>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</si>
  <si>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</si>
  <si>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</si>
  <si>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</si>
  <si>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</si>
  <si>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</si>
  <si>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</si>
  <si>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</si>
  <si>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</si>
  <si>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</si>
  <si>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</si>
  <si>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</si>
  <si>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</si>
  <si>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</si>
  <si>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</si>
  <si>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</si>
  <si>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</si>
  <si>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</si>
  <si>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</si>
  <si>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</si>
  <si>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</si>
  <si>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</si>
  <si>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</si>
  <si>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</si>
  <si>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</si>
  <si>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</si>
  <si>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</si>
  <si>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</si>
  <si>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</si>
  <si>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</si>
  <si>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</si>
  <si>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</si>
  <si>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</si>
  <si>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</si>
  <si>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</si>
  <si>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</si>
  <si>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</si>
  <si>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</si>
  <si>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</si>
  <si>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</si>
  <si>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</si>
  <si>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</si>
  <si>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</si>
  <si>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</si>
  <si>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</si>
  <si>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</si>
  <si>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</si>
  <si>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</si>
  <si>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</si>
  <si>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</si>
  <si>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</si>
  <si>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</si>
  <si>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</si>
  <si>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</si>
  <si>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</si>
  <si>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</si>
  <si>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</si>
  <si>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</si>
  <si>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</si>
  <si>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</si>
  <si>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</si>
  <si>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</si>
  <si>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</si>
  <si>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</si>
  <si>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</si>
  <si>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</si>
  <si>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</si>
  <si>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</si>
  <si>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</si>
  <si>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</si>
  <si>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</si>
  <si>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</si>
  <si>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</si>
  <si>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</si>
  <si>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</si>
  <si>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</si>
  <si>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</si>
  <si>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</si>
  <si>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</si>
  <si>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</si>
  <si>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</si>
  <si>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</si>
  <si>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</si>
  <si>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</si>
  <si>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</si>
  <si>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</si>
  <si>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</si>
  <si>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</si>
  <si>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</si>
  <si>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</si>
  <si>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</si>
  <si>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</si>
  <si>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</si>
  <si>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</si>
  <si>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</si>
  <si>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</si>
  <si>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</si>
  <si>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</si>
  <si>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</si>
  <si>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</si>
  <si>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</si>
  <si>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</si>
  <si>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</si>
  <si>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</si>
  <si>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</si>
  <si>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</si>
  <si>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</si>
  <si>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</si>
  <si>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</si>
  <si>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</si>
  <si>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</si>
  <si>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</si>
  <si>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</si>
  <si>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</si>
  <si>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</si>
  <si>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</si>
  <si>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</si>
  <si>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</si>
  <si>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</si>
  <si>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</si>
  <si>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</si>
  <si>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</si>
  <si>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</si>
  <si>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</si>
  <si>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</si>
  <si>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</si>
  <si>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</si>
  <si>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</si>
  <si>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</si>
  <si>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</si>
  <si>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</si>
  <si>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</si>
  <si>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</si>
  <si>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</si>
  <si>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</si>
  <si>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</si>
  <si>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</si>
  <si>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</si>
  <si>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</si>
  <si>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</si>
  <si>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</si>
  <si>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</si>
  <si>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</si>
  <si>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</si>
  <si>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</si>
  <si>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</si>
  <si>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</si>
  <si>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</si>
  <si>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</si>
  <si>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</si>
  <si>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</si>
  <si>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</si>
  <si>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</si>
  <si>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</si>
  <si>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</si>
  <si>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</si>
  <si>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</si>
  <si>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</si>
  <si>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</si>
  <si>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</si>
  <si>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</si>
  <si>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</si>
  <si>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</si>
  <si>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</si>
  <si>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</si>
  <si>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</si>
  <si>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</si>
  <si>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</si>
  <si>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</si>
  <si>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</si>
  <si>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</si>
  <si>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</si>
  <si>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</si>
  <si>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</si>
  <si>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</si>
  <si>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</si>
  <si>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</si>
  <si>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</si>
  <si>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</si>
  <si>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</si>
  <si>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</si>
  <si>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</si>
  <si>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</si>
  <si>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</si>
  <si>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</si>
  <si>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</si>
  <si>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</si>
  <si>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</si>
  <si>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</si>
  <si>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</si>
  <si>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</si>
  <si>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</si>
  <si>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</si>
  <si>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</si>
  <si>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</si>
  <si>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</si>
  <si>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</si>
  <si>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</si>
  <si>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</si>
  <si>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</si>
  <si>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</si>
  <si>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</si>
  <si>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</si>
  <si>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</si>
  <si>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</si>
  <si>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</si>
  <si>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</si>
  <si>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</si>
  <si>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</si>
  <si>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</si>
  <si>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</si>
  <si>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</si>
  <si>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</si>
  <si>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</si>
  <si>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</si>
  <si>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</si>
  <si>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</si>
  <si>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</si>
  <si>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</si>
  <si>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</si>
  <si>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</si>
  <si>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</si>
  <si>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</si>
  <si>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</si>
  <si>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</si>
  <si>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</si>
  <si>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</si>
  <si>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</si>
  <si>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</si>
  <si>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</si>
  <si>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</si>
  <si>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</si>
  <si>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</si>
  <si>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</si>
  <si>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</si>
  <si>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</si>
  <si>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</si>
  <si>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</si>
  <si>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</si>
  <si>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</si>
  <si>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</si>
  <si>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</si>
  <si>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</si>
  <si>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</si>
  <si>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</si>
  <si>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</si>
  <si>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</si>
  <si>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</si>
  <si>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</si>
  <si>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</si>
  <si>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</si>
  <si>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</si>
  <si>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</si>
  <si>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</si>
  <si>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</si>
  <si>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</si>
  <si>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</si>
  <si>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</si>
  <si>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</si>
  <si>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</si>
  <si>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</si>
  <si>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</si>
  <si>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</si>
  <si>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</si>
  <si>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</si>
  <si>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</si>
  <si>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</si>
  <si>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</si>
  <si>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</si>
  <si>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</si>
  <si>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</si>
  <si>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</si>
  <si>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</si>
  <si>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</si>
  <si>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</si>
  <si>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</si>
  <si>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</si>
  <si>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</si>
  <si>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</si>
  <si>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</si>
  <si>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</si>
  <si>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</si>
  <si>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</si>
  <si>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</si>
  <si>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</si>
  <si>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</si>
  <si>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</si>
  <si>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</si>
  <si>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</si>
  <si>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</si>
  <si>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</si>
  <si>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</si>
  <si>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</si>
  <si>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</si>
  <si>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</si>
  <si>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</si>
  <si>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</si>
  <si>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</si>
  <si>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</si>
  <si>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</si>
  <si>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</si>
  <si>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</si>
  <si>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</si>
  <si>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</si>
  <si>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</si>
  <si>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</si>
  <si>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</si>
  <si>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</si>
  <si>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</si>
  <si>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</si>
  <si>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</si>
  <si>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</si>
  <si>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</si>
  <si>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</si>
  <si>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</si>
  <si>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</si>
  <si>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</si>
  <si>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</si>
  <si>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</si>
  <si>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</si>
  <si>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</si>
  <si>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</si>
  <si>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</si>
  <si>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</si>
  <si>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</si>
  <si>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</si>
  <si>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</si>
  <si>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</si>
  <si>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</si>
  <si>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</si>
  <si>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</si>
  <si>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</si>
  <si>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</si>
  <si>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</si>
  <si>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</si>
  <si>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</si>
  <si>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</si>
  <si>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</si>
  <si>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</si>
  <si>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</si>
  <si>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</si>
  <si>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</si>
  <si>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</si>
  <si>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</si>
  <si>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</si>
  <si>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</si>
  <si>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</si>
  <si>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</si>
  <si>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</si>
  <si>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</si>
  <si>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</si>
  <si>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</si>
  <si>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</si>
  <si>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</si>
  <si>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</si>
  <si>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</si>
  <si>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</si>
  <si>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</si>
  <si>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</si>
  <si>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</si>
  <si>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</si>
  <si>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</si>
  <si>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</si>
  <si>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</si>
  <si>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</si>
  <si>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</si>
  <si>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</si>
  <si>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</si>
  <si>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</si>
  <si>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</si>
  <si>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</si>
  <si>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</si>
  <si>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</si>
  <si>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</si>
  <si>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</si>
  <si>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</si>
  <si>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</si>
  <si>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</si>
  <si>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</si>
  <si>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</si>
  <si>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</si>
  <si>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</si>
  <si>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</si>
  <si>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</si>
  <si>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</si>
  <si>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</si>
  <si>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</si>
  <si>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</si>
  <si>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</si>
  <si>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</si>
  <si>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</si>
  <si>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</si>
  <si>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</si>
  <si>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</si>
  <si>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</si>
  <si>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</si>
  <si>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</si>
  <si>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</si>
  <si>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</si>
  <si>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</si>
  <si>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</si>
  <si>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</si>
  <si>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</si>
  <si>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</si>
  <si>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</si>
  <si>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</si>
  <si>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</si>
  <si>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</si>
  <si>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</si>
  <si>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</si>
  <si>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</si>
  <si>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</si>
  <si>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</si>
  <si>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</si>
  <si>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</si>
  <si>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</si>
  <si>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</si>
  <si>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</si>
  <si>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</si>
  <si>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</si>
  <si>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</si>
  <si>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</si>
  <si>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</si>
  <si>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</si>
  <si>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</si>
  <si>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</si>
  <si>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</si>
  <si>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</si>
  <si>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</si>
  <si>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</si>
  <si>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</si>
  <si>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</si>
  <si>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</si>
  <si>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</si>
  <si>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</si>
  <si>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</si>
  <si>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</si>
  <si>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</si>
  <si>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</si>
  <si>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</si>
  <si>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</si>
  <si>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</si>
  <si>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</si>
  <si>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</si>
  <si>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</si>
  <si>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</si>
  <si>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</si>
  <si>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</si>
  <si>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</si>
  <si>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</si>
  <si>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</si>
  <si>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</si>
  <si>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</si>
  <si>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</si>
  <si>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</si>
  <si>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</si>
  <si>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</si>
  <si>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</si>
  <si>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</si>
  <si>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</si>
  <si>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</si>
  <si>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</si>
  <si>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</si>
  <si>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</si>
  <si>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</si>
  <si>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</si>
  <si>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</si>
  <si>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</si>
  <si>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</si>
  <si>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</si>
  <si>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</si>
  <si>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</si>
  <si>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</si>
  <si>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</si>
  <si>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</si>
  <si>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</si>
  <si>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</si>
  <si>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</si>
  <si>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</si>
  <si>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</si>
  <si>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</si>
  <si>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</si>
  <si>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</si>
  <si>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</si>
  <si>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</si>
  <si>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</si>
  <si>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</si>
  <si>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</si>
  <si>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</si>
  <si>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</si>
  <si>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</si>
  <si>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</si>
  <si>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</si>
  <si>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</si>
  <si>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</si>
  <si>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</si>
  <si>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</si>
  <si>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</si>
  <si>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</si>
  <si>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</si>
  <si>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</si>
  <si>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</si>
  <si>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</si>
  <si>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</si>
  <si>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</si>
  <si>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</si>
  <si>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</si>
  <si>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</si>
  <si>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</si>
  <si>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</si>
  <si>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</si>
  <si>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</si>
  <si>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</si>
  <si>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</si>
  <si>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</si>
  <si>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</si>
  <si>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</si>
  <si>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</si>
  <si>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</si>
  <si>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</si>
  <si>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</si>
  <si>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</si>
  <si>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</si>
  <si>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</si>
  <si>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</si>
  <si>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</si>
  <si>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</si>
  <si>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</si>
  <si>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</si>
  <si>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</si>
  <si>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</si>
  <si>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</si>
  <si>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</si>
  <si>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</si>
  <si>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</si>
  <si>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</si>
  <si>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</si>
  <si>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</si>
  <si>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</si>
  <si>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</si>
  <si>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</si>
  <si>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</si>
  <si>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</si>
  <si>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</si>
  <si>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</si>
  <si>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</si>
  <si>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</si>
  <si>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</si>
  <si>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</si>
  <si>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</si>
  <si>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</si>
  <si>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</si>
  <si>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</si>
  <si>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</si>
  <si>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</si>
  <si>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</si>
  <si>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</si>
  <si>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</si>
  <si>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</si>
  <si>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</si>
  <si>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</si>
  <si>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</si>
  <si>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</si>
  <si>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</si>
  <si>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</si>
  <si>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</si>
  <si>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</si>
  <si>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</si>
  <si>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</si>
  <si>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</si>
  <si>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</si>
  <si>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</si>
  <si>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</si>
  <si>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</si>
  <si>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</si>
  <si>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</si>
  <si>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</si>
  <si>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</si>
  <si>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</si>
  <si>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</si>
  <si>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</si>
  <si>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</si>
  <si>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</si>
  <si>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</si>
  <si>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</si>
  <si>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</si>
  <si>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</si>
  <si>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</si>
  <si>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</si>
  <si>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</si>
  <si>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</si>
  <si>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</si>
  <si>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</si>
  <si>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</si>
  <si>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</si>
  <si>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</si>
  <si>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</si>
  <si>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</si>
  <si>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</si>
  <si>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</si>
  <si>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</si>
  <si>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</si>
  <si>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</si>
  <si>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</si>
  <si>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</si>
  <si>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</si>
  <si>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</si>
  <si>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</si>
  <si>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</si>
  <si>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</si>
  <si>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</si>
  <si>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</si>
  <si>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</si>
  <si>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</si>
  <si>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</si>
  <si>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</si>
  <si>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</si>
  <si>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</si>
  <si>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</si>
  <si>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</si>
  <si>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</si>
  <si>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</si>
  <si>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</si>
  <si>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</si>
  <si>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</si>
  <si>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</si>
  <si>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</si>
  <si>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</si>
  <si>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</si>
  <si>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</si>
  <si>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</si>
  <si>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</si>
  <si>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</si>
  <si>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</si>
  <si>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</si>
  <si>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</si>
  <si>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</si>
  <si>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</si>
  <si>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</si>
  <si>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</si>
  <si>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</si>
  <si>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</si>
  <si>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</si>
  <si>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</si>
  <si>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</si>
  <si>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</si>
  <si>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</si>
  <si>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</si>
  <si>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</si>
  <si>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</si>
  <si>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</si>
  <si>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</si>
  <si>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</si>
  <si>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</si>
  <si>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</si>
  <si>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</si>
  <si>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</si>
  <si>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</si>
  <si>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</si>
  <si>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</si>
  <si>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</si>
  <si>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</si>
  <si>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</si>
  <si>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</si>
  <si>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</si>
  <si>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</si>
  <si>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</si>
  <si>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</si>
  <si>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</si>
  <si>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</si>
  <si>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</si>
  <si>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</si>
  <si>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</si>
  <si>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</si>
  <si>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</si>
  <si>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</si>
  <si>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</si>
  <si>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</si>
  <si>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</si>
  <si>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</si>
  <si>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</si>
  <si>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</si>
  <si>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</si>
  <si>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</si>
  <si>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</si>
  <si>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</si>
  <si>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</si>
  <si>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</si>
  <si>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</si>
  <si>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</si>
  <si>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</si>
  <si>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</si>
  <si>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</si>
  <si>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</si>
  <si>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</si>
  <si>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</si>
  <si>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</si>
  <si>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</si>
  <si>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</si>
  <si>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</si>
  <si>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</si>
  <si>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</si>
  <si>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</si>
  <si>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</si>
  <si>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</si>
  <si>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</si>
  <si>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</si>
  <si>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</si>
  <si>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</si>
  <si>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</si>
  <si>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</si>
  <si>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</si>
  <si>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</si>
  <si>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</si>
  <si>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</si>
  <si>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</si>
  <si>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</si>
  <si>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</si>
  <si>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</si>
  <si>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</si>
  <si>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</si>
  <si>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</si>
  <si>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</si>
  <si>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</si>
  <si>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</si>
  <si>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</si>
  <si>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</si>
  <si>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</si>
  <si>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</si>
  <si>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</si>
  <si>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</si>
  <si>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</si>
  <si>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</si>
  <si>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</si>
  <si>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</si>
  <si>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</si>
  <si>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</si>
  <si>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</si>
  <si>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</si>
  <si>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</si>
  <si>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</si>
  <si>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</si>
  <si>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</si>
  <si>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</si>
  <si>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</si>
  <si>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</si>
  <si>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</si>
  <si>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</si>
  <si>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</si>
  <si>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</si>
  <si>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</si>
  <si>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</si>
  <si>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</si>
  <si>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</si>
  <si>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</si>
  <si>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</si>
  <si>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</si>
  <si>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</si>
  <si>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</si>
  <si>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</si>
  <si>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</si>
  <si>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</si>
  <si>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</si>
  <si>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</si>
  <si>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</si>
  <si>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</si>
  <si>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</si>
  <si>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</si>
  <si>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</si>
  <si>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</si>
  <si>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</si>
  <si>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</si>
  <si>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</si>
  <si>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</si>
  <si>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</si>
  <si>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</si>
  <si>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</si>
  <si>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</si>
  <si>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</si>
  <si>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</si>
  <si>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</si>
  <si>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</si>
  <si>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</si>
  <si>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</si>
  <si>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</si>
  <si>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</si>
  <si>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</si>
  <si>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</si>
  <si>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</si>
  <si>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</si>
  <si>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</si>
  <si>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</si>
  <si>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</si>
  <si>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</si>
  <si>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</si>
  <si>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</si>
  <si>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</si>
  <si>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</si>
  <si>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</si>
  <si>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</si>
  <si>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</si>
  <si>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</si>
  <si>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</si>
  <si>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</si>
  <si>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</si>
  <si>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</si>
  <si>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</si>
  <si>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</si>
  <si>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</si>
  <si>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</si>
  <si>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</si>
  <si>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</si>
  <si>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</si>
  <si>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</si>
  <si>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</si>
  <si>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</si>
  <si>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</si>
  <si>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</si>
  <si>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</si>
  <si>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</si>
  <si>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</si>
  <si>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</si>
  <si>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</si>
  <si>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</si>
  <si>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</si>
  <si>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</si>
  <si>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</si>
  <si>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</si>
  <si>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</si>
  <si>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</si>
  <si>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</si>
  <si>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</si>
  <si>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</si>
  <si>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</si>
  <si>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</si>
  <si>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</si>
  <si>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</si>
  <si>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</si>
  <si>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</si>
  <si>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</si>
  <si>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</si>
  <si>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</si>
  <si>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</si>
  <si>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</si>
  <si>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</si>
  <si>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</si>
  <si>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</si>
  <si>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</si>
  <si>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</si>
  <si>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</si>
  <si>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</si>
  <si>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</si>
  <si>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</si>
  <si>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</si>
  <si>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</si>
  <si>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</si>
  <si>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</si>
  <si>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</si>
  <si>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</si>
  <si>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</si>
  <si>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</si>
  <si>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</si>
  <si>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</si>
  <si>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</si>
  <si>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</si>
  <si>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</si>
  <si>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</si>
  <si>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</si>
  <si>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</si>
  <si>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</si>
  <si>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</si>
  <si>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</si>
  <si>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</si>
  <si>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</si>
  <si>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</si>
  <si>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</si>
  <si>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</si>
  <si>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</si>
  <si>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</si>
  <si>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</si>
  <si>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</si>
  <si>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</si>
  <si>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</si>
  <si>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</si>
  <si>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</si>
  <si>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</si>
  <si>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</si>
  <si>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</si>
  <si>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</si>
  <si>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</si>
  <si>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</si>
  <si>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</si>
  <si>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</si>
  <si>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</si>
  <si>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</si>
  <si>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</si>
  <si>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</si>
  <si>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</si>
  <si>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</si>
  <si>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</si>
  <si>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</si>
  <si>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</si>
  <si>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</si>
  <si>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</si>
  <si>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</si>
  <si>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</si>
  <si>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</si>
  <si>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</si>
  <si>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</si>
  <si>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</si>
  <si>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</si>
  <si>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</si>
  <si>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</si>
  <si>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</si>
  <si>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</si>
  <si>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</si>
  <si>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</si>
  <si>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</si>
  <si>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</si>
  <si>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</si>
  <si>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</si>
  <si>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</si>
  <si>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</si>
  <si>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</si>
  <si>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</si>
  <si>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</si>
  <si>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</si>
  <si>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</si>
  <si>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</si>
  <si>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</si>
  <si>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</si>
  <si>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</si>
  <si>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</si>
  <si>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</si>
  <si>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</si>
  <si>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</si>
  <si>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</si>
  <si>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</si>
  <si>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</si>
  <si>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</si>
  <si>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</si>
  <si>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</si>
  <si>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</si>
  <si>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</si>
  <si>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</si>
  <si>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</si>
  <si>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</si>
  <si>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</si>
  <si>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</si>
  <si>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</si>
  <si>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</si>
  <si>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</si>
  <si>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</si>
  <si>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</si>
  <si>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</si>
  <si>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</si>
  <si>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</si>
  <si>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</si>
  <si>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</si>
  <si>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</si>
  <si>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</si>
  <si>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</si>
  <si>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</si>
  <si>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</si>
  <si>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</si>
  <si>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</si>
  <si>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</si>
  <si>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</si>
  <si>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</si>
  <si>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</si>
  <si>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</si>
  <si>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</si>
  <si>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</si>
  <si>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</si>
  <si>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</si>
  <si>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</si>
  <si>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</si>
  <si>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</si>
  <si>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</si>
  <si>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</si>
  <si>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</si>
  <si>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</si>
  <si>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</si>
  <si>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</si>
  <si>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</si>
  <si>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</si>
  <si>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</si>
  <si>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</si>
  <si>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</si>
  <si>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</si>
  <si>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</si>
  <si>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</si>
  <si>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</si>
  <si>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</si>
  <si>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</si>
  <si>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</si>
  <si>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</si>
  <si>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</si>
  <si>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</si>
  <si>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</si>
  <si>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</si>
  <si>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</si>
  <si>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</si>
  <si>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</si>
  <si>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</si>
  <si>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</si>
  <si>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</si>
  <si>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</si>
  <si>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</si>
  <si>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</si>
  <si>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</si>
  <si>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</si>
  <si>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</si>
  <si>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</si>
  <si>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</si>
  <si>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</si>
  <si>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</si>
  <si>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</si>
  <si>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</si>
  <si>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</si>
  <si>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</si>
  <si>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</si>
  <si>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</si>
  <si>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</si>
  <si>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</si>
  <si>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</si>
  <si>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</si>
  <si>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</si>
  <si>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</si>
  <si>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</si>
  <si>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</si>
  <si>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</si>
  <si>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</si>
  <si>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</si>
  <si>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</si>
  <si>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</si>
  <si>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</si>
  <si>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</si>
  <si>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</si>
  <si>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</si>
  <si>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</si>
  <si>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</si>
  <si>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</si>
  <si>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</si>
  <si>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</si>
  <si>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</si>
  <si>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</si>
  <si>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</si>
  <si>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</si>
  <si>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</si>
  <si>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</si>
  <si>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</si>
  <si>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</si>
  <si>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</si>
  <si>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</si>
  <si>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</si>
  <si>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</si>
  <si>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</si>
  <si>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</si>
  <si>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</si>
  <si>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</si>
  <si>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</si>
  <si>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</si>
  <si>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</si>
  <si>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</si>
  <si>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</si>
  <si>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</si>
  <si>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</si>
  <si>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</si>
  <si>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</si>
  <si>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</si>
  <si>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</si>
  <si>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</si>
  <si>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</si>
  <si>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</si>
  <si>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</si>
  <si>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</si>
  <si>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</si>
  <si>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</si>
  <si>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</si>
  <si>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</si>
  <si>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</si>
  <si>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</si>
  <si>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</si>
  <si>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</si>
  <si>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</si>
  <si>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</si>
  <si>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</si>
  <si>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</si>
  <si>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</si>
  <si>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</si>
  <si>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</si>
  <si>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</si>
  <si>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</si>
  <si>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</si>
  <si>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</si>
  <si>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</si>
  <si>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</si>
  <si>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</si>
  <si>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</si>
  <si>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</si>
  <si>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</si>
  <si>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</si>
  <si>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</si>
  <si>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</si>
  <si>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</si>
  <si>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</si>
  <si>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</si>
  <si>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</si>
  <si>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</si>
  <si>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</si>
  <si>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</si>
  <si>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</si>
  <si>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</si>
  <si>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</si>
  <si>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</si>
  <si>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</si>
  <si>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</si>
  <si>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</si>
  <si>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</si>
  <si>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</si>
  <si>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</si>
  <si>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</si>
  <si>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</si>
  <si>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</si>
  <si>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</si>
  <si>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</si>
  <si>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</si>
  <si>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</si>
  <si>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</si>
  <si>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</si>
  <si>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</si>
  <si>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</si>
  <si>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</si>
  <si>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</si>
  <si>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</si>
  <si>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</si>
  <si>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</si>
  <si>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</si>
  <si>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</si>
  <si>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</si>
  <si>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</si>
  <si>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</si>
  <si>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</si>
  <si>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</si>
  <si>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</si>
  <si>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</si>
  <si>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</si>
  <si>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</si>
  <si>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</si>
  <si>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</si>
  <si>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</si>
  <si>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</si>
  <si>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</si>
  <si>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</si>
  <si>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</si>
  <si>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</si>
  <si>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</si>
  <si>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</si>
  <si>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</si>
  <si>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</si>
  <si>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</si>
  <si>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</si>
  <si>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</si>
  <si>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</si>
  <si>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</si>
  <si>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</si>
  <si>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</si>
  <si>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</si>
  <si>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</si>
  <si>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</si>
  <si>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</si>
  <si>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</si>
  <si>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</si>
  <si>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</si>
  <si>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</si>
  <si>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</si>
  <si>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</si>
  <si>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</si>
  <si>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</si>
  <si>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</si>
  <si>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</si>
  <si>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</si>
  <si>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</si>
  <si>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</si>
  <si>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</si>
  <si>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</si>
  <si>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</si>
  <si>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</si>
  <si>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</si>
  <si>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</si>
  <si>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</si>
  <si>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</si>
  <si>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</si>
  <si>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</si>
  <si>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</si>
  <si>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</si>
  <si>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</si>
  <si>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</si>
  <si>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</si>
  <si>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</si>
  <si>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</si>
  <si>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</si>
  <si>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</si>
  <si>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</si>
  <si>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</si>
  <si>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</si>
  <si>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</si>
  <si>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</si>
  <si>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</si>
  <si>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</si>
  <si>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</si>
  <si>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</si>
  <si>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</si>
  <si>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</si>
  <si>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</si>
  <si>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</si>
  <si>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</si>
  <si>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</si>
  <si>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</si>
  <si>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</si>
  <si>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</si>
  <si>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</si>
  <si>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</si>
  <si>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</si>
  <si>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</si>
  <si>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</si>
  <si>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</si>
  <si>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</si>
  <si>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</si>
  <si>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</si>
  <si>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</si>
  <si>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</si>
  <si>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</si>
  <si>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</si>
  <si>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</si>
  <si>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</si>
  <si>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</si>
  <si>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</si>
  <si>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</si>
  <si>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</si>
  <si>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</si>
  <si>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</si>
  <si>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</si>
  <si>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</si>
  <si>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</si>
  <si>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</si>
  <si>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</si>
  <si>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</si>
  <si>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</si>
  <si>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</si>
  <si>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</si>
  <si>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</si>
  <si>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</si>
  <si>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</si>
  <si>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</si>
  <si>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</si>
  <si>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</si>
  <si>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</si>
  <si>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</si>
  <si>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</si>
  <si>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</si>
  <si>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</si>
  <si>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</si>
  <si>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</si>
  <si>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</si>
  <si>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</si>
  <si>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</si>
  <si>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</si>
  <si>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</si>
  <si>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</si>
  <si>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</si>
  <si>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</si>
  <si>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</si>
  <si>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</si>
  <si>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</si>
  <si>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</si>
  <si>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</si>
  <si>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</si>
  <si>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</si>
  <si>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</si>
  <si>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</si>
  <si>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</si>
  <si>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</si>
  <si>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</si>
  <si>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</si>
  <si>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</si>
  <si>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</si>
  <si>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</si>
  <si>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</si>
  <si>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</si>
  <si>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</si>
  <si>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</si>
  <si>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</si>
  <si>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</si>
  <si>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</si>
  <si>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</si>
  <si>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</si>
  <si>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</si>
  <si>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</si>
  <si>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</si>
  <si>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</si>
  <si>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</si>
  <si>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</si>
  <si>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</si>
  <si>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</si>
  <si>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</si>
  <si>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</si>
  <si>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</si>
  <si>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</si>
  <si>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</si>
  <si>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</si>
  <si>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</si>
  <si>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</si>
  <si>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</si>
  <si>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</si>
  <si>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</si>
  <si>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</si>
  <si>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</si>
  <si>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</si>
  <si>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</si>
  <si>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</si>
  <si>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</si>
  <si>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</si>
  <si>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</si>
  <si>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</si>
  <si>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</si>
  <si>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</si>
  <si>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</si>
  <si>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</si>
  <si>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</si>
  <si>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</si>
  <si>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</si>
  <si>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</si>
  <si>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</si>
  <si>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</si>
  <si>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</si>
  <si>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</si>
  <si>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</si>
  <si>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</si>
  <si>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</si>
  <si>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</si>
  <si>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</si>
  <si>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</si>
  <si>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</si>
  <si>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</si>
  <si>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</si>
  <si>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</si>
  <si>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</si>
  <si>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</si>
  <si>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</si>
  <si>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</si>
  <si>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</si>
  <si>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</si>
  <si>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</si>
  <si>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</si>
  <si>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</si>
  <si>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</si>
  <si>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</si>
  <si>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</si>
  <si>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</si>
  <si>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</si>
  <si>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</si>
  <si>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</si>
  <si>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</si>
  <si>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</si>
  <si>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</si>
  <si>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</si>
  <si>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</si>
  <si>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</si>
  <si>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</si>
  <si>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</si>
  <si>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</si>
  <si>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</si>
  <si>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</si>
  <si>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</si>
  <si>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</si>
  <si>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</si>
  <si>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</si>
  <si>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</si>
  <si>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</si>
  <si>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</si>
  <si>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</si>
  <si>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</si>
  <si>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</si>
  <si>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</si>
  <si>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</si>
  <si>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</si>
  <si>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</si>
  <si>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</si>
  <si>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</si>
  <si>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</si>
  <si>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</si>
  <si>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</si>
  <si>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</si>
  <si>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</si>
  <si>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</si>
  <si>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</si>
  <si>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</si>
  <si>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</si>
  <si>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</si>
  <si>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</si>
  <si>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</si>
  <si>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</si>
  <si>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</si>
  <si>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</si>
  <si>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</si>
  <si>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</si>
  <si>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</si>
  <si>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</si>
  <si>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</si>
  <si>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</si>
  <si>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</si>
  <si>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</si>
  <si>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</si>
  <si>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</si>
  <si>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</si>
  <si>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</si>
  <si>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</si>
  <si>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</si>
  <si>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</si>
  <si>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</si>
  <si>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</si>
  <si>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</si>
  <si>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</si>
  <si>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</si>
  <si>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</si>
  <si>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</si>
  <si>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</si>
  <si>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</si>
  <si>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</si>
  <si>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</si>
  <si>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</si>
  <si>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</si>
  <si>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</si>
  <si>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</si>
  <si>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</si>
  <si>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</si>
  <si>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</si>
  <si>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</si>
  <si>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</si>
  <si>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</si>
  <si>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</si>
  <si>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</si>
  <si>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</si>
  <si>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</si>
  <si>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</si>
  <si>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</si>
  <si>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</si>
  <si>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</si>
  <si>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</si>
  <si>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</si>
  <si>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</si>
  <si>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</si>
  <si>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</si>
  <si>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</si>
  <si>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</si>
  <si>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</si>
  <si>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</si>
  <si>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</si>
  <si>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</si>
  <si>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</si>
  <si>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</si>
  <si>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</si>
  <si>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</si>
  <si>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</si>
  <si>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</si>
  <si>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</si>
  <si>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</si>
  <si>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</si>
  <si>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</si>
  <si>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</si>
  <si>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</si>
  <si>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</si>
  <si>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</si>
  <si>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</si>
  <si>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</si>
  <si>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</si>
  <si>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</si>
  <si>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</si>
  <si>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</si>
  <si>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</si>
  <si>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</si>
  <si>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</si>
  <si>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</si>
  <si>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</si>
  <si>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</si>
  <si>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</si>
  <si>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</si>
  <si>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</si>
  <si>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</si>
  <si>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</si>
  <si>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</si>
  <si>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</si>
  <si>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</si>
  <si>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</si>
  <si>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</si>
  <si>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</si>
  <si>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</si>
  <si>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</si>
  <si>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</si>
  <si>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</si>
  <si>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</si>
  <si>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</si>
  <si>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</si>
  <si>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</si>
  <si>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</si>
  <si>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</si>
  <si>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</si>
  <si>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</si>
  <si>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</si>
  <si>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</si>
  <si>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</si>
  <si>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</si>
  <si>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</si>
  <si>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</si>
  <si>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</si>
  <si>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</si>
  <si>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</si>
  <si>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</si>
  <si>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</si>
  <si>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</si>
  <si>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</si>
  <si>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</si>
  <si>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</si>
  <si>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</si>
  <si>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</si>
  <si>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</si>
  <si>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</si>
  <si>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</si>
  <si>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</si>
  <si>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</si>
  <si>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</si>
  <si>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</si>
  <si>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</si>
  <si>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</si>
  <si>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</si>
  <si>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</si>
  <si>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</si>
  <si>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</si>
  <si>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</si>
  <si>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</si>
  <si>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</si>
  <si>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</si>
  <si>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</si>
  <si>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</si>
  <si>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</si>
  <si>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</si>
  <si>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</si>
  <si>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</si>
  <si>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</si>
  <si>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</si>
  <si>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</si>
  <si>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</si>
  <si>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</si>
  <si>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</si>
  <si>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</si>
  <si>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</si>
  <si>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</si>
  <si>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</si>
  <si>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</si>
  <si>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</si>
  <si>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</si>
  <si>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</si>
  <si>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</si>
  <si>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</si>
  <si>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</si>
  <si>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</si>
  <si>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</si>
  <si>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</si>
  <si>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</si>
  <si>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</si>
  <si>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</si>
  <si>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</si>
  <si>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</si>
  <si>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</si>
  <si>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</si>
  <si>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</si>
  <si>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</si>
  <si>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</si>
  <si>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</si>
  <si>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</si>
  <si>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</si>
  <si>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</si>
  <si>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</si>
  <si>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</si>
  <si>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</si>
  <si>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</si>
  <si>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</si>
  <si>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</si>
  <si>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</si>
  <si>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</si>
  <si>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</si>
  <si>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</si>
  <si>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</si>
  <si>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</si>
  <si>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</si>
  <si>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</si>
  <si>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</si>
  <si>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</si>
  <si>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</si>
  <si>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</si>
  <si>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</si>
  <si>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</si>
  <si>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</si>
  <si>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</si>
  <si>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</si>
  <si>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</si>
  <si>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</si>
  <si>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</si>
  <si>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</si>
  <si>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</si>
  <si>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</si>
  <si>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</si>
  <si>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</si>
  <si>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</si>
  <si>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</si>
  <si>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</si>
  <si>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</si>
  <si>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</si>
  <si>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</si>
  <si>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</si>
  <si>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</si>
  <si>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</si>
  <si>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</si>
  <si>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</si>
  <si>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</si>
  <si>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</si>
  <si>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</si>
  <si>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</si>
  <si>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</si>
  <si>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</si>
  <si>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</si>
  <si>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</si>
  <si>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</si>
  <si>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</si>
  <si>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</si>
  <si>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</si>
  <si>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</si>
  <si>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</si>
  <si>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</si>
  <si>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</si>
  <si>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</si>
  <si>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</si>
  <si>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</si>
  <si>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</si>
  <si>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</si>
  <si>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</si>
  <si>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</si>
  <si>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</si>
  <si>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</si>
  <si>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</si>
  <si>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</si>
  <si>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</si>
  <si>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</si>
  <si>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</si>
  <si>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</si>
  <si>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</si>
  <si>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</si>
  <si>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</si>
  <si>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</si>
  <si>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</si>
  <si>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</si>
  <si>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</si>
  <si>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</si>
  <si>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</si>
  <si>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</si>
  <si>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</si>
  <si>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</si>
  <si>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</si>
  <si>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</si>
  <si>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</si>
  <si>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</si>
  <si>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</si>
  <si>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</si>
  <si>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</si>
  <si>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</si>
  <si>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</si>
  <si>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</si>
  <si>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</si>
  <si>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</si>
  <si>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</si>
  <si>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</si>
  <si>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</si>
  <si>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</si>
  <si>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</si>
  <si>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</si>
  <si>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</si>
  <si>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</si>
  <si>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</si>
  <si>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</si>
  <si>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</si>
  <si>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</si>
  <si>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</si>
  <si>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</si>
  <si>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</si>
  <si>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</si>
  <si>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</si>
  <si>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</si>
  <si>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</si>
  <si>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</si>
  <si>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</si>
  <si>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</si>
  <si>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</si>
  <si>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</si>
  <si>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</si>
  <si>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</si>
  <si>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</si>
  <si>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</si>
  <si>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</si>
  <si>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</si>
  <si>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</si>
  <si>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</si>
  <si>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</si>
  <si>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</si>
  <si>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</si>
  <si>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</si>
  <si>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</si>
  <si>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</si>
  <si>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</si>
  <si>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</si>
  <si>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</si>
  <si>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</si>
  <si>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</si>
  <si>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</si>
  <si>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</si>
  <si>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</si>
  <si>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</si>
  <si>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</si>
  <si>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</si>
  <si>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</si>
  <si>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</si>
  <si>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</si>
  <si>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</si>
  <si>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</si>
  <si>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</si>
  <si>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</si>
  <si>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</si>
  <si>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</si>
  <si>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</si>
  <si>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</si>
  <si>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</si>
  <si>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</si>
  <si>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</si>
  <si>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</si>
  <si>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</si>
  <si>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</si>
  <si>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</si>
  <si>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</si>
  <si>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</si>
  <si>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</si>
  <si>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</si>
  <si>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</si>
  <si>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</si>
  <si>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</si>
  <si>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</si>
  <si>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</si>
  <si>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</si>
  <si>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</si>
  <si>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</si>
  <si>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</si>
  <si>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</si>
  <si>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</si>
  <si>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</si>
  <si>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</si>
  <si>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</si>
  <si>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</si>
  <si>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</si>
  <si>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</si>
  <si>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</si>
  <si>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</si>
  <si>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</si>
  <si>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</si>
  <si>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</si>
  <si>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</si>
  <si>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</si>
  <si>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</si>
  <si>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</si>
  <si>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</si>
  <si>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</si>
  <si>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</si>
  <si>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</si>
  <si>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</si>
  <si>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</si>
  <si>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</si>
  <si>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</si>
  <si>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</si>
  <si>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</si>
  <si>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</si>
  <si>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</si>
  <si>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</si>
  <si>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</si>
  <si>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</si>
  <si>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</si>
  <si>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</si>
  <si>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</si>
  <si>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</si>
  <si>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</si>
  <si>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</si>
  <si>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</si>
  <si>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</si>
  <si>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</si>
  <si>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</si>
  <si>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</si>
  <si>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</si>
  <si>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</si>
  <si>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</si>
  <si>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</si>
  <si>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</si>
  <si>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</si>
  <si>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</si>
  <si>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</si>
  <si>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</si>
  <si>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</si>
  <si>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</si>
  <si>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</si>
  <si>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</si>
  <si>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</si>
  <si>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</si>
  <si>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</si>
  <si>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</si>
  <si>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</si>
  <si>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</si>
  <si>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</si>
  <si>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</si>
  <si>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</si>
  <si>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</si>
  <si>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</si>
  <si>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</si>
  <si>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</si>
  <si>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</si>
  <si>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</si>
  <si>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</si>
  <si>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</si>
  <si>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</si>
  <si>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</si>
  <si>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</si>
  <si>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</si>
  <si>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</si>
  <si>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</si>
  <si>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</si>
  <si>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</si>
  <si>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</si>
  <si>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</si>
  <si>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</si>
  <si>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</si>
  <si>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</si>
  <si>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</si>
  <si>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</si>
  <si>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</si>
  <si>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</si>
  <si>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</si>
  <si>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</si>
  <si>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</si>
  <si>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</si>
  <si>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</si>
  <si>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</si>
  <si>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</si>
  <si>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</si>
  <si>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</si>
  <si>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</si>
  <si>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</si>
  <si>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</si>
  <si>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</si>
  <si>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</si>
  <si>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</si>
  <si>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</si>
  <si>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</si>
  <si>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</si>
  <si>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</si>
  <si>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</si>
  <si>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</si>
  <si>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</si>
  <si>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</si>
  <si>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</si>
  <si>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</si>
  <si>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</si>
  <si>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</si>
  <si>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</si>
  <si>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</si>
  <si>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</si>
  <si>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</si>
  <si>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</si>
  <si>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</si>
  <si>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</si>
  <si>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</si>
  <si>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</si>
  <si>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</si>
  <si>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</si>
  <si>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</si>
  <si>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</si>
  <si>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</si>
  <si>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</si>
  <si>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</si>
  <si>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</si>
  <si>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</si>
  <si>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</si>
  <si>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</si>
  <si>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</si>
  <si>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</si>
  <si>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</si>
  <si>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</si>
  <si>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</si>
  <si>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</si>
  <si>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</si>
  <si>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</si>
  <si>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</si>
  <si>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</si>
  <si>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</si>
  <si>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</si>
  <si>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</si>
  <si>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</si>
  <si>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</si>
  <si>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</si>
  <si>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</si>
  <si>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</si>
  <si>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</si>
  <si>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</si>
  <si>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</si>
  <si>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</si>
  <si>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</si>
  <si>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</si>
  <si>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</si>
  <si>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</si>
  <si>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</si>
  <si>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</si>
  <si>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</si>
  <si>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</si>
  <si>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</si>
  <si>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</si>
  <si>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</si>
  <si>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</si>
  <si>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</si>
  <si>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</si>
  <si>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</si>
  <si>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</si>
  <si>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</si>
  <si>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</si>
  <si>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</si>
  <si>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</si>
  <si>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</si>
  <si>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</si>
  <si>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</si>
  <si>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</si>
  <si>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</si>
  <si>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</si>
  <si>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</si>
  <si>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</si>
  <si>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</si>
  <si>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</si>
  <si>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</si>
  <si>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</si>
  <si>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</si>
  <si>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</si>
  <si>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</si>
  <si>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</si>
  <si>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</si>
  <si>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</si>
  <si>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</si>
  <si>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</si>
  <si>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</si>
  <si>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</si>
  <si>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</si>
  <si>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</si>
  <si>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</si>
  <si>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</si>
  <si>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</si>
  <si>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</si>
  <si>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</si>
  <si>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</si>
  <si>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</si>
  <si>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</si>
  <si>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</si>
  <si>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</si>
  <si>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</si>
  <si>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</si>
  <si>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</si>
  <si>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</si>
  <si>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</si>
  <si>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</si>
  <si>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</si>
  <si>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</si>
  <si>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</si>
  <si>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</si>
  <si>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</si>
  <si>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</si>
  <si>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</si>
  <si>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</si>
  <si>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</si>
  <si>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</si>
  <si>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</si>
  <si>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</si>
  <si>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</si>
  <si>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</si>
  <si>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</si>
  <si>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</si>
  <si>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</si>
  <si>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</si>
  <si>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</si>
  <si>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</si>
  <si>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</si>
  <si>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</si>
  <si>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</si>
  <si>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</si>
  <si>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</si>
  <si>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</si>
  <si>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</si>
  <si>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</si>
  <si>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</si>
  <si>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</si>
  <si>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</si>
  <si>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</si>
  <si>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</si>
  <si>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</si>
  <si>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</si>
  <si>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</si>
  <si>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</si>
  <si>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</si>
  <si>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</si>
  <si>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</si>
  <si>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</si>
  <si>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</si>
  <si>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</si>
  <si>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</si>
  <si>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</si>
  <si>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</si>
  <si>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</si>
  <si>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</si>
  <si>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</si>
  <si>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</si>
  <si>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</si>
  <si>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</si>
  <si>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</si>
  <si>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</si>
  <si>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</si>
  <si>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</si>
  <si>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</si>
  <si>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</si>
  <si>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</si>
  <si>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</si>
  <si>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</si>
  <si>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</si>
  <si>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</si>
  <si>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</si>
  <si>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</si>
  <si>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</si>
  <si>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</si>
  <si>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</si>
  <si>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</si>
  <si>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</si>
  <si>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</si>
  <si>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</si>
  <si>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</si>
  <si>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</si>
  <si>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</si>
  <si>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</si>
  <si>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</si>
  <si>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</si>
  <si>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</si>
  <si>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</si>
  <si>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</si>
  <si>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</si>
  <si>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</si>
  <si>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</si>
  <si>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</si>
  <si>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</si>
  <si>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</si>
  <si>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</si>
  <si>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</si>
  <si>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</si>
  <si>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</si>
  <si>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</si>
  <si>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</si>
  <si>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</si>
  <si>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</si>
  <si>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</si>
  <si>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</si>
  <si>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</si>
  <si>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</si>
  <si>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</si>
  <si>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</si>
  <si>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</si>
  <si>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</si>
  <si>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</si>
  <si>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</si>
  <si>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</si>
  <si>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</si>
  <si>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</si>
  <si>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</si>
  <si>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</si>
  <si>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</si>
  <si>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</si>
  <si>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</si>
  <si>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</si>
  <si>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</si>
  <si>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</si>
  <si>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</si>
  <si>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</si>
  <si>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</si>
  <si>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</si>
  <si>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</si>
  <si>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</si>
  <si>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</si>
  <si>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</si>
  <si>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</si>
  <si>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</si>
  <si>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</si>
  <si>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</si>
  <si>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</si>
  <si>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</si>
  <si>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</si>
  <si>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</si>
  <si>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</si>
  <si>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</si>
  <si>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</si>
  <si>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</si>
  <si>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</si>
  <si>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</si>
  <si>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</si>
  <si>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</si>
  <si>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</si>
  <si>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</si>
  <si>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</si>
  <si>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</si>
  <si>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</si>
  <si>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</si>
  <si>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</si>
  <si>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</si>
  <si>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</si>
  <si>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</si>
  <si>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</si>
  <si>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</si>
  <si>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</si>
  <si>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</si>
  <si>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</si>
  <si>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</si>
  <si>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</si>
  <si>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</si>
  <si>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</si>
  <si>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</si>
  <si>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</si>
  <si>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</si>
  <si>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</si>
  <si>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</si>
  <si>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</si>
  <si>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</si>
  <si>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</si>
  <si>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</si>
  <si>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</si>
  <si>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</si>
  <si>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</si>
  <si>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</si>
  <si>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</si>
  <si>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</si>
  <si>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</si>
  <si>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</si>
  <si>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</si>
  <si>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</si>
  <si>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</si>
  <si>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</si>
  <si>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</si>
  <si>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</si>
  <si>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</si>
  <si>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</si>
  <si>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</si>
  <si>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</si>
  <si>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</si>
  <si>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</si>
  <si>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</si>
  <si>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</si>
  <si>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</si>
  <si>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</si>
  <si>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</si>
  <si>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</si>
  <si>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</si>
  <si>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</si>
  <si>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</si>
  <si>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</si>
  <si>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</si>
  <si>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</si>
  <si>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</si>
  <si>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</si>
  <si>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</si>
  <si>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</si>
  <si>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</si>
  <si>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</si>
  <si>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</si>
  <si>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</si>
  <si>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</si>
  <si>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</si>
  <si>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</si>
  <si>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</si>
  <si>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</si>
  <si>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</si>
  <si>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</si>
  <si>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</si>
  <si>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</si>
  <si>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</si>
  <si>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</si>
  <si>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</si>
  <si>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</si>
  <si>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</si>
  <si>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</si>
  <si>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</si>
  <si>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</si>
  <si>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</si>
  <si>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</si>
  <si>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</si>
  <si>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</si>
  <si>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</si>
  <si>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</si>
  <si>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</si>
  <si>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</si>
  <si>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</si>
  <si>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</si>
  <si>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</si>
  <si>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</si>
  <si>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</si>
  <si>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</si>
  <si>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</si>
  <si>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</si>
  <si>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</si>
  <si>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</si>
  <si>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</si>
  <si>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</si>
  <si>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</si>
  <si>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</si>
  <si>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</si>
  <si>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</si>
  <si>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</si>
  <si>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</si>
  <si>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</si>
  <si>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</si>
  <si>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</si>
  <si>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</si>
  <si>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</si>
  <si>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</si>
  <si>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</si>
  <si>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</si>
  <si>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</si>
  <si>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</si>
  <si>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</si>
  <si>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</si>
  <si>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</si>
  <si>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</si>
  <si>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</si>
  <si>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</si>
  <si>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</si>
  <si>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</si>
  <si>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</si>
  <si>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</si>
  <si>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</si>
  <si>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</si>
  <si>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</si>
  <si>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</si>
  <si>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</si>
  <si>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</si>
  <si>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</si>
  <si>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</si>
  <si>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</si>
  <si>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</si>
  <si>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</si>
  <si>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</si>
  <si>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</si>
  <si>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</si>
  <si>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</si>
  <si>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</si>
  <si>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</si>
  <si>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</si>
  <si>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</si>
  <si>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</si>
  <si>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</si>
  <si>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</si>
  <si>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</si>
  <si>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</si>
  <si>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</si>
  <si>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</si>
  <si>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</si>
  <si>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</si>
  <si>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</si>
  <si>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</si>
  <si>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</si>
  <si>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</si>
  <si>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</si>
  <si>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</si>
  <si>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</si>
  <si>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</si>
  <si>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</si>
  <si>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</si>
  <si>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</si>
  <si>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</si>
  <si>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</si>
  <si>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</si>
  <si>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</si>
  <si>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</si>
  <si>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</si>
  <si>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</si>
  <si>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</si>
  <si>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</si>
  <si>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</si>
  <si>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</si>
  <si>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</si>
  <si>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</si>
  <si>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</si>
  <si>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</si>
  <si>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</si>
  <si>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</si>
  <si>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</si>
  <si>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</si>
  <si>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</si>
  <si>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</si>
  <si>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</si>
  <si>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</si>
  <si>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</si>
  <si>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</si>
  <si>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</si>
  <si>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</si>
  <si>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</si>
  <si>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</si>
  <si>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</si>
  <si>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</si>
  <si>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</si>
  <si>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</si>
  <si>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</si>
  <si>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</si>
  <si>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</si>
  <si>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</si>
  <si>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</si>
  <si>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</si>
  <si>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</si>
  <si>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</si>
  <si>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</si>
  <si>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</si>
  <si>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</si>
  <si>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</si>
  <si>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</si>
  <si>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</si>
  <si>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</si>
  <si>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</si>
  <si>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</si>
  <si>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</si>
  <si>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</si>
  <si>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</si>
  <si>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</si>
  <si>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</si>
  <si>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</si>
  <si>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</si>
  <si>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</si>
  <si>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</si>
  <si>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</si>
  <si>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</si>
  <si>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</si>
  <si>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</si>
  <si>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</si>
  <si>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</si>
  <si>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</si>
  <si>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</si>
  <si>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</si>
  <si>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</si>
  <si>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</si>
  <si>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</si>
  <si>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</si>
  <si>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</si>
  <si>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</si>
  <si>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</si>
  <si>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</si>
  <si>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</si>
  <si>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</si>
  <si>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</si>
  <si>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</si>
  <si>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</si>
  <si>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</si>
  <si>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</si>
  <si>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</si>
  <si>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</si>
  <si>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</si>
  <si>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</si>
  <si>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</si>
  <si>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</si>
  <si>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</si>
  <si>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</si>
  <si>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</si>
  <si>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</si>
  <si>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</si>
  <si>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</si>
  <si>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</si>
  <si>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</si>
  <si>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</si>
  <si>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</si>
  <si>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</si>
  <si>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</si>
  <si>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</si>
  <si>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</si>
  <si>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</si>
  <si>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</si>
  <si>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</si>
  <si>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</si>
  <si>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</si>
  <si>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</si>
  <si>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</si>
  <si>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</si>
  <si>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</si>
  <si>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</si>
  <si>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</si>
  <si>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</si>
  <si>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</si>
  <si>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</si>
  <si>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</si>
  <si>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</si>
  <si>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</si>
  <si>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</si>
  <si>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</si>
  <si>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</si>
  <si>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</si>
  <si>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</si>
  <si>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</si>
  <si>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</si>
  <si>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</si>
  <si>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</si>
  <si>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</si>
  <si>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</si>
  <si>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</si>
  <si>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</si>
  <si>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</si>
  <si>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</si>
  <si>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</si>
  <si>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</si>
  <si>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</si>
  <si>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</si>
  <si>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</si>
  <si>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</si>
  <si>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</si>
  <si>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</si>
  <si>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</si>
  <si>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</si>
  <si>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</si>
  <si>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</si>
  <si>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</si>
  <si>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</si>
  <si>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</si>
  <si>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</si>
  <si>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</si>
  <si>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</si>
  <si>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</si>
  <si>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</si>
  <si>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</si>
  <si>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</si>
  <si>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</si>
  <si>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</si>
  <si>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</si>
  <si>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</si>
  <si>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</si>
  <si>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</si>
  <si>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</si>
  <si>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</si>
  <si>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</si>
  <si>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</si>
  <si>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</si>
  <si>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</si>
  <si>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</si>
  <si>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</si>
  <si>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</si>
  <si>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</si>
  <si>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</si>
  <si>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</si>
  <si>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</si>
  <si>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</si>
  <si>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</si>
  <si>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</si>
  <si>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</si>
  <si>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</si>
  <si>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</si>
  <si>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</si>
  <si>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</si>
  <si>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</si>
  <si>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</si>
  <si>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</si>
  <si>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</si>
  <si>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</si>
  <si>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</si>
  <si>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</si>
  <si>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</si>
  <si>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</si>
  <si>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</si>
  <si>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</si>
  <si>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</si>
  <si>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</si>
  <si>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</si>
  <si>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</si>
  <si>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</si>
  <si>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</si>
  <si>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</si>
  <si>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</si>
  <si>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</si>
  <si>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</si>
  <si>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</si>
  <si>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</si>
  <si>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</si>
  <si>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</si>
  <si>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</si>
  <si>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Oakland</t>
  </si>
  <si>
    <t>California Supportive Housing</t>
  </si>
  <si>
    <t>CSH MacArthur Housing</t>
  </si>
  <si>
    <t>City Of Oakland</t>
  </si>
  <si>
    <t>Jestin D. Johnson</t>
  </si>
  <si>
    <t>1 Frank H. Ogawa Plaza</t>
  </si>
  <si>
    <t>(510) 238-3301</t>
  </si>
  <si>
    <t>(510) 238-2223</t>
  </si>
  <si>
    <t>cityadministratorsoffice@oaklandca.gov</t>
  </si>
  <si>
    <t>8301, 8311 MacArthur Blvd</t>
  </si>
  <si>
    <t xml:space="preserve">043-4621-001 and 043-4621-007-01 </t>
  </si>
  <si>
    <t>40%/60%</t>
  </si>
  <si>
    <t>1015 Saint Joseph Ave</t>
  </si>
  <si>
    <t>Los Altos</t>
  </si>
  <si>
    <t>CA</t>
  </si>
  <si>
    <t>Punit Bhargava</t>
  </si>
  <si>
    <t>408-647-4720</t>
  </si>
  <si>
    <t>Administrative GP</t>
  </si>
  <si>
    <t>Managing GP</t>
  </si>
  <si>
    <t>Managing General Partner</t>
  </si>
  <si>
    <t>Los Altos, CA, 94024</t>
  </si>
  <si>
    <t>Banta Design</t>
  </si>
  <si>
    <t>6050 Hollis Street</t>
  </si>
  <si>
    <t>Emeryville, CA, 94608</t>
  </si>
  <si>
    <t>Phil Banta</t>
  </si>
  <si>
    <t>415-298-9461</t>
  </si>
  <si>
    <t>pbanta@bantadesign.com</t>
  </si>
  <si>
    <t>Bay Area Contractors Ltd.</t>
  </si>
  <si>
    <t>Geetanjli Dogra</t>
  </si>
  <si>
    <t>Goldfarb Lipman</t>
  </si>
  <si>
    <t>1300 Clay Street, Eleventh Floor</t>
  </si>
  <si>
    <t>Oakland, CA, 94612</t>
  </si>
  <si>
    <t>Gabrielle B. Janssens</t>
  </si>
  <si>
    <t>gjanssens@goldfarblipman.com</t>
  </si>
  <si>
    <t>Propp Christensen Caniglia LLP</t>
  </si>
  <si>
    <t>9261 Sierra College Blvd</t>
  </si>
  <si>
    <t>Roseville, CA 95661</t>
  </si>
  <si>
    <t>Justin Gierth</t>
  </si>
  <si>
    <t>jgierth@pccllp.com</t>
  </si>
  <si>
    <t>Partner Engineering and Science, Inc.</t>
  </si>
  <si>
    <t>2154 Torrance Blvd</t>
  </si>
  <si>
    <t>Torrance, CA  90501</t>
  </si>
  <si>
    <t>Jay Grenfell</t>
  </si>
  <si>
    <t>415-992-3755</t>
  </si>
  <si>
    <t>415-952-9421</t>
  </si>
  <si>
    <t xml:space="preserve">JGrenfell@partneresi.com </t>
  </si>
  <si>
    <t>916-791-2900</t>
  </si>
  <si>
    <t>California Muncipal Financial Authority</t>
  </si>
  <si>
    <t>2111 Palomar Airport Rd. Ste. 320</t>
  </si>
  <si>
    <t>Carlsbad, CA 92011</t>
  </si>
  <si>
    <t>Anthony Stubbs</t>
  </si>
  <si>
    <t>760-930-1333</t>
  </si>
  <si>
    <t>760-683-3390</t>
  </si>
  <si>
    <t>astubbs@cmfa-ca.com</t>
  </si>
  <si>
    <t>FPI Management Corporation</t>
  </si>
  <si>
    <t>800 Iron Point Rd</t>
  </si>
  <si>
    <t>Folsom, CA 95630</t>
  </si>
  <si>
    <t>Chelsea Flynn</t>
  </si>
  <si>
    <t>916-850-4404</t>
  </si>
  <si>
    <t>chelsea.flynn@fpimgt.com</t>
  </si>
  <si>
    <t>Not Applicable</t>
  </si>
  <si>
    <t>TBD</t>
  </si>
  <si>
    <t>Gargi Sharma</t>
  </si>
  <si>
    <t>Member</t>
  </si>
  <si>
    <t>Inner City Infill Site</t>
  </si>
  <si>
    <t>RU-4/S13/S14 Residential including Multifamily</t>
  </si>
  <si>
    <t>RU-4/S13/S14 45 du</t>
  </si>
  <si>
    <t>RU-4/S13/S14 100% Affordable Multifamily Housing, 82 du</t>
  </si>
  <si>
    <t>45'</t>
  </si>
  <si>
    <t>Investor Equity</t>
  </si>
  <si>
    <t>GP Equity</t>
  </si>
  <si>
    <t xml:space="preserve">14301 FNB Parkway </t>
  </si>
  <si>
    <t>Omaha</t>
  </si>
  <si>
    <t>Frank Bravo</t>
  </si>
  <si>
    <t>619.613.5527</t>
  </si>
  <si>
    <t>GreyStone[GHII] - B-Bond</t>
  </si>
  <si>
    <t>Oakland Housing Authority</t>
  </si>
  <si>
    <t>office expenses</t>
  </si>
  <si>
    <t>Cleaning</t>
  </si>
  <si>
    <t>Misc Taxes/License</t>
  </si>
  <si>
    <t>Additional</t>
  </si>
  <si>
    <t>Recycled Bonds</t>
  </si>
  <si>
    <t>Legal for Perm Loan</t>
  </si>
  <si>
    <t>Other: Owner Legal</t>
  </si>
  <si>
    <t>Recycled Private Equity Bond</t>
  </si>
  <si>
    <t>CSH Edes Avenue I LLC</t>
  </si>
  <si>
    <t>Geeta Dogra</t>
  </si>
  <si>
    <t>President and CEO</t>
  </si>
  <si>
    <t>bayareacontractorsltd@gmail.com</t>
  </si>
  <si>
    <t>Laurin Associates</t>
  </si>
  <si>
    <t xml:space="preserve">1501 Sports Drive, Suite A  </t>
  </si>
  <si>
    <t>Sacramento, CA 95834</t>
  </si>
  <si>
    <t>Stefanie Williams</t>
  </si>
  <si>
    <t xml:space="preserve">swilliams@laurinassociates.com </t>
  </si>
  <si>
    <t>Valbridge Property Advisors</t>
  </si>
  <si>
    <t>San Ramon, CA 94583</t>
  </si>
  <si>
    <t>3160 Crow Canyon, Suite 245</t>
  </si>
  <si>
    <t>Garrett Warren</t>
  </si>
  <si>
    <t>925-327-1660</t>
  </si>
  <si>
    <t xml:space="preserve"> 916-372-6100</t>
  </si>
  <si>
    <t xml:space="preserve">gwarren@valbridge.com </t>
  </si>
  <si>
    <t xml:space="preserve">Sensory Impaired Pursuant to CBC Chapter 11B															</t>
  </si>
  <si>
    <t>Deferred to Permanent Conversion</t>
  </si>
  <si>
    <t>Income from Operations</t>
  </si>
  <si>
    <t>V23 Investments, LLC</t>
  </si>
  <si>
    <t>Robert</t>
  </si>
  <si>
    <t>Above residual receipts line for cash flow</t>
  </si>
  <si>
    <t xml:space="preserve">Private Loan - Deferred Contractor Fee </t>
  </si>
  <si>
    <t>Application Fees, Misc. Income</t>
  </si>
  <si>
    <t>macarthur.housing@cshousing.org</t>
  </si>
  <si>
    <t>GreyStone[GHI] - Recycled Bonds</t>
  </si>
  <si>
    <t>GreyStone[GHII] - Taxable Bond</t>
  </si>
  <si>
    <t>Fixed</t>
  </si>
  <si>
    <t>Provided</t>
  </si>
  <si>
    <t>GreyStone[GHI] - Tax Exempt</t>
  </si>
  <si>
    <t>Developer Equity</t>
  </si>
  <si>
    <t>Deferred Contractor Fee Loan - Private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</si>
</sst>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25604">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4"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4"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60" fillId="0" borderId="0" applyFont="0" applyFill="0" applyBorder="0" applyAlignment="0" applyProtection="0"/>
    <xf numFmtId="44" fontId="24" fillId="0" borderId="0" applyFont="0" applyFill="0" applyBorder="0" applyAlignment="0" applyProtection="0"/>
    <xf numFmtId="44" fontId="70" fillId="0" borderId="0" applyFont="0" applyFill="0" applyBorder="0" applyAlignment="0" applyProtection="0"/>
    <xf numFmtId="44" fontId="2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4" fillId="0" borderId="0" applyFont="0" applyFill="0" applyBorder="0" applyAlignment="0" applyProtection="0"/>
    <xf numFmtId="44" fontId="60" fillId="0" borderId="0" applyFont="0" applyFill="0" applyBorder="0" applyAlignment="0" applyProtection="0"/>
    <xf numFmtId="44" fontId="24" fillId="0" borderId="0" applyFont="0" applyFill="0" applyBorder="0" applyAlignment="0" applyProtection="0"/>
    <xf numFmtId="44" fontId="71"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5" fillId="0" borderId="0" applyFont="0" applyFill="0" applyBorder="0" applyAlignment="0" applyProtection="0"/>
    <xf numFmtId="44" fontId="24"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7" fillId="0" borderId="0" applyNumberFormat="0" applyBorder="0"/>
    <xf numFmtId="0" fontId="18" fillId="0" borderId="0" applyBorder="0" applyAlignment="0"/>
    <xf numFmtId="0" fontId="19"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4" fillId="0" borderId="0"/>
    <xf numFmtId="0" fontId="24"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4" fillId="0" borderId="0"/>
    <xf numFmtId="0" fontId="84" fillId="0" borderId="0"/>
    <xf numFmtId="0" fontId="24"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60" fillId="0" borderId="0">
      <alignment vertical="top"/>
    </xf>
    <xf numFmtId="0" fontId="84" fillId="0" borderId="0"/>
    <xf numFmtId="0" fontId="84" fillId="0" borderId="0"/>
    <xf numFmtId="0" fontId="84" fillId="0" borderId="0"/>
    <xf numFmtId="0" fontId="84" fillId="0" borderId="0"/>
    <xf numFmtId="0" fontId="2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84" fillId="0" borderId="0"/>
    <xf numFmtId="0" fontId="84" fillId="0" borderId="0"/>
    <xf numFmtId="0" fontId="84" fillId="0" borderId="0"/>
    <xf numFmtId="0" fontId="15" fillId="0" borderId="0" applyProtection="0">
      <protection locked="0"/>
    </xf>
    <xf numFmtId="0" fontId="24" fillId="0" borderId="0" applyProtection="0">
      <protection locked="0"/>
    </xf>
    <xf numFmtId="0" fontId="24" fillId="0" borderId="0" applyProtection="0">
      <protection locked="0"/>
    </xf>
    <xf numFmtId="0" fontId="61" fillId="0" borderId="0"/>
    <xf numFmtId="0" fontId="15"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0"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5" fillId="0" borderId="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9" fontId="15" fillId="0" borderId="0" applyFont="0" applyFill="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7"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0" fillId="0" borderId="0" applyNumberFormat="0" applyFill="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44" fontId="15" fillId="0" borderId="0" applyFont="0" applyFill="0" applyBorder="0" applyAlignment="0" applyProtection="0"/>
    <xf numFmtId="9" fontId="119" fillId="0" borderId="0" applyFont="0" applyFill="0" applyBorder="0" applyAlignment="0" applyProtection="0"/>
    <xf numFmtId="0" fontId="119" fillId="0" borderId="0"/>
    <xf numFmtId="0" fontId="9" fillId="0" borderId="0"/>
    <xf numFmtId="0" fontId="15" fillId="0" borderId="0"/>
    <xf numFmtId="43" fontId="9" fillId="0" borderId="0" applyFont="0" applyFill="0" applyBorder="0" applyAlignment="0" applyProtection="0"/>
    <xf numFmtId="9" fontId="9"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15" fillId="0" borderId="0" applyBorder="0"/>
    <xf numFmtId="43" fontId="157" fillId="0" borderId="0" applyFont="0" applyFill="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4" fontId="16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15"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41" borderId="24"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2" fillId="0" borderId="0" xfId="0" applyFont="1"/>
    <xf numFmtId="0" fontId="15" fillId="0" borderId="0" xfId="0" applyFont="1"/>
    <xf numFmtId="0" fontId="24" fillId="0" borderId="0" xfId="0" applyFont="1"/>
    <xf numFmtId="0" fontId="0" fillId="0" borderId="4" xfId="0" applyBorder="1"/>
    <xf numFmtId="0" fontId="24" fillId="0" borderId="0" xfId="0" applyFont="1" applyAlignment="1">
      <alignment horizontal="center"/>
    </xf>
    <xf numFmtId="0" fontId="15"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2" fillId="0" borderId="4" xfId="0" applyFont="1" applyBorder="1"/>
    <xf numFmtId="164" fontId="0" fillId="0" borderId="0" xfId="0" applyNumberFormat="1" applyAlignment="1">
      <alignment horizontal="right"/>
    </xf>
    <xf numFmtId="0" fontId="22" fillId="0" borderId="0" xfId="0" applyFont="1" applyAlignment="1">
      <alignment horizontal="center"/>
    </xf>
    <xf numFmtId="0" fontId="15" fillId="0" borderId="0" xfId="543"/>
    <xf numFmtId="0" fontId="24" fillId="0" borderId="0" xfId="0" applyFont="1" applyAlignment="1">
      <alignment horizontal="left" vertical="top" wrapText="1"/>
    </xf>
    <xf numFmtId="0" fontId="30" fillId="0" borderId="0" xfId="0" applyFont="1"/>
    <xf numFmtId="0" fontId="23" fillId="0" borderId="0" xfId="0" applyFont="1" applyAlignment="1">
      <alignment vertical="top"/>
    </xf>
    <xf numFmtId="0" fontId="23" fillId="0" borderId="0" xfId="0" applyFont="1" applyAlignment="1">
      <alignment vertical="top" wrapText="1"/>
    </xf>
    <xf numFmtId="0" fontId="24" fillId="0" borderId="0" xfId="0" applyFont="1" applyAlignment="1">
      <alignment horizontal="left" indent="4"/>
    </xf>
    <xf numFmtId="0" fontId="23" fillId="0" borderId="0" xfId="0" applyFont="1" applyAlignment="1">
      <alignment horizontal="left" vertical="top"/>
    </xf>
    <xf numFmtId="0" fontId="23" fillId="0" borderId="0" xfId="0" applyFont="1" applyAlignment="1">
      <alignment horizontal="left"/>
    </xf>
    <xf numFmtId="0" fontId="23" fillId="0" borderId="0" xfId="0" applyFont="1"/>
    <xf numFmtId="0" fontId="35" fillId="0" borderId="0" xfId="543" applyFont="1"/>
    <xf numFmtId="1" fontId="23" fillId="0" borderId="0" xfId="0" applyNumberFormat="1" applyFont="1" applyAlignment="1">
      <alignment horizontal="left"/>
    </xf>
    <xf numFmtId="0" fontId="25" fillId="0" borderId="0" xfId="0" applyFont="1"/>
    <xf numFmtId="1" fontId="23" fillId="0" borderId="0" xfId="0" applyNumberFormat="1" applyFont="1" applyAlignment="1">
      <alignment horizontal="right"/>
    </xf>
    <xf numFmtId="0" fontId="0" fillId="0" borderId="0" xfId="0" applyAlignment="1">
      <alignment horizontal="right"/>
    </xf>
    <xf numFmtId="0" fontId="34" fillId="0" borderId="0" xfId="0" applyFont="1"/>
    <xf numFmtId="0" fontId="27" fillId="0" borderId="0" xfId="0" applyFont="1"/>
    <xf numFmtId="172" fontId="15" fillId="0" borderId="0" xfId="543" applyNumberFormat="1"/>
    <xf numFmtId="9" fontId="15" fillId="0" borderId="0" xfId="543" applyNumberFormat="1" applyAlignment="1">
      <alignment horizontal="left"/>
    </xf>
    <xf numFmtId="168" fontId="15" fillId="0" borderId="0" xfId="543" applyNumberFormat="1"/>
    <xf numFmtId="0" fontId="24" fillId="0" borderId="0" xfId="0" applyFont="1" applyAlignment="1">
      <alignment horizontal="right"/>
    </xf>
    <xf numFmtId="0" fontId="38" fillId="0" borderId="0" xfId="0" applyFont="1"/>
    <xf numFmtId="0" fontId="24" fillId="0" borderId="0" xfId="0" applyFont="1" applyAlignment="1">
      <alignment horizontal="left"/>
    </xf>
    <xf numFmtId="0" fontId="26" fillId="0" borderId="0" xfId="0" applyFont="1"/>
    <xf numFmtId="0" fontId="28" fillId="0" borderId="0" xfId="0" applyFont="1"/>
    <xf numFmtId="0" fontId="22"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2" fillId="0" borderId="1" xfId="0" applyFont="1" applyBorder="1" applyAlignment="1">
      <alignment horizontal="center" wrapText="1"/>
    </xf>
    <xf numFmtId="0" fontId="22"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2" fillId="0" borderId="4" xfId="0" applyFont="1" applyBorder="1" applyAlignment="1">
      <alignment horizontal="center"/>
    </xf>
    <xf numFmtId="0" fontId="31" fillId="0" borderId="3" xfId="0" applyFont="1" applyBorder="1" applyAlignment="1">
      <alignment horizontal="left"/>
    </xf>
    <xf numFmtId="0" fontId="31" fillId="0" borderId="9" xfId="0" applyFont="1" applyBorder="1" applyAlignment="1">
      <alignment horizontal="left"/>
    </xf>
    <xf numFmtId="0" fontId="22" fillId="0" borderId="4" xfId="0" applyFont="1" applyBorder="1" applyAlignment="1">
      <alignment horizontal="right"/>
    </xf>
    <xf numFmtId="0" fontId="22" fillId="0" borderId="5" xfId="0" applyFont="1" applyBorder="1" applyAlignment="1">
      <alignment horizontal="right"/>
    </xf>
    <xf numFmtId="0" fontId="31" fillId="0" borderId="0" xfId="0" applyFont="1" applyAlignment="1">
      <alignment horizontal="left"/>
    </xf>
    <xf numFmtId="0" fontId="22" fillId="0" borderId="0" xfId="0" applyFont="1" applyAlignment="1">
      <alignment horizontal="right"/>
    </xf>
    <xf numFmtId="0" fontId="22"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4" fillId="0" borderId="11" xfId="0" applyFont="1" applyBorder="1" applyAlignment="1">
      <alignment horizontal="left"/>
    </xf>
    <xf numFmtId="0" fontId="22" fillId="0" borderId="9" xfId="0" applyFont="1" applyBorder="1"/>
    <xf numFmtId="164" fontId="0" fillId="0" borderId="0" xfId="0" applyNumberFormat="1" applyAlignment="1">
      <alignment horizontal="center"/>
    </xf>
    <xf numFmtId="0" fontId="0" fillId="0" borderId="12" xfId="0" applyBorder="1"/>
    <xf numFmtId="0" fontId="24" fillId="0" borderId="3" xfId="0" applyFont="1" applyBorder="1"/>
    <xf numFmtId="0" fontId="24" fillId="0" borderId="0" xfId="543" applyFont="1"/>
    <xf numFmtId="0" fontId="40" fillId="0" borderId="0" xfId="543" applyFont="1"/>
    <xf numFmtId="49" fontId="15" fillId="0" borderId="0" xfId="543" applyNumberFormat="1"/>
    <xf numFmtId="0" fontId="38" fillId="0" borderId="0" xfId="543" applyFont="1"/>
    <xf numFmtId="168" fontId="35" fillId="0" borderId="6" xfId="543" applyNumberFormat="1" applyFont="1" applyBorder="1" applyAlignment="1">
      <alignment horizontal="left"/>
    </xf>
    <xf numFmtId="168" fontId="35" fillId="0" borderId="6" xfId="543" applyNumberFormat="1" applyFont="1" applyBorder="1" applyAlignment="1">
      <alignment horizontal="center"/>
    </xf>
    <xf numFmtId="0" fontId="15" fillId="0" borderId="8" xfId="543" applyBorder="1"/>
    <xf numFmtId="0" fontId="35" fillId="0" borderId="0" xfId="543" applyFont="1" applyAlignment="1">
      <alignment horizontal="center"/>
    </xf>
    <xf numFmtId="0" fontId="34" fillId="0" borderId="9" xfId="543" applyFont="1" applyBorder="1" applyAlignment="1">
      <alignment horizontal="left" vertical="top" wrapText="1"/>
    </xf>
    <xf numFmtId="0" fontId="34" fillId="0" borderId="6" xfId="543" applyFont="1" applyBorder="1" applyAlignment="1">
      <alignment horizontal="center" vertical="top" wrapText="1"/>
    </xf>
    <xf numFmtId="0" fontId="15" fillId="0" borderId="9" xfId="543" applyBorder="1"/>
    <xf numFmtId="0" fontId="15" fillId="0" borderId="10" xfId="543" applyBorder="1"/>
    <xf numFmtId="0" fontId="15" fillId="0" borderId="1" xfId="543" applyBorder="1"/>
    <xf numFmtId="0" fontId="35" fillId="0" borderId="2" xfId="543" applyFont="1" applyBorder="1" applyAlignment="1">
      <alignment horizontal="center"/>
    </xf>
    <xf numFmtId="0" fontId="37" fillId="0" borderId="8" xfId="543" applyFont="1" applyBorder="1" applyAlignment="1">
      <alignment horizontal="left" vertical="top" wrapText="1"/>
    </xf>
    <xf numFmtId="0" fontId="34" fillId="0" borderId="0" xfId="543" applyFont="1" applyAlignment="1">
      <alignment horizontal="center" vertical="top" wrapText="1"/>
    </xf>
    <xf numFmtId="0" fontId="15" fillId="0" borderId="12" xfId="543" applyBorder="1"/>
    <xf numFmtId="0" fontId="37" fillId="0" borderId="0" xfId="543" applyFont="1" applyAlignment="1">
      <alignment horizontal="center" vertical="top" wrapText="1"/>
    </xf>
    <xf numFmtId="0" fontId="37" fillId="0" borderId="9" xfId="543" applyFont="1" applyBorder="1" applyAlignment="1">
      <alignment horizontal="left" vertical="top" wrapText="1"/>
    </xf>
    <xf numFmtId="0" fontId="15" fillId="0" borderId="2" xfId="543" applyBorder="1"/>
    <xf numFmtId="0" fontId="15" fillId="0" borderId="7" xfId="543" applyBorder="1"/>
    <xf numFmtId="0" fontId="34" fillId="0" borderId="0" xfId="543" applyFont="1"/>
    <xf numFmtId="0" fontId="15" fillId="0" borderId="0" xfId="543" applyAlignment="1">
      <alignment horizontal="center"/>
    </xf>
    <xf numFmtId="0" fontId="23" fillId="0" borderId="6" xfId="543" applyFont="1" applyBorder="1" applyAlignment="1">
      <alignment vertical="top" wrapText="1"/>
    </xf>
    <xf numFmtId="0" fontId="24" fillId="0" borderId="0" xfId="0" applyFont="1" applyAlignment="1">
      <alignment horizontal="left" vertical="top"/>
    </xf>
    <xf numFmtId="0" fontId="0" fillId="2" borderId="2" xfId="0" applyFill="1" applyBorder="1"/>
    <xf numFmtId="0" fontId="0" fillId="2" borderId="7" xfId="0" applyFill="1" applyBorder="1"/>
    <xf numFmtId="0" fontId="22" fillId="0" borderId="6" xfId="0" applyFont="1" applyBorder="1" applyAlignment="1">
      <alignment horizontal="right"/>
    </xf>
    <xf numFmtId="0" fontId="21" fillId="0" borderId="0" xfId="0" applyFont="1" applyAlignment="1">
      <alignment horizontal="center" vertical="center"/>
    </xf>
    <xf numFmtId="0" fontId="22" fillId="0" borderId="0" xfId="0" applyFont="1" applyAlignment="1">
      <alignment vertical="top"/>
    </xf>
    <xf numFmtId="166" fontId="0" fillId="0" borderId="0" xfId="0" applyNumberFormat="1" applyAlignment="1">
      <alignment horizontal="right"/>
    </xf>
    <xf numFmtId="0" fontId="45" fillId="0" borderId="0" xfId="0" applyFont="1"/>
    <xf numFmtId="0" fontId="32" fillId="0" borderId="0" xfId="0" applyFont="1"/>
    <xf numFmtId="0" fontId="16" fillId="0" borderId="0" xfId="244" applyBorder="1" applyProtection="1"/>
    <xf numFmtId="0" fontId="16" fillId="0" borderId="0" xfId="244" applyFill="1" applyBorder="1" applyAlignment="1">
      <alignment horizontal="center" vertical="center"/>
    </xf>
    <xf numFmtId="0" fontId="15" fillId="0" borderId="3" xfId="543" applyBorder="1"/>
    <xf numFmtId="0" fontId="37" fillId="0" borderId="4" xfId="543" applyFont="1" applyBorder="1" applyAlignment="1">
      <alignment horizontal="right" vertical="top" wrapText="1"/>
    </xf>
    <xf numFmtId="0" fontId="24" fillId="0" borderId="6" xfId="0" applyFont="1" applyBorder="1"/>
    <xf numFmtId="0" fontId="24" fillId="0" borderId="2" xfId="0" applyFont="1" applyBorder="1"/>
    <xf numFmtId="0" fontId="24" fillId="0" borderId="7" xfId="0" applyFont="1" applyBorder="1"/>
    <xf numFmtId="0" fontId="24" fillId="0" borderId="12" xfId="0" applyFont="1" applyBorder="1"/>
    <xf numFmtId="0" fontId="24" fillId="0" borderId="9" xfId="0" applyFont="1" applyBorder="1"/>
    <xf numFmtId="0" fontId="24" fillId="0" borderId="10" xfId="0" applyFont="1" applyBorder="1"/>
    <xf numFmtId="0" fontId="29" fillId="0" borderId="6" xfId="0" applyFont="1" applyBorder="1" applyAlignment="1">
      <alignment vertical="top" wrapText="1"/>
    </xf>
    <xf numFmtId="0" fontId="29" fillId="0" borderId="5" xfId="0" applyFont="1" applyBorder="1" applyAlignment="1">
      <alignment vertical="top" wrapText="1"/>
    </xf>
    <xf numFmtId="0" fontId="29" fillId="0" borderId="4" xfId="0" applyFont="1" applyBorder="1" applyAlignment="1">
      <alignment vertical="top" wrapText="1"/>
    </xf>
    <xf numFmtId="0" fontId="29" fillId="2" borderId="6" xfId="0" applyFont="1" applyFill="1" applyBorder="1" applyAlignment="1">
      <alignment vertical="top" wrapText="1"/>
    </xf>
    <xf numFmtId="0" fontId="0" fillId="0" borderId="8" xfId="0" applyBorder="1"/>
    <xf numFmtId="0" fontId="22" fillId="0" borderId="2" xfId="0" applyFont="1" applyBorder="1"/>
    <xf numFmtId="0" fontId="24" fillId="0" borderId="0" xfId="0" applyFont="1" applyAlignment="1">
      <alignment vertical="top"/>
    </xf>
    <xf numFmtId="0" fontId="24" fillId="0" borderId="0" xfId="0" applyFont="1" applyAlignment="1">
      <alignment vertical="top" wrapText="1"/>
    </xf>
    <xf numFmtId="0" fontId="15" fillId="0" borderId="0" xfId="0" applyFont="1" applyAlignment="1">
      <alignment horizontal="left"/>
    </xf>
    <xf numFmtId="0" fontId="15" fillId="0" borderId="0" xfId="0" applyFont="1" applyAlignment="1">
      <alignment vertical="top"/>
    </xf>
    <xf numFmtId="0" fontId="44" fillId="0" borderId="0" xfId="0" applyFont="1"/>
    <xf numFmtId="0" fontId="15" fillId="0" borderId="3" xfId="0" applyFont="1" applyBorder="1"/>
    <xf numFmtId="0" fontId="15"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9" fillId="3" borderId="4" xfId="0" applyFont="1" applyFill="1" applyBorder="1" applyAlignment="1">
      <alignment vertical="top" wrapText="1"/>
    </xf>
    <xf numFmtId="0" fontId="29" fillId="3" borderId="5" xfId="0" applyFont="1" applyFill="1" applyBorder="1" applyAlignment="1">
      <alignment vertical="top" wrapText="1"/>
    </xf>
    <xf numFmtId="0" fontId="47" fillId="0" borderId="0" xfId="0" applyFont="1"/>
    <xf numFmtId="0" fontId="24" fillId="0" borderId="4" xfId="0" applyFont="1" applyBorder="1"/>
    <xf numFmtId="0" fontId="22" fillId="0" borderId="2" xfId="0" applyFont="1" applyBorder="1" applyAlignment="1">
      <alignment horizontal="center"/>
    </xf>
    <xf numFmtId="0" fontId="22" fillId="0" borderId="0" xfId="0" applyFont="1" applyAlignment="1">
      <alignment horizontal="center" vertical="center" wrapText="1"/>
    </xf>
    <xf numFmtId="0" fontId="22" fillId="0" borderId="7" xfId="543" applyFont="1" applyBorder="1" applyAlignment="1">
      <alignment horizontal="right"/>
    </xf>
    <xf numFmtId="0" fontId="23" fillId="0" borderId="9" xfId="543" applyFont="1" applyBorder="1"/>
    <xf numFmtId="0" fontId="24" fillId="0" borderId="6" xfId="543" applyFont="1" applyBorder="1"/>
    <xf numFmtId="0" fontId="23" fillId="0" borderId="6" xfId="543" applyFont="1" applyBorder="1" applyAlignment="1">
      <alignment horizontal="right"/>
    </xf>
    <xf numFmtId="0" fontId="22" fillId="0" borderId="0" xfId="0" applyFont="1" applyAlignment="1">
      <alignment horizontal="center" vertical="center"/>
    </xf>
    <xf numFmtId="0" fontId="24"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8"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4" fillId="0" borderId="0" xfId="0" applyNumberFormat="1" applyFont="1" applyAlignment="1">
      <alignment horizontal="left"/>
    </xf>
    <xf numFmtId="0" fontId="56" fillId="0" borderId="0" xfId="0" applyFont="1"/>
    <xf numFmtId="0" fontId="15" fillId="0" borderId="0" xfId="244" applyFont="1" applyFill="1" applyBorder="1" applyAlignment="1" applyProtection="1">
      <alignment horizontal="left"/>
    </xf>
    <xf numFmtId="0" fontId="46" fillId="0" borderId="0" xfId="0" applyFont="1"/>
    <xf numFmtId="0" fontId="46" fillId="0" borderId="0" xfId="244" applyFont="1" applyFill="1" applyBorder="1" applyAlignment="1" applyProtection="1">
      <alignment horizontal="left"/>
    </xf>
    <xf numFmtId="0" fontId="21" fillId="3" borderId="11" xfId="0" applyFont="1" applyFill="1" applyBorder="1" applyAlignment="1">
      <alignment vertical="top"/>
    </xf>
    <xf numFmtId="0" fontId="0" fillId="7" borderId="0" xfId="0" applyFill="1"/>
    <xf numFmtId="0" fontId="35" fillId="0" borderId="0" xfId="0" applyFont="1"/>
    <xf numFmtId="0" fontId="58" fillId="0" borderId="0" xfId="0" applyFont="1"/>
    <xf numFmtId="0" fontId="33" fillId="0" borderId="0" xfId="0" applyFont="1" applyAlignment="1">
      <alignment horizontal="center"/>
    </xf>
    <xf numFmtId="0" fontId="33" fillId="0" borderId="0" xfId="0" applyFont="1"/>
    <xf numFmtId="0" fontId="33" fillId="0" borderId="0" xfId="0" applyFont="1" applyAlignment="1">
      <alignment horizontal="left"/>
    </xf>
    <xf numFmtId="49" fontId="22" fillId="0" borderId="0" xfId="0" applyNumberFormat="1" applyFont="1" applyAlignment="1">
      <alignment horizontal="center"/>
    </xf>
    <xf numFmtId="0" fontId="50" fillId="0" borderId="0" xfId="0" applyFont="1" applyAlignment="1">
      <alignment horizontal="center"/>
    </xf>
    <xf numFmtId="0" fontId="49" fillId="0" borderId="0" xfId="244" applyFont="1" applyAlignment="1" applyProtection="1">
      <alignment horizontal="center"/>
    </xf>
    <xf numFmtId="0" fontId="24" fillId="0" borderId="0" xfId="0" quotePrefix="1" applyFont="1" applyAlignment="1">
      <alignment horizontal="left"/>
    </xf>
    <xf numFmtId="49" fontId="24" fillId="0" borderId="0" xfId="0" applyNumberFormat="1" applyFont="1" applyAlignment="1">
      <alignment horizontal="center"/>
    </xf>
    <xf numFmtId="0" fontId="22" fillId="0" borderId="0" xfId="0" quotePrefix="1" applyFont="1" applyAlignment="1">
      <alignment horizontal="center"/>
    </xf>
    <xf numFmtId="49" fontId="0" fillId="0" borderId="0" xfId="0" applyNumberFormat="1"/>
    <xf numFmtId="0" fontId="47" fillId="0" borderId="0" xfId="0" applyFont="1" applyAlignment="1">
      <alignment horizontal="left"/>
    </xf>
    <xf numFmtId="49" fontId="24" fillId="0" borderId="0" xfId="0" applyNumberFormat="1" applyFont="1"/>
    <xf numFmtId="49" fontId="22" fillId="0" borderId="0" xfId="0" applyNumberFormat="1" applyFont="1" applyAlignment="1">
      <alignment horizontal="left"/>
    </xf>
    <xf numFmtId="168" fontId="24" fillId="0" borderId="0" xfId="0" applyNumberFormat="1" applyFont="1" applyAlignment="1">
      <alignment horizontal="center"/>
    </xf>
    <xf numFmtId="168" fontId="34"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5" fillId="0" borderId="0" xfId="0" applyFont="1" applyAlignment="1">
      <alignment vertical="top" wrapText="1"/>
    </xf>
    <xf numFmtId="0" fontId="53" fillId="0" borderId="4" xfId="0" applyFont="1" applyBorder="1" applyAlignment="1">
      <alignment horizontal="right"/>
    </xf>
    <xf numFmtId="0" fontId="60" fillId="0" borderId="0" xfId="0" applyFont="1"/>
    <xf numFmtId="3" fontId="24" fillId="0" borderId="0" xfId="0" applyNumberFormat="1" applyFont="1" applyAlignment="1">
      <alignment horizontal="center"/>
    </xf>
    <xf numFmtId="168" fontId="15" fillId="0" borderId="0" xfId="0" applyNumberFormat="1" applyFont="1" applyAlignment="1">
      <alignment horizontal="left" vertical="top"/>
    </xf>
    <xf numFmtId="168" fontId="24" fillId="0" borderId="0" xfId="0" applyNumberFormat="1"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0" fillId="0" borderId="0" xfId="0" applyAlignment="1">
      <alignment vertical="center"/>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2" fillId="0" borderId="0" xfId="542" applyFont="1" applyProtection="1">
      <protection locked="0"/>
    </xf>
    <xf numFmtId="0" fontId="15" fillId="0" borderId="0" xfId="539" applyProtection="1"/>
    <xf numFmtId="0" fontId="35" fillId="8" borderId="0" xfId="539" applyFont="1" applyFill="1" applyAlignment="1" applyProtection="1">
      <alignment horizontal="centerContinuous"/>
    </xf>
    <xf numFmtId="4" fontId="24" fillId="0" borderId="0" xfId="0" applyNumberFormat="1" applyFont="1"/>
    <xf numFmtId="0" fontId="22" fillId="0" borderId="0" xfId="543" applyFont="1"/>
    <xf numFmtId="0" fontId="24" fillId="0" borderId="0" xfId="543" applyFont="1" applyAlignment="1">
      <alignment horizontal="left"/>
    </xf>
    <xf numFmtId="0" fontId="24" fillId="0" borderId="15" xfId="0" applyFont="1" applyBorder="1"/>
    <xf numFmtId="0" fontId="24" fillId="0" borderId="11" xfId="0" applyFont="1" applyBorder="1"/>
    <xf numFmtId="2" fontId="38" fillId="0" borderId="11" xfId="0" applyNumberFormat="1" applyFont="1" applyBorder="1"/>
    <xf numFmtId="0" fontId="15" fillId="0" borderId="0" xfId="0" applyFont="1" applyProtection="1">
      <protection locked="0"/>
    </xf>
    <xf numFmtId="0" fontId="63" fillId="0" borderId="0" xfId="0" applyFont="1" applyAlignment="1">
      <alignment horizontal="center"/>
    </xf>
    <xf numFmtId="0" fontId="24" fillId="0" borderId="0" xfId="271"/>
    <xf numFmtId="0" fontId="22" fillId="0" borderId="0" xfId="271" applyFont="1"/>
    <xf numFmtId="0" fontId="24" fillId="0" borderId="0" xfId="271" applyAlignment="1">
      <alignment horizontal="left"/>
    </xf>
    <xf numFmtId="0" fontId="16" fillId="0" borderId="0" xfId="244" applyFill="1" applyBorder="1" applyProtection="1">
      <protection locked="0"/>
    </xf>
    <xf numFmtId="168" fontId="22" fillId="0" borderId="2" xfId="543" applyNumberFormat="1" applyFont="1" applyBorder="1" applyAlignment="1">
      <alignment horizontal="center" vertical="center"/>
    </xf>
    <xf numFmtId="0" fontId="37" fillId="0" borderId="0" xfId="543" applyFont="1" applyAlignment="1">
      <alignment horizontal="right" vertical="top" wrapText="1"/>
    </xf>
    <xf numFmtId="0" fontId="35" fillId="0" borderId="2" xfId="543" applyFont="1" applyBorder="1" applyAlignment="1">
      <alignment horizontal="right" vertical="top" wrapText="1"/>
    </xf>
    <xf numFmtId="0" fontId="20" fillId="0" borderId="0" xfId="0" applyFont="1"/>
    <xf numFmtId="0" fontId="65" fillId="0" borderId="0" xfId="0" applyFont="1"/>
    <xf numFmtId="0" fontId="63" fillId="0" borderId="0" xfId="0" applyFont="1"/>
    <xf numFmtId="0" fontId="35"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2" fillId="0" borderId="0" xfId="0" applyNumberFormat="1" applyFont="1" applyAlignment="1">
      <alignment horizontal="center"/>
    </xf>
    <xf numFmtId="3" fontId="0" fillId="0" borderId="0" xfId="0" applyNumberFormat="1" applyAlignment="1">
      <alignment horizontal="center"/>
    </xf>
    <xf numFmtId="3" fontId="24" fillId="0" borderId="0" xfId="0" applyNumberFormat="1" applyFont="1"/>
    <xf numFmtId="0" fontId="64" fillId="0" borderId="0" xfId="0" applyFont="1"/>
    <xf numFmtId="168" fontId="20" fillId="0" borderId="0" xfId="0" applyNumberFormat="1" applyFont="1"/>
    <xf numFmtId="10" fontId="20" fillId="0" borderId="0" xfId="0" applyNumberFormat="1" applyFont="1" applyAlignment="1">
      <alignment horizontal="center"/>
    </xf>
    <xf numFmtId="3" fontId="67" fillId="0" borderId="0" xfId="0" applyNumberFormat="1" applyFont="1"/>
    <xf numFmtId="3" fontId="20" fillId="0" borderId="0" xfId="0" applyNumberFormat="1" applyFont="1"/>
    <xf numFmtId="168" fontId="64" fillId="0" borderId="0" xfId="0" applyNumberFormat="1" applyFont="1"/>
    <xf numFmtId="168" fontId="64" fillId="0" borderId="0" xfId="0" applyNumberFormat="1" applyFont="1" applyAlignment="1">
      <alignment horizontal="center"/>
    </xf>
    <xf numFmtId="0" fontId="20" fillId="5" borderId="0" xfId="0" applyFont="1" applyFill="1" applyAlignment="1">
      <alignment horizontal="left"/>
    </xf>
    <xf numFmtId="0" fontId="20" fillId="5" borderId="0" xfId="0" applyFont="1" applyFill="1"/>
    <xf numFmtId="10" fontId="20" fillId="0" borderId="0" xfId="0" applyNumberFormat="1" applyFont="1"/>
    <xf numFmtId="172" fontId="20" fillId="0" borderId="0" xfId="0" applyNumberFormat="1" applyFont="1"/>
    <xf numFmtId="172" fontId="20" fillId="0" borderId="0" xfId="0" applyNumberFormat="1" applyFont="1" applyAlignment="1">
      <alignment horizontal="center"/>
    </xf>
    <xf numFmtId="0" fontId="20" fillId="0" borderId="6" xfId="0" applyFont="1" applyBorder="1"/>
    <xf numFmtId="10" fontId="20" fillId="0" borderId="6" xfId="0" applyNumberFormat="1" applyFont="1" applyBorder="1" applyAlignment="1">
      <alignment horizontal="center"/>
    </xf>
    <xf numFmtId="3" fontId="20" fillId="0" borderId="6" xfId="0" applyNumberFormat="1" applyFont="1" applyBorder="1"/>
    <xf numFmtId="10" fontId="24" fillId="0" borderId="0" xfId="0" applyNumberFormat="1" applyFont="1" applyAlignment="1">
      <alignment horizontal="center"/>
    </xf>
    <xf numFmtId="3" fontId="24" fillId="0" borderId="0" xfId="0" applyNumberFormat="1" applyFont="1" applyAlignment="1">
      <alignment vertical="top"/>
    </xf>
    <xf numFmtId="10" fontId="22" fillId="0" borderId="0" xfId="0" applyNumberFormat="1" applyFont="1" applyAlignment="1">
      <alignment horizontal="center"/>
    </xf>
    <xf numFmtId="0" fontId="63" fillId="0" borderId="6" xfId="0" applyFont="1" applyBorder="1" applyAlignment="1">
      <alignment horizontal="center"/>
    </xf>
    <xf numFmtId="172" fontId="24" fillId="0" borderId="0" xfId="0" applyNumberFormat="1" applyFont="1" applyAlignment="1">
      <alignment horizontal="center"/>
    </xf>
    <xf numFmtId="10" fontId="68" fillId="0" borderId="0" xfId="0" applyNumberFormat="1" applyFont="1" applyAlignment="1">
      <alignment horizontal="center"/>
    </xf>
    <xf numFmtId="4" fontId="24" fillId="0" borderId="0" xfId="271" applyNumberFormat="1" applyAlignment="1">
      <alignment horizontal="left"/>
    </xf>
    <xf numFmtId="0" fontId="24" fillId="0" borderId="0" xfId="271" applyAlignment="1">
      <alignment horizontal="center"/>
    </xf>
    <xf numFmtId="0" fontId="24" fillId="9" borderId="6" xfId="0" applyFont="1" applyFill="1" applyBorder="1"/>
    <xf numFmtId="0" fontId="24" fillId="0" borderId="4" xfId="271" applyBorder="1"/>
    <xf numFmtId="0" fontId="24" fillId="0" borderId="6" xfId="271" applyBorder="1"/>
    <xf numFmtId="0" fontId="24" fillId="0" borderId="1" xfId="0" applyFont="1" applyBorder="1"/>
    <xf numFmtId="168" fontId="24" fillId="0" borderId="3" xfId="0" applyNumberFormat="1" applyFont="1" applyBorder="1" applyAlignment="1">
      <alignment vertical="top"/>
    </xf>
    <xf numFmtId="168" fontId="24" fillId="0" borderId="4" xfId="0" applyNumberFormat="1" applyFont="1" applyBorder="1" applyAlignment="1">
      <alignment vertical="top"/>
    </xf>
    <xf numFmtId="168" fontId="24" fillId="0" borderId="5" xfId="0" applyNumberFormat="1" applyFont="1" applyBorder="1" applyAlignment="1">
      <alignment vertical="top"/>
    </xf>
    <xf numFmtId="168" fontId="24" fillId="0" borderId="8" xfId="0" applyNumberFormat="1" applyFont="1" applyBorder="1" applyAlignment="1">
      <alignment vertical="top"/>
    </xf>
    <xf numFmtId="168" fontId="24" fillId="0" borderId="0" xfId="0" applyNumberFormat="1" applyFont="1" applyAlignment="1">
      <alignment vertical="top"/>
    </xf>
    <xf numFmtId="0" fontId="24" fillId="0" borderId="0" xfId="0" applyFont="1" applyAlignment="1">
      <alignment horizontal="right" vertical="top"/>
    </xf>
    <xf numFmtId="0" fontId="24"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4" fillId="5" borderId="4" xfId="0" applyFont="1" applyFill="1" applyBorder="1" applyAlignment="1" applyProtection="1">
      <alignment horizontal="left" vertical="top"/>
      <protection locked="0"/>
    </xf>
    <xf numFmtId="0" fontId="24"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4" fontId="24" fillId="0" borderId="0" xfId="0" applyNumberFormat="1" applyFont="1" applyAlignment="1">
      <alignment horizontal="center"/>
    </xf>
    <xf numFmtId="4" fontId="0" fillId="0" borderId="0" xfId="0" applyNumberFormat="1"/>
    <xf numFmtId="0" fontId="34" fillId="0" borderId="1" xfId="543" applyFont="1" applyBorder="1" applyAlignment="1">
      <alignment horizontal="left" vertical="top" wrapText="1"/>
    </xf>
    <xf numFmtId="0" fontId="34" fillId="0" borderId="12" xfId="543" applyFont="1" applyBorder="1" applyAlignment="1">
      <alignment horizontal="center" vertical="top" wrapText="1"/>
    </xf>
    <xf numFmtId="0" fontId="34" fillId="0" borderId="8" xfId="543" applyFont="1" applyBorder="1" applyAlignment="1">
      <alignment horizontal="left" vertical="top" wrapText="1"/>
    </xf>
    <xf numFmtId="0" fontId="29" fillId="3" borderId="4" xfId="271" applyFont="1" applyFill="1" applyBorder="1" applyAlignment="1">
      <alignment vertical="top" wrapText="1"/>
    </xf>
    <xf numFmtId="0" fontId="21" fillId="3" borderId="11" xfId="271" applyFont="1" applyFill="1" applyBorder="1" applyAlignment="1">
      <alignment vertical="top"/>
    </xf>
    <xf numFmtId="0" fontId="22" fillId="0" borderId="9" xfId="271" applyFont="1" applyBorder="1" applyAlignment="1">
      <alignment horizontal="center" wrapText="1"/>
    </xf>
    <xf numFmtId="0" fontId="29" fillId="3" borderId="4" xfId="271" applyFont="1" applyFill="1" applyBorder="1" applyAlignment="1" applyProtection="1">
      <alignment vertical="top" wrapText="1"/>
      <protection locked="0"/>
    </xf>
    <xf numFmtId="0" fontId="29" fillId="3" borderId="5" xfId="271" applyFont="1" applyFill="1" applyBorder="1" applyAlignment="1" applyProtection="1">
      <alignment vertical="top" wrapText="1"/>
      <protection locked="0"/>
    </xf>
    <xf numFmtId="0" fontId="22" fillId="0" borderId="13" xfId="271" applyFont="1" applyBorder="1" applyAlignment="1">
      <alignment horizontal="center" wrapText="1"/>
    </xf>
    <xf numFmtId="0" fontId="47" fillId="2" borderId="11" xfId="271" applyFont="1" applyFill="1" applyBorder="1" applyAlignment="1">
      <alignment horizontal="left" vertical="top" wrapText="1"/>
    </xf>
    <xf numFmtId="0" fontId="24" fillId="0" borderId="11" xfId="271" applyBorder="1" applyAlignment="1" applyProtection="1">
      <alignment vertical="top" wrapText="1"/>
      <protection locked="0"/>
    </xf>
    <xf numFmtId="168" fontId="24" fillId="5" borderId="11" xfId="271" applyNumberFormat="1" applyFill="1" applyBorder="1" applyAlignment="1" applyProtection="1">
      <alignment vertical="top" wrapText="1"/>
      <protection locked="0"/>
    </xf>
    <xf numFmtId="0" fontId="24" fillId="5" borderId="3" xfId="271" applyFill="1" applyBorder="1" applyAlignment="1" applyProtection="1">
      <alignment vertical="top" wrapText="1"/>
      <protection locked="0"/>
    </xf>
    <xf numFmtId="0" fontId="24" fillId="5" borderId="11" xfId="271" applyFill="1" applyBorder="1" applyAlignment="1" applyProtection="1">
      <alignment vertical="top" wrapText="1"/>
      <protection locked="0"/>
    </xf>
    <xf numFmtId="0" fontId="24" fillId="0" borderId="11" xfId="271" applyBorder="1" applyAlignment="1">
      <alignment horizontal="right" vertical="top" wrapText="1"/>
    </xf>
    <xf numFmtId="168" fontId="24" fillId="0" borderId="11" xfId="271" applyNumberFormat="1" applyBorder="1" applyAlignment="1">
      <alignment vertical="top" wrapText="1"/>
    </xf>
    <xf numFmtId="0" fontId="22" fillId="0" borderId="11" xfId="271" applyFont="1" applyBorder="1" applyAlignment="1">
      <alignment horizontal="right" vertical="top" wrapText="1"/>
    </xf>
    <xf numFmtId="0" fontId="24" fillId="5" borderId="11" xfId="271" applyFill="1" applyBorder="1" applyAlignment="1" applyProtection="1">
      <alignment horizontal="right" vertical="top" wrapText="1"/>
      <protection locked="0"/>
    </xf>
    <xf numFmtId="168" fontId="22" fillId="0" borderId="11" xfId="271" applyNumberFormat="1" applyFont="1" applyBorder="1" applyAlignment="1">
      <alignment vertical="top" wrapText="1"/>
    </xf>
    <xf numFmtId="0" fontId="32" fillId="0" borderId="11" xfId="271" applyFont="1" applyBorder="1" applyAlignment="1">
      <alignment horizontal="right" vertical="top" wrapText="1"/>
    </xf>
    <xf numFmtId="0" fontId="29" fillId="0" borderId="0" xfId="271" applyFont="1" applyAlignment="1" applyProtection="1">
      <alignment horizontal="right" vertical="top" wrapText="1"/>
      <protection locked="0"/>
    </xf>
    <xf numFmtId="0" fontId="29" fillId="0" borderId="0" xfId="271" applyFont="1" applyAlignment="1" applyProtection="1">
      <alignment vertical="top" wrapText="1"/>
      <protection locked="0"/>
    </xf>
    <xf numFmtId="0" fontId="24" fillId="0" borderId="5" xfId="271" applyBorder="1" applyAlignment="1" applyProtection="1">
      <alignment vertical="top" wrapText="1"/>
      <protection locked="0"/>
    </xf>
    <xf numFmtId="0" fontId="22" fillId="0" borderId="3" xfId="271" applyFont="1" applyBorder="1" applyAlignment="1">
      <alignment horizontal="left" vertical="top"/>
    </xf>
    <xf numFmtId="0" fontId="24" fillId="0" borderId="4" xfId="271" applyBorder="1" applyAlignment="1" applyProtection="1">
      <alignment horizontal="left" vertical="top"/>
      <protection locked="0"/>
    </xf>
    <xf numFmtId="0" fontId="24" fillId="0" borderId="4" xfId="271" applyBorder="1" applyAlignment="1" applyProtection="1">
      <alignment vertical="top" wrapText="1"/>
      <protection locked="0"/>
    </xf>
    <xf numFmtId="0" fontId="29" fillId="0" borderId="0" xfId="271" applyFont="1" applyAlignment="1">
      <alignment vertical="top" wrapText="1"/>
    </xf>
    <xf numFmtId="0" fontId="24" fillId="0" borderId="4" xfId="271" applyBorder="1" applyAlignment="1">
      <alignment vertical="top" wrapText="1"/>
    </xf>
    <xf numFmtId="0" fontId="47"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61" fillId="0" borderId="0" xfId="542"/>
    <xf numFmtId="0" fontId="24" fillId="8" borderId="0" xfId="542" quotePrefix="1" applyFont="1" applyFill="1" applyAlignment="1">
      <alignment horizontal="left"/>
    </xf>
    <xf numFmtId="0" fontId="24" fillId="8" borderId="0" xfId="542" applyFont="1" applyFill="1"/>
    <xf numFmtId="0" fontId="32"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4" fillId="0" borderId="0" xfId="271" applyAlignment="1">
      <alignment horizontal="left" vertical="top"/>
    </xf>
    <xf numFmtId="0" fontId="22" fillId="0" borderId="0" xfId="271" applyFont="1" applyAlignment="1">
      <alignment horizontal="right"/>
    </xf>
    <xf numFmtId="0" fontId="23" fillId="0" borderId="0" xfId="271" applyFont="1" applyAlignment="1">
      <alignment horizontal="center"/>
    </xf>
    <xf numFmtId="5" fontId="24" fillId="0" borderId="0" xfId="542" applyNumberFormat="1" applyFont="1"/>
    <xf numFmtId="1" fontId="24" fillId="0" borderId="15" xfId="271" applyNumberFormat="1" applyBorder="1"/>
    <xf numFmtId="1" fontId="24" fillId="0" borderId="14" xfId="271" applyNumberFormat="1" applyBorder="1"/>
    <xf numFmtId="0" fontId="23" fillId="0" borderId="6" xfId="271" applyFont="1" applyBorder="1" applyAlignment="1">
      <alignment horizontal="left"/>
    </xf>
    <xf numFmtId="0" fontId="23" fillId="0" borderId="6" xfId="271" applyFont="1" applyBorder="1" applyAlignment="1">
      <alignment horizontal="right"/>
    </xf>
    <xf numFmtId="165" fontId="24" fillId="0" borderId="0" xfId="271" applyNumberFormat="1"/>
    <xf numFmtId="170" fontId="24" fillId="0" borderId="14" xfId="271" applyNumberFormat="1" applyBorder="1"/>
    <xf numFmtId="1" fontId="22" fillId="0" borderId="11" xfId="271" applyNumberFormat="1" applyFont="1" applyBorder="1"/>
    <xf numFmtId="165" fontId="22" fillId="0" borderId="11" xfId="271" applyNumberFormat="1" applyFont="1" applyBorder="1"/>
    <xf numFmtId="3" fontId="55" fillId="0" borderId="11" xfId="0" applyNumberFormat="1" applyFont="1" applyBorder="1" applyAlignment="1">
      <alignment vertical="top" wrapText="1"/>
    </xf>
    <xf numFmtId="166" fontId="24" fillId="0" borderId="0" xfId="0" applyNumberFormat="1" applyFont="1"/>
    <xf numFmtId="0" fontId="0" fillId="0" borderId="0" xfId="0" applyProtection="1">
      <protection locked="0"/>
    </xf>
    <xf numFmtId="0" fontId="22" fillId="0" borderId="0" xfId="271" applyFont="1" applyAlignment="1">
      <alignment horizontal="left"/>
    </xf>
    <xf numFmtId="0" fontId="20" fillId="0" borderId="0" xfId="0" applyFont="1" applyProtection="1">
      <protection locked="0"/>
    </xf>
    <xf numFmtId="0" fontId="20" fillId="0" borderId="0" xfId="271" applyFont="1" applyProtection="1">
      <protection locked="0"/>
    </xf>
    <xf numFmtId="168" fontId="20" fillId="0" borderId="0" xfId="271" applyNumberFormat="1" applyFont="1" applyProtection="1">
      <protection locked="0"/>
    </xf>
    <xf numFmtId="49" fontId="24" fillId="0" borderId="0" xfId="271" applyNumberFormat="1"/>
    <xf numFmtId="0" fontId="28" fillId="0" borderId="1" xfId="0" applyFont="1" applyBorder="1"/>
    <xf numFmtId="0" fontId="15" fillId="0" borderId="2" xfId="0" applyFont="1" applyBorder="1" applyAlignment="1">
      <alignment horizontal="left"/>
    </xf>
    <xf numFmtId="0" fontId="15" fillId="0" borderId="2" xfId="0" applyFont="1" applyBorder="1"/>
    <xf numFmtId="0" fontId="28" fillId="0" borderId="8" xfId="0" applyFont="1" applyBorder="1"/>
    <xf numFmtId="0" fontId="28" fillId="0" borderId="9" xfId="0" applyFont="1" applyBorder="1"/>
    <xf numFmtId="0" fontId="22"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4" fillId="5" borderId="0" xfId="0" applyNumberFormat="1" applyFont="1" applyFill="1" applyAlignment="1">
      <alignment horizontal="center"/>
    </xf>
    <xf numFmtId="0" fontId="24" fillId="0" borderId="0" xfId="271" applyAlignment="1" applyProtection="1">
      <alignment horizontal="left"/>
      <protection locked="0"/>
    </xf>
    <xf numFmtId="0" fontId="24" fillId="0" borderId="0" xfId="0" applyFont="1" applyAlignment="1" applyProtection="1">
      <alignment horizontal="left"/>
      <protection locked="0"/>
    </xf>
    <xf numFmtId="0" fontId="74" fillId="0" borderId="0" xfId="0" applyFont="1" applyAlignment="1">
      <alignment horizontal="left" vertical="center"/>
    </xf>
    <xf numFmtId="0" fontId="34" fillId="0" borderId="2" xfId="543" applyFont="1" applyBorder="1" applyAlignment="1">
      <alignment horizontal="center" vertical="top" wrapText="1"/>
    </xf>
    <xf numFmtId="49" fontId="45" fillId="0" borderId="0" xfId="0" applyNumberFormat="1" applyFont="1" applyAlignment="1">
      <alignment horizontal="center"/>
    </xf>
    <xf numFmtId="0" fontId="50" fillId="0" borderId="0" xfId="271" applyFont="1" applyAlignment="1">
      <alignment horizontal="center"/>
    </xf>
    <xf numFmtId="49" fontId="24" fillId="0" borderId="0" xfId="271" applyNumberForma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29"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2" fillId="0" borderId="0" xfId="0" applyFont="1" applyAlignment="1">
      <alignment horizontal="left" vertical="top" wrapText="1"/>
    </xf>
    <xf numFmtId="0" fontId="24" fillId="0" borderId="0" xfId="0" applyFont="1" applyAlignment="1">
      <alignment horizontal="right" vertical="top" wrapText="1"/>
    </xf>
    <xf numFmtId="10" fontId="24"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2" fillId="0" borderId="2" xfId="543" applyFont="1" applyBorder="1" applyAlignment="1">
      <alignment horizontal="center"/>
    </xf>
    <xf numFmtId="0" fontId="0" fillId="0" borderId="0" xfId="543" applyFont="1"/>
    <xf numFmtId="0" fontId="16"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2" fillId="8" borderId="11" xfId="542" applyFont="1" applyFill="1" applyBorder="1" applyAlignment="1">
      <alignment horizontal="left"/>
    </xf>
    <xf numFmtId="0" fontId="22"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2" fillId="0" borderId="0" xfId="271" applyFont="1" applyAlignment="1" applyProtection="1">
      <alignment horizontal="center" wrapText="1"/>
      <protection locked="0"/>
    </xf>
    <xf numFmtId="0" fontId="24" fillId="0" borderId="0" xfId="271" applyAlignment="1" applyProtection="1">
      <alignment vertical="top" wrapText="1"/>
      <protection locked="0"/>
    </xf>
    <xf numFmtId="0" fontId="22" fillId="0" borderId="0" xfId="271" applyFont="1" applyAlignment="1" applyProtection="1">
      <alignment vertical="top" wrapText="1"/>
      <protection locked="0"/>
    </xf>
    <xf numFmtId="0" fontId="22" fillId="0" borderId="8" xfId="271" applyFont="1" applyBorder="1" applyAlignment="1" applyProtection="1">
      <alignment horizontal="center" wrapText="1"/>
      <protection locked="0"/>
    </xf>
    <xf numFmtId="0" fontId="24" fillId="0" borderId="8" xfId="271" applyBorder="1" applyAlignment="1" applyProtection="1">
      <alignment vertical="top" wrapText="1"/>
      <protection locked="0"/>
    </xf>
    <xf numFmtId="0" fontId="22" fillId="0" borderId="8" xfId="271" applyFont="1" applyBorder="1" applyAlignment="1" applyProtection="1">
      <alignment vertical="top" wrapText="1"/>
      <protection locked="0"/>
    </xf>
    <xf numFmtId="0" fontId="15" fillId="0" borderId="0" xfId="0" applyFont="1" applyAlignment="1">
      <alignment horizontal="center"/>
    </xf>
    <xf numFmtId="0" fontId="29" fillId="0" borderId="8" xfId="569" applyFont="1" applyBorder="1" applyAlignment="1">
      <alignment vertical="top" wrapText="1"/>
    </xf>
    <xf numFmtId="0" fontId="29"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8"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2"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0" fillId="0" borderId="0" xfId="569" applyFont="1" applyAlignment="1">
      <alignment vertical="top" wrapText="1"/>
    </xf>
    <xf numFmtId="0" fontId="30" fillId="0" borderId="12" xfId="569" applyFont="1" applyBorder="1" applyAlignment="1">
      <alignment vertical="top" wrapText="1"/>
    </xf>
    <xf numFmtId="0" fontId="30"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5" fillId="0" borderId="0" xfId="569" applyAlignment="1">
      <alignment vertical="top" wrapText="1"/>
    </xf>
    <xf numFmtId="0" fontId="15" fillId="0" borderId="0" xfId="569" applyAlignment="1">
      <alignment vertical="top"/>
    </xf>
    <xf numFmtId="0" fontId="52" fillId="0" borderId="0" xfId="569" applyFont="1" applyAlignment="1">
      <alignment horizontal="right" vertical="top" wrapText="1"/>
    </xf>
    <xf numFmtId="0" fontId="22" fillId="0" borderId="0" xfId="569" applyFont="1" applyAlignment="1">
      <alignment horizontal="left" vertical="top" wrapText="1"/>
    </xf>
    <xf numFmtId="168" fontId="52" fillId="0" borderId="0" xfId="569" applyNumberFormat="1" applyFont="1" applyAlignment="1">
      <alignment horizontal="right" vertical="top" wrapText="1"/>
    </xf>
    <xf numFmtId="0" fontId="15" fillId="0" borderId="0" xfId="569" applyAlignment="1" applyProtection="1">
      <alignment horizontal="left" vertical="top" wrapText="1"/>
      <protection locked="0"/>
    </xf>
    <xf numFmtId="0" fontId="15" fillId="0" borderId="0" xfId="569" applyAlignment="1">
      <alignment horizontal="right" vertical="top" wrapText="1"/>
    </xf>
    <xf numFmtId="0" fontId="15"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29"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5" fillId="0" borderId="0" xfId="569"/>
    <xf numFmtId="0" fontId="21" fillId="0" borderId="0" xfId="569" applyFont="1" applyAlignment="1">
      <alignment horizontal="center" vertical="center"/>
    </xf>
    <xf numFmtId="0" fontId="22" fillId="0" borderId="0" xfId="569" applyFont="1"/>
    <xf numFmtId="0" fontId="15" fillId="0" borderId="1" xfId="569" applyBorder="1"/>
    <xf numFmtId="0" fontId="15" fillId="0" borderId="2" xfId="569" applyBorder="1"/>
    <xf numFmtId="0" fontId="15" fillId="0" borderId="8" xfId="569" applyBorder="1"/>
    <xf numFmtId="0" fontId="15" fillId="0" borderId="9" xfId="569" applyBorder="1"/>
    <xf numFmtId="0" fontId="15" fillId="0" borderId="6" xfId="569" applyBorder="1"/>
    <xf numFmtId="0" fontId="23" fillId="0" borderId="0" xfId="569" applyFont="1"/>
    <xf numFmtId="0" fontId="15" fillId="0" borderId="7" xfId="569" applyBorder="1"/>
    <xf numFmtId="0" fontId="15" fillId="0" borderId="12" xfId="569" applyBorder="1"/>
    <xf numFmtId="0" fontId="15" fillId="0" borderId="10" xfId="569" applyBorder="1"/>
    <xf numFmtId="0" fontId="23" fillId="0" borderId="0" xfId="569" applyFont="1" applyAlignment="1">
      <alignment vertical="top" wrapText="1"/>
    </xf>
    <xf numFmtId="0" fontId="15" fillId="0" borderId="0" xfId="569" applyAlignment="1">
      <alignment horizontal="right"/>
    </xf>
    <xf numFmtId="0" fontId="15" fillId="0" borderId="0" xfId="569" applyAlignment="1">
      <alignment wrapText="1"/>
    </xf>
    <xf numFmtId="0" fontId="15" fillId="0" borderId="0" xfId="569" applyAlignment="1">
      <alignment vertical="center"/>
    </xf>
    <xf numFmtId="0" fontId="39" fillId="0" borderId="0" xfId="569" applyFont="1" applyAlignment="1">
      <alignment vertical="center" wrapText="1"/>
    </xf>
    <xf numFmtId="0" fontId="33" fillId="0" borderId="0" xfId="569" applyFont="1" applyAlignment="1">
      <alignment vertical="top" wrapText="1"/>
    </xf>
    <xf numFmtId="0" fontId="22" fillId="0" borderId="0" xfId="569" applyFont="1" applyAlignment="1">
      <alignment vertical="top" wrapText="1"/>
    </xf>
    <xf numFmtId="0" fontId="23" fillId="0" borderId="0" xfId="569" applyFont="1" applyAlignment="1">
      <alignment horizontal="left" vertical="top" wrapText="1"/>
    </xf>
    <xf numFmtId="164" fontId="15" fillId="0" borderId="0" xfId="569" applyNumberFormat="1" applyAlignment="1">
      <alignment horizontal="right"/>
    </xf>
    <xf numFmtId="168" fontId="15" fillId="0" borderId="0" xfId="569" applyNumberFormat="1" applyAlignment="1">
      <alignment horizontal="right"/>
    </xf>
    <xf numFmtId="0" fontId="106" fillId="0" borderId="0" xfId="569" applyFont="1" applyAlignment="1">
      <alignment horizontal="left" vertical="top" wrapText="1"/>
    </xf>
    <xf numFmtId="168" fontId="15" fillId="0" borderId="0" xfId="569" applyNumberFormat="1" applyAlignment="1">
      <alignment wrapText="1"/>
    </xf>
    <xf numFmtId="0" fontId="20" fillId="0" borderId="11" xfId="253" applyFont="1" applyBorder="1" applyAlignment="1">
      <alignment horizontal="center" wrapText="1"/>
    </xf>
    <xf numFmtId="0" fontId="20" fillId="0" borderId="0" xfId="253" applyFont="1" applyAlignment="1">
      <alignment horizontal="center" wrapText="1"/>
    </xf>
    <xf numFmtId="3" fontId="20" fillId="0" borderId="11" xfId="271" applyNumberFormat="1" applyFont="1" applyBorder="1"/>
    <xf numFmtId="3" fontId="20"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0" fillId="0" borderId="11" xfId="271" applyNumberFormat="1" applyFont="1" applyBorder="1"/>
    <xf numFmtId="168" fontId="20" fillId="0" borderId="0" xfId="271" applyNumberFormat="1" applyFont="1"/>
    <xf numFmtId="0" fontId="20" fillId="0" borderId="0" xfId="271" applyFont="1"/>
    <xf numFmtId="0" fontId="52" fillId="0" borderId="0" xfId="569" applyFont="1" applyAlignment="1">
      <alignment horizontal="left"/>
    </xf>
    <xf numFmtId="0" fontId="15" fillId="0" borderId="3" xfId="569" applyBorder="1"/>
    <xf numFmtId="0" fontId="0" fillId="5" borderId="6" xfId="0" applyFill="1" applyBorder="1" applyProtection="1">
      <protection locked="0"/>
    </xf>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5" fillId="0" borderId="0" xfId="1192" applyNumberFormat="1" applyAlignment="1">
      <alignment horizontal="left" vertical="top" wrapText="1"/>
    </xf>
    <xf numFmtId="0" fontId="15" fillId="0" borderId="0" xfId="0" applyFont="1" applyAlignment="1">
      <alignment horizontal="left" vertical="top" wrapText="1"/>
    </xf>
    <xf numFmtId="0" fontId="15" fillId="0" borderId="0" xfId="271" applyFont="1" applyAlignment="1">
      <alignment horizontal="left" vertical="top" wrapText="1"/>
    </xf>
    <xf numFmtId="0" fontId="22" fillId="0" borderId="12" xfId="543" applyFont="1" applyBorder="1" applyAlignment="1">
      <alignment horizontal="right"/>
    </xf>
    <xf numFmtId="0" fontId="34" fillId="0" borderId="0" xfId="543" applyFont="1" applyAlignment="1">
      <alignment horizontal="center"/>
    </xf>
    <xf numFmtId="4" fontId="15" fillId="0" borderId="0" xfId="569" applyNumberFormat="1" applyAlignment="1">
      <alignment horizontal="left"/>
    </xf>
    <xf numFmtId="0" fontId="15" fillId="0" borderId="0" xfId="569" applyAlignment="1">
      <alignment horizontal="left" vertical="top" wrapText="1"/>
    </xf>
    <xf numFmtId="0" fontId="15" fillId="0" borderId="0" xfId="569" applyAlignment="1">
      <alignment horizontal="left"/>
    </xf>
    <xf numFmtId="0" fontId="15" fillId="0" borderId="0" xfId="1192" applyAlignment="1">
      <alignment horizontal="left"/>
    </xf>
    <xf numFmtId="0" fontId="22" fillId="0" borderId="0" xfId="569" applyFont="1" applyAlignment="1">
      <alignment horizontal="left"/>
    </xf>
    <xf numFmtId="0" fontId="44" fillId="0" borderId="0" xfId="1192" applyFont="1"/>
    <xf numFmtId="0" fontId="52" fillId="0" borderId="11" xfId="0" applyFont="1" applyBorder="1" applyAlignment="1">
      <alignment horizontal="right" vertical="center"/>
    </xf>
    <xf numFmtId="0" fontId="15" fillId="0" borderId="0" xfId="1192" applyAlignment="1">
      <alignment horizontal="left" vertical="top" wrapText="1"/>
    </xf>
    <xf numFmtId="0" fontId="44" fillId="0" borderId="0" xfId="0" applyFont="1" applyAlignment="1">
      <alignment vertical="top" wrapText="1"/>
    </xf>
    <xf numFmtId="0" fontId="44" fillId="0" borderId="0" xfId="0" applyFont="1" applyAlignment="1">
      <alignment horizontal="left" vertical="top" wrapText="1"/>
    </xf>
    <xf numFmtId="6" fontId="53" fillId="0" borderId="0" xfId="569" applyNumberFormat="1" applyFont="1" applyAlignment="1">
      <alignment horizontal="right" vertical="top"/>
    </xf>
    <xf numFmtId="0" fontId="15" fillId="0" borderId="0" xfId="0" applyFont="1" applyAlignment="1">
      <alignment vertical="top" wrapText="1"/>
    </xf>
    <xf numFmtId="168" fontId="24" fillId="0" borderId="0" xfId="0" applyNumberFormat="1" applyFont="1" applyAlignment="1">
      <alignment horizontal="right"/>
    </xf>
    <xf numFmtId="168" fontId="24" fillId="0" borderId="28" xfId="540" applyNumberFormat="1" applyBorder="1" applyAlignment="1" applyProtection="1">
      <alignment horizontal="center"/>
    </xf>
    <xf numFmtId="168" fontId="24" fillId="0" borderId="29" xfId="540" applyNumberFormat="1" applyBorder="1" applyAlignment="1" applyProtection="1">
      <alignment horizontal="center"/>
    </xf>
    <xf numFmtId="168" fontId="24" fillId="0" borderId="30" xfId="540" applyNumberFormat="1" applyBorder="1" applyAlignment="1" applyProtection="1">
      <alignment horizontal="center"/>
    </xf>
    <xf numFmtId="168" fontId="24" fillId="0" borderId="31" xfId="540" applyNumberFormat="1" applyBorder="1" applyAlignment="1" applyProtection="1">
      <alignment horizontal="center"/>
    </xf>
    <xf numFmtId="168" fontId="24" fillId="0" borderId="32" xfId="540" applyNumberFormat="1" applyBorder="1" applyAlignment="1" applyProtection="1">
      <alignment horizontal="center"/>
    </xf>
    <xf numFmtId="168" fontId="24" fillId="0" borderId="33" xfId="540" applyNumberFormat="1" applyBorder="1" applyAlignment="1" applyProtection="1">
      <alignment horizontal="center"/>
    </xf>
    <xf numFmtId="168" fontId="24" fillId="0" borderId="34" xfId="540" applyNumberFormat="1" applyBorder="1" applyAlignment="1" applyProtection="1">
      <alignment horizontal="center"/>
    </xf>
    <xf numFmtId="168" fontId="24" fillId="0" borderId="35" xfId="540" applyNumberFormat="1" applyBorder="1" applyAlignment="1" applyProtection="1">
      <alignment horizontal="center"/>
    </xf>
    <xf numFmtId="168" fontId="24" fillId="0" borderId="36" xfId="540" applyNumberFormat="1" applyBorder="1" applyAlignment="1" applyProtection="1">
      <alignment horizontal="center"/>
    </xf>
    <xf numFmtId="168" fontId="24" fillId="0" borderId="37" xfId="540" applyNumberFormat="1" applyBorder="1" applyAlignment="1" applyProtection="1">
      <alignment horizontal="center"/>
    </xf>
    <xf numFmtId="168" fontId="24" fillId="0" borderId="38" xfId="540" applyNumberFormat="1" applyBorder="1" applyAlignment="1" applyProtection="1">
      <alignment horizontal="center"/>
    </xf>
    <xf numFmtId="168" fontId="24" fillId="0" borderId="39" xfId="540" applyNumberFormat="1" applyBorder="1" applyAlignment="1" applyProtection="1">
      <alignment horizontal="center"/>
    </xf>
    <xf numFmtId="168" fontId="24" fillId="0" borderId="40" xfId="540" applyNumberFormat="1" applyBorder="1" applyAlignment="1" applyProtection="1">
      <alignment horizontal="center"/>
    </xf>
    <xf numFmtId="168" fontId="24" fillId="0" borderId="0" xfId="540" applyNumberFormat="1" applyAlignment="1" applyProtection="1">
      <alignment horizontal="center"/>
    </xf>
    <xf numFmtId="168" fontId="24" fillId="0" borderId="14" xfId="540" applyNumberFormat="1" applyBorder="1" applyAlignment="1" applyProtection="1">
      <alignment horizontal="center"/>
    </xf>
    <xf numFmtId="168" fontId="24" fillId="0" borderId="41" xfId="540" applyNumberFormat="1" applyBorder="1" applyAlignment="1" applyProtection="1">
      <alignment horizontal="center"/>
    </xf>
    <xf numFmtId="168" fontId="24" fillId="0" borderId="42" xfId="540" applyNumberFormat="1" applyBorder="1" applyAlignment="1" applyProtection="1">
      <alignment horizontal="center"/>
    </xf>
    <xf numFmtId="168" fontId="24" fillId="0" borderId="43" xfId="540" applyNumberFormat="1" applyBorder="1" applyAlignment="1" applyProtection="1">
      <alignment horizontal="center"/>
    </xf>
    <xf numFmtId="168" fontId="24" fillId="0" borderId="44" xfId="540" applyNumberFormat="1" applyBorder="1" applyAlignment="1" applyProtection="1">
      <alignment horizontal="center"/>
    </xf>
    <xf numFmtId="0" fontId="15" fillId="0" borderId="0" xfId="1192"/>
    <xf numFmtId="0" fontId="15" fillId="0" borderId="0" xfId="0" applyFont="1" applyAlignment="1">
      <alignment wrapText="1"/>
    </xf>
    <xf numFmtId="0" fontId="44" fillId="0" borderId="0" xfId="0" applyFont="1" applyAlignment="1">
      <alignment horizontal="left" vertical="top"/>
    </xf>
    <xf numFmtId="0" fontId="44" fillId="0" borderId="0" xfId="0" applyFont="1" applyAlignment="1">
      <alignment vertical="top"/>
    </xf>
    <xf numFmtId="0" fontId="15" fillId="0" borderId="0" xfId="569" applyAlignment="1">
      <alignment horizontal="center"/>
    </xf>
    <xf numFmtId="0" fontId="33" fillId="0" borderId="0" xfId="569" applyFont="1" applyAlignment="1">
      <alignment horizontal="left"/>
    </xf>
    <xf numFmtId="0" fontId="33" fillId="0" borderId="0" xfId="569" applyFont="1" applyAlignment="1">
      <alignment horizontal="center"/>
    </xf>
    <xf numFmtId="49" fontId="22" fillId="0" borderId="0" xfId="569" applyNumberFormat="1" applyFont="1" applyAlignment="1">
      <alignment horizontal="center"/>
    </xf>
    <xf numFmtId="0" fontId="50" fillId="0" borderId="0" xfId="569" applyFont="1" applyAlignment="1">
      <alignment horizontal="center"/>
    </xf>
    <xf numFmtId="0" fontId="15" fillId="5" borderId="6" xfId="569" applyFill="1" applyBorder="1" applyProtection="1">
      <protection locked="0"/>
    </xf>
    <xf numFmtId="0" fontId="16" fillId="0" borderId="0" xfId="244" applyAlignment="1" applyProtection="1">
      <alignment horizontal="center"/>
    </xf>
    <xf numFmtId="49" fontId="15" fillId="0" borderId="0" xfId="569" applyNumberFormat="1" applyAlignment="1">
      <alignment horizontal="center"/>
    </xf>
    <xf numFmtId="0" fontId="15" fillId="0" borderId="0" xfId="569" applyAlignment="1">
      <alignment horizontal="center" vertical="center"/>
    </xf>
    <xf numFmtId="0" fontId="15" fillId="0" borderId="0" xfId="1192" applyAlignment="1">
      <alignment horizontal="center"/>
    </xf>
    <xf numFmtId="0" fontId="22" fillId="0" borderId="0" xfId="569" applyFont="1" applyAlignment="1">
      <alignment horizontal="center"/>
    </xf>
    <xf numFmtId="0" fontId="15" fillId="0" borderId="0" xfId="569" applyAlignment="1">
      <alignment horizontal="left" indent="4"/>
    </xf>
    <xf numFmtId="0" fontId="15" fillId="0" borderId="0" xfId="569" quotePrefix="1" applyAlignment="1">
      <alignment horizontal="left"/>
    </xf>
    <xf numFmtId="0" fontId="33" fillId="0" borderId="0" xfId="569" applyFont="1"/>
    <xf numFmtId="0" fontId="15" fillId="0" borderId="0" xfId="1192" applyAlignment="1" applyProtection="1">
      <alignment horizontal="left"/>
      <protection locked="0"/>
    </xf>
    <xf numFmtId="0" fontId="15" fillId="0" borderId="0" xfId="569" applyAlignment="1" applyProtection="1">
      <alignment horizontal="left"/>
      <protection locked="0"/>
    </xf>
    <xf numFmtId="49" fontId="15" fillId="0" borderId="0" xfId="1192" applyNumberFormat="1" applyAlignment="1">
      <alignment horizontal="center"/>
    </xf>
    <xf numFmtId="0" fontId="50" fillId="0" borderId="0" xfId="1192" applyFont="1" applyAlignment="1">
      <alignment horizontal="center"/>
    </xf>
    <xf numFmtId="0" fontId="22" fillId="0" borderId="0" xfId="1192" applyFont="1" applyAlignment="1">
      <alignment horizontal="left"/>
    </xf>
    <xf numFmtId="4" fontId="15" fillId="0" borderId="0" xfId="1192" applyNumberFormat="1" applyAlignment="1">
      <alignment horizontal="left"/>
    </xf>
    <xf numFmtId="0" fontId="22" fillId="0" borderId="0" xfId="569" quotePrefix="1" applyFont="1" applyAlignment="1">
      <alignment horizontal="center"/>
    </xf>
    <xf numFmtId="49" fontId="15" fillId="0" borderId="0" xfId="569" applyNumberFormat="1"/>
    <xf numFmtId="0" fontId="47" fillId="0" borderId="0" xfId="569" applyFont="1" applyAlignment="1">
      <alignment horizontal="left"/>
    </xf>
    <xf numFmtId="4" fontId="50" fillId="0" borderId="0" xfId="569" applyNumberFormat="1" applyFont="1" applyAlignment="1">
      <alignment horizontal="center"/>
    </xf>
    <xf numFmtId="4" fontId="15" fillId="0" borderId="0" xfId="569" applyNumberFormat="1" applyAlignment="1">
      <alignment horizontal="center"/>
    </xf>
    <xf numFmtId="4" fontId="15" fillId="0" borderId="0" xfId="569" applyNumberFormat="1"/>
    <xf numFmtId="0" fontId="45" fillId="0" borderId="0" xfId="569" applyFont="1" applyAlignment="1">
      <alignment horizontal="left"/>
    </xf>
    <xf numFmtId="0" fontId="16"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5" fillId="0" borderId="11" xfId="271" applyFont="1" applyBorder="1" applyAlignment="1">
      <alignment horizontal="right" vertical="top" wrapText="1"/>
    </xf>
    <xf numFmtId="0" fontId="23"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3"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5" fillId="0" borderId="0" xfId="271" applyFont="1" applyAlignment="1">
      <alignment horizontal="left" vertical="top"/>
    </xf>
    <xf numFmtId="0" fontId="52" fillId="0" borderId="0" xfId="569" applyFont="1"/>
    <xf numFmtId="0" fontId="15" fillId="0" borderId="0" xfId="0" applyFont="1" applyAlignment="1">
      <alignment horizontal="left" vertical="top"/>
    </xf>
    <xf numFmtId="4" fontId="15" fillId="0" borderId="0" xfId="1192" applyNumberFormat="1" applyAlignment="1">
      <alignment vertical="top" wrapText="1"/>
    </xf>
    <xf numFmtId="0" fontId="22" fillId="0" borderId="16" xfId="271" applyFont="1" applyBorder="1"/>
    <xf numFmtId="0" fontId="59" fillId="0" borderId="0" xfId="569" applyFont="1"/>
    <xf numFmtId="0" fontId="39" fillId="0" borderId="0" xfId="569" applyFont="1"/>
    <xf numFmtId="0" fontId="15" fillId="0" borderId="0" xfId="1192" applyAlignment="1">
      <alignment vertical="top" wrapText="1"/>
    </xf>
    <xf numFmtId="49" fontId="15" fillId="0" borderId="0" xfId="1192" applyNumberFormat="1" applyAlignment="1">
      <alignment vertical="top" wrapText="1"/>
    </xf>
    <xf numFmtId="0" fontId="54" fillId="0" borderId="9" xfId="543" applyFont="1" applyBorder="1" applyAlignment="1">
      <alignment vertical="top"/>
    </xf>
    <xf numFmtId="0" fontId="15"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5" fillId="0" borderId="8" xfId="543" applyNumberFormat="1" applyBorder="1"/>
    <xf numFmtId="0" fontId="15" fillId="0" borderId="8" xfId="4495" applyFont="1" applyBorder="1"/>
    <xf numFmtId="0" fontId="15" fillId="0" borderId="0" xfId="4495" applyFont="1"/>
    <xf numFmtId="0" fontId="21" fillId="0" borderId="0" xfId="4495" applyFont="1" applyAlignment="1">
      <alignment horizontal="center" vertical="center"/>
    </xf>
    <xf numFmtId="0" fontId="22" fillId="0" borderId="0" xfId="4495" applyFont="1" applyAlignment="1">
      <alignment horizontal="left"/>
    </xf>
    <xf numFmtId="0" fontId="22" fillId="0" borderId="0" xfId="4495" applyFont="1"/>
    <xf numFmtId="0" fontId="25" fillId="0" borderId="0" xfId="4495" applyFont="1" applyAlignment="1">
      <alignment horizontal="center" vertical="center"/>
    </xf>
    <xf numFmtId="0" fontId="25" fillId="0" borderId="27" xfId="4495" applyFont="1" applyBorder="1" applyAlignment="1">
      <alignment horizontal="center" vertical="center"/>
    </xf>
    <xf numFmtId="0" fontId="25" fillId="0" borderId="46" xfId="4495" applyFont="1" applyBorder="1" applyAlignment="1">
      <alignment horizontal="center" vertical="center"/>
    </xf>
    <xf numFmtId="0" fontId="22" fillId="0" borderId="0" xfId="4495" applyFont="1" applyAlignment="1">
      <alignment horizontal="right"/>
    </xf>
    <xf numFmtId="0" fontId="33" fillId="0" borderId="0" xfId="4495" applyFont="1" applyAlignment="1">
      <alignment horizontal="left" vertical="center"/>
    </xf>
    <xf numFmtId="0" fontId="15" fillId="0" borderId="0" xfId="1192" quotePrefix="1" applyAlignment="1">
      <alignment horizontal="center"/>
    </xf>
    <xf numFmtId="0" fontId="45" fillId="0" borderId="0" xfId="4495" applyFont="1" applyAlignment="1">
      <alignment horizontal="left" vertical="center"/>
    </xf>
    <xf numFmtId="49" fontId="23" fillId="0" borderId="0" xfId="4495" applyNumberFormat="1" applyFont="1" applyAlignment="1">
      <alignment horizontal="left" vertical="top"/>
    </xf>
    <xf numFmtId="0" fontId="15" fillId="0" borderId="47" xfId="4495" applyFont="1" applyBorder="1" applyAlignment="1">
      <alignment horizontal="left" vertical="center"/>
    </xf>
    <xf numFmtId="0" fontId="25" fillId="0" borderId="48" xfId="4495" applyFont="1" applyBorder="1" applyAlignment="1">
      <alignment horizontal="center" vertical="center"/>
    </xf>
    <xf numFmtId="0" fontId="23" fillId="0" borderId="0" xfId="4495" applyFont="1"/>
    <xf numFmtId="0" fontId="23"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5"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5" fillId="0" borderId="0" xfId="4496" applyFont="1" applyAlignment="1">
      <alignment vertical="center"/>
    </xf>
    <xf numFmtId="0" fontId="23" fillId="0" borderId="3" xfId="4495" applyFont="1" applyBorder="1" applyAlignment="1">
      <alignment vertical="top" wrapText="1"/>
    </xf>
    <xf numFmtId="0" fontId="23" fillId="0" borderId="4" xfId="4495" applyFont="1" applyBorder="1" applyAlignment="1">
      <alignment vertical="top" wrapText="1"/>
    </xf>
    <xf numFmtId="164" fontId="119" fillId="0" borderId="4" xfId="4495" applyNumberFormat="1" applyBorder="1" applyAlignment="1">
      <alignment horizontal="right"/>
    </xf>
    <xf numFmtId="0" fontId="23" fillId="0" borderId="4" xfId="4495" applyFont="1" applyBorder="1"/>
    <xf numFmtId="0" fontId="22" fillId="0" borderId="5" xfId="4495" applyFont="1" applyBorder="1" applyAlignment="1">
      <alignment horizontal="right"/>
    </xf>
    <xf numFmtId="0" fontId="15" fillId="0" borderId="16" xfId="4495" applyFont="1" applyBorder="1"/>
    <xf numFmtId="0" fontId="15" fillId="0" borderId="16" xfId="4495" applyFont="1" applyBorder="1" applyAlignment="1">
      <alignment horizontal="left" vertical="top"/>
    </xf>
    <xf numFmtId="0" fontId="23" fillId="0" borderId="16" xfId="4495" applyFont="1" applyBorder="1" applyAlignment="1">
      <alignment horizontal="left" vertical="top" wrapText="1"/>
    </xf>
    <xf numFmtId="0" fontId="23" fillId="0" borderId="45" xfId="4495" applyFont="1" applyBorder="1" applyAlignment="1">
      <alignment horizontal="left" vertical="top" wrapText="1"/>
    </xf>
    <xf numFmtId="0" fontId="119" fillId="0" borderId="0" xfId="4495"/>
    <xf numFmtId="0" fontId="16" fillId="0" borderId="0" xfId="244" applyFill="1" applyBorder="1" applyAlignment="1" applyProtection="1">
      <alignment horizontal="left" vertical="top"/>
    </xf>
    <xf numFmtId="0" fontId="16" fillId="0" borderId="0" xfId="244" applyFill="1" applyBorder="1" applyAlignment="1" applyProtection="1">
      <alignment horizontal="left" vertical="top" wrapText="1"/>
    </xf>
    <xf numFmtId="0" fontId="23" fillId="0" borderId="0" xfId="4495" applyFont="1" applyAlignment="1">
      <alignment horizontal="left" vertical="top" wrapText="1"/>
    </xf>
    <xf numFmtId="0" fontId="23" fillId="0" borderId="0" xfId="4495" applyFont="1" applyAlignment="1">
      <alignment horizontal="right" vertical="top"/>
    </xf>
    <xf numFmtId="0" fontId="15"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2" fillId="0" borderId="57" xfId="4495" applyFont="1" applyBorder="1"/>
    <xf numFmtId="0" fontId="22" fillId="0" borderId="58" xfId="4495" applyFont="1" applyBorder="1"/>
    <xf numFmtId="0" fontId="22" fillId="0" borderId="58" xfId="4495" applyFont="1" applyBorder="1" applyAlignment="1">
      <alignment horizontal="right"/>
    </xf>
    <xf numFmtId="0" fontId="22"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5" fillId="0" borderId="57" xfId="4495" applyFont="1" applyBorder="1" applyAlignment="1">
      <alignment horizontal="center" vertical="center"/>
    </xf>
    <xf numFmtId="0" fontId="25" fillId="0" borderId="58" xfId="4495" applyFont="1" applyBorder="1" applyAlignment="1">
      <alignment horizontal="center" vertical="center"/>
    </xf>
    <xf numFmtId="0" fontId="25" fillId="0" borderId="59" xfId="4495" applyFont="1" applyBorder="1" applyAlignment="1">
      <alignment horizontal="center" vertical="center"/>
    </xf>
    <xf numFmtId="0" fontId="22" fillId="0" borderId="0" xfId="4495" applyFont="1" applyAlignment="1">
      <alignment horizontal="center"/>
    </xf>
    <xf numFmtId="0" fontId="22" fillId="0" borderId="8" xfId="4495" applyFont="1" applyBorder="1"/>
    <xf numFmtId="0" fontId="23" fillId="0" borderId="0" xfId="4495" applyFont="1" applyAlignment="1">
      <alignment horizontal="left"/>
    </xf>
    <xf numFmtId="0" fontId="22" fillId="0" borderId="0" xfId="4495" applyFont="1" applyAlignment="1">
      <alignment horizontal="center" vertical="top"/>
    </xf>
    <xf numFmtId="0" fontId="15" fillId="0" borderId="0" xfId="4495" applyFont="1" applyAlignment="1">
      <alignment horizontal="center"/>
    </xf>
    <xf numFmtId="0" fontId="31" fillId="0" borderId="0" xfId="4495" applyFont="1"/>
    <xf numFmtId="0" fontId="23" fillId="0" borderId="8" xfId="4495" applyFont="1" applyBorder="1"/>
    <xf numFmtId="0" fontId="52" fillId="0" borderId="8" xfId="4495" applyFont="1" applyBorder="1"/>
    <xf numFmtId="1" fontId="15" fillId="0" borderId="0" xfId="1192" applyNumberFormat="1"/>
    <xf numFmtId="0" fontId="15" fillId="0" borderId="3" xfId="4495" applyFont="1" applyBorder="1"/>
    <xf numFmtId="0" fontId="15" fillId="0" borderId="4" xfId="4495" applyFont="1" applyBorder="1"/>
    <xf numFmtId="0" fontId="15" fillId="0" borderId="0" xfId="1192" applyAlignment="1">
      <alignment wrapText="1"/>
    </xf>
    <xf numFmtId="0" fontId="23" fillId="0" borderId="0" xfId="4495" applyFont="1" applyAlignment="1">
      <alignment vertical="top" wrapText="1"/>
    </xf>
    <xf numFmtId="0" fontId="23" fillId="0" borderId="0" xfId="1192" applyFont="1"/>
    <xf numFmtId="0" fontId="15" fillId="0" borderId="0" xfId="4495" applyFont="1" applyAlignment="1">
      <alignment horizontal="left"/>
    </xf>
    <xf numFmtId="0" fontId="23" fillId="0" borderId="3" xfId="4495" applyFont="1" applyBorder="1"/>
    <xf numFmtId="0" fontId="15" fillId="0" borderId="4" xfId="4495" applyFont="1" applyBorder="1" applyAlignment="1">
      <alignment horizontal="right"/>
    </xf>
    <xf numFmtId="1" fontId="15" fillId="0" borderId="0" xfId="4495" applyNumberFormat="1" applyFont="1" applyAlignment="1">
      <alignment horizontal="center"/>
    </xf>
    <xf numFmtId="0" fontId="52" fillId="0" borderId="0" xfId="4495" applyFont="1"/>
    <xf numFmtId="0" fontId="15" fillId="0" borderId="0" xfId="4495" applyFont="1" applyAlignment="1">
      <alignment horizontal="right"/>
    </xf>
    <xf numFmtId="0" fontId="23" fillId="0" borderId="0" xfId="4495" applyFont="1" applyAlignment="1">
      <alignment vertical="top"/>
    </xf>
    <xf numFmtId="0" fontId="23" fillId="0" borderId="27" xfId="4495" applyFont="1" applyBorder="1"/>
    <xf numFmtId="0" fontId="22" fillId="0" borderId="0" xfId="4495" applyFont="1" applyAlignment="1">
      <alignment vertical="top"/>
    </xf>
    <xf numFmtId="0" fontId="33" fillId="0" borderId="0" xfId="4495" applyFont="1" applyAlignment="1">
      <alignment vertical="top" wrapText="1"/>
    </xf>
    <xf numFmtId="0" fontId="22" fillId="0" borderId="0" xfId="4495" applyFont="1" applyAlignment="1">
      <alignment horizontal="left" vertical="top" wrapText="1"/>
    </xf>
    <xf numFmtId="0" fontId="15" fillId="0" borderId="0" xfId="4495" applyFont="1" applyAlignment="1">
      <alignment horizontal="left" vertical="top"/>
    </xf>
    <xf numFmtId="0" fontId="33" fillId="0" borderId="0" xfId="4495" applyFont="1" applyAlignment="1">
      <alignment vertical="top"/>
    </xf>
    <xf numFmtId="0" fontId="15" fillId="0" borderId="10" xfId="4495" applyFont="1" applyBorder="1" applyAlignment="1">
      <alignment horizontal="center"/>
    </xf>
    <xf numFmtId="0" fontId="15" fillId="0" borderId="16" xfId="4495" applyFont="1" applyBorder="1" applyAlignment="1">
      <alignment horizontal="center"/>
    </xf>
    <xf numFmtId="0" fontId="31" fillId="0" borderId="16" xfId="4495" applyFont="1" applyBorder="1"/>
    <xf numFmtId="0" fontId="23" fillId="0" borderId="16" xfId="4495" applyFont="1" applyBorder="1"/>
    <xf numFmtId="0" fontId="15" fillId="0" borderId="0" xfId="4496" applyFont="1" applyAlignment="1">
      <alignment vertical="top" wrapText="1"/>
    </xf>
    <xf numFmtId="0" fontId="22" fillId="0" borderId="0" xfId="1192" applyFont="1" applyAlignment="1">
      <alignment horizontal="right"/>
    </xf>
    <xf numFmtId="0" fontId="15" fillId="0" borderId="0" xfId="4496" applyFont="1"/>
    <xf numFmtId="0" fontId="15" fillId="0" borderId="0" xfId="4496" applyFont="1" applyAlignment="1">
      <alignment horizontal="left"/>
    </xf>
    <xf numFmtId="0" fontId="15" fillId="0" borderId="0" xfId="4496" applyFont="1" applyAlignment="1">
      <alignment horizontal="right"/>
    </xf>
    <xf numFmtId="0" fontId="23" fillId="0" borderId="0" xfId="4496" applyFont="1" applyAlignment="1">
      <alignment vertical="top" wrapText="1"/>
    </xf>
    <xf numFmtId="0" fontId="15" fillId="0" borderId="4" xfId="4496" applyFont="1" applyBorder="1"/>
    <xf numFmtId="0" fontId="22" fillId="0" borderId="4" xfId="4496" applyFont="1" applyBorder="1" applyAlignment="1">
      <alignment horizontal="right"/>
    </xf>
    <xf numFmtId="0" fontId="23" fillId="0" borderId="27" xfId="4495" applyFont="1" applyBorder="1" applyAlignment="1">
      <alignment horizontal="left" vertical="top"/>
    </xf>
    <xf numFmtId="0" fontId="15" fillId="0" borderId="27" xfId="4495" applyFont="1" applyBorder="1" applyAlignment="1">
      <alignment horizontal="left" vertical="top"/>
    </xf>
    <xf numFmtId="0" fontId="22" fillId="0" borderId="27" xfId="4495" applyFont="1" applyBorder="1" applyAlignment="1">
      <alignment horizontal="right"/>
    </xf>
    <xf numFmtId="0" fontId="15" fillId="0" borderId="27" xfId="4495" applyFont="1" applyBorder="1" applyAlignment="1">
      <alignment horizontal="center"/>
    </xf>
    <xf numFmtId="0" fontId="15" fillId="0" borderId="46" xfId="4495" applyFont="1" applyBorder="1" applyAlignment="1">
      <alignment horizontal="center"/>
    </xf>
    <xf numFmtId="164" fontId="23" fillId="0" borderId="0" xfId="4495" applyNumberFormat="1" applyFont="1" applyAlignment="1">
      <alignment horizontal="left" vertical="top" wrapText="1"/>
    </xf>
    <xf numFmtId="0" fontId="26" fillId="0" borderId="0" xfId="4495" applyFont="1"/>
    <xf numFmtId="0" fontId="23" fillId="0" borderId="0" xfId="4495" applyFont="1" applyAlignment="1">
      <alignment horizontal="right"/>
    </xf>
    <xf numFmtId="0" fontId="15" fillId="0" borderId="27" xfId="543" applyBorder="1"/>
    <xf numFmtId="0" fontId="15" fillId="0" borderId="46" xfId="543" applyBorder="1"/>
    <xf numFmtId="0" fontId="22" fillId="0" borderId="0" xfId="4495" applyFont="1" applyAlignment="1">
      <alignment horizontal="left" vertical="top"/>
    </xf>
    <xf numFmtId="1" fontId="119" fillId="0" borderId="0" xfId="4495" applyNumberFormat="1"/>
    <xf numFmtId="0" fontId="15" fillId="0" borderId="0" xfId="4495" applyFont="1" applyAlignment="1">
      <alignment vertical="top" wrapText="1"/>
    </xf>
    <xf numFmtId="0" fontId="15" fillId="0" borderId="0" xfId="4495" applyFont="1" applyAlignment="1">
      <alignment horizontal="left" vertical="top" wrapText="1"/>
    </xf>
    <xf numFmtId="0" fontId="15" fillId="0" borderId="50" xfId="4495" applyFont="1" applyBorder="1" applyAlignment="1">
      <alignment vertical="top"/>
    </xf>
    <xf numFmtId="0" fontId="15" fillId="0" borderId="51" xfId="4495" applyFont="1" applyBorder="1" applyAlignment="1">
      <alignment vertical="top"/>
    </xf>
    <xf numFmtId="0" fontId="15" fillId="0" borderId="52" xfId="4495" applyFont="1" applyBorder="1" applyAlignment="1">
      <alignment vertical="top"/>
    </xf>
    <xf numFmtId="1" fontId="23" fillId="0" borderId="8" xfId="4495" applyNumberFormat="1" applyFont="1" applyBorder="1"/>
    <xf numFmtId="0" fontId="15" fillId="0" borderId="0" xfId="543" applyAlignment="1">
      <alignment vertical="top"/>
    </xf>
    <xf numFmtId="0" fontId="23" fillId="0" borderId="51" xfId="4495" applyFont="1" applyBorder="1" applyAlignment="1">
      <alignment horizontal="left" vertical="top"/>
    </xf>
    <xf numFmtId="0" fontId="23" fillId="0" borderId="52" xfId="4495" applyFont="1" applyBorder="1" applyAlignment="1">
      <alignment horizontal="left" vertical="top"/>
    </xf>
    <xf numFmtId="0" fontId="119" fillId="0" borderId="0" xfId="4495" applyAlignment="1" applyProtection="1">
      <alignment horizontal="center"/>
      <protection locked="0"/>
    </xf>
    <xf numFmtId="0" fontId="15" fillId="0" borderId="53" xfId="4495" applyFont="1" applyBorder="1" applyAlignment="1">
      <alignment vertical="top"/>
    </xf>
    <xf numFmtId="0" fontId="15" fillId="0" borderId="54" xfId="4495" applyFont="1" applyBorder="1" applyAlignment="1">
      <alignment vertical="top" wrapText="1"/>
    </xf>
    <xf numFmtId="0" fontId="60" fillId="0" borderId="53" xfId="4495" applyFont="1" applyBorder="1"/>
    <xf numFmtId="0" fontId="23" fillId="0" borderId="54" xfId="4495" applyFont="1" applyBorder="1" applyAlignment="1">
      <alignment horizontal="left" vertical="top"/>
    </xf>
    <xf numFmtId="0" fontId="15" fillId="0" borderId="53" xfId="4495" applyFont="1" applyBorder="1" applyAlignment="1">
      <alignment vertical="center" wrapText="1"/>
    </xf>
    <xf numFmtId="0" fontId="60" fillId="0" borderId="57" xfId="4495" applyFont="1" applyBorder="1"/>
    <xf numFmtId="0" fontId="23" fillId="0" borderId="58" xfId="4495" applyFont="1" applyBorder="1" applyAlignment="1">
      <alignment horizontal="left" vertical="top"/>
    </xf>
    <xf numFmtId="0" fontId="23" fillId="0" borderId="12" xfId="4495" applyFont="1" applyBorder="1"/>
    <xf numFmtId="0" fontId="15" fillId="0" borderId="57" xfId="4495" applyFont="1" applyBorder="1" applyAlignment="1">
      <alignment vertical="center"/>
    </xf>
    <xf numFmtId="0" fontId="15" fillId="0" borderId="58" xfId="4495" applyFont="1" applyBorder="1" applyAlignment="1">
      <alignment vertical="top"/>
    </xf>
    <xf numFmtId="0" fontId="15" fillId="0" borderId="59" xfId="4495" applyFont="1" applyBorder="1" applyAlignment="1">
      <alignment vertical="top"/>
    </xf>
    <xf numFmtId="0" fontId="15" fillId="0" borderId="0" xfId="4495" applyFont="1" applyAlignment="1">
      <alignment vertical="top"/>
    </xf>
    <xf numFmtId="0" fontId="23" fillId="0" borderId="4" xfId="4495" applyFont="1" applyBorder="1" applyAlignment="1">
      <alignment horizontal="left" vertical="top"/>
    </xf>
    <xf numFmtId="0" fontId="15" fillId="0" borderId="4" xfId="4495" applyFont="1" applyBorder="1" applyAlignment="1">
      <alignment horizontal="left" vertical="top"/>
    </xf>
    <xf numFmtId="0" fontId="15" fillId="0" borderId="2" xfId="4495" applyFont="1" applyBorder="1"/>
    <xf numFmtId="0" fontId="23" fillId="0" borderId="2" xfId="4495" applyFont="1" applyBorder="1"/>
    <xf numFmtId="0" fontId="15" fillId="0" borderId="2" xfId="4495" applyFont="1" applyBorder="1" applyAlignment="1">
      <alignment horizontal="center"/>
    </xf>
    <xf numFmtId="0" fontId="23" fillId="0" borderId="7" xfId="4495" applyFont="1" applyBorder="1"/>
    <xf numFmtId="0" fontId="31" fillId="0" borderId="0" xfId="4495" applyFont="1" applyAlignment="1">
      <alignment horizontal="right"/>
    </xf>
    <xf numFmtId="0" fontId="125" fillId="0" borderId="0" xfId="4495" applyFont="1" applyAlignment="1">
      <alignment horizontal="left" vertical="top" wrapText="1"/>
    </xf>
    <xf numFmtId="0" fontId="31" fillId="0" borderId="0" xfId="4495" applyFont="1" applyAlignment="1">
      <alignment horizontal="left" vertical="top"/>
    </xf>
    <xf numFmtId="0" fontId="23" fillId="0" borderId="0" xfId="4495" quotePrefix="1" applyFont="1" applyAlignment="1">
      <alignment horizontal="right"/>
    </xf>
    <xf numFmtId="0" fontId="15" fillId="0" borderId="0" xfId="4497"/>
    <xf numFmtId="0" fontId="23" fillId="0" borderId="0" xfId="4495" applyFont="1" applyAlignment="1">
      <alignment horizontal="left" vertical="top" wrapText="1" shrinkToFit="1"/>
    </xf>
    <xf numFmtId="0" fontId="119" fillId="0" borderId="0" xfId="4495" applyAlignment="1">
      <alignment vertical="top" wrapText="1"/>
    </xf>
    <xf numFmtId="0" fontId="23" fillId="0" borderId="4" xfId="4495" applyFont="1" applyBorder="1" applyAlignment="1">
      <alignment horizontal="left" vertical="top" wrapText="1" shrinkToFit="1"/>
    </xf>
    <xf numFmtId="0" fontId="31" fillId="0" borderId="8" xfId="4495" applyFont="1" applyBorder="1"/>
    <xf numFmtId="0" fontId="23" fillId="0" borderId="0" xfId="4495" applyFont="1" applyAlignment="1">
      <alignment horizontal="center"/>
    </xf>
    <xf numFmtId="0" fontId="23" fillId="0" borderId="0" xfId="4495" quotePrefix="1" applyFont="1"/>
    <xf numFmtId="0" fontId="23" fillId="0" borderId="0" xfId="4495" applyFont="1" applyAlignment="1">
      <alignment horizontal="left" vertical="top" shrinkToFit="1"/>
    </xf>
    <xf numFmtId="0" fontId="45" fillId="0" borderId="0" xfId="4495" applyFont="1"/>
    <xf numFmtId="0" fontId="23" fillId="0" borderId="3" xfId="4495" applyFont="1" applyBorder="1" applyAlignment="1">
      <alignment horizontal="center"/>
    </xf>
    <xf numFmtId="0" fontId="119" fillId="0" borderId="8" xfId="4495" applyBorder="1"/>
    <xf numFmtId="0" fontId="22" fillId="0" borderId="8" xfId="4495" applyFont="1" applyBorder="1" applyAlignment="1">
      <alignment vertical="top"/>
    </xf>
    <xf numFmtId="0" fontId="119" fillId="0" borderId="0" xfId="4495" applyAlignment="1">
      <alignment vertical="top"/>
    </xf>
    <xf numFmtId="0" fontId="22"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5" fillId="0" borderId="0" xfId="4497" applyNumberFormat="1"/>
    <xf numFmtId="1" fontId="23"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3" fillId="0" borderId="6" xfId="4495" applyFont="1" applyBorder="1"/>
    <xf numFmtId="1" fontId="23" fillId="0" borderId="8" xfId="4495" applyNumberFormat="1" applyFont="1" applyBorder="1" applyAlignment="1">
      <alignment horizontal="center" vertical="top"/>
    </xf>
    <xf numFmtId="0" fontId="119" fillId="0" borderId="12" xfId="4495" applyBorder="1"/>
    <xf numFmtId="0" fontId="23" fillId="0" borderId="9" xfId="4495" applyFont="1" applyBorder="1"/>
    <xf numFmtId="0" fontId="119" fillId="0" borderId="10" xfId="4495" applyBorder="1"/>
    <xf numFmtId="0" fontId="31" fillId="0" borderId="3" xfId="4495" applyFont="1" applyBorder="1"/>
    <xf numFmtId="0" fontId="22" fillId="0" borderId="4" xfId="4495" applyFont="1" applyBorder="1"/>
    <xf numFmtId="0" fontId="119" fillId="0" borderId="12" xfId="4495" applyBorder="1" applyAlignment="1">
      <alignment vertical="top"/>
    </xf>
    <xf numFmtId="0" fontId="31"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1" fillId="0" borderId="9" xfId="4495" applyFont="1" applyBorder="1"/>
    <xf numFmtId="0" fontId="23" fillId="0" borderId="10" xfId="4495" applyFont="1" applyBorder="1"/>
    <xf numFmtId="0" fontId="129" fillId="0" borderId="0" xfId="4495" applyFont="1" applyAlignment="1">
      <alignment wrapText="1"/>
    </xf>
    <xf numFmtId="0" fontId="31" fillId="0" borderId="9" xfId="4495" applyFont="1" applyBorder="1" applyAlignment="1">
      <alignment horizontal="center"/>
    </xf>
    <xf numFmtId="0" fontId="22" fillId="0" borderId="10" xfId="4495" applyFont="1" applyBorder="1"/>
    <xf numFmtId="0" fontId="33" fillId="0" borderId="0" xfId="4495" applyFont="1"/>
    <xf numFmtId="0" fontId="23" fillId="0" borderId="50" xfId="4495" applyFont="1" applyBorder="1"/>
    <xf numFmtId="0" fontId="23" fillId="0" borderId="51" xfId="4495" applyFont="1" applyBorder="1"/>
    <xf numFmtId="1" fontId="23" fillId="0" borderId="51" xfId="4495" quotePrefix="1" applyNumberFormat="1" applyFont="1" applyBorder="1" applyAlignment="1">
      <alignment horizontal="center" vertical="top"/>
    </xf>
    <xf numFmtId="0" fontId="22" fillId="0" borderId="51" xfId="4495" applyFont="1" applyBorder="1"/>
    <xf numFmtId="0" fontId="22" fillId="0" borderId="52" xfId="4495" applyFont="1" applyBorder="1" applyAlignment="1">
      <alignment horizontal="center"/>
    </xf>
    <xf numFmtId="0" fontId="15" fillId="0" borderId="53" xfId="4495" applyFont="1" applyBorder="1"/>
    <xf numFmtId="1" fontId="23" fillId="0" borderId="0" xfId="4495" quotePrefix="1" applyNumberFormat="1" applyFont="1" applyAlignment="1">
      <alignment horizontal="center" vertical="top"/>
    </xf>
    <xf numFmtId="0" fontId="22" fillId="0" borderId="54" xfId="4495" applyFont="1" applyBorder="1" applyAlignment="1">
      <alignment horizontal="center"/>
    </xf>
    <xf numFmtId="0" fontId="31" fillId="0" borderId="0" xfId="4495" applyFont="1" applyAlignment="1">
      <alignment vertical="top"/>
    </xf>
    <xf numFmtId="0" fontId="23" fillId="0" borderId="61" xfId="4495" applyFont="1" applyBorder="1"/>
    <xf numFmtId="0" fontId="119" fillId="0" borderId="58" xfId="4495" applyBorder="1" applyAlignment="1">
      <alignment horizontal="center"/>
    </xf>
    <xf numFmtId="1" fontId="23" fillId="0" borderId="58" xfId="4495" quotePrefix="1" applyNumberFormat="1" applyFont="1" applyBorder="1" applyAlignment="1">
      <alignment horizontal="center" vertical="top"/>
    </xf>
    <xf numFmtId="0" fontId="31" fillId="0" borderId="58" xfId="4495" applyFont="1" applyBorder="1" applyAlignment="1">
      <alignment vertical="top"/>
    </xf>
    <xf numFmtId="0" fontId="23" fillId="0" borderId="58" xfId="4495" applyFont="1" applyBorder="1" applyAlignment="1">
      <alignment vertical="top" wrapText="1"/>
    </xf>
    <xf numFmtId="0" fontId="23" fillId="0" borderId="58" xfId="4495" applyFont="1" applyBorder="1"/>
    <xf numFmtId="0" fontId="22" fillId="0" borderId="58" xfId="4495" applyFont="1" applyBorder="1" applyAlignment="1">
      <alignment horizontal="center"/>
    </xf>
    <xf numFmtId="0" fontId="119" fillId="0" borderId="61" xfId="4495" applyBorder="1"/>
    <xf numFmtId="0" fontId="119" fillId="0" borderId="0" xfId="4495" applyAlignment="1">
      <alignment horizontal="center"/>
    </xf>
    <xf numFmtId="0" fontId="15" fillId="0" borderId="53" xfId="543" applyBorder="1"/>
    <xf numFmtId="0" fontId="23" fillId="0" borderId="54" xfId="4495" applyFont="1" applyBorder="1"/>
    <xf numFmtId="0" fontId="15" fillId="0" borderId="58" xfId="543" applyBorder="1"/>
    <xf numFmtId="1" fontId="23" fillId="0" borderId="58" xfId="4495" applyNumberFormat="1" applyFont="1" applyBorder="1" applyAlignment="1">
      <alignment horizontal="center" vertical="top"/>
    </xf>
    <xf numFmtId="0" fontId="31" fillId="0" borderId="58" xfId="4495" applyFont="1" applyBorder="1" applyAlignment="1">
      <alignment vertical="center"/>
    </xf>
    <xf numFmtId="0" fontId="119" fillId="0" borderId="58" xfId="4495" applyBorder="1" applyAlignment="1">
      <alignment vertical="top" wrapText="1"/>
    </xf>
    <xf numFmtId="0" fontId="15" fillId="0" borderId="58" xfId="4495" applyFont="1" applyBorder="1"/>
    <xf numFmtId="0" fontId="31" fillId="0" borderId="0" xfId="4495" applyFont="1" applyAlignment="1">
      <alignment vertical="center"/>
    </xf>
    <xf numFmtId="0" fontId="23" fillId="0" borderId="53" xfId="4495" applyFont="1" applyBorder="1"/>
    <xf numFmtId="0" fontId="15" fillId="0" borderId="57" xfId="543" applyBorder="1"/>
    <xf numFmtId="0" fontId="23" fillId="0" borderId="58" xfId="4495" applyFont="1" applyBorder="1" applyAlignment="1">
      <alignment vertical="top"/>
    </xf>
    <xf numFmtId="0" fontId="23" fillId="0" borderId="59" xfId="4495" applyFont="1" applyBorder="1"/>
    <xf numFmtId="0" fontId="23" fillId="0" borderId="57" xfId="4495" applyFont="1" applyBorder="1"/>
    <xf numFmtId="0" fontId="15" fillId="0" borderId="51" xfId="4495" applyFont="1" applyBorder="1"/>
    <xf numFmtId="0" fontId="23" fillId="0" borderId="52" xfId="4495" applyFont="1" applyBorder="1"/>
    <xf numFmtId="0" fontId="15" fillId="0" borderId="50" xfId="543" applyBorder="1"/>
    <xf numFmtId="0" fontId="15" fillId="0" borderId="51" xfId="543" applyBorder="1"/>
    <xf numFmtId="0" fontId="15" fillId="0" borderId="52" xfId="543" applyBorder="1"/>
    <xf numFmtId="0" fontId="23" fillId="0" borderId="0" xfId="4495" applyFont="1" applyAlignment="1">
      <alignment wrapText="1"/>
    </xf>
    <xf numFmtId="0" fontId="22" fillId="0" borderId="54" xfId="4495" applyFont="1" applyBorder="1" applyAlignment="1">
      <alignment horizontal="center" vertical="top"/>
    </xf>
    <xf numFmtId="0" fontId="119" fillId="0" borderId="53" xfId="4495" applyBorder="1" applyAlignment="1">
      <alignment horizontal="center"/>
    </xf>
    <xf numFmtId="2" fontId="23" fillId="0" borderId="0" xfId="4495" applyNumberFormat="1" applyFont="1" applyAlignment="1">
      <alignment horizontal="right"/>
    </xf>
    <xf numFmtId="2" fontId="23" fillId="0" borderId="8" xfId="4495" applyNumberFormat="1" applyFont="1" applyBorder="1" applyAlignment="1">
      <alignment horizontal="left"/>
    </xf>
    <xf numFmtId="0" fontId="23"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2" fillId="0" borderId="59" xfId="4495" applyFont="1" applyBorder="1" applyAlignment="1">
      <alignment horizontal="center"/>
    </xf>
    <xf numFmtId="9" fontId="23" fillId="0" borderId="0" xfId="4495" applyNumberFormat="1" applyFont="1" applyAlignment="1">
      <alignment horizontal="left"/>
    </xf>
    <xf numFmtId="0" fontId="15" fillId="0" borderId="17" xfId="543" applyBorder="1"/>
    <xf numFmtId="0" fontId="15" fillId="0" borderId="16" xfId="543" applyBorder="1"/>
    <xf numFmtId="0" fontId="15" fillId="0" borderId="51" xfId="4495" quotePrefix="1" applyFont="1" applyBorder="1" applyAlignment="1">
      <alignment horizontal="center" vertical="top"/>
    </xf>
    <xf numFmtId="0" fontId="23" fillId="0" borderId="53" xfId="4495" applyFont="1" applyBorder="1" applyAlignment="1">
      <alignment horizontal="left" vertical="top"/>
    </xf>
    <xf numFmtId="0" fontId="23" fillId="0" borderId="0" xfId="4495" applyFont="1" applyAlignment="1">
      <alignment horizontal="center" vertical="top"/>
    </xf>
    <xf numFmtId="0" fontId="23" fillId="0" borderId="57" xfId="4495" applyFont="1" applyBorder="1" applyAlignment="1">
      <alignment horizontal="left" vertical="top"/>
    </xf>
    <xf numFmtId="0" fontId="23" fillId="0" borderId="58" xfId="4495" applyFont="1" applyBorder="1" applyAlignment="1">
      <alignment horizontal="center" vertical="top"/>
    </xf>
    <xf numFmtId="0" fontId="119" fillId="0" borderId="58" xfId="4495" applyBorder="1"/>
    <xf numFmtId="0" fontId="22" fillId="0" borderId="58" xfId="4495" applyFont="1" applyBorder="1" applyAlignment="1">
      <alignment vertical="top"/>
    </xf>
    <xf numFmtId="0" fontId="22" fillId="0" borderId="58" xfId="4495" applyFont="1" applyBorder="1" applyAlignment="1">
      <alignment horizontal="left" vertical="top"/>
    </xf>
    <xf numFmtId="0" fontId="22" fillId="0" borderId="51" xfId="4495" applyFont="1" applyBorder="1" applyAlignment="1">
      <alignment horizontal="left" vertical="top"/>
    </xf>
    <xf numFmtId="0" fontId="22" fillId="0" borderId="53" xfId="4495" applyFont="1" applyBorder="1" applyAlignment="1">
      <alignment horizontal="left" vertical="top"/>
    </xf>
    <xf numFmtId="0" fontId="52" fillId="0" borderId="0" xfId="4495" applyFont="1" applyAlignment="1">
      <alignment horizontal="left" vertical="top"/>
    </xf>
    <xf numFmtId="0" fontId="23"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1" fillId="0" borderId="53" xfId="4495" applyFont="1" applyBorder="1"/>
    <xf numFmtId="2" fontId="23" fillId="0" borderId="8" xfId="4495" applyNumberFormat="1" applyFont="1" applyBorder="1" applyAlignment="1">
      <alignment horizontal="right"/>
    </xf>
    <xf numFmtId="0" fontId="22"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2" fillId="0" borderId="58" xfId="4495" applyNumberFormat="1" applyFont="1" applyBorder="1" applyAlignment="1">
      <alignment vertical="top"/>
    </xf>
    <xf numFmtId="172" fontId="22" fillId="0" borderId="8" xfId="543" applyNumberFormat="1" applyFont="1" applyBorder="1"/>
    <xf numFmtId="172" fontId="22" fillId="0" borderId="0" xfId="543" applyNumberFormat="1" applyFont="1"/>
    <xf numFmtId="0" fontId="31" fillId="0" borderId="0" xfId="4495" applyFont="1" applyAlignment="1">
      <alignment wrapText="1"/>
    </xf>
    <xf numFmtId="0" fontId="31" fillId="0" borderId="0" xfId="4495" applyFont="1" applyAlignment="1">
      <alignment horizontal="center"/>
    </xf>
    <xf numFmtId="0" fontId="31" fillId="0" borderId="0" xfId="4495" applyFont="1" applyAlignment="1">
      <alignment vertical="center" wrapText="1"/>
    </xf>
    <xf numFmtId="180" fontId="23" fillId="0" borderId="0" xfId="4495" applyNumberFormat="1" applyFont="1" applyAlignment="1">
      <alignment horizontal="center"/>
    </xf>
    <xf numFmtId="1" fontId="23" fillId="0" borderId="0" xfId="4495" applyNumberFormat="1" applyFont="1" applyAlignment="1">
      <alignment horizontal="center"/>
    </xf>
    <xf numFmtId="0" fontId="22" fillId="0" borderId="51" xfId="4495" applyFont="1" applyBorder="1" applyAlignment="1">
      <alignment horizontal="center"/>
    </xf>
    <xf numFmtId="0" fontId="22" fillId="0" borderId="51" xfId="4495" applyFont="1" applyBorder="1" applyAlignment="1">
      <alignment vertical="top"/>
    </xf>
    <xf numFmtId="0" fontId="22" fillId="0" borderId="53" xfId="4495" applyFont="1" applyBorder="1"/>
    <xf numFmtId="0" fontId="15" fillId="0" borderId="54" xfId="543" applyBorder="1"/>
    <xf numFmtId="49" fontId="23" fillId="0" borderId="0" xfId="4495" applyNumberFormat="1" applyFont="1" applyAlignment="1">
      <alignment horizontal="left" vertical="center" wrapText="1"/>
    </xf>
    <xf numFmtId="0" fontId="15" fillId="0" borderId="57" xfId="4495" applyFont="1" applyBorder="1"/>
    <xf numFmtId="1" fontId="15" fillId="0" borderId="0" xfId="4495" applyNumberFormat="1" applyFont="1" applyAlignment="1">
      <alignment vertical="center"/>
    </xf>
    <xf numFmtId="0" fontId="33" fillId="0" borderId="50" xfId="4495" applyFont="1" applyBorder="1"/>
    <xf numFmtId="0" fontId="23" fillId="0" borderId="51" xfId="4495" applyFont="1" applyBorder="1" applyAlignment="1">
      <alignment horizontal="center" vertical="top"/>
    </xf>
    <xf numFmtId="0" fontId="23" fillId="0" borderId="51" xfId="4495" applyFont="1" applyBorder="1" applyAlignment="1">
      <alignment vertical="top" wrapText="1"/>
    </xf>
    <xf numFmtId="0" fontId="23" fillId="0" borderId="51" xfId="4495" applyFont="1" applyBorder="1" applyAlignment="1">
      <alignment horizontal="left" vertical="top" wrapText="1"/>
    </xf>
    <xf numFmtId="0" fontId="15" fillId="0" borderId="0" xfId="4495" quotePrefix="1" applyFont="1" applyAlignment="1">
      <alignment horizontal="center" vertical="top"/>
    </xf>
    <xf numFmtId="1" fontId="23" fillId="0" borderId="0" xfId="4495" quotePrefix="1" applyNumberFormat="1" applyFont="1" applyAlignment="1">
      <alignment wrapText="1"/>
    </xf>
    <xf numFmtId="0" fontId="23" fillId="0" borderId="6" xfId="4495" applyFont="1" applyBorder="1" applyAlignment="1">
      <alignment horizontal="right"/>
    </xf>
    <xf numFmtId="0" fontId="121" fillId="0" borderId="0" xfId="4496" applyFont="1" applyAlignment="1">
      <alignment wrapText="1"/>
    </xf>
    <xf numFmtId="0" fontId="15" fillId="0" borderId="0" xfId="4496" applyFont="1" applyAlignment="1">
      <alignment wrapText="1"/>
    </xf>
    <xf numFmtId="0" fontId="31" fillId="0" borderId="51" xfId="4495" applyFont="1" applyBorder="1" applyAlignment="1">
      <alignment vertical="top"/>
    </xf>
    <xf numFmtId="0" fontId="15" fillId="0" borderId="51" xfId="4496" applyFont="1" applyBorder="1" applyAlignment="1">
      <alignment wrapText="1"/>
    </xf>
    <xf numFmtId="0" fontId="22" fillId="0" borderId="51" xfId="4495" applyFont="1" applyBorder="1" applyAlignment="1">
      <alignment horizontal="right"/>
    </xf>
    <xf numFmtId="0" fontId="15" fillId="0" borderId="52" xfId="4495" applyFont="1" applyBorder="1" applyAlignment="1">
      <alignment horizontal="center"/>
    </xf>
    <xf numFmtId="0" fontId="15" fillId="0" borderId="53" xfId="4495" applyFont="1" applyBorder="1" applyAlignment="1">
      <alignment horizontal="left" vertical="top"/>
    </xf>
    <xf numFmtId="0" fontId="15" fillId="0" borderId="54" xfId="4495" applyFont="1" applyBorder="1" applyAlignment="1">
      <alignment horizontal="left" vertical="top"/>
    </xf>
    <xf numFmtId="0" fontId="15" fillId="0" borderId="54" xfId="4495" applyFont="1" applyBorder="1" applyAlignment="1">
      <alignment horizontal="center"/>
    </xf>
    <xf numFmtId="0" fontId="15" fillId="0" borderId="59" xfId="4495" applyFont="1" applyBorder="1" applyAlignment="1">
      <alignment horizontal="center"/>
    </xf>
    <xf numFmtId="9" fontId="15" fillId="0" borderId="0" xfId="4496" applyNumberFormat="1" applyFont="1" applyAlignment="1">
      <alignment horizontal="center"/>
    </xf>
    <xf numFmtId="1" fontId="15" fillId="0" borderId="0" xfId="543" applyNumberFormat="1"/>
    <xf numFmtId="0" fontId="23" fillId="0" borderId="1" xfId="4495" applyFont="1" applyBorder="1"/>
    <xf numFmtId="0" fontId="22" fillId="0" borderId="0" xfId="4495" applyFont="1" applyAlignment="1">
      <alignment horizontal="center" wrapText="1"/>
    </xf>
    <xf numFmtId="0" fontId="22" fillId="0" borderId="9" xfId="4495" applyFont="1" applyBorder="1" applyAlignment="1">
      <alignment horizontal="left"/>
    </xf>
    <xf numFmtId="0" fontId="22" fillId="0" borderId="3" xfId="4495" applyFont="1" applyBorder="1" applyAlignment="1">
      <alignment horizontal="left"/>
    </xf>
    <xf numFmtId="0" fontId="22" fillId="0" borderId="4" xfId="4495" applyFont="1" applyBorder="1" applyAlignment="1">
      <alignment horizontal="left"/>
    </xf>
    <xf numFmtId="0" fontId="15" fillId="0" borderId="2" xfId="4495" applyFont="1" applyBorder="1" applyAlignment="1">
      <alignment horizontal="left"/>
    </xf>
    <xf numFmtId="0" fontId="22" fillId="0" borderId="2" xfId="4495" applyFont="1" applyBorder="1" applyAlignment="1">
      <alignment horizontal="left"/>
    </xf>
    <xf numFmtId="0" fontId="22" fillId="0" borderId="5" xfId="4495" applyFont="1" applyBorder="1" applyAlignment="1">
      <alignment horizontal="left"/>
    </xf>
    <xf numFmtId="180" fontId="63" fillId="0" borderId="0" xfId="4495" applyNumberFormat="1" applyFont="1" applyAlignment="1">
      <alignment horizontal="center" vertical="center"/>
    </xf>
    <xf numFmtId="0" fontId="15" fillId="0" borderId="12" xfId="4495" applyFont="1" applyBorder="1" applyAlignment="1">
      <alignment vertical="top"/>
    </xf>
    <xf numFmtId="0" fontId="45" fillId="0" borderId="0" xfId="4495" applyFont="1" applyAlignment="1">
      <alignment vertical="top" wrapText="1"/>
    </xf>
    <xf numFmtId="0" fontId="15" fillId="0" borderId="51" xfId="4495" applyFont="1" applyBorder="1" applyAlignment="1">
      <alignment horizontal="left" vertical="top" wrapText="1"/>
    </xf>
    <xf numFmtId="0" fontId="15" fillId="0" borderId="51" xfId="4495" applyFont="1" applyBorder="1" applyAlignment="1">
      <alignment horizontal="right"/>
    </xf>
    <xf numFmtId="0" fontId="15" fillId="0" borderId="52" xfId="4495" applyFont="1" applyBorder="1" applyAlignment="1">
      <alignment horizontal="right"/>
    </xf>
    <xf numFmtId="0" fontId="15" fillId="0" borderId="54" xfId="4495" applyFont="1" applyBorder="1" applyAlignment="1">
      <alignment horizontal="right"/>
    </xf>
    <xf numFmtId="0" fontId="15" fillId="0" borderId="58" xfId="4495" applyFont="1" applyBorder="1" applyAlignment="1">
      <alignment horizontal="left" vertical="top" wrapText="1"/>
    </xf>
    <xf numFmtId="0" fontId="15" fillId="0" borderId="58" xfId="4495" applyFont="1" applyBorder="1" applyAlignment="1">
      <alignment horizontal="right"/>
    </xf>
    <xf numFmtId="0" fontId="15" fillId="0" borderId="59" xfId="4495" applyFont="1" applyBorder="1" applyAlignment="1">
      <alignment horizontal="right"/>
    </xf>
    <xf numFmtId="0" fontId="45" fillId="0" borderId="0" xfId="4495" applyFont="1" applyAlignment="1">
      <alignment horizontal="left" vertical="top" wrapText="1"/>
    </xf>
    <xf numFmtId="0" fontId="15" fillId="0" borderId="0" xfId="1192" applyAlignment="1">
      <alignment horizontal="left" vertical="top"/>
    </xf>
    <xf numFmtId="0" fontId="33" fillId="0" borderId="0" xfId="1192" applyFont="1" applyAlignment="1">
      <alignment horizontal="left" vertical="top"/>
    </xf>
    <xf numFmtId="0" fontId="15" fillId="0" borderId="0" xfId="1192" applyAlignment="1">
      <alignment vertical="top"/>
    </xf>
    <xf numFmtId="168" fontId="15" fillId="0" borderId="0" xfId="1192" applyNumberFormat="1"/>
    <xf numFmtId="165" fontId="15" fillId="0" borderId="0" xfId="1192" applyNumberFormat="1"/>
    <xf numFmtId="165" fontId="15" fillId="0" borderId="0" xfId="1192" applyNumberFormat="1" applyAlignment="1">
      <alignment horizontal="right"/>
    </xf>
    <xf numFmtId="2" fontId="15" fillId="0" borderId="0" xfId="1192" applyNumberFormat="1"/>
    <xf numFmtId="6" fontId="15" fillId="0" borderId="0" xfId="1192" applyNumberFormat="1"/>
    <xf numFmtId="0" fontId="22" fillId="0" borderId="0" xfId="1192" applyFont="1"/>
    <xf numFmtId="0" fontId="45" fillId="0" borderId="0" xfId="1192" applyFont="1"/>
    <xf numFmtId="168" fontId="15" fillId="0" borderId="0" xfId="4495" applyNumberFormat="1" applyFont="1"/>
    <xf numFmtId="0" fontId="22"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5" fillId="0" borderId="0" xfId="1192" applyNumberFormat="1" applyAlignment="1">
      <alignment horizontal="center"/>
    </xf>
    <xf numFmtId="9" fontId="15" fillId="0" borderId="0" xfId="1192" applyNumberFormat="1"/>
    <xf numFmtId="0" fontId="15" fillId="0" borderId="0" xfId="1192" applyAlignment="1">
      <alignment horizontal="right"/>
    </xf>
    <xf numFmtId="0" fontId="15" fillId="0" borderId="53" xfId="4495" applyFont="1" applyBorder="1" applyAlignment="1">
      <alignment horizontal="left"/>
    </xf>
    <xf numFmtId="6" fontId="22" fillId="0" borderId="0" xfId="1192" applyNumberFormat="1" applyFont="1" applyAlignment="1">
      <alignment horizontal="right"/>
    </xf>
    <xf numFmtId="165" fontId="15" fillId="0" borderId="0" xfId="4495" applyNumberFormat="1" applyFont="1"/>
    <xf numFmtId="0" fontId="53" fillId="0" borderId="4" xfId="4495" applyFont="1" applyBorder="1"/>
    <xf numFmtId="0" fontId="35" fillId="0" borderId="0" xfId="543" applyFont="1" applyAlignment="1">
      <alignment vertical="center" wrapText="1"/>
    </xf>
    <xf numFmtId="1" fontId="22" fillId="0" borderId="13" xfId="271" applyNumberFormat="1" applyFont="1" applyBorder="1"/>
    <xf numFmtId="1" fontId="24" fillId="0" borderId="13" xfId="271" applyNumberFormat="1" applyBorder="1"/>
    <xf numFmtId="0" fontId="15" fillId="0" borderId="11" xfId="0" applyFont="1" applyBorder="1"/>
    <xf numFmtId="9" fontId="15"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3" fillId="0" borderId="0" xfId="4495" applyNumberFormat="1" applyFont="1"/>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22" fillId="0" borderId="7" xfId="0" applyFont="1" applyBorder="1" applyAlignment="1">
      <alignment horizontal="right"/>
    </xf>
    <xf numFmtId="0" fontId="0" fillId="0" borderId="0" xfId="0" applyAlignment="1" applyProtection="1">
      <alignment horizontal="left" vertical="top" wrapText="1"/>
      <protection locked="0"/>
    </xf>
    <xf numFmtId="2" fontId="15" fillId="0" borderId="0" xfId="0" applyNumberFormat="1" applyFont="1"/>
    <xf numFmtId="0" fontId="15" fillId="0" borderId="9" xfId="0" applyFont="1" applyBorder="1" applyAlignment="1">
      <alignment horizontal="left"/>
    </xf>
    <xf numFmtId="0" fontId="15" fillId="0" borderId="6" xfId="0" applyFont="1" applyBorder="1"/>
    <xf numFmtId="0" fontId="15" fillId="0" borderId="9" xfId="0" applyFont="1" applyBorder="1"/>
    <xf numFmtId="0" fontId="48" fillId="0" borderId="0" xfId="0" applyFont="1" applyAlignment="1">
      <alignment horizontal="center"/>
    </xf>
    <xf numFmtId="0" fontId="21" fillId="0" borderId="0" xfId="0" applyFont="1" applyAlignment="1">
      <alignment horizontal="center" vertical="center" wrapText="1"/>
    </xf>
    <xf numFmtId="0" fontId="30" fillId="0" borderId="0" xfId="0" applyFont="1" applyAlignment="1">
      <alignment horizontal="center"/>
    </xf>
    <xf numFmtId="0" fontId="23" fillId="0" borderId="0" xfId="0" applyFont="1" applyAlignment="1">
      <alignment horizontal="center"/>
    </xf>
    <xf numFmtId="0" fontId="22" fillId="0" borderId="3" xfId="0" applyFont="1" applyBorder="1"/>
    <xf numFmtId="0" fontId="22" fillId="0" borderId="4" xfId="271" applyFont="1" applyBorder="1"/>
    <xf numFmtId="0" fontId="22" fillId="0" borderId="3" xfId="271" applyFont="1" applyBorder="1"/>
    <xf numFmtId="0" fontId="22" fillId="0" borderId="5" xfId="271" applyFont="1" applyBorder="1"/>
    <xf numFmtId="0" fontId="15" fillId="0" borderId="58" xfId="4495" applyFont="1" applyBorder="1" applyAlignment="1">
      <alignment vertical="center" wrapText="1"/>
    </xf>
    <xf numFmtId="0" fontId="15" fillId="0" borderId="59" xfId="4495" applyFont="1" applyBorder="1" applyAlignment="1">
      <alignment vertical="center" wrapText="1"/>
    </xf>
    <xf numFmtId="0" fontId="15" fillId="0" borderId="0" xfId="4495" applyFont="1" applyAlignment="1">
      <alignment horizontal="left" vertical="center" wrapText="1"/>
    </xf>
    <xf numFmtId="0" fontId="22" fillId="0" borderId="5" xfId="0" applyFont="1" applyBorder="1"/>
    <xf numFmtId="168" fontId="20" fillId="43" borderId="0" xfId="0" applyNumberFormat="1" applyFont="1" applyFill="1"/>
    <xf numFmtId="9" fontId="23" fillId="0" borderId="0" xfId="543" applyNumberFormat="1" applyFont="1" applyAlignment="1">
      <alignment horizontal="center"/>
    </xf>
    <xf numFmtId="171" fontId="15" fillId="0" borderId="0" xfId="543" applyNumberFormat="1"/>
    <xf numFmtId="171" fontId="15" fillId="0" borderId="11" xfId="543" applyNumberFormat="1" applyBorder="1"/>
    <xf numFmtId="1" fontId="15" fillId="0" borderId="11" xfId="543" applyNumberFormat="1" applyBorder="1" applyAlignment="1">
      <alignment horizontal="center"/>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35" fillId="0" borderId="12" xfId="543" applyFont="1" applyBorder="1" applyAlignment="1">
      <alignment horizontal="center" vertical="top"/>
    </xf>
    <xf numFmtId="0" fontId="36" fillId="0" borderId="7" xfId="543" applyFont="1" applyBorder="1"/>
    <xf numFmtId="0" fontId="15" fillId="0" borderId="12" xfId="543" quotePrefix="1" applyBorder="1"/>
    <xf numFmtId="0" fontId="52" fillId="0" borderId="2" xfId="569" applyFont="1" applyBorder="1" applyAlignment="1">
      <alignment vertical="top"/>
    </xf>
    <xf numFmtId="0" fontId="25" fillId="0" borderId="0" xfId="4495" applyFont="1"/>
    <xf numFmtId="0" fontId="15" fillId="0" borderId="0" xfId="4495" applyFont="1" applyAlignment="1">
      <alignment vertical="top" wrapText="1" shrinkToFit="1"/>
    </xf>
    <xf numFmtId="0" fontId="155" fillId="0" borderId="0" xfId="4495" applyFont="1"/>
    <xf numFmtId="164" fontId="15" fillId="0" borderId="0" xfId="1192" applyNumberFormat="1" applyAlignment="1">
      <alignment horizontal="right"/>
    </xf>
    <xf numFmtId="164" fontId="15" fillId="0" borderId="0" xfId="4495" applyNumberFormat="1" applyFont="1" applyAlignment="1">
      <alignment horizontal="right"/>
    </xf>
    <xf numFmtId="0" fontId="15" fillId="0" borderId="0" xfId="4495" applyFont="1" applyAlignment="1">
      <alignment horizontal="left" vertical="top" wrapText="1" shrinkToFit="1"/>
    </xf>
    <xf numFmtId="0" fontId="15" fillId="0" borderId="6" xfId="4495" applyFont="1" applyBorder="1" applyAlignment="1">
      <alignment vertical="top" wrapText="1"/>
    </xf>
    <xf numFmtId="0" fontId="155" fillId="0" borderId="4" xfId="4495" applyFont="1" applyBorder="1"/>
    <xf numFmtId="0" fontId="15" fillId="0" borderId="4" xfId="4495" applyFont="1" applyBorder="1" applyAlignment="1">
      <alignment horizontal="left" vertical="top" wrapText="1" shrinkToFit="1"/>
    </xf>
    <xf numFmtId="0" fontId="25" fillId="0" borderId="0" xfId="4495" applyFont="1" applyAlignment="1">
      <alignment horizontal="left" vertical="top"/>
    </xf>
    <xf numFmtId="0" fontId="15" fillId="0" borderId="0" xfId="4495" applyFont="1" applyAlignment="1">
      <alignment vertical="center" wrapText="1" shrinkToFit="1"/>
    </xf>
    <xf numFmtId="0" fontId="15" fillId="0" borderId="0" xfId="4495" applyFont="1" applyAlignment="1">
      <alignment horizontal="left" vertical="top" shrinkToFit="1"/>
    </xf>
    <xf numFmtId="0" fontId="15" fillId="0" borderId="0" xfId="4495" applyFont="1" applyAlignment="1">
      <alignment horizontal="left" vertical="center" shrinkToFit="1"/>
    </xf>
    <xf numFmtId="0" fontId="25" fillId="0" borderId="4" xfId="4495" applyFont="1" applyBorder="1"/>
    <xf numFmtId="0" fontId="15" fillId="0" borderId="4" xfId="4495" applyFont="1" applyBorder="1" applyAlignment="1">
      <alignment horizontal="left" vertical="top" shrinkToFit="1"/>
    </xf>
    <xf numFmtId="0" fontId="15" fillId="0" borderId="0" xfId="4495" applyFont="1" applyAlignment="1">
      <alignment vertical="center"/>
    </xf>
    <xf numFmtId="0" fontId="21" fillId="0" borderId="0" xfId="4495" applyFont="1"/>
    <xf numFmtId="0" fontId="25" fillId="0" borderId="0" xfId="4495" applyFont="1" applyAlignment="1">
      <alignment horizontal="center"/>
    </xf>
    <xf numFmtId="0" fontId="15" fillId="0" borderId="4" xfId="4495" applyFont="1" applyBorder="1" applyAlignment="1">
      <alignment horizontal="left" vertical="top" wrapText="1"/>
    </xf>
    <xf numFmtId="44" fontId="15" fillId="0" borderId="0" xfId="707" applyFont="1" applyFill="1" applyBorder="1" applyAlignment="1" applyProtection="1">
      <alignment horizontal="left" vertical="top" wrapText="1"/>
    </xf>
    <xf numFmtId="44" fontId="15" fillId="0" borderId="4" xfId="707" applyFont="1" applyFill="1" applyBorder="1" applyAlignment="1" applyProtection="1">
      <alignment horizontal="left" vertical="top" wrapText="1"/>
    </xf>
    <xf numFmtId="164" fontId="33" fillId="0" borderId="0" xfId="4495" applyNumberFormat="1" applyFont="1" applyAlignment="1">
      <alignment horizontal="left"/>
    </xf>
    <xf numFmtId="0" fontId="25" fillId="0" borderId="0" xfId="4495" applyFont="1" applyAlignment="1">
      <alignment horizontal="left"/>
    </xf>
    <xf numFmtId="0" fontId="15" fillId="0" borderId="4" xfId="4495" applyFont="1" applyBorder="1" applyAlignment="1">
      <alignment vertical="top" wrapText="1"/>
    </xf>
    <xf numFmtId="0" fontId="25" fillId="0" borderId="4" xfId="4495" applyFont="1" applyBorder="1" applyAlignment="1">
      <alignment horizontal="left" vertical="top"/>
    </xf>
    <xf numFmtId="0" fontId="15" fillId="0" borderId="0" xfId="4495" applyFont="1" applyAlignment="1">
      <alignment horizontal="left" vertical="center" wrapText="1" shrinkToFit="1"/>
    </xf>
    <xf numFmtId="0" fontId="15" fillId="0" borderId="6" xfId="4495" applyFont="1" applyBorder="1" applyAlignment="1">
      <alignment horizontal="left" vertical="top" wrapText="1"/>
    </xf>
    <xf numFmtId="2" fontId="117" fillId="0" borderId="0" xfId="0" applyNumberFormat="1" applyFont="1" applyAlignment="1">
      <alignment horizontal="center"/>
    </xf>
    <xf numFmtId="9" fontId="15" fillId="0" borderId="0" xfId="4494" applyFont="1" applyAlignment="1">
      <alignment horizontal="center"/>
    </xf>
    <xf numFmtId="3" fontId="15" fillId="0" borderId="0" xfId="0" applyNumberFormat="1" applyFont="1"/>
    <xf numFmtId="10" fontId="15" fillId="0" borderId="0" xfId="0" applyNumberFormat="1" applyFont="1" applyAlignment="1">
      <alignment horizontal="center"/>
    </xf>
    <xf numFmtId="168" fontId="15" fillId="0" borderId="0" xfId="0" applyNumberFormat="1" applyFont="1"/>
    <xf numFmtId="172" fontId="15" fillId="0" borderId="11" xfId="0" applyNumberFormat="1" applyFont="1" applyBorder="1" applyAlignment="1">
      <alignment horizontal="center"/>
    </xf>
    <xf numFmtId="168" fontId="15" fillId="5" borderId="0" xfId="0" applyNumberFormat="1" applyFont="1" applyFill="1"/>
    <xf numFmtId="3" fontId="15" fillId="5" borderId="0" xfId="0" applyNumberFormat="1" applyFont="1" applyFill="1"/>
    <xf numFmtId="0" fontId="15" fillId="5" borderId="0" xfId="0" applyFont="1" applyFill="1"/>
    <xf numFmtId="3" fontId="15" fillId="5" borderId="6" xfId="0" applyNumberFormat="1" applyFont="1" applyFill="1" applyBorder="1"/>
    <xf numFmtId="3" fontId="15" fillId="0" borderId="6" xfId="0" applyNumberFormat="1" applyFont="1" applyBorder="1"/>
    <xf numFmtId="168" fontId="15" fillId="0" borderId="0" xfId="0" applyNumberFormat="1" applyFont="1" applyAlignment="1">
      <alignment horizontal="center"/>
    </xf>
    <xf numFmtId="3" fontId="15" fillId="0" borderId="0" xfId="0" applyNumberFormat="1" applyFont="1" applyAlignment="1">
      <alignment horizontal="center"/>
    </xf>
    <xf numFmtId="0" fontId="15" fillId="0" borderId="50" xfId="4495" applyFont="1" applyBorder="1" applyAlignment="1">
      <alignment vertical="center"/>
    </xf>
    <xf numFmtId="0" fontId="15" fillId="0" borderId="51" xfId="4495" applyFont="1" applyBorder="1" applyAlignment="1">
      <alignment vertical="center"/>
    </xf>
    <xf numFmtId="0" fontId="15" fillId="0" borderId="52" xfId="4495" applyFont="1" applyBorder="1" applyAlignment="1">
      <alignment vertical="center"/>
    </xf>
    <xf numFmtId="0" fontId="15" fillId="0" borderId="54" xfId="4495" applyFont="1" applyBorder="1" applyAlignment="1">
      <alignment vertical="center" wrapText="1"/>
    </xf>
    <xf numFmtId="0" fontId="15" fillId="0" borderId="53" xfId="4495" applyFont="1" applyBorder="1" applyAlignment="1">
      <alignment vertical="top" wrapText="1"/>
    </xf>
    <xf numFmtId="0" fontId="15" fillId="0" borderId="58" xfId="0" applyFont="1" applyBorder="1" applyAlignment="1">
      <alignment horizontal="left"/>
    </xf>
    <xf numFmtId="9" fontId="15" fillId="0" borderId="0" xfId="543" applyNumberFormat="1" applyAlignment="1">
      <alignment horizontal="center"/>
    </xf>
    <xf numFmtId="0" fontId="47" fillId="0" borderId="0" xfId="4496" applyFont="1"/>
    <xf numFmtId="168" fontId="52" fillId="5" borderId="11" xfId="0" applyNumberFormat="1" applyFont="1" applyFill="1" applyBorder="1" applyAlignment="1" applyProtection="1">
      <alignment vertical="top" wrapText="1"/>
      <protection locked="0"/>
    </xf>
    <xf numFmtId="0" fontId="15" fillId="0" borderId="0" xfId="0" applyFont="1" applyAlignment="1">
      <alignment horizontal="left" wrapText="1"/>
    </xf>
    <xf numFmtId="4" fontId="33" fillId="0" borderId="0" xfId="0" applyNumberFormat="1" applyFont="1" applyAlignment="1">
      <alignment horizontal="left"/>
    </xf>
    <xf numFmtId="4" fontId="15" fillId="0" borderId="0" xfId="0" applyNumberFormat="1" applyFont="1" applyAlignment="1">
      <alignment horizontal="left" vertical="top" wrapText="1"/>
    </xf>
    <xf numFmtId="0" fontId="22" fillId="0" borderId="4" xfId="0" applyFont="1" applyBorder="1" applyAlignment="1">
      <alignment horizontal="left"/>
    </xf>
    <xf numFmtId="4" fontId="15" fillId="0" borderId="0" xfId="0" applyNumberFormat="1" applyFont="1" applyAlignment="1">
      <alignment horizontal="left"/>
    </xf>
    <xf numFmtId="43" fontId="50" fillId="0" borderId="0" xfId="4504" applyFont="1" applyAlignment="1" applyProtection="1">
      <alignment horizontal="center"/>
    </xf>
    <xf numFmtId="43" fontId="15" fillId="0" borderId="0" xfId="4504" applyFont="1" applyAlignment="1" applyProtection="1">
      <alignment horizontal="center"/>
    </xf>
    <xf numFmtId="43" fontId="15" fillId="0" borderId="0" xfId="4504" applyFont="1" applyProtection="1"/>
    <xf numFmtId="49" fontId="15" fillId="0" borderId="0" xfId="0" applyNumberFormat="1" applyFont="1"/>
    <xf numFmtId="49" fontId="15" fillId="0" borderId="0" xfId="0" applyNumberFormat="1" applyFont="1" applyAlignment="1">
      <alignment horizontal="center"/>
    </xf>
    <xf numFmtId="4" fontId="15" fillId="0" borderId="0" xfId="0" applyNumberFormat="1" applyFont="1" applyAlignment="1">
      <alignment vertical="top" wrapText="1"/>
    </xf>
    <xf numFmtId="0" fontId="15" fillId="0" borderId="0" xfId="0" quotePrefix="1" applyFont="1"/>
    <xf numFmtId="0" fontId="45" fillId="0" borderId="0" xfId="0" applyFont="1" applyAlignment="1">
      <alignment horizontal="left"/>
    </xf>
    <xf numFmtId="0" fontId="15" fillId="0" borderId="4" xfId="0" applyFont="1" applyBorder="1" applyAlignment="1">
      <alignment horizontal="left"/>
    </xf>
    <xf numFmtId="0" fontId="15" fillId="0" borderId="0" xfId="0" quotePrefix="1" applyFont="1" applyAlignment="1">
      <alignment horizontal="left"/>
    </xf>
    <xf numFmtId="0" fontId="15" fillId="0" borderId="0" xfId="0" quotePrefix="1" applyFont="1" applyAlignment="1">
      <alignment horizontal="left" vertical="top"/>
    </xf>
    <xf numFmtId="0" fontId="45" fillId="0" borderId="0" xfId="1192" applyFont="1" applyAlignment="1">
      <alignment horizontal="left"/>
    </xf>
    <xf numFmtId="0" fontId="50" fillId="0" borderId="0" xfId="0" applyFont="1" applyAlignment="1">
      <alignment horizontal="center" vertical="center"/>
    </xf>
    <xf numFmtId="49" fontId="22" fillId="0" borderId="0" xfId="0" applyNumberFormat="1" applyFont="1" applyAlignment="1">
      <alignment horizontal="center" vertical="center"/>
    </xf>
    <xf numFmtId="49" fontId="15" fillId="0" borderId="0" xfId="0" applyNumberFormat="1" applyFont="1" applyAlignment="1">
      <alignment vertical="center"/>
    </xf>
    <xf numFmtId="4" fontId="15" fillId="0" borderId="0" xfId="0" applyNumberFormat="1" applyFont="1" applyAlignment="1">
      <alignment horizontal="center"/>
    </xf>
    <xf numFmtId="4" fontId="15" fillId="0" borderId="0" xfId="0" applyNumberFormat="1" applyFont="1"/>
    <xf numFmtId="10" fontId="15"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5" fillId="0" borderId="0" xfId="1192" quotePrefix="1" applyNumberFormat="1" applyAlignment="1">
      <alignment horizontal="center"/>
    </xf>
    <xf numFmtId="0" fontId="121" fillId="0" borderId="0" xfId="4495" applyFont="1"/>
    <xf numFmtId="10" fontId="121" fillId="0" borderId="0" xfId="4495" applyNumberFormat="1" applyFont="1"/>
    <xf numFmtId="172" fontId="15" fillId="0" borderId="0" xfId="4495" applyNumberFormat="1" applyFont="1"/>
    <xf numFmtId="0" fontId="38" fillId="0" borderId="0" xfId="0" applyFont="1" applyAlignment="1">
      <alignment horizontal="center"/>
    </xf>
    <xf numFmtId="0" fontId="34" fillId="0" borderId="0" xfId="0" applyFont="1" applyAlignment="1">
      <alignment horizontal="left"/>
    </xf>
    <xf numFmtId="0" fontId="0" fillId="0" borderId="10" xfId="0" applyBorder="1" applyAlignment="1">
      <alignment horizontal="left"/>
    </xf>
    <xf numFmtId="1" fontId="15" fillId="0" borderId="0" xfId="1192" applyNumberFormat="1" applyAlignment="1">
      <alignment horizontal="center"/>
    </xf>
    <xf numFmtId="0" fontId="119" fillId="0" borderId="63" xfId="4495" applyBorder="1"/>
    <xf numFmtId="0" fontId="52" fillId="0" borderId="0" xfId="271" applyFont="1" applyAlignment="1">
      <alignment vertical="top"/>
    </xf>
    <xf numFmtId="0" fontId="22" fillId="0" borderId="11" xfId="0" applyFont="1" applyBorder="1" applyAlignment="1">
      <alignment horizontal="right" vertical="top" wrapText="1"/>
    </xf>
    <xf numFmtId="0" fontId="24" fillId="0" borderId="11" xfId="271" applyBorder="1" applyAlignment="1" applyProtection="1">
      <alignment horizontal="right" vertical="top" wrapText="1"/>
      <protection locked="0"/>
    </xf>
    <xf numFmtId="0" fontId="15" fillId="0" borderId="54" xfId="4495" applyFont="1" applyBorder="1" applyAlignment="1">
      <alignment vertical="top"/>
    </xf>
    <xf numFmtId="9" fontId="24" fillId="0" borderId="0" xfId="0" applyNumberFormat="1" applyFont="1"/>
    <xf numFmtId="0" fontId="15" fillId="0" borderId="16" xfId="569" applyBorder="1" applyAlignment="1">
      <alignment horizontal="center"/>
    </xf>
    <xf numFmtId="164" fontId="15" fillId="0" borderId="57" xfId="4495" applyNumberFormat="1" applyFont="1" applyBorder="1" applyAlignment="1">
      <alignment vertical="top" wrapText="1"/>
    </xf>
    <xf numFmtId="164" fontId="15" fillId="0" borderId="58" xfId="4495" applyNumberFormat="1" applyFont="1" applyBorder="1" applyAlignment="1">
      <alignment vertical="top" wrapText="1"/>
    </xf>
    <xf numFmtId="164" fontId="15" fillId="0" borderId="59" xfId="4495" applyNumberFormat="1" applyFont="1" applyBorder="1" applyAlignment="1">
      <alignment vertical="top" wrapText="1"/>
    </xf>
    <xf numFmtId="0" fontId="22" fillId="0" borderId="0" xfId="1192" applyFont="1" applyAlignment="1">
      <alignment horizontal="left" vertical="top" wrapText="1"/>
    </xf>
    <xf numFmtId="0" fontId="15" fillId="0" borderId="16" xfId="569" applyBorder="1"/>
    <xf numFmtId="0" fontId="15" fillId="0" borderId="4" xfId="569" applyBorder="1"/>
    <xf numFmtId="0" fontId="22" fillId="0" borderId="4" xfId="569" applyFont="1" applyBorder="1"/>
    <xf numFmtId="49" fontId="15" fillId="0" borderId="4" xfId="569" applyNumberFormat="1" applyBorder="1"/>
    <xf numFmtId="0" fontId="161" fillId="0" borderId="0" xfId="0" applyFont="1"/>
    <xf numFmtId="0" fontId="15" fillId="0" borderId="0" xfId="0" applyFont="1" applyAlignment="1">
      <alignment horizontal="right"/>
    </xf>
    <xf numFmtId="1" fontId="15" fillId="0" borderId="0" xfId="0" applyNumberFormat="1" applyFont="1" applyAlignment="1">
      <alignment horizontal="center"/>
    </xf>
    <xf numFmtId="0" fontId="22" fillId="0" borderId="0" xfId="0" applyFont="1" applyAlignment="1">
      <alignment horizontal="left" vertical="center"/>
    </xf>
    <xf numFmtId="0" fontId="15" fillId="0" borderId="0" xfId="0" applyFont="1" applyAlignment="1">
      <alignment horizontal="left" vertical="center"/>
    </xf>
    <xf numFmtId="0" fontId="22" fillId="0" borderId="0" xfId="569" applyFont="1" applyAlignment="1">
      <alignment vertical="top"/>
    </xf>
    <xf numFmtId="0" fontId="16" fillId="0" borderId="0" xfId="244" applyAlignment="1"/>
    <xf numFmtId="0" fontId="22" fillId="0" borderId="0" xfId="0" applyFont="1" applyAlignment="1">
      <alignment vertical="top" wrapText="1"/>
    </xf>
    <xf numFmtId="49" fontId="22" fillId="0" borderId="0" xfId="0" applyNumberFormat="1" applyFont="1"/>
    <xf numFmtId="49" fontId="22" fillId="0" borderId="0" xfId="0" applyNumberFormat="1" applyFont="1" applyAlignment="1">
      <alignment vertical="top"/>
    </xf>
    <xf numFmtId="0" fontId="38" fillId="0" borderId="11" xfId="0" applyFont="1" applyBorder="1"/>
    <xf numFmtId="175" fontId="15"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2"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82" fontId="97" fillId="0" borderId="11" xfId="4496" applyNumberFormat="1" applyFont="1" applyBorder="1" applyAlignment="1">
      <alignment horizontal="left"/>
    </xf>
    <xf numFmtId="1" fontId="97" fillId="0" borderId="0" xfId="4496" applyNumberFormat="1" applyFont="1"/>
    <xf numFmtId="2" fontId="97" fillId="0" borderId="0" xfId="4496" applyNumberFormat="1" applyFont="1" applyAlignment="1">
      <alignment horizontal="center"/>
    </xf>
    <xf numFmtId="2"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2"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9" fontId="97" fillId="0" borderId="0" xfId="4494" applyFont="1" applyFill="1" applyBorder="1" applyProtection="1"/>
    <xf numFmtId="3" fontId="20" fillId="0" borderId="11" xfId="271" applyNumberFormat="1" applyFont="1" applyBorder="1" applyAlignment="1">
      <alignment horizontal="center"/>
    </xf>
    <xf numFmtId="3" fontId="20" fillId="43" borderId="11" xfId="271" applyNumberFormat="1" applyFont="1" applyFill="1" applyBorder="1" applyAlignment="1" applyProtection="1">
      <alignment horizontal="center"/>
      <protection locked="0"/>
    </xf>
    <xf numFmtId="3" fontId="20" fillId="43" borderId="11" xfId="271" applyNumberFormat="1" applyFont="1" applyFill="1" applyBorder="1" applyProtection="1">
      <protection locked="0"/>
    </xf>
    <xf numFmtId="0" fontId="97" fillId="0" borderId="0" xfId="4496" applyFont="1" applyAlignment="1">
      <alignment horizontal="right"/>
    </xf>
    <xf numFmtId="168" fontId="24"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71" xfId="4496" applyFont="1" applyBorder="1" applyAlignment="1">
      <alignment horizontal="center" vertical="top" wrapText="1"/>
    </xf>
    <xf numFmtId="0" fontId="136" fillId="0" borderId="71" xfId="4496" applyFont="1" applyBorder="1" applyAlignment="1">
      <alignment horizontal="center"/>
    </xf>
    <xf numFmtId="0" fontId="166"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86"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97" fillId="0" borderId="15" xfId="4496" applyNumberFormat="1" applyFont="1" applyBorder="1"/>
    <xf numFmtId="182" fontId="136" fillId="0" borderId="71" xfId="8722" applyNumberFormat="1" applyFont="1" applyBorder="1" applyProtection="1"/>
    <xf numFmtId="9" fontId="97" fillId="0" borderId="15" xfId="4494" applyFont="1" applyFill="1" applyBorder="1" applyAlignment="1" applyProtection="1">
      <alignment horizontal="right"/>
    </xf>
    <xf numFmtId="182" fontId="136" fillId="0" borderId="71" xfId="4496" applyNumberFormat="1" applyFont="1" applyBorder="1"/>
    <xf numFmtId="0" fontId="166" fillId="0" borderId="0" xfId="4496" applyFont="1" applyAlignment="1">
      <alignment horizontal="right"/>
    </xf>
    <xf numFmtId="0" fontId="97" fillId="0" borderId="0" xfId="4496" applyFont="1" applyAlignment="1">
      <alignment horizontal="right" vertical="top" wrapText="1" indent="1"/>
    </xf>
    <xf numFmtId="182" fontId="97" fillId="0" borderId="6" xfId="8722"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2"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2"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70" xfId="4496" applyFont="1" applyBorder="1" applyAlignment="1">
      <alignment horizontal="right" indent="1"/>
    </xf>
    <xf numFmtId="0" fontId="97" fillId="0" borderId="80" xfId="4496" applyFont="1" applyBorder="1" applyAlignment="1">
      <alignment horizontal="right" indent="1"/>
    </xf>
    <xf numFmtId="0" fontId="97" fillId="0" borderId="80" xfId="4496" quotePrefix="1" applyFont="1" applyBorder="1" applyAlignment="1">
      <alignment horizontal="right" indent="1"/>
    </xf>
    <xf numFmtId="0" fontId="97" fillId="0" borderId="72" xfId="4496" applyFont="1" applyBorder="1" applyAlignment="1">
      <alignment horizontal="right" indent="1"/>
    </xf>
    <xf numFmtId="182" fontId="97" fillId="0" borderId="74" xfId="4496" applyNumberFormat="1" applyFont="1" applyBorder="1"/>
    <xf numFmtId="182" fontId="97" fillId="0" borderId="91" xfId="4496" applyNumberFormat="1" applyFont="1" applyBorder="1"/>
    <xf numFmtId="182" fontId="97" fillId="0" borderId="93" xfId="4496" applyNumberFormat="1" applyFont="1" applyBorder="1"/>
    <xf numFmtId="175" fontId="22" fillId="0" borderId="0" xfId="543" applyNumberFormat="1" applyFont="1" applyAlignment="1">
      <alignment vertical="center"/>
    </xf>
    <xf numFmtId="10" fontId="136" fillId="0" borderId="0" xfId="4494" applyNumberFormat="1" applyFont="1" applyProtection="1"/>
    <xf numFmtId="0" fontId="22"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71"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3" xfId="4496" applyNumberFormat="1" applyFont="1" applyBorder="1"/>
    <xf numFmtId="0" fontId="136" fillId="0" borderId="4" xfId="4496" applyFont="1" applyBorder="1" applyAlignment="1">
      <alignment horizontal="left" indent="1"/>
    </xf>
    <xf numFmtId="0" fontId="97" fillId="0" borderId="4" xfId="4496" applyFont="1" applyBorder="1"/>
    <xf numFmtId="0" fontId="33" fillId="0" borderId="0" xfId="4495" applyFont="1" applyAlignment="1">
      <alignment vertical="center"/>
    </xf>
    <xf numFmtId="0" fontId="121" fillId="0" borderId="0" xfId="4496" applyFont="1" applyAlignment="1">
      <alignment vertical="center" wrapText="1"/>
    </xf>
    <xf numFmtId="0" fontId="20" fillId="43" borderId="0" xfId="1192" applyFont="1" applyFill="1"/>
    <xf numFmtId="3" fontId="67" fillId="43" borderId="6" xfId="1192" applyNumberFormat="1" applyFont="1" applyFill="1" applyBorder="1"/>
    <xf numFmtId="0" fontId="168" fillId="0" borderId="0" xfId="0" applyFont="1"/>
    <xf numFmtId="0" fontId="20" fillId="0" borderId="11" xfId="253" applyFont="1" applyBorder="1" applyAlignment="1" applyProtection="1">
      <alignment horizontal="center" wrapText="1"/>
      <protection locked="0"/>
    </xf>
    <xf numFmtId="0" fontId="169" fillId="0" borderId="0" xfId="0" applyFont="1"/>
    <xf numFmtId="0" fontId="170"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5" fillId="43" borderId="3" xfId="569" applyFill="1" applyBorder="1"/>
    <xf numFmtId="0" fontId="175" fillId="0" borderId="0" xfId="0" applyFont="1" applyAlignment="1">
      <alignment horizontal="right"/>
    </xf>
    <xf numFmtId="1" fontId="23" fillId="0" borderId="0" xfId="4495" applyNumberFormat="1" applyFont="1"/>
    <xf numFmtId="0" fontId="3" fillId="0" borderId="0" xfId="8726"/>
    <xf numFmtId="0" fontId="102" fillId="0" borderId="0" xfId="8726" applyFont="1"/>
    <xf numFmtId="0" fontId="154" fillId="0" borderId="0" xfId="8726" applyFont="1"/>
    <xf numFmtId="0" fontId="3" fillId="48" borderId="44" xfId="8726" applyFill="1" applyBorder="1"/>
    <xf numFmtId="0" fontId="3" fillId="48" borderId="42" xfId="8726" applyFill="1" applyBorder="1"/>
    <xf numFmtId="0" fontId="3" fillId="48" borderId="41" xfId="8726" applyFill="1" applyBorder="1"/>
    <xf numFmtId="0" fontId="3" fillId="44" borderId="44" xfId="8726" applyFill="1" applyBorder="1"/>
    <xf numFmtId="0" fontId="3" fillId="44" borderId="42" xfId="8726" applyFill="1" applyBorder="1"/>
    <xf numFmtId="0" fontId="3" fillId="44" borderId="86" xfId="8726" applyFill="1" applyBorder="1"/>
    <xf numFmtId="0" fontId="3" fillId="48" borderId="0" xfId="8726" applyFill="1"/>
    <xf numFmtId="0" fontId="3" fillId="44" borderId="41" xfId="8726" applyFill="1" applyBorder="1"/>
    <xf numFmtId="0" fontId="3" fillId="44" borderId="0" xfId="8726" applyFill="1"/>
    <xf numFmtId="0" fontId="3" fillId="44" borderId="66" xfId="8726" applyFill="1" applyBorder="1"/>
    <xf numFmtId="0" fontId="3" fillId="44" borderId="0" xfId="8726" applyFill="1" applyAlignment="1">
      <alignment horizontal="left"/>
    </xf>
    <xf numFmtId="0" fontId="3" fillId="48" borderId="86" xfId="8726" applyFill="1" applyBorder="1"/>
    <xf numFmtId="0" fontId="3" fillId="48" borderId="66" xfId="8726" applyFill="1" applyBorder="1"/>
    <xf numFmtId="49" fontId="101" fillId="48" borderId="66" xfId="8726" applyNumberFormat="1" applyFont="1" applyFill="1" applyBorder="1" applyAlignment="1">
      <alignment horizontal="right" vertical="top"/>
    </xf>
    <xf numFmtId="0" fontId="101" fillId="48" borderId="0" xfId="8726" applyFont="1" applyFill="1"/>
    <xf numFmtId="0" fontId="101" fillId="48" borderId="66" xfId="8726" applyFont="1" applyFill="1" applyBorder="1"/>
    <xf numFmtId="0" fontId="101" fillId="48" borderId="41" xfId="8726" applyFont="1" applyFill="1" applyBorder="1" applyAlignment="1">
      <alignment horizontal="center"/>
    </xf>
    <xf numFmtId="0" fontId="102" fillId="48" borderId="0" xfId="8726" applyFont="1" applyFill="1"/>
    <xf numFmtId="0" fontId="3" fillId="48" borderId="69" xfId="8726" applyFill="1" applyBorder="1"/>
    <xf numFmtId="168" fontId="158" fillId="48" borderId="68" xfId="700" applyNumberFormat="1" applyFont="1" applyFill="1" applyBorder="1" applyAlignment="1" applyProtection="1">
      <protection locked="0"/>
    </xf>
    <xf numFmtId="0" fontId="163" fillId="48" borderId="0" xfId="8726" applyFont="1" applyFill="1"/>
    <xf numFmtId="0" fontId="148" fillId="47" borderId="91" xfId="8726" applyFont="1" applyFill="1" applyBorder="1" applyAlignment="1">
      <alignment horizontal="center"/>
    </xf>
    <xf numFmtId="0" fontId="148" fillId="47" borderId="11" xfId="8726" applyFont="1" applyFill="1" applyBorder="1" applyAlignment="1">
      <alignment horizontal="center"/>
    </xf>
    <xf numFmtId="0" fontId="162" fillId="47" borderId="91" xfId="8726" applyFont="1" applyFill="1" applyBorder="1"/>
    <xf numFmtId="0" fontId="162" fillId="47" borderId="11" xfId="8726" applyFont="1" applyFill="1" applyBorder="1"/>
    <xf numFmtId="0" fontId="3" fillId="45" borderId="69" xfId="8726" applyFill="1" applyBorder="1"/>
    <xf numFmtId="0" fontId="3" fillId="45" borderId="68" xfId="8726" applyFill="1" applyBorder="1"/>
    <xf numFmtId="0" fontId="101" fillId="45" borderId="68" xfId="8726" applyFont="1" applyFill="1" applyBorder="1"/>
    <xf numFmtId="0" fontId="101" fillId="45" borderId="67" xfId="8726" applyFont="1" applyFill="1" applyBorder="1"/>
    <xf numFmtId="0" fontId="101" fillId="45" borderId="69" xfId="8726" applyFont="1" applyFill="1" applyBorder="1"/>
    <xf numFmtId="0" fontId="3" fillId="48" borderId="0" xfId="8726" applyFill="1" applyAlignment="1">
      <alignment horizontal="left"/>
    </xf>
    <xf numFmtId="0" fontId="152" fillId="48" borderId="0" xfId="8726" applyFont="1" applyFill="1"/>
    <xf numFmtId="0" fontId="101" fillId="45" borderId="89" xfId="8726" applyFont="1" applyFill="1" applyBorder="1"/>
    <xf numFmtId="0" fontId="101" fillId="45" borderId="76" xfId="8726" applyFont="1" applyFill="1" applyBorder="1"/>
    <xf numFmtId="0" fontId="101" fillId="45" borderId="75" xfId="8726" applyFont="1" applyFill="1" applyBorder="1"/>
    <xf numFmtId="0" fontId="101" fillId="45" borderId="31" xfId="8726" applyFont="1" applyFill="1" applyBorder="1"/>
    <xf numFmtId="0" fontId="101" fillId="45" borderId="29" xfId="8726" applyFont="1" applyFill="1" applyBorder="1"/>
    <xf numFmtId="0" fontId="101" fillId="45" borderId="65" xfId="8726" applyFont="1" applyFill="1" applyBorder="1"/>
    <xf numFmtId="0" fontId="3" fillId="45" borderId="83" xfId="8726" applyFill="1" applyBorder="1"/>
    <xf numFmtId="0" fontId="3" fillId="45" borderId="82" xfId="8726" applyFill="1" applyBorder="1"/>
    <xf numFmtId="0" fontId="3" fillId="45" borderId="81" xfId="8726" applyFill="1" applyBorder="1"/>
    <xf numFmtId="0" fontId="101" fillId="45" borderId="81" xfId="8726" applyFont="1" applyFill="1" applyBorder="1"/>
    <xf numFmtId="0" fontId="3" fillId="45" borderId="31" xfId="8726" applyFill="1" applyBorder="1"/>
    <xf numFmtId="0" fontId="3" fillId="45" borderId="29" xfId="8726" applyFill="1" applyBorder="1"/>
    <xf numFmtId="0" fontId="3" fillId="45" borderId="67" xfId="8726" applyFill="1" applyBorder="1"/>
    <xf numFmtId="0" fontId="85" fillId="0" borderId="0" xfId="8726" applyFont="1"/>
    <xf numFmtId="0" fontId="3" fillId="45" borderId="99" xfId="8726" applyFill="1" applyBorder="1"/>
    <xf numFmtId="0" fontId="3" fillId="45" borderId="65" xfId="8726" applyFill="1" applyBorder="1"/>
    <xf numFmtId="0" fontId="101" fillId="45" borderId="28" xfId="8726" applyFont="1" applyFill="1" applyBorder="1"/>
    <xf numFmtId="0" fontId="3" fillId="52" borderId="101" xfId="8726" applyFill="1" applyBorder="1"/>
    <xf numFmtId="0" fontId="3" fillId="51" borderId="101" xfId="8726" applyFill="1" applyBorder="1"/>
    <xf numFmtId="0" fontId="101" fillId="50" borderId="100" xfId="8726" applyFont="1" applyFill="1" applyBorder="1"/>
    <xf numFmtId="0" fontId="101" fillId="0" borderId="0" xfId="8726" applyFont="1"/>
    <xf numFmtId="0" fontId="101" fillId="48" borderId="41" xfId="8726" applyFont="1" applyFill="1" applyBorder="1"/>
    <xf numFmtId="0" fontId="150" fillId="48" borderId="0" xfId="8726" applyFont="1" applyFill="1"/>
    <xf numFmtId="182" fontId="164" fillId="48" borderId="0" xfId="8727" applyNumberFormat="1" applyFont="1" applyFill="1" applyBorder="1" applyAlignment="1"/>
    <xf numFmtId="0" fontId="22" fillId="0" borderId="4" xfId="569" applyFont="1" applyBorder="1" applyAlignment="1">
      <alignment horizontal="center"/>
    </xf>
    <xf numFmtId="43" fontId="22" fillId="0" borderId="0" xfId="4504" applyFont="1" applyAlignment="1" applyProtection="1">
      <alignment horizontal="center"/>
    </xf>
    <xf numFmtId="0" fontId="22" fillId="0" borderId="0" xfId="569" applyFont="1" applyAlignment="1">
      <alignment horizontal="center" vertical="center"/>
    </xf>
    <xf numFmtId="0" fontId="22" fillId="0" borderId="16" xfId="569" applyFont="1" applyBorder="1" applyAlignment="1">
      <alignment horizontal="center"/>
    </xf>
    <xf numFmtId="49" fontId="22" fillId="0" borderId="4" xfId="569" applyNumberFormat="1" applyFont="1" applyBorder="1" applyAlignment="1">
      <alignment horizontal="center"/>
    </xf>
    <xf numFmtId="4" fontId="22" fillId="0" borderId="0" xfId="569" applyNumberFormat="1" applyFont="1" applyAlignment="1">
      <alignment horizontal="center"/>
    </xf>
    <xf numFmtId="0" fontId="15" fillId="0" borderId="0" xfId="569" applyAlignment="1">
      <alignment horizontal="center" wrapText="1"/>
    </xf>
    <xf numFmtId="9" fontId="15" fillId="0" borderId="11" xfId="4494" applyFont="1" applyBorder="1" applyAlignment="1">
      <alignment horizontal="center"/>
    </xf>
    <xf numFmtId="0" fontId="15" fillId="0" borderId="0" xfId="0" applyFont="1" applyAlignment="1">
      <alignment horizontal="left" vertical="top" wrapText="1"/>
    </xf>
    <xf numFmtId="0" fontId="16" fillId="0" borderId="0" xfId="244"/>
    <xf numFmtId="0" fontId="0" fillId="0" borderId="0" xfId="0"/>
    <xf numFmtId="0" fontId="15" fillId="0" borderId="0" xfId="1192" applyAlignment="1">
      <alignment horizontal="left" vertical="top" wrapText="1"/>
    </xf>
    <xf numFmtId="0" fontId="22" fillId="0" borderId="0" xfId="0" applyFont="1" applyAlignment="1">
      <alignment horizontal="left" vertical="top" wrapText="1"/>
    </xf>
    <xf numFmtId="0" fontId="44" fillId="0" borderId="0" xfId="0" applyFont="1" applyAlignment="1">
      <alignment horizontal="left" vertical="top" wrapText="1"/>
    </xf>
    <xf numFmtId="0" fontId="15" fillId="0" borderId="0" xfId="0" applyFont="1" applyAlignment="1">
      <alignment horizontal="left" wrapText="1"/>
    </xf>
    <xf numFmtId="0" fontId="16" fillId="0" borderId="0" xfId="244" applyAlignment="1" applyProtection="1">
      <alignment horizontal="left"/>
    </xf>
    <xf numFmtId="0" fontId="112" fillId="0" borderId="0" xfId="0" applyFont="1" applyAlignment="1">
      <alignment horizontal="left" wrapText="1"/>
    </xf>
    <xf numFmtId="0" fontId="24" fillId="0" borderId="0" xfId="0" applyFont="1" applyAlignment="1">
      <alignment horizontal="left" wrapText="1"/>
    </xf>
    <xf numFmtId="0" fontId="21" fillId="3" borderId="0" xfId="0" applyFont="1" applyFill="1" applyAlignment="1">
      <alignment horizontal="center" vertical="center" wrapText="1"/>
    </xf>
    <xf numFmtId="0" fontId="21" fillId="3" borderId="16" xfId="0" applyFont="1" applyFill="1" applyBorder="1" applyAlignment="1">
      <alignment horizontal="center" vertical="center" wrapText="1"/>
    </xf>
    <xf numFmtId="0" fontId="104" fillId="0" borderId="0" xfId="0" applyFont="1" applyAlignment="1">
      <alignment horizontal="left" vertical="top" wrapText="1"/>
    </xf>
    <xf numFmtId="0" fontId="33" fillId="0" borderId="0" xfId="569" applyFont="1" applyAlignment="1">
      <alignment horizontal="left"/>
    </xf>
    <xf numFmtId="4" fontId="15" fillId="0" borderId="0" xfId="569" applyNumberFormat="1" applyAlignment="1">
      <alignment horizontal="left"/>
    </xf>
    <xf numFmtId="0" fontId="15" fillId="0" borderId="0" xfId="569" applyAlignment="1">
      <alignment horizontal="left" vertical="top" wrapText="1"/>
    </xf>
    <xf numFmtId="4" fontId="33" fillId="0" borderId="0" xfId="569" applyNumberFormat="1" applyFont="1" applyAlignment="1">
      <alignment horizontal="left" vertical="top" wrapText="1"/>
    </xf>
    <xf numFmtId="4" fontId="15" fillId="0" borderId="0" xfId="569" applyNumberFormat="1" applyAlignment="1">
      <alignment horizontal="left" vertical="top" wrapText="1"/>
    </xf>
    <xf numFmtId="0" fontId="24" fillId="0" borderId="0" xfId="0" applyFont="1" applyAlignment="1">
      <alignment horizontal="left" vertical="top"/>
    </xf>
    <xf numFmtId="0" fontId="33" fillId="0" borderId="0" xfId="0" applyFont="1" applyAlignment="1">
      <alignment horizontal="left"/>
    </xf>
    <xf numFmtId="0" fontId="15" fillId="0" borderId="0" xfId="0" applyFont="1" applyAlignment="1">
      <alignment horizontal="left"/>
    </xf>
    <xf numFmtId="0" fontId="22" fillId="0" borderId="4" xfId="569" applyFont="1" applyBorder="1" applyAlignment="1">
      <alignment horizontal="left"/>
    </xf>
    <xf numFmtId="0" fontId="22" fillId="0" borderId="4" xfId="569" applyFont="1" applyBorder="1" applyAlignment="1">
      <alignment horizontal="left" vertical="top"/>
    </xf>
    <xf numFmtId="0" fontId="33" fillId="0" borderId="0" xfId="0" applyFont="1" applyAlignment="1">
      <alignment horizontal="left" wrapText="1"/>
    </xf>
    <xf numFmtId="0" fontId="15" fillId="0" borderId="0" xfId="0" applyFont="1" applyAlignment="1">
      <alignment horizontal="left" vertical="top"/>
    </xf>
    <xf numFmtId="0" fontId="22" fillId="0" borderId="0" xfId="0" applyFont="1" applyAlignment="1">
      <alignment horizontal="left"/>
    </xf>
    <xf numFmtId="0" fontId="24" fillId="0" borderId="0" xfId="0" applyFont="1" applyAlignment="1">
      <alignment horizontal="left"/>
    </xf>
    <xf numFmtId="0" fontId="16" fillId="0" borderId="0" xfId="244" quotePrefix="1" applyAlignment="1" applyProtection="1">
      <alignment horizontal="left"/>
    </xf>
    <xf numFmtId="0" fontId="22" fillId="0" borderId="4" xfId="0" applyFont="1" applyBorder="1" applyAlignment="1">
      <alignment horizontal="left"/>
    </xf>
    <xf numFmtId="0" fontId="33" fillId="0" borderId="0" xfId="569" applyFont="1" applyAlignment="1">
      <alignment horizontal="left" vertical="top"/>
    </xf>
    <xf numFmtId="0" fontId="15" fillId="0" borderId="0" xfId="569" applyAlignment="1">
      <alignment horizontal="left" vertical="top"/>
    </xf>
    <xf numFmtId="0" fontId="22" fillId="0" borderId="0" xfId="569" applyFont="1" applyAlignment="1">
      <alignment horizontal="left" vertical="top"/>
    </xf>
    <xf numFmtId="0" fontId="33" fillId="0" borderId="0" xfId="0" applyFont="1" applyAlignment="1">
      <alignment horizontal="left" vertical="top" wrapText="1"/>
    </xf>
    <xf numFmtId="4" fontId="15" fillId="0" borderId="0" xfId="0" applyNumberFormat="1" applyFont="1" applyAlignment="1">
      <alignment horizontal="left" vertical="top" wrapText="1"/>
    </xf>
    <xf numFmtId="4" fontId="33" fillId="0" borderId="0" xfId="0" applyNumberFormat="1" applyFont="1" applyAlignment="1">
      <alignment horizontal="left"/>
    </xf>
    <xf numFmtId="4" fontId="16" fillId="0" borderId="0" xfId="244" applyNumberFormat="1" applyFill="1" applyAlignment="1" applyProtection="1">
      <alignment horizontal="left"/>
    </xf>
    <xf numFmtId="0" fontId="15" fillId="0" borderId="0" xfId="271" applyFont="1" applyAlignment="1">
      <alignment horizontal="left" vertical="top" wrapText="1"/>
    </xf>
    <xf numFmtId="4" fontId="15" fillId="0" borderId="0" xfId="1192" applyNumberFormat="1" applyAlignment="1">
      <alignment horizontal="left" vertical="top" wrapText="1"/>
    </xf>
    <xf numFmtId="0" fontId="33" fillId="0" borderId="0" xfId="0" applyFont="1" applyAlignment="1">
      <alignment horizontal="center"/>
    </xf>
    <xf numFmtId="0" fontId="0" fillId="0" borderId="0" xfId="0" applyAlignment="1">
      <alignment horizontal="center"/>
    </xf>
    <xf numFmtId="0" fontId="22" fillId="0" borderId="0" xfId="0" applyFont="1" applyAlignment="1">
      <alignment horizontal="center"/>
    </xf>
    <xf numFmtId="49" fontId="15" fillId="0" borderId="0" xfId="0" applyNumberFormat="1" applyFont="1" applyAlignment="1">
      <alignment horizontal="left" vertical="top" wrapText="1"/>
    </xf>
    <xf numFmtId="49" fontId="15" fillId="0" borderId="0" xfId="1192" applyNumberFormat="1" applyAlignment="1">
      <alignment horizontal="left" vertical="top" wrapText="1"/>
    </xf>
    <xf numFmtId="0" fontId="33" fillId="0" borderId="0" xfId="569" applyFont="1" applyAlignment="1">
      <alignment horizontal="left" vertical="top" wrapText="1"/>
    </xf>
    <xf numFmtId="0" fontId="15" fillId="0" borderId="0" xfId="569" applyAlignment="1">
      <alignment horizontal="left"/>
    </xf>
    <xf numFmtId="0" fontId="16" fillId="0" borderId="0" xfId="244" applyAlignment="1">
      <alignment horizontal="left"/>
    </xf>
    <xf numFmtId="0" fontId="22" fillId="0" borderId="16" xfId="0" applyFont="1" applyBorder="1" applyAlignment="1">
      <alignment horizontal="left"/>
    </xf>
    <xf numFmtId="0" fontId="15" fillId="0" borderId="27" xfId="0" applyFont="1" applyBorder="1" applyAlignment="1">
      <alignment horizontal="left"/>
    </xf>
    <xf numFmtId="0" fontId="15" fillId="0" borderId="0" xfId="1192" applyAlignment="1">
      <alignment horizontal="left"/>
    </xf>
    <xf numFmtId="0" fontId="0" fillId="0" borderId="0" xfId="0" applyAlignment="1">
      <alignment horizontal="left" vertical="top" wrapText="1"/>
    </xf>
    <xf numFmtId="0" fontId="15" fillId="0" borderId="0" xfId="271" applyFont="1" applyAlignment="1" applyProtection="1">
      <alignment horizontal="left" vertical="top" wrapText="1"/>
      <protection locked="0"/>
    </xf>
    <xf numFmtId="0" fontId="33" fillId="0" borderId="0" xfId="1192" applyFont="1" applyAlignment="1">
      <alignment horizontal="left"/>
    </xf>
    <xf numFmtId="0" fontId="22" fillId="0" borderId="0" xfId="271" applyFont="1" applyAlignment="1">
      <alignment horizontal="left" vertical="top" wrapText="1"/>
    </xf>
    <xf numFmtId="0" fontId="113" fillId="0" borderId="0" xfId="569" applyFont="1" applyAlignment="1">
      <alignment horizontal="center"/>
    </xf>
    <xf numFmtId="0" fontId="114" fillId="0" borderId="0" xfId="569" applyFont="1"/>
    <xf numFmtId="0" fontId="15" fillId="0" borderId="0" xfId="569" applyAlignment="1">
      <alignment wrapText="1"/>
    </xf>
    <xf numFmtId="0" fontId="22" fillId="0" borderId="0" xfId="569" applyFont="1" applyAlignment="1">
      <alignment wrapText="1"/>
    </xf>
    <xf numFmtId="0" fontId="30" fillId="0" borderId="0" xfId="569" applyFont="1" applyAlignment="1">
      <alignment horizontal="center"/>
    </xf>
    <xf numFmtId="0" fontId="15" fillId="0" borderId="0" xfId="569"/>
    <xf numFmtId="0" fontId="15" fillId="0" borderId="0" xfId="1192" applyAlignment="1">
      <alignment vertical="top" wrapText="1"/>
    </xf>
    <xf numFmtId="0" fontId="33" fillId="0" borderId="0" xfId="569" applyFont="1" applyAlignment="1">
      <alignment horizontal="center"/>
    </xf>
    <xf numFmtId="0" fontId="22" fillId="0" borderId="0" xfId="569" applyFont="1" applyAlignment="1">
      <alignment horizontal="center"/>
    </xf>
    <xf numFmtId="0" fontId="15" fillId="0" borderId="15" xfId="569" applyBorder="1" applyAlignment="1">
      <alignment horizontal="center" vertical="top" wrapText="1"/>
    </xf>
    <xf numFmtId="0" fontId="15" fillId="0" borderId="14" xfId="569" applyBorder="1" applyAlignment="1">
      <alignment horizontal="center" vertical="top" wrapText="1"/>
    </xf>
    <xf numFmtId="0" fontId="15" fillId="0" borderId="13" xfId="569" applyBorder="1" applyAlignment="1">
      <alignment horizontal="center" vertical="top" wrapText="1"/>
    </xf>
    <xf numFmtId="0" fontId="15" fillId="0" borderId="0" xfId="1192" applyAlignment="1" applyProtection="1">
      <alignment horizontal="left" vertical="top" wrapText="1"/>
      <protection locked="0"/>
    </xf>
    <xf numFmtId="0" fontId="15" fillId="0" borderId="27" xfId="569" applyBorder="1" applyAlignment="1">
      <alignment horizontal="left"/>
    </xf>
    <xf numFmtId="0" fontId="16" fillId="0" borderId="0" xfId="244" applyAlignment="1" applyProtection="1">
      <alignment horizontal="left" vertical="top" wrapText="1"/>
    </xf>
    <xf numFmtId="0" fontId="22" fillId="0" borderId="0" xfId="569" applyFont="1" applyAlignment="1">
      <alignment horizontal="left"/>
    </xf>
    <xf numFmtId="0" fontId="22" fillId="0" borderId="4" xfId="0" applyFont="1" applyBorder="1" applyAlignment="1">
      <alignment horizontal="left" vertical="top"/>
    </xf>
    <xf numFmtId="0" fontId="22" fillId="0" borderId="16" xfId="569" applyFont="1" applyBorder="1" applyAlignment="1">
      <alignment horizontal="left"/>
    </xf>
    <xf numFmtId="0" fontId="15" fillId="0" borderId="0" xfId="569" applyAlignment="1">
      <alignment horizontal="left" vertical="center" wrapText="1"/>
    </xf>
    <xf numFmtId="0" fontId="22" fillId="0" borderId="0" xfId="0" applyFont="1" applyAlignment="1">
      <alignment horizontal="left" vertical="top"/>
    </xf>
    <xf numFmtId="0" fontId="16" fillId="0" borderId="0" xfId="244" applyNumberFormat="1" applyFill="1" applyAlignment="1" applyProtection="1">
      <alignment horizontal="left"/>
    </xf>
    <xf numFmtId="0" fontId="33" fillId="0" borderId="0" xfId="569" applyFont="1" applyAlignment="1">
      <alignment horizontal="left" wrapText="1"/>
    </xf>
    <xf numFmtId="0" fontId="33" fillId="0" borderId="0" xfId="569" applyFont="1" applyAlignment="1">
      <alignment horizontal="center" wrapText="1"/>
    </xf>
    <xf numFmtId="0" fontId="15" fillId="0" borderId="0" xfId="0" quotePrefix="1" applyFont="1" applyAlignment="1">
      <alignment horizontal="left" vertical="top"/>
    </xf>
    <xf numFmtId="0" fontId="15" fillId="0" borderId="0" xfId="0" quotePrefix="1" applyFont="1" applyAlignment="1">
      <alignment horizontal="left" vertical="top" wrapText="1"/>
    </xf>
    <xf numFmtId="0" fontId="15" fillId="0" borderId="0" xfId="569" applyAlignment="1">
      <alignment vertical="top" wrapText="1"/>
    </xf>
    <xf numFmtId="4" fontId="33" fillId="0" borderId="0" xfId="0" applyNumberFormat="1" applyFont="1" applyAlignment="1">
      <alignment horizontal="left" vertical="top" wrapText="1"/>
    </xf>
    <xf numFmtId="0" fontId="33" fillId="0" borderId="0" xfId="1192" applyFont="1" applyAlignment="1">
      <alignment horizontal="left" vertical="top" wrapText="1"/>
    </xf>
    <xf numFmtId="0" fontId="22" fillId="0" borderId="0" xfId="1192" applyFont="1" applyAlignment="1">
      <alignment horizontal="left" vertical="top" wrapText="1"/>
    </xf>
    <xf numFmtId="4" fontId="15" fillId="0" borderId="0" xfId="0" applyNumberFormat="1" applyFont="1" applyAlignment="1">
      <alignment horizontal="left"/>
    </xf>
    <xf numFmtId="0" fontId="22" fillId="0" borderId="0" xfId="0" applyFont="1" applyAlignment="1">
      <alignment vertical="top" wrapText="1"/>
    </xf>
    <xf numFmtId="0" fontId="15" fillId="0" borderId="0" xfId="0" applyFont="1" applyAlignment="1">
      <alignment horizontal="left" vertical="center" wrapText="1"/>
    </xf>
    <xf numFmtId="0" fontId="15" fillId="0" borderId="0" xfId="569" applyAlignment="1">
      <alignment horizontal="left" wrapText="1"/>
    </xf>
    <xf numFmtId="0" fontId="15" fillId="0" borderId="0" xfId="0" applyFont="1" applyAlignment="1">
      <alignment vertical="top" wrapText="1"/>
    </xf>
    <xf numFmtId="0" fontId="16" fillId="0" borderId="0" xfId="244" applyFill="1" applyBorder="1" applyAlignment="1">
      <alignment horizontal="left" vertical="top" wrapText="1"/>
    </xf>
    <xf numFmtId="0" fontId="33" fillId="0" borderId="0" xfId="0" applyFont="1" applyAlignment="1">
      <alignment horizontal="left" vertical="top"/>
    </xf>
    <xf numFmtId="0" fontId="15" fillId="5" borderId="3" xfId="569" applyFill="1" applyBorder="1" applyProtection="1">
      <protection locked="0"/>
    </xf>
    <xf numFmtId="0" fontId="15" fillId="0" borderId="4" xfId="569" applyBorder="1" applyProtection="1">
      <protection locked="0"/>
    </xf>
    <xf numFmtId="0" fontId="15" fillId="0" borderId="5" xfId="569" applyBorder="1" applyProtection="1">
      <protection locked="0"/>
    </xf>
    <xf numFmtId="0" fontId="0" fillId="0" borderId="11" xfId="0" applyBorder="1" applyAlignment="1">
      <alignment horizontal="center"/>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24" fillId="0" borderId="3" xfId="0" applyNumberFormat="1" applyFont="1" applyBorder="1" applyAlignment="1">
      <alignment horizontal="center"/>
    </xf>
    <xf numFmtId="168" fontId="24" fillId="0" borderId="4" xfId="0" applyNumberFormat="1" applyFont="1" applyBorder="1" applyAlignment="1">
      <alignment horizontal="center"/>
    </xf>
    <xf numFmtId="168" fontId="24" fillId="0" borderId="5" xfId="0" applyNumberFormat="1" applyFont="1" applyBorder="1" applyAlignment="1">
      <alignment horizontal="center"/>
    </xf>
    <xf numFmtId="165" fontId="24" fillId="0" borderId="1" xfId="0" applyNumberFormat="1" applyFont="1" applyBorder="1" applyAlignment="1">
      <alignment horizontal="right"/>
    </xf>
    <xf numFmtId="165" fontId="24" fillId="0" borderId="2" xfId="0" applyNumberFormat="1" applyFont="1" applyBorder="1" applyAlignment="1">
      <alignment horizontal="right"/>
    </xf>
    <xf numFmtId="165" fontId="24" fillId="0" borderId="7" xfId="0" applyNumberFormat="1" applyFont="1" applyBorder="1" applyAlignment="1">
      <alignment horizontal="right"/>
    </xf>
    <xf numFmtId="1" fontId="24" fillId="5" borderId="3" xfId="0" applyNumberFormat="1" applyFont="1" applyFill="1" applyBorder="1" applyAlignment="1" applyProtection="1">
      <alignment horizontal="center"/>
      <protection locked="0"/>
    </xf>
    <xf numFmtId="1" fontId="24" fillId="5" borderId="4" xfId="0" applyNumberFormat="1" applyFont="1" applyFill="1" applyBorder="1" applyAlignment="1" applyProtection="1">
      <alignment horizontal="center"/>
      <protection locked="0"/>
    </xf>
    <xf numFmtId="1" fontId="24" fillId="5" borderId="5" xfId="0" applyNumberFormat="1" applyFont="1" applyFill="1" applyBorder="1" applyAlignment="1" applyProtection="1">
      <alignment horizontal="center"/>
      <protection locked="0"/>
    </xf>
    <xf numFmtId="0" fontId="15" fillId="0" borderId="1" xfId="0" applyFont="1" applyBorder="1" applyAlignment="1">
      <alignment horizontal="center" vertical="top" wrapText="1"/>
    </xf>
    <xf numFmtId="0" fontId="24" fillId="0" borderId="2" xfId="0" applyFont="1" applyBorder="1" applyAlignment="1">
      <alignment horizontal="center" vertical="top" wrapText="1"/>
    </xf>
    <xf numFmtId="0" fontId="24" fillId="0" borderId="7" xfId="0" applyFont="1" applyBorder="1" applyAlignment="1">
      <alignment horizontal="center" vertical="top" wrapText="1"/>
    </xf>
    <xf numFmtId="0" fontId="24" fillId="0" borderId="8" xfId="0" applyFont="1" applyBorder="1" applyAlignment="1">
      <alignment horizontal="center" vertical="top" wrapText="1"/>
    </xf>
    <xf numFmtId="0" fontId="24" fillId="0" borderId="0" xfId="0" applyFont="1" applyAlignment="1">
      <alignment horizontal="center" vertical="top" wrapText="1"/>
    </xf>
    <xf numFmtId="0" fontId="24" fillId="0" borderId="12" xfId="0" applyFont="1" applyBorder="1" applyAlignment="1">
      <alignment horizontal="center" vertical="top" wrapText="1"/>
    </xf>
    <xf numFmtId="0" fontId="24" fillId="0" borderId="9" xfId="0" applyFont="1" applyBorder="1" applyAlignment="1">
      <alignment horizontal="center" vertical="top" wrapText="1"/>
    </xf>
    <xf numFmtId="0" fontId="24" fillId="0" borderId="6" xfId="0" applyFont="1" applyBorder="1" applyAlignment="1">
      <alignment horizontal="center" vertical="top" wrapText="1"/>
    </xf>
    <xf numFmtId="0" fontId="24" fillId="0" borderId="10" xfId="0" applyFont="1" applyBorder="1" applyAlignment="1">
      <alignment horizontal="center" vertical="top" wrapText="1"/>
    </xf>
    <xf numFmtId="168" fontId="24" fillId="5" borderId="3" xfId="0" applyNumberFormat="1" applyFont="1" applyFill="1" applyBorder="1" applyAlignment="1" applyProtection="1">
      <alignment horizontal="center"/>
      <protection locked="0"/>
    </xf>
    <xf numFmtId="168" fontId="24" fillId="5" borderId="4" xfId="0" applyNumberFormat="1" applyFont="1" applyFill="1" applyBorder="1" applyAlignment="1" applyProtection="1">
      <alignment horizontal="center"/>
      <protection locked="0"/>
    </xf>
    <xf numFmtId="168" fontId="24"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left"/>
      <protection locked="0"/>
    </xf>
    <xf numFmtId="0" fontId="0" fillId="0" borderId="6" xfId="0" applyBorder="1" applyAlignment="1">
      <alignment horizontal="left"/>
    </xf>
    <xf numFmtId="0" fontId="0" fillId="5" borderId="6" xfId="0" applyFill="1" applyBorder="1" applyAlignment="1" applyProtection="1">
      <alignment horizontal="center"/>
      <protection locked="0"/>
    </xf>
    <xf numFmtId="9" fontId="24" fillId="5" borderId="3" xfId="0" applyNumberFormat="1" applyFont="1" applyFill="1" applyBorder="1" applyAlignment="1" applyProtection="1">
      <alignment horizontal="center"/>
      <protection locked="0"/>
    </xf>
    <xf numFmtId="9" fontId="24" fillId="5" borderId="4" xfId="0" applyNumberFormat="1" applyFont="1" applyFill="1" applyBorder="1" applyAlignment="1" applyProtection="1">
      <alignment horizontal="center"/>
      <protection locked="0"/>
    </xf>
    <xf numFmtId="9" fontId="24" fillId="5" borderId="5" xfId="0" applyNumberFormat="1" applyFont="1" applyFill="1" applyBorder="1" applyAlignment="1" applyProtection="1">
      <alignment horizontal="center"/>
      <protection locked="0"/>
    </xf>
    <xf numFmtId="168" fontId="15" fillId="5" borderId="3" xfId="0" applyNumberFormat="1" applyFont="1" applyFill="1" applyBorder="1" applyAlignment="1" applyProtection="1">
      <alignment horizontal="center"/>
      <protection locked="0"/>
    </xf>
    <xf numFmtId="168" fontId="15" fillId="5" borderId="4" xfId="0" applyNumberFormat="1" applyFont="1" applyFill="1" applyBorder="1" applyAlignment="1" applyProtection="1">
      <alignment horizontal="center"/>
      <protection locked="0"/>
    </xf>
    <xf numFmtId="168" fontId="1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5" fillId="0" borderId="3" xfId="0" applyFont="1" applyBorder="1" applyAlignment="1">
      <alignment horizontal="center"/>
    </xf>
    <xf numFmtId="0" fontId="15" fillId="0" borderId="4" xfId="0" applyFont="1" applyBorder="1" applyAlignment="1">
      <alignment horizontal="center"/>
    </xf>
    <xf numFmtId="0" fontId="15" fillId="0" borderId="5" xfId="0" applyFont="1" applyBorder="1" applyAlignment="1">
      <alignment horizontal="center"/>
    </xf>
    <xf numFmtId="0" fontId="15" fillId="0" borderId="11" xfId="0" applyFont="1" applyBorder="1" applyAlignment="1">
      <alignment horizontal="center"/>
    </xf>
    <xf numFmtId="0" fontId="24" fillId="2" borderId="11" xfId="0" applyFont="1" applyFill="1" applyBorder="1" applyAlignment="1">
      <alignment horizontal="center"/>
    </xf>
    <xf numFmtId="0" fontId="24" fillId="45" borderId="11" xfId="0" applyFont="1" applyFill="1" applyBorder="1" applyAlignment="1">
      <alignment horizontal="center"/>
    </xf>
    <xf numFmtId="0" fontId="24" fillId="0" borderId="3" xfId="0" applyFont="1" applyBorder="1" applyAlignment="1">
      <alignment horizontal="center"/>
    </xf>
    <xf numFmtId="0" fontId="24" fillId="0" borderId="5" xfId="0" applyFont="1" applyBorder="1" applyAlignment="1">
      <alignment horizontal="center"/>
    </xf>
    <xf numFmtId="0" fontId="24" fillId="45" borderId="3" xfId="0" applyFont="1" applyFill="1" applyBorder="1" applyAlignment="1">
      <alignment horizontal="center"/>
    </xf>
    <xf numFmtId="0" fontId="24" fillId="45" borderId="4" xfId="0" applyFont="1" applyFill="1" applyBorder="1" applyAlignment="1">
      <alignment horizontal="center"/>
    </xf>
    <xf numFmtId="0" fontId="24"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4" fillId="5" borderId="11" xfId="0" applyNumberFormat="1" applyFont="1" applyFill="1" applyBorder="1" applyAlignment="1" applyProtection="1">
      <alignment horizontal="center"/>
      <protection locked="0"/>
    </xf>
    <xf numFmtId="0" fontId="15" fillId="0" borderId="3" xfId="0" applyFont="1" applyBorder="1" applyAlignment="1">
      <alignment horizontal="left"/>
    </xf>
    <xf numFmtId="0" fontId="15" fillId="0" borderId="4" xfId="0" applyFont="1" applyBorder="1" applyAlignment="1">
      <alignment horizontal="left"/>
    </xf>
    <xf numFmtId="0" fontId="15" fillId="0" borderId="5" xfId="0" applyFont="1" applyBorder="1" applyAlignment="1">
      <alignment horizontal="left"/>
    </xf>
    <xf numFmtId="0" fontId="24" fillId="5" borderId="4" xfId="0" applyFont="1" applyFill="1" applyBorder="1" applyAlignment="1" applyProtection="1">
      <alignment horizontal="left"/>
      <protection locked="0"/>
    </xf>
    <xf numFmtId="0" fontId="24" fillId="0" borderId="1" xfId="0" applyFont="1" applyBorder="1" applyAlignment="1">
      <alignment horizontal="center" vertical="top" wrapText="1"/>
    </xf>
    <xf numFmtId="0" fontId="0" fillId="0" borderId="12" xfId="0" applyBorder="1" applyAlignment="1">
      <alignment horizontal="center"/>
    </xf>
    <xf numFmtId="0" fontId="22" fillId="0" borderId="9" xfId="0" applyFont="1" applyBorder="1" applyAlignment="1">
      <alignment horizontal="center"/>
    </xf>
    <xf numFmtId="0" fontId="22" fillId="0" borderId="6" xfId="0"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24" fillId="5" borderId="11" xfId="0" applyNumberFormat="1" applyFont="1" applyFill="1" applyBorder="1" applyAlignment="1" applyProtection="1">
      <alignment horizontal="center"/>
      <protection locked="0"/>
    </xf>
    <xf numFmtId="0" fontId="24" fillId="5" borderId="11" xfId="0" applyFont="1" applyFill="1" applyBorder="1" applyAlignment="1" applyProtection="1">
      <alignment horizontal="center"/>
      <protection locked="0"/>
    </xf>
    <xf numFmtId="3" fontId="24" fillId="0" borderId="11" xfId="0" applyNumberFormat="1" applyFont="1" applyBorder="1" applyAlignment="1">
      <alignment horizontal="center"/>
    </xf>
    <xf numFmtId="168" fontId="24" fillId="0" borderId="11" xfId="0" applyNumberFormat="1" applyFont="1" applyBorder="1" applyAlignment="1">
      <alignment horizontal="center"/>
    </xf>
    <xf numFmtId="168" fontId="171" fillId="0" borderId="0" xfId="0" applyNumberFormat="1" applyFont="1" applyAlignment="1">
      <alignment horizontal="center" vertical="center" wrapText="1"/>
    </xf>
    <xf numFmtId="168" fontId="24" fillId="0" borderId="3" xfId="0" applyNumberFormat="1" applyFont="1" applyBorder="1" applyAlignment="1">
      <alignment horizontal="left" vertical="top"/>
    </xf>
    <xf numFmtId="168" fontId="24" fillId="0" borderId="4" xfId="0" applyNumberFormat="1" applyFont="1" applyBorder="1" applyAlignment="1">
      <alignment horizontal="left" vertical="top"/>
    </xf>
    <xf numFmtId="168" fontId="24"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5" fillId="0" borderId="3" xfId="0" applyNumberFormat="1" applyFont="1" applyBorder="1" applyAlignment="1">
      <alignment horizontal="left" vertical="top"/>
    </xf>
    <xf numFmtId="1" fontId="24" fillId="5" borderId="3" xfId="0" applyNumberFormat="1" applyFont="1" applyFill="1" applyBorder="1" applyAlignment="1" applyProtection="1">
      <alignment horizontal="right" vertical="top"/>
      <protection locked="0"/>
    </xf>
    <xf numFmtId="1" fontId="24" fillId="5" borderId="4" xfId="0" applyNumberFormat="1" applyFont="1" applyFill="1" applyBorder="1" applyAlignment="1" applyProtection="1">
      <alignment horizontal="right" vertical="top"/>
      <protection locked="0"/>
    </xf>
    <xf numFmtId="1" fontId="24"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4" fillId="5" borderId="9" xfId="0" applyFont="1" applyFill="1" applyBorder="1" applyAlignment="1" applyProtection="1">
      <alignment horizontal="center"/>
      <protection locked="0"/>
    </xf>
    <xf numFmtId="0" fontId="24" fillId="5" borderId="6" xfId="0" applyFon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5" fillId="43" borderId="3" xfId="0" applyNumberFormat="1" applyFont="1" applyFill="1" applyBorder="1" applyAlignment="1" applyProtection="1">
      <alignment horizontal="center" vertical="center"/>
      <protection locked="0"/>
    </xf>
    <xf numFmtId="168" fontId="15" fillId="43" borderId="4" xfId="0" applyNumberFormat="1" applyFont="1" applyFill="1" applyBorder="1" applyAlignment="1" applyProtection="1">
      <alignment horizontal="center" vertical="center"/>
      <protection locked="0"/>
    </xf>
    <xf numFmtId="168" fontId="15" fillId="43" borderId="5" xfId="0" applyNumberFormat="1" applyFont="1" applyFill="1" applyBorder="1" applyAlignment="1" applyProtection="1">
      <alignment horizontal="center" vertical="center"/>
      <protection locked="0"/>
    </xf>
    <xf numFmtId="0" fontId="0" fillId="0" borderId="4" xfId="0" applyBorder="1" applyAlignment="1">
      <alignment horizontal="left"/>
    </xf>
    <xf numFmtId="0" fontId="0" fillId="0" borderId="5" xfId="0" applyBorder="1" applyAlignment="1">
      <alignment horizontal="left"/>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168" fontId="15" fillId="5" borderId="3" xfId="0" applyNumberFormat="1" applyFont="1" applyFill="1" applyBorder="1" applyAlignment="1" applyProtection="1">
      <alignment horizontal="left" vertical="top"/>
      <protection locked="0"/>
    </xf>
    <xf numFmtId="168" fontId="24" fillId="5" borderId="4" xfId="0" applyNumberFormat="1" applyFont="1" applyFill="1" applyBorder="1" applyAlignment="1" applyProtection="1">
      <alignment horizontal="left" vertical="top"/>
      <protection locked="0"/>
    </xf>
    <xf numFmtId="168" fontId="24" fillId="5" borderId="5" xfId="0" applyNumberFormat="1" applyFont="1" applyFill="1" applyBorder="1" applyAlignment="1" applyProtection="1">
      <alignment horizontal="left" vertical="top"/>
      <protection locked="0"/>
    </xf>
    <xf numFmtId="10" fontId="24"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5" fillId="0" borderId="3" xfId="271" applyFont="1" applyBorder="1" applyAlignment="1">
      <alignment horizontal="left"/>
    </xf>
    <xf numFmtId="0" fontId="15" fillId="0" borderId="4" xfId="271" applyFont="1" applyBorder="1" applyAlignment="1">
      <alignment horizontal="left"/>
    </xf>
    <xf numFmtId="0" fontId="15" fillId="0" borderId="5" xfId="271"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3" xfId="0" applyBorder="1" applyAlignment="1">
      <alignment horizontal="left"/>
    </xf>
    <xf numFmtId="168" fontId="15" fillId="0" borderId="4" xfId="0" applyNumberFormat="1" applyFont="1" applyBorder="1" applyAlignment="1">
      <alignment horizontal="left" vertical="top"/>
    </xf>
    <xf numFmtId="168" fontId="15" fillId="0" borderId="5" xfId="0" applyNumberFormat="1" applyFont="1" applyBorder="1" applyAlignment="1">
      <alignment horizontal="left" vertical="top"/>
    </xf>
    <xf numFmtId="1" fontId="0" fillId="5" borderId="6" xfId="0" applyNumberFormat="1" applyFill="1" applyBorder="1" applyAlignment="1" applyProtection="1">
      <alignment horizontal="center"/>
      <protection locked="0"/>
    </xf>
    <xf numFmtId="0" fontId="0" fillId="43" borderId="6" xfId="0" applyFill="1" applyBorder="1" applyAlignment="1" applyProtection="1">
      <alignment horizontal="left"/>
      <protection locked="0"/>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0" xfId="0" applyFont="1" applyAlignment="1">
      <alignment horizontal="center" vertical="center" wrapText="1"/>
    </xf>
    <xf numFmtId="0" fontId="22" fillId="0" borderId="12"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0" xfId="0" applyFont="1" applyBorder="1" applyAlignment="1">
      <alignment horizontal="center" vertical="center" wrapText="1"/>
    </xf>
    <xf numFmtId="0" fontId="15" fillId="43"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5" fillId="5" borderId="4" xfId="0" applyFont="1" applyFill="1" applyBorder="1" applyAlignment="1" applyProtection="1">
      <alignment horizontal="left"/>
      <protection locked="0"/>
    </xf>
    <xf numFmtId="0" fontId="15" fillId="5" borderId="6" xfId="0" applyFont="1" applyFill="1" applyBorder="1" applyAlignment="1" applyProtection="1">
      <alignment horizontal="left"/>
      <protection locked="0"/>
    </xf>
    <xf numFmtId="166" fontId="24" fillId="5" borderId="6" xfId="0" applyNumberFormat="1" applyFont="1" applyFill="1" applyBorder="1" applyAlignment="1" applyProtection="1">
      <alignment horizontal="left"/>
      <protection locked="0"/>
    </xf>
    <xf numFmtId="0" fontId="24" fillId="5" borderId="6" xfId="0" applyFont="1" applyFill="1" applyBorder="1" applyAlignment="1" applyProtection="1">
      <alignment horizontal="left"/>
      <protection locked="0"/>
    </xf>
    <xf numFmtId="14" fontId="0" fillId="5" borderId="6" xfId="0" applyNumberFormat="1" applyFill="1" applyBorder="1" applyAlignment="1" applyProtection="1">
      <alignment horizontal="center"/>
      <protection locked="0"/>
    </xf>
    <xf numFmtId="166" fontId="24" fillId="5" borderId="4" xfId="0" applyNumberFormat="1" applyFont="1" applyFill="1" applyBorder="1" applyAlignment="1" applyProtection="1">
      <alignment horizontal="left"/>
      <protection locked="0"/>
    </xf>
    <xf numFmtId="0" fontId="24" fillId="5" borderId="0" xfId="0" applyFont="1" applyFill="1" applyAlignment="1" applyProtection="1">
      <alignment horizontal="left" vertical="top" wrapText="1"/>
      <protection locked="0"/>
    </xf>
    <xf numFmtId="0" fontId="24"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43" borderId="6" xfId="0" applyNumberFormat="1" applyFill="1" applyBorder="1" applyAlignment="1" applyProtection="1">
      <alignment horizontal="right"/>
      <protection locked="0"/>
    </xf>
    <xf numFmtId="1" fontId="24" fillId="5" borderId="11" xfId="0" quotePrefix="1" applyNumberFormat="1" applyFont="1" applyFill="1" applyBorder="1" applyAlignment="1" applyProtection="1">
      <alignment horizontal="center"/>
      <protection locked="0"/>
    </xf>
    <xf numFmtId="168" fontId="24" fillId="5" borderId="6" xfId="0" applyNumberFormat="1" applyFont="1" applyFill="1" applyBorder="1" applyAlignment="1" applyProtection="1">
      <alignment horizontal="right"/>
      <protection locked="0"/>
    </xf>
    <xf numFmtId="0" fontId="34" fillId="5" borderId="6" xfId="0" applyFont="1" applyFill="1" applyBorder="1" applyAlignment="1" applyProtection="1">
      <alignment horizontal="left"/>
      <protection locked="0"/>
    </xf>
    <xf numFmtId="165" fontId="24" fillId="5" borderId="3" xfId="0" applyNumberFormat="1" applyFont="1" applyFill="1" applyBorder="1" applyAlignment="1" applyProtection="1">
      <alignment horizontal="center"/>
      <protection locked="0"/>
    </xf>
    <xf numFmtId="165" fontId="24" fillId="5" borderId="4" xfId="0" applyNumberFormat="1" applyFont="1" applyFill="1" applyBorder="1" applyAlignment="1" applyProtection="1">
      <alignment horizontal="center"/>
      <protection locked="0"/>
    </xf>
    <xf numFmtId="165" fontId="24"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5" fillId="43" borderId="4" xfId="0" applyFont="1" applyFill="1" applyBorder="1" applyAlignment="1" applyProtection="1">
      <alignment horizontal="left" wrapText="1"/>
      <protection locked="0"/>
    </xf>
    <xf numFmtId="0" fontId="15" fillId="5" borderId="4" xfId="0" applyFont="1" applyFill="1" applyBorder="1" applyAlignment="1" applyProtection="1">
      <alignment horizontal="left" wrapText="1"/>
      <protection locked="0"/>
    </xf>
    <xf numFmtId="0" fontId="0" fillId="43" borderId="4" xfId="0" applyFill="1" applyBorder="1" applyAlignment="1" applyProtection="1">
      <alignment horizontal="center"/>
      <protection locked="0"/>
    </xf>
    <xf numFmtId="175" fontId="0" fillId="5" borderId="4" xfId="0" applyNumberFormat="1" applyFill="1" applyBorder="1" applyAlignment="1" applyProtection="1">
      <alignment horizontal="left" vertical="center" wrapText="1"/>
      <protection locked="0"/>
    </xf>
    <xf numFmtId="180" fontId="23" fillId="43" borderId="3" xfId="0" applyNumberFormat="1" applyFont="1" applyFill="1" applyBorder="1" applyAlignment="1" applyProtection="1">
      <alignment horizontal="center" vertical="center"/>
      <protection locked="0"/>
    </xf>
    <xf numFmtId="180" fontId="23" fillId="43" borderId="4" xfId="0" applyNumberFormat="1" applyFont="1" applyFill="1" applyBorder="1" applyAlignment="1" applyProtection="1">
      <alignment horizontal="center" vertical="center"/>
      <protection locked="0"/>
    </xf>
    <xf numFmtId="180" fontId="23" fillId="43" borderId="5" xfId="0" applyNumberFormat="1" applyFont="1" applyFill="1" applyBorder="1" applyAlignment="1" applyProtection="1">
      <alignment horizontal="center" vertical="center"/>
      <protection locked="0"/>
    </xf>
    <xf numFmtId="0" fontId="15" fillId="5" borderId="11" xfId="0" applyFont="1" applyFill="1" applyBorder="1" applyAlignment="1" applyProtection="1">
      <alignment vertical="center" wrapText="1"/>
      <protection locked="0"/>
    </xf>
    <xf numFmtId="0" fontId="15" fillId="5" borderId="11" xfId="0" applyFont="1" applyFill="1" applyBorder="1" applyAlignment="1" applyProtection="1">
      <alignment horizontal="left" vertical="center" wrapText="1"/>
      <protection locked="0"/>
    </xf>
    <xf numFmtId="175" fontId="15" fillId="43" borderId="3" xfId="0" applyNumberFormat="1" applyFont="1" applyFill="1" applyBorder="1" applyAlignment="1" applyProtection="1">
      <alignment horizontal="center" vertical="center"/>
      <protection locked="0"/>
    </xf>
    <xf numFmtId="175" fontId="15" fillId="43" borderId="4" xfId="0" applyNumberFormat="1" applyFont="1" applyFill="1" applyBorder="1" applyAlignment="1" applyProtection="1">
      <alignment horizontal="center" vertical="center"/>
      <protection locked="0"/>
    </xf>
    <xf numFmtId="175" fontId="15" fillId="43" borderId="5" xfId="0" applyNumberFormat="1" applyFont="1" applyFill="1" applyBorder="1" applyAlignment="1" applyProtection="1">
      <alignment horizontal="center" vertical="center"/>
      <protection locked="0"/>
    </xf>
    <xf numFmtId="0" fontId="24" fillId="0" borderId="4" xfId="0" applyFont="1" applyBorder="1" applyAlignment="1">
      <alignment horizontal="center"/>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0" fontId="15" fillId="0" borderId="11" xfId="543" applyBorder="1" applyAlignment="1">
      <alignment horizontal="center"/>
    </xf>
    <xf numFmtId="0" fontId="15" fillId="0" borderId="3" xfId="543" applyBorder="1" applyAlignment="1">
      <alignment horizontal="center"/>
    </xf>
    <xf numFmtId="0" fontId="15" fillId="0" borderId="4" xfId="543" applyBorder="1" applyAlignment="1">
      <alignment horizontal="center"/>
    </xf>
    <xf numFmtId="0" fontId="15" fillId="0" borderId="5" xfId="543" applyBorder="1" applyAlignment="1">
      <alignment horizontal="center"/>
    </xf>
    <xf numFmtId="0" fontId="15" fillId="5" borderId="6" xfId="244" applyFont="1" applyFill="1" applyBorder="1" applyAlignment="1" applyProtection="1">
      <alignment horizontal="left"/>
      <protection locked="0"/>
    </xf>
    <xf numFmtId="0" fontId="15" fillId="5" borderId="0" xfId="244" applyFont="1" applyFill="1" applyBorder="1" applyAlignment="1" applyProtection="1">
      <alignment horizontal="left"/>
      <protection locked="0"/>
    </xf>
    <xf numFmtId="0" fontId="24" fillId="5" borderId="6" xfId="0" applyFont="1" applyFill="1" applyBorder="1" applyAlignment="1" applyProtection="1">
      <alignment horizontal="left" wrapText="1"/>
      <protection locked="0"/>
    </xf>
    <xf numFmtId="178" fontId="24" fillId="5" borderId="4" xfId="0" applyNumberFormat="1" applyFont="1" applyFill="1" applyBorder="1" applyAlignment="1" applyProtection="1">
      <alignment horizontal="right"/>
      <protection locked="0"/>
    </xf>
    <xf numFmtId="0" fontId="23" fillId="43" borderId="6" xfId="0" applyFont="1" applyFill="1" applyBorder="1" applyAlignment="1" applyProtection="1">
      <alignment horizontal="left"/>
      <protection locked="0"/>
    </xf>
    <xf numFmtId="1" fontId="24" fillId="5" borderId="6" xfId="0" applyNumberFormat="1" applyFont="1" applyFill="1" applyBorder="1" applyAlignment="1" applyProtection="1">
      <alignment horizontal="right"/>
      <protection locked="0"/>
    </xf>
    <xf numFmtId="0" fontId="23"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6" fontId="15"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66" fontId="24" fillId="5" borderId="6" xfId="271" applyNumberFormat="1" applyFill="1" applyBorder="1" applyAlignment="1" applyProtection="1">
      <alignment horizontal="left"/>
      <protection locked="0"/>
    </xf>
    <xf numFmtId="0" fontId="24" fillId="0" borderId="6" xfId="0" applyFont="1" applyBorder="1" applyAlignment="1">
      <alignment horizontal="left"/>
    </xf>
    <xf numFmtId="166" fontId="24" fillId="5" borderId="4" xfId="271" applyNumberForma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4" fillId="0" borderId="0" xfId="0" applyFont="1" applyAlignment="1">
      <alignment horizontal="left" vertical="top" wrapText="1"/>
    </xf>
    <xf numFmtId="0" fontId="168" fillId="0" borderId="0" xfId="0" applyFont="1" applyAlignment="1" applyProtection="1">
      <alignment horizontal="left" vertical="top" wrapText="1"/>
      <protection locked="0"/>
    </xf>
    <xf numFmtId="0" fontId="15"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0" fontId="15" fillId="0" borderId="6" xfId="0" applyFont="1" applyBorder="1" applyAlignment="1" applyProtection="1">
      <alignment horizontal="left"/>
      <protection locked="0"/>
    </xf>
    <xf numFmtId="0" fontId="16" fillId="0" borderId="0" xfId="244" applyFill="1" applyAlignment="1" applyProtection="1">
      <alignment horizontal="left"/>
      <protection locked="0"/>
    </xf>
    <xf numFmtId="168" fontId="15" fillId="0" borderId="6" xfId="0" applyNumberFormat="1" applyFont="1" applyBorder="1" applyAlignment="1">
      <alignment horizontal="center"/>
    </xf>
    <xf numFmtId="168" fontId="0" fillId="0" borderId="6" xfId="0" applyNumberFormat="1" applyBorder="1" applyAlignment="1">
      <alignment horizontal="center"/>
    </xf>
    <xf numFmtId="0" fontId="15" fillId="5" borderId="0" xfId="0" applyFont="1" applyFill="1" applyAlignment="1" applyProtection="1">
      <alignment horizontal="left" vertical="top" wrapText="1"/>
      <protection locked="0"/>
    </xf>
    <xf numFmtId="9" fontId="23" fillId="0" borderId="3" xfId="4494" applyFont="1" applyBorder="1" applyAlignment="1" applyProtection="1">
      <alignment horizontal="center"/>
    </xf>
    <xf numFmtId="9" fontId="23"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43" borderId="6" xfId="0" applyFill="1" applyBorder="1" applyAlignment="1" applyProtection="1">
      <alignment horizontal="center"/>
      <protection locked="0"/>
    </xf>
    <xf numFmtId="0" fontId="0" fillId="5" borderId="6" xfId="0" applyFill="1" applyBorder="1" applyProtection="1">
      <protection locked="0"/>
    </xf>
    <xf numFmtId="0" fontId="24"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5" fillId="0" borderId="0" xfId="0" applyFont="1" applyAlignment="1" applyProtection="1">
      <alignment horizontal="left"/>
      <protection locked="0"/>
    </xf>
    <xf numFmtId="0" fontId="15" fillId="0" borderId="6" xfId="0" applyFont="1" applyBorder="1" applyAlignment="1">
      <alignment horizontal="left"/>
    </xf>
    <xf numFmtId="0" fontId="15" fillId="43" borderId="0" xfId="0" applyFont="1" applyFill="1" applyAlignment="1" applyProtection="1">
      <alignment horizontal="left" vertical="center" wrapText="1"/>
      <protection locked="0"/>
    </xf>
    <xf numFmtId="0" fontId="15" fillId="43" borderId="6" xfId="0" applyFont="1" applyFill="1" applyBorder="1" applyAlignment="1" applyProtection="1">
      <alignment horizontal="left" vertical="center" wrapText="1"/>
      <protection locked="0"/>
    </xf>
    <xf numFmtId="0" fontId="15" fillId="5" borderId="6" xfId="0" applyFont="1" applyFill="1" applyBorder="1" applyAlignment="1" applyProtection="1">
      <alignment horizontal="left" wrapText="1"/>
      <protection locked="0"/>
    </xf>
    <xf numFmtId="0" fontId="24" fillId="0" borderId="6" xfId="0" applyFont="1" applyBorder="1" applyAlignment="1">
      <alignment horizontal="left" wrapText="1"/>
    </xf>
    <xf numFmtId="172" fontId="0" fillId="5" borderId="6" xfId="0" applyNumberFormat="1" applyFill="1" applyBorder="1" applyAlignment="1" applyProtection="1">
      <alignment horizontal="center"/>
      <protection locked="0"/>
    </xf>
    <xf numFmtId="0" fontId="15"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0" fontId="24"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0" borderId="11" xfId="0" applyFont="1" applyBorder="1" applyAlignment="1">
      <alignment horizontal="center"/>
    </xf>
    <xf numFmtId="10" fontId="0" fillId="5" borderId="4" xfId="0" applyNumberFormat="1" applyFill="1" applyBorder="1" applyAlignment="1" applyProtection="1">
      <alignment horizontal="center"/>
      <protection locked="0"/>
    </xf>
    <xf numFmtId="0" fontId="22" fillId="0" borderId="3" xfId="0" applyFont="1" applyBorder="1" applyAlignment="1">
      <alignment horizontal="right"/>
    </xf>
    <xf numFmtId="0" fontId="22" fillId="0" borderId="4" xfId="0" applyFont="1" applyBorder="1" applyAlignment="1">
      <alignment horizontal="right"/>
    </xf>
    <xf numFmtId="0" fontId="22" fillId="0" borderId="5" xfId="0" applyFont="1" applyBorder="1" applyAlignment="1">
      <alignment horizontal="right"/>
    </xf>
    <xf numFmtId="0" fontId="15" fillId="43"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5" borderId="11" xfId="0" applyFont="1" applyFill="1" applyBorder="1" applyAlignment="1" applyProtection="1">
      <alignment horizontal="center"/>
      <protection locked="0"/>
    </xf>
    <xf numFmtId="168" fontId="0" fillId="0" borderId="11" xfId="0" applyNumberFormat="1" applyBorder="1" applyAlignment="1">
      <alignment horizontal="right"/>
    </xf>
    <xf numFmtId="0" fontId="0" fillId="0" borderId="9" xfId="0" applyBorder="1" applyAlignment="1">
      <alignment horizontal="left"/>
    </xf>
    <xf numFmtId="14" fontId="0" fillId="5" borderId="4" xfId="0" applyNumberForma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4" fontId="23" fillId="5" borderId="3" xfId="0" applyNumberFormat="1" applyFont="1" applyFill="1" applyBorder="1" applyAlignment="1" applyProtection="1">
      <alignment horizontal="left"/>
      <protection locked="0"/>
    </xf>
    <xf numFmtId="164" fontId="23" fillId="5" borderId="4" xfId="0" applyNumberFormat="1" applyFont="1" applyFill="1" applyBorder="1" applyAlignment="1" applyProtection="1">
      <alignment horizontal="left"/>
      <protection locked="0"/>
    </xf>
    <xf numFmtId="164" fontId="23" fillId="5" borderId="5" xfId="0" applyNumberFormat="1" applyFont="1" applyFill="1" applyBorder="1" applyAlignment="1" applyProtection="1">
      <alignment horizontal="left"/>
      <protection locked="0"/>
    </xf>
    <xf numFmtId="0" fontId="22"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5" fillId="0" borderId="0" xfId="543" applyAlignment="1">
      <alignment horizontal="center"/>
    </xf>
    <xf numFmtId="9" fontId="15" fillId="0" borderId="0" xfId="543" applyNumberFormat="1" applyAlignment="1">
      <alignment horizontal="center" vertical="center"/>
    </xf>
    <xf numFmtId="168" fontId="0" fillId="5" borderId="11" xfId="0" applyNumberFormat="1" applyFill="1" applyBorder="1" applyProtection="1">
      <protection locked="0"/>
    </xf>
    <xf numFmtId="2" fontId="15"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2" fillId="5" borderId="3" xfId="0" applyFont="1" applyFill="1" applyBorder="1" applyAlignment="1" applyProtection="1">
      <alignment horizontal="right"/>
      <protection locked="0"/>
    </xf>
    <xf numFmtId="0" fontId="22" fillId="5" borderId="4" xfId="0" applyFont="1" applyFill="1" applyBorder="1" applyAlignment="1" applyProtection="1">
      <alignment horizontal="right"/>
      <protection locked="0"/>
    </xf>
    <xf numFmtId="0" fontId="22"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5" fillId="5" borderId="10" xfId="0" applyNumberFormat="1" applyFont="1" applyFill="1" applyBorder="1" applyAlignment="1" applyProtection="1">
      <alignment horizontal="right"/>
      <protection locked="0"/>
    </xf>
    <xf numFmtId="168" fontId="15"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5" fillId="0" borderId="3" xfId="0" applyFont="1" applyBorder="1"/>
    <xf numFmtId="0" fontId="15" fillId="0" borderId="4" xfId="0" applyFont="1" applyBorder="1"/>
    <xf numFmtId="0" fontId="15" fillId="0" borderId="5" xfId="0" applyFont="1" applyBorder="1"/>
    <xf numFmtId="171" fontId="15" fillId="0" borderId="0" xfId="543" applyNumberFormat="1" applyAlignment="1">
      <alignment horizontal="center"/>
    </xf>
    <xf numFmtId="171" fontId="15" fillId="0" borderId="0" xfId="543" applyNumberFormat="1" applyAlignment="1">
      <alignment horizontal="right"/>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68" fontId="15" fillId="5" borderId="3" xfId="0" applyNumberFormat="1" applyFont="1" applyFill="1" applyBorder="1" applyAlignment="1" applyProtection="1">
      <alignment horizontal="right"/>
      <protection locked="0"/>
    </xf>
    <xf numFmtId="168" fontId="15" fillId="5" borderId="4" xfId="0" applyNumberFormat="1" applyFont="1" applyFill="1" applyBorder="1" applyAlignment="1" applyProtection="1">
      <alignment horizontal="right"/>
      <protection locked="0"/>
    </xf>
    <xf numFmtId="168" fontId="15" fillId="5" borderId="5" xfId="0" applyNumberFormat="1"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1" fillId="3" borderId="0" xfId="0" applyFont="1" applyFill="1" applyAlignment="1">
      <alignment horizontal="center" vertical="center"/>
    </xf>
    <xf numFmtId="9" fontId="15"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4" fontId="34" fillId="5" borderId="4" xfId="0" applyNumberFormat="1" applyFont="1" applyFill="1" applyBorder="1" applyAlignment="1" applyProtection="1">
      <alignment horizontal="left"/>
      <protection locked="0"/>
    </xf>
    <xf numFmtId="164" fontId="34"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5" fillId="5" borderId="3" xfId="0" applyNumberFormat="1" applyFont="1" applyFill="1" applyBorder="1" applyAlignment="1" applyProtection="1">
      <alignment horizontal="left"/>
      <protection locked="0"/>
    </xf>
    <xf numFmtId="168" fontId="15" fillId="5" borderId="4" xfId="0" applyNumberFormat="1" applyFont="1" applyFill="1" applyBorder="1" applyAlignment="1" applyProtection="1">
      <alignment horizontal="left"/>
      <protection locked="0"/>
    </xf>
    <xf numFmtId="168" fontId="15" fillId="5" borderId="5" xfId="0" applyNumberFormat="1" applyFont="1" applyFill="1" applyBorder="1" applyAlignment="1" applyProtection="1">
      <alignment horizontal="left"/>
      <protection locked="0"/>
    </xf>
    <xf numFmtId="168" fontId="0" fillId="0" borderId="11" xfId="0" applyNumberFormat="1" applyBorder="1"/>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75" fontId="15" fillId="43" borderId="3" xfId="0" applyNumberFormat="1" applyFont="1" applyFill="1" applyBorder="1" applyAlignment="1" applyProtection="1">
      <alignment horizontal="center"/>
      <protection locked="0"/>
    </xf>
    <xf numFmtId="175" fontId="15" fillId="43" borderId="4" xfId="0" applyNumberFormat="1" applyFont="1" applyFill="1" applyBorder="1" applyAlignment="1" applyProtection="1">
      <alignment horizontal="center"/>
      <protection locked="0"/>
    </xf>
    <xf numFmtId="175" fontId="15" fillId="43" borderId="5" xfId="0" applyNumberFormat="1" applyFont="1" applyFill="1" applyBorder="1" applyAlignment="1" applyProtection="1">
      <alignment horizontal="center"/>
      <protection locked="0"/>
    </xf>
    <xf numFmtId="0" fontId="22" fillId="0" borderId="9" xfId="0" applyFont="1" applyBorder="1" applyAlignment="1">
      <alignment horizontal="right"/>
    </xf>
    <xf numFmtId="0" fontId="22" fillId="0" borderId="6" xfId="0" applyFont="1" applyBorder="1" applyAlignment="1">
      <alignment horizontal="right"/>
    </xf>
    <xf numFmtId="0" fontId="22" fillId="0" borderId="10" xfId="0" applyFont="1" applyBorder="1" applyAlignment="1">
      <alignment horizontal="right"/>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4" fillId="5" borderId="4" xfId="0" applyFont="1" applyFill="1" applyBorder="1" applyAlignment="1" applyProtection="1">
      <alignment wrapText="1"/>
      <protection locked="0"/>
    </xf>
    <xf numFmtId="0" fontId="15" fillId="5" borderId="4" xfId="0" applyFont="1" applyFill="1" applyBorder="1" applyAlignment="1" applyProtection="1">
      <alignment wrapText="1"/>
      <protection locked="0"/>
    </xf>
    <xf numFmtId="0" fontId="22" fillId="0" borderId="11" xfId="0" applyFont="1" applyBorder="1" applyAlignment="1">
      <alignment horizontal="center" vertical="center" wrapText="1"/>
    </xf>
    <xf numFmtId="0" fontId="38" fillId="0" borderId="3" xfId="0" applyFont="1" applyBorder="1" applyAlignment="1">
      <alignment horizontal="center"/>
    </xf>
    <xf numFmtId="0" fontId="38" fillId="0" borderId="4" xfId="0" applyFont="1" applyBorder="1" applyAlignment="1">
      <alignment horizontal="center"/>
    </xf>
    <xf numFmtId="0" fontId="38" fillId="0" borderId="5" xfId="0" applyFont="1" applyBorder="1" applyAlignment="1">
      <alignment horizontal="center"/>
    </xf>
    <xf numFmtId="0" fontId="15" fillId="5" borderId="11" xfId="0" applyFont="1" applyFill="1" applyBorder="1" applyAlignment="1" applyProtection="1">
      <alignment horizontal="left" wrapText="1"/>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2" fillId="0" borderId="11" xfId="0" applyFont="1" applyBorder="1" applyAlignment="1">
      <alignment horizontal="center" vertic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0" xfId="0" applyFont="1" applyAlignment="1">
      <alignment horizontal="center" vertical="center" wrapText="1"/>
    </xf>
    <xf numFmtId="0" fontId="31" fillId="0" borderId="12"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0" xfId="0" applyFont="1" applyBorder="1" applyAlignment="1">
      <alignment horizontal="center" vertical="center" wrapText="1"/>
    </xf>
    <xf numFmtId="0" fontId="22" fillId="0" borderId="10" xfId="0" applyFont="1" applyBorder="1" applyAlignment="1">
      <alignment horizontal="center"/>
    </xf>
    <xf numFmtId="2" fontId="0" fillId="0" borderId="6" xfId="0" applyNumberFormat="1" applyBorder="1" applyAlignment="1">
      <alignment horizontal="center"/>
    </xf>
    <xf numFmtId="168" fontId="24"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4" fillId="5" borderId="4" xfId="0" applyFont="1" applyFill="1" applyBorder="1" applyAlignment="1" applyProtection="1">
      <alignment horizontal="right"/>
      <protection locked="0"/>
    </xf>
    <xf numFmtId="166" fontId="15" fillId="5" borderId="4" xfId="0" applyNumberFormat="1" applyFont="1" applyFill="1" applyBorder="1" applyAlignment="1" applyProtection="1">
      <alignment horizontal="left"/>
      <protection locked="0"/>
    </xf>
    <xf numFmtId="14" fontId="24" fillId="5" borderId="4" xfId="0" applyNumberFormat="1" applyFont="1" applyFill="1" applyBorder="1" applyAlignment="1" applyProtection="1">
      <alignment horizontal="right"/>
      <protection locked="0"/>
    </xf>
    <xf numFmtId="165" fontId="22" fillId="0" borderId="3" xfId="271" applyNumberFormat="1" applyFont="1" applyBorder="1" applyAlignment="1">
      <alignment horizontal="center"/>
    </xf>
    <xf numFmtId="165" fontId="22" fillId="0" borderId="4" xfId="271" applyNumberFormat="1" applyFont="1" applyBorder="1" applyAlignment="1">
      <alignment horizontal="center"/>
    </xf>
    <xf numFmtId="165" fontId="22" fillId="0" borderId="5" xfId="271" applyNumberFormat="1" applyFont="1" applyBorder="1" applyAlignment="1">
      <alignment horizontal="center"/>
    </xf>
    <xf numFmtId="0" fontId="34" fillId="5" borderId="3" xfId="543" applyFont="1" applyFill="1" applyBorder="1" applyAlignment="1">
      <alignment horizontal="center"/>
    </xf>
    <xf numFmtId="0" fontId="34" fillId="5" borderId="4" xfId="543" applyFont="1" applyFill="1" applyBorder="1" applyAlignment="1">
      <alignment horizontal="center"/>
    </xf>
    <xf numFmtId="0" fontId="34" fillId="5" borderId="5" xfId="543" applyFont="1" applyFill="1" applyBorder="1" applyAlignment="1">
      <alignment horizontal="center"/>
    </xf>
    <xf numFmtId="49" fontId="15" fillId="5" borderId="3" xfId="543" applyNumberFormat="1" applyFill="1" applyBorder="1" applyAlignment="1">
      <alignment horizontal="center"/>
    </xf>
    <xf numFmtId="49" fontId="15" fillId="5" borderId="5" xfId="543" applyNumberFormat="1" applyFill="1" applyBorder="1" applyAlignment="1">
      <alignment horizontal="center"/>
    </xf>
    <xf numFmtId="0" fontId="22" fillId="0" borderId="2" xfId="0" applyFont="1" applyBorder="1" applyAlignment="1">
      <alignment horizontal="center" wrapText="1"/>
    </xf>
    <xf numFmtId="0" fontId="22" fillId="0" borderId="7" xfId="0" applyFont="1" applyBorder="1" applyAlignment="1">
      <alignment horizontal="center" wrapText="1"/>
    </xf>
    <xf numFmtId="0" fontId="22" fillId="0" borderId="6" xfId="0" applyFont="1" applyBorder="1" applyAlignment="1">
      <alignment horizontal="center" wrapText="1"/>
    </xf>
    <xf numFmtId="0" fontId="22" fillId="0" borderId="10" xfId="0" applyFont="1" applyBorder="1" applyAlignment="1">
      <alignment horizontal="center" wrapText="1"/>
    </xf>
    <xf numFmtId="0" fontId="24" fillId="5" borderId="6" xfId="271" applyFill="1" applyBorder="1" applyProtection="1">
      <protection locked="0"/>
    </xf>
    <xf numFmtId="9" fontId="0" fillId="5" borderId="3" xfId="0" applyNumberFormat="1" applyFill="1" applyBorder="1" applyAlignment="1" applyProtection="1">
      <alignment horizontal="right"/>
      <protection locked="0"/>
    </xf>
    <xf numFmtId="0" fontId="15" fillId="5" borderId="3" xfId="0" applyFont="1" applyFill="1" applyBorder="1" applyAlignment="1" applyProtection="1">
      <alignment horizontal="left"/>
      <protection locked="0"/>
    </xf>
    <xf numFmtId="0" fontId="15" fillId="5" borderId="5" xfId="0" applyFont="1" applyFill="1" applyBorder="1" applyAlignment="1" applyProtection="1">
      <alignment horizontal="left"/>
      <protection locked="0"/>
    </xf>
    <xf numFmtId="168" fontId="15" fillId="0" borderId="11" xfId="543" applyNumberFormat="1" applyBorder="1" applyAlignment="1">
      <alignment horizontal="center"/>
    </xf>
    <xf numFmtId="168" fontId="15" fillId="10" borderId="3" xfId="543" applyNumberFormat="1" applyFill="1" applyBorder="1" applyAlignment="1">
      <alignment horizontal="center"/>
    </xf>
    <xf numFmtId="168" fontId="15" fillId="10" borderId="4" xfId="543" applyNumberFormat="1" applyFill="1" applyBorder="1" applyAlignment="1">
      <alignment horizontal="center"/>
    </xf>
    <xf numFmtId="168" fontId="15" fillId="10" borderId="5" xfId="543" applyNumberFormat="1" applyFill="1" applyBorder="1" applyAlignment="1">
      <alignment horizontal="center"/>
    </xf>
    <xf numFmtId="1" fontId="15" fillId="0" borderId="3" xfId="0" applyNumberFormat="1" applyFont="1" applyBorder="1" applyAlignment="1">
      <alignment horizontal="center"/>
    </xf>
    <xf numFmtId="1" fontId="24" fillId="0" borderId="4" xfId="0" applyNumberFormat="1" applyFont="1" applyBorder="1" applyAlignment="1">
      <alignment horizontal="center"/>
    </xf>
    <xf numFmtId="1" fontId="24" fillId="0" borderId="5" xfId="0" applyNumberFormat="1" applyFont="1" applyBorder="1" applyAlignment="1">
      <alignment horizontal="center"/>
    </xf>
    <xf numFmtId="3" fontId="0" fillId="5" borderId="3" xfId="0" applyNumberFormat="1" applyFill="1" applyBorder="1" applyAlignment="1" applyProtection="1">
      <alignment horizontal="right"/>
      <protection locked="0"/>
    </xf>
    <xf numFmtId="0" fontId="23" fillId="5" borderId="3" xfId="0" applyFont="1" applyFill="1" applyBorder="1" applyAlignment="1" applyProtection="1">
      <alignment horizontal="left"/>
      <protection locked="0"/>
    </xf>
    <xf numFmtId="0" fontId="23" fillId="5" borderId="4" xfId="0" applyFont="1" applyFill="1" applyBorder="1" applyAlignment="1" applyProtection="1">
      <alignment horizontal="left"/>
      <protection locked="0"/>
    </xf>
    <xf numFmtId="0" fontId="23" fillId="5" borderId="5" xfId="0" applyFont="1" applyFill="1" applyBorder="1" applyAlignment="1" applyProtection="1">
      <alignment horizontal="left"/>
      <protection locked="0"/>
    </xf>
    <xf numFmtId="0" fontId="22" fillId="0" borderId="2" xfId="0" applyFont="1" applyBorder="1" applyAlignment="1">
      <alignment horizontal="right"/>
    </xf>
    <xf numFmtId="0" fontId="22" fillId="0" borderId="7" xfId="0" applyFont="1" applyBorder="1" applyAlignment="1">
      <alignment horizontal="right"/>
    </xf>
    <xf numFmtId="168" fontId="22" fillId="0" borderId="3" xfId="543" applyNumberFormat="1" applyFont="1" applyBorder="1" applyAlignment="1">
      <alignment horizontal="center" vertical="center"/>
    </xf>
    <xf numFmtId="168" fontId="22" fillId="0" borderId="4" xfId="543" applyNumberFormat="1" applyFont="1" applyBorder="1" applyAlignment="1">
      <alignment horizontal="center" vertical="center"/>
    </xf>
    <xf numFmtId="168" fontId="22" fillId="0" borderId="5" xfId="543" applyNumberFormat="1" applyFont="1" applyBorder="1" applyAlignment="1">
      <alignment horizontal="center" vertical="center"/>
    </xf>
    <xf numFmtId="0" fontId="34" fillId="5" borderId="3" xfId="543" applyFont="1" applyFill="1" applyBorder="1" applyAlignment="1" applyProtection="1">
      <alignment horizontal="center"/>
      <protection locked="0"/>
    </xf>
    <xf numFmtId="0" fontId="34" fillId="5" borderId="5" xfId="543" applyFont="1" applyFill="1" applyBorder="1" applyAlignment="1" applyProtection="1">
      <alignment horizontal="center"/>
      <protection locked="0"/>
    </xf>
    <xf numFmtId="0" fontId="15" fillId="0" borderId="8" xfId="0" applyFont="1" applyBorder="1" applyAlignment="1">
      <alignment horizontal="left" wrapText="1"/>
    </xf>
    <xf numFmtId="0" fontId="15" fillId="0" borderId="12" xfId="0" applyFont="1" applyBorder="1" applyAlignment="1">
      <alignment horizontal="left" wrapText="1"/>
    </xf>
    <xf numFmtId="0" fontId="15" fillId="0" borderId="9" xfId="0" applyFont="1" applyBorder="1" applyAlignment="1">
      <alignment horizontal="left" wrapText="1"/>
    </xf>
    <xf numFmtId="0" fontId="15" fillId="0" borderId="6" xfId="0" applyFont="1" applyBorder="1" applyAlignment="1">
      <alignment horizontal="left" wrapText="1"/>
    </xf>
    <xf numFmtId="0" fontId="15" fillId="0" borderId="10" xfId="0" applyFont="1" applyBorder="1" applyAlignment="1">
      <alignment horizontal="left" wrapText="1"/>
    </xf>
    <xf numFmtId="168" fontId="15" fillId="0" borderId="1" xfId="543" applyNumberFormat="1" applyBorder="1" applyAlignment="1">
      <alignment horizontal="center" vertical="center"/>
    </xf>
    <xf numFmtId="168" fontId="15" fillId="0" borderId="2" xfId="543" applyNumberFormat="1" applyBorder="1" applyAlignment="1">
      <alignment horizontal="center" vertical="center"/>
    </xf>
    <xf numFmtId="168" fontId="15" fillId="0" borderId="7" xfId="543" applyNumberFormat="1" applyBorder="1" applyAlignment="1">
      <alignment horizontal="center" vertical="center"/>
    </xf>
    <xf numFmtId="168" fontId="15" fillId="0" borderId="8" xfId="543" applyNumberFormat="1" applyBorder="1" applyAlignment="1">
      <alignment horizontal="center" vertical="center"/>
    </xf>
    <xf numFmtId="168" fontId="15" fillId="0" borderId="0" xfId="543" applyNumberFormat="1" applyAlignment="1">
      <alignment horizontal="center" vertical="center"/>
    </xf>
    <xf numFmtId="168" fontId="15" fillId="0" borderId="12" xfId="543" applyNumberFormat="1" applyBorder="1" applyAlignment="1">
      <alignment horizontal="center" vertical="center"/>
    </xf>
    <xf numFmtId="0" fontId="22" fillId="0" borderId="8" xfId="543" applyFont="1" applyBorder="1" applyAlignment="1">
      <alignment horizontal="left" vertical="center" wrapText="1"/>
    </xf>
    <xf numFmtId="0" fontId="22" fillId="0" borderId="0" xfId="543" applyFont="1" applyAlignment="1">
      <alignment horizontal="left" vertical="center" wrapText="1"/>
    </xf>
    <xf numFmtId="0" fontId="22" fillId="0" borderId="12" xfId="543" applyFont="1" applyBorder="1" applyAlignment="1">
      <alignment horizontal="left" vertical="center" wrapText="1"/>
    </xf>
    <xf numFmtId="0" fontId="15" fillId="0" borderId="8" xfId="543" applyBorder="1" applyAlignment="1">
      <alignment horizontal="left" vertical="top" wrapText="1"/>
    </xf>
    <xf numFmtId="0" fontId="15" fillId="0" borderId="0" xfId="543" applyAlignment="1">
      <alignment horizontal="left" vertical="top" wrapText="1"/>
    </xf>
    <xf numFmtId="0" fontId="15" fillId="0" borderId="12" xfId="543" applyBorder="1" applyAlignment="1">
      <alignment horizontal="left" vertical="top" wrapText="1"/>
    </xf>
    <xf numFmtId="0" fontId="15" fillId="0" borderId="9" xfId="543" applyBorder="1" applyAlignment="1">
      <alignment horizontal="left" vertical="top" wrapText="1"/>
    </xf>
    <xf numFmtId="0" fontId="15" fillId="0" borderId="6" xfId="543" applyBorder="1" applyAlignment="1">
      <alignment horizontal="left" vertical="top" wrapText="1"/>
    </xf>
    <xf numFmtId="0" fontId="15" fillId="0" borderId="10" xfId="543" applyBorder="1" applyAlignment="1">
      <alignment horizontal="left" vertical="top" wrapText="1"/>
    </xf>
    <xf numFmtId="168" fontId="15" fillId="0" borderId="9" xfId="543" applyNumberFormat="1" applyBorder="1" applyAlignment="1">
      <alignment horizontal="center" vertical="center"/>
    </xf>
    <xf numFmtId="168" fontId="15" fillId="0" borderId="6" xfId="543" applyNumberFormat="1" applyBorder="1" applyAlignment="1">
      <alignment horizontal="center" vertical="center"/>
    </xf>
    <xf numFmtId="168" fontId="15" fillId="0" borderId="10" xfId="543" applyNumberFormat="1" applyBorder="1" applyAlignment="1">
      <alignment horizontal="center" vertical="center"/>
    </xf>
    <xf numFmtId="0" fontId="24" fillId="0" borderId="11" xfId="0" applyFont="1" applyBorder="1" applyAlignment="1">
      <alignment horizontal="center" vertical="top" wrapText="1"/>
    </xf>
    <xf numFmtId="0" fontId="24" fillId="0" borderId="3" xfId="0" applyFont="1" applyBorder="1" applyAlignment="1">
      <alignment horizontal="left"/>
    </xf>
    <xf numFmtId="0" fontId="34" fillId="5" borderId="9" xfId="543" applyFont="1" applyFill="1" applyBorder="1" applyAlignment="1" applyProtection="1">
      <alignment horizontal="center"/>
      <protection locked="0"/>
    </xf>
    <xf numFmtId="0" fontId="34" fillId="5" borderId="10" xfId="543" applyFont="1" applyFill="1" applyBorder="1" applyAlignment="1" applyProtection="1">
      <alignment horizontal="center"/>
      <protection locked="0"/>
    </xf>
    <xf numFmtId="0" fontId="22" fillId="0" borderId="1" xfId="0" applyFont="1" applyBorder="1" applyAlignment="1">
      <alignment horizontal="center" wrapText="1"/>
    </xf>
    <xf numFmtId="0" fontId="22" fillId="0" borderId="8" xfId="0" applyFont="1" applyBorder="1" applyAlignment="1">
      <alignment horizontal="center" wrapText="1"/>
    </xf>
    <xf numFmtId="0" fontId="22" fillId="0" borderId="0" xfId="0" applyFont="1" applyAlignment="1">
      <alignment horizontal="center" wrapText="1"/>
    </xf>
    <xf numFmtId="0" fontId="22" fillId="0" borderId="9" xfId="0" applyFont="1" applyBorder="1" applyAlignment="1">
      <alignment horizontal="center" wrapText="1"/>
    </xf>
    <xf numFmtId="168" fontId="15"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5" fillId="0" borderId="8" xfId="543" applyBorder="1" applyAlignment="1">
      <alignment horizontal="left" vertical="center" wrapText="1"/>
    </xf>
    <xf numFmtId="0" fontId="15" fillId="0" borderId="0" xfId="543" applyAlignment="1">
      <alignment horizontal="left" vertical="center" wrapText="1"/>
    </xf>
    <xf numFmtId="0" fontId="15" fillId="0" borderId="12" xfId="543" applyBorder="1" applyAlignment="1">
      <alignment horizontal="left" vertical="center" wrapText="1"/>
    </xf>
    <xf numFmtId="0" fontId="15" fillId="0" borderId="9" xfId="543" applyBorder="1" applyAlignment="1">
      <alignment horizontal="left" vertical="center" wrapText="1"/>
    </xf>
    <xf numFmtId="0" fontId="15" fillId="0" borderId="6" xfId="543" applyBorder="1" applyAlignment="1">
      <alignment horizontal="left" vertical="center" wrapText="1"/>
    </xf>
    <xf numFmtId="0" fontId="15" fillId="0" borderId="10" xfId="543" applyBorder="1" applyAlignment="1">
      <alignment horizontal="left" vertical="center" wrapText="1"/>
    </xf>
    <xf numFmtId="182" fontId="23" fillId="43" borderId="11" xfId="8722" applyNumberFormat="1" applyFont="1" applyFill="1" applyBorder="1" applyAlignment="1" applyProtection="1">
      <alignment horizontal="center" vertical="center" wrapText="1"/>
      <protection locked="0"/>
    </xf>
    <xf numFmtId="0" fontId="0" fillId="43" borderId="10" xfId="0" applyFill="1" applyBorder="1" applyAlignment="1" applyProtection="1">
      <alignment horizontal="left"/>
      <protection locked="0"/>
    </xf>
    <xf numFmtId="0" fontId="22" fillId="0" borderId="0" xfId="0" applyFont="1" applyAlignment="1">
      <alignment horizontal="center" vertical="center"/>
    </xf>
    <xf numFmtId="0" fontId="15" fillId="2" borderId="3" xfId="543" applyFill="1" applyBorder="1" applyAlignment="1">
      <alignment horizontal="center"/>
    </xf>
    <xf numFmtId="0" fontId="15" fillId="2" borderId="4" xfId="543" applyFill="1" applyBorder="1" applyAlignment="1">
      <alignment horizontal="center"/>
    </xf>
    <xf numFmtId="0" fontId="15" fillId="2" borderId="5" xfId="543" applyFill="1" applyBorder="1" applyAlignment="1">
      <alignment horizontal="center"/>
    </xf>
    <xf numFmtId="0" fontId="22" fillId="0" borderId="1" xfId="543" applyFont="1" applyBorder="1" applyAlignment="1">
      <alignment horizontal="left" vertical="center" wrapText="1"/>
    </xf>
    <xf numFmtId="0" fontId="22" fillId="0" borderId="2" xfId="543" applyFont="1" applyBorder="1" applyAlignment="1">
      <alignment horizontal="left" vertical="center" wrapText="1"/>
    </xf>
    <xf numFmtId="0" fontId="22" fillId="0" borderId="7" xfId="543" applyFont="1" applyBorder="1" applyAlignment="1">
      <alignment horizontal="left" vertical="center" wrapText="1"/>
    </xf>
    <xf numFmtId="0" fontId="34" fillId="0" borderId="3" xfId="543" applyFont="1" applyBorder="1" applyAlignment="1">
      <alignment horizontal="center"/>
    </xf>
    <xf numFmtId="0" fontId="34" fillId="0" borderId="5" xfId="543" applyFont="1" applyBorder="1" applyAlignment="1">
      <alignment horizontal="center"/>
    </xf>
    <xf numFmtId="0" fontId="22" fillId="0" borderId="3" xfId="543" applyFont="1" applyBorder="1" applyAlignment="1">
      <alignment horizontal="right"/>
    </xf>
    <xf numFmtId="0" fontId="22" fillId="0" borderId="4" xfId="543" applyFont="1" applyBorder="1" applyAlignment="1">
      <alignment horizontal="right"/>
    </xf>
    <xf numFmtId="0" fontId="22" fillId="0" borderId="5" xfId="543" applyFont="1" applyBorder="1" applyAlignment="1">
      <alignment horizontal="right"/>
    </xf>
    <xf numFmtId="0" fontId="15" fillId="5" borderId="3" xfId="543"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35" fillId="0" borderId="4" xfId="543" applyFont="1" applyBorder="1" applyAlignment="1">
      <alignment horizontal="right" vertical="top" wrapText="1"/>
    </xf>
    <xf numFmtId="0" fontId="35" fillId="0" borderId="5" xfId="543" applyFont="1" applyBorder="1" applyAlignment="1">
      <alignment horizontal="right" vertical="top" wrapText="1"/>
    </xf>
    <xf numFmtId="0" fontId="23" fillId="0" borderId="3" xfId="543" applyFont="1" applyBorder="1" applyAlignment="1">
      <alignment horizontal="center"/>
    </xf>
    <xf numFmtId="0" fontId="23" fillId="0" borderId="5" xfId="543" applyFont="1" applyBorder="1" applyAlignment="1">
      <alignment horizontal="center"/>
    </xf>
    <xf numFmtId="1" fontId="23" fillId="0" borderId="3" xfId="543" applyNumberFormat="1" applyFont="1" applyBorder="1" applyAlignment="1">
      <alignment horizontal="center"/>
    </xf>
    <xf numFmtId="1" fontId="23" fillId="0" borderId="5" xfId="543" applyNumberFormat="1" applyFont="1" applyBorder="1" applyAlignment="1">
      <alignment horizontal="center"/>
    </xf>
    <xf numFmtId="0" fontId="22" fillId="0" borderId="1" xfId="543" applyFont="1" applyBorder="1" applyAlignment="1">
      <alignment horizontal="left" vertical="top" wrapText="1"/>
    </xf>
    <xf numFmtId="0" fontId="22" fillId="0" borderId="2" xfId="543" applyFont="1" applyBorder="1" applyAlignment="1">
      <alignment horizontal="left" vertical="top" wrapText="1"/>
    </xf>
    <xf numFmtId="0" fontId="22" fillId="0" borderId="7" xfId="543" applyFont="1" applyBorder="1" applyAlignment="1">
      <alignment horizontal="left" vertical="top" wrapText="1"/>
    </xf>
    <xf numFmtId="0" fontId="22" fillId="0" borderId="8" xfId="543" applyFont="1" applyBorder="1" applyAlignment="1">
      <alignment horizontal="left" vertical="top" wrapText="1"/>
    </xf>
    <xf numFmtId="0" fontId="22" fillId="0" borderId="0" xfId="543" applyFont="1" applyAlignment="1">
      <alignment horizontal="left" vertical="top" wrapText="1"/>
    </xf>
    <xf numFmtId="0" fontId="22" fillId="0" borderId="12" xfId="543" applyFont="1" applyBorder="1" applyAlignment="1">
      <alignment horizontal="left" vertical="top" wrapText="1"/>
    </xf>
    <xf numFmtId="1" fontId="15" fillId="0" borderId="3" xfId="543" applyNumberFormat="1" applyBorder="1" applyAlignment="1">
      <alignment horizontal="center"/>
    </xf>
    <xf numFmtId="1" fontId="15" fillId="0" borderId="4" xfId="543" applyNumberFormat="1" applyBorder="1" applyAlignment="1">
      <alignment horizontal="center"/>
    </xf>
    <xf numFmtId="1" fontId="15" fillId="0" borderId="5" xfId="543" applyNumberFormat="1" applyBorder="1" applyAlignment="1">
      <alignment horizontal="center"/>
    </xf>
    <xf numFmtId="0" fontId="167" fillId="0" borderId="8" xfId="543" applyFont="1" applyBorder="1" applyAlignment="1">
      <alignment horizontal="center" vertical="center" wrapText="1"/>
    </xf>
    <xf numFmtId="0" fontId="167" fillId="0" borderId="0" xfId="543" applyFont="1" applyAlignment="1">
      <alignment horizontal="center" vertical="center" wrapText="1"/>
    </xf>
    <xf numFmtId="0" fontId="167" fillId="0" borderId="12" xfId="543" applyFont="1" applyBorder="1" applyAlignment="1">
      <alignment horizontal="center" vertical="center" wrapText="1"/>
    </xf>
    <xf numFmtId="164" fontId="34" fillId="5" borderId="3" xfId="0" applyNumberFormat="1" applyFont="1" applyFill="1" applyBorder="1" applyAlignment="1" applyProtection="1">
      <alignment horizontal="left"/>
      <protection locked="0"/>
    </xf>
    <xf numFmtId="0" fontId="22" fillId="0" borderId="12" xfId="0" applyFont="1" applyBorder="1" applyAlignment="1">
      <alignment horizontal="center" wrapText="1"/>
    </xf>
    <xf numFmtId="0" fontId="35" fillId="0" borderId="1" xfId="543" applyFont="1" applyBorder="1" applyAlignment="1">
      <alignment horizontal="right"/>
    </xf>
    <xf numFmtId="0" fontId="35" fillId="0" borderId="2" xfId="543" applyFont="1" applyBorder="1" applyAlignment="1">
      <alignment horizontal="right"/>
    </xf>
    <xf numFmtId="0" fontId="35" fillId="0" borderId="7" xfId="543" applyFont="1" applyBorder="1" applyAlignment="1">
      <alignment horizontal="right"/>
    </xf>
    <xf numFmtId="0" fontId="36" fillId="0" borderId="3" xfId="543" applyFont="1" applyBorder="1" applyAlignment="1">
      <alignment horizontal="center"/>
    </xf>
    <xf numFmtId="0" fontId="36" fillId="0" borderId="4" xfId="543" applyFont="1" applyBorder="1" applyAlignment="1">
      <alignment horizontal="center"/>
    </xf>
    <xf numFmtId="0" fontId="36" fillId="0" borderId="5" xfId="543" applyFont="1" applyBorder="1" applyAlignment="1">
      <alignment horizontal="center"/>
    </xf>
    <xf numFmtId="0" fontId="23" fillId="5" borderId="3" xfId="543" applyFont="1"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22" fillId="10" borderId="3" xfId="543" applyFont="1" applyFill="1" applyBorder="1" applyAlignment="1">
      <alignment horizontal="center"/>
    </xf>
    <xf numFmtId="0" fontId="22" fillId="10" borderId="4" xfId="543" applyFont="1" applyFill="1" applyBorder="1" applyAlignment="1">
      <alignment horizontal="center"/>
    </xf>
    <xf numFmtId="0" fontId="22" fillId="10" borderId="5" xfId="543" applyFont="1" applyFill="1" applyBorder="1" applyAlignment="1">
      <alignment horizontal="center"/>
    </xf>
    <xf numFmtId="0" fontId="34" fillId="5" borderId="3" xfId="543" applyFont="1" applyFill="1" applyBorder="1" applyAlignment="1" applyProtection="1">
      <alignment horizontal="center" vertical="top"/>
      <protection locked="0"/>
    </xf>
    <xf numFmtId="0" fontId="34" fillId="5" borderId="5" xfId="543" applyFont="1" applyFill="1" applyBorder="1" applyAlignment="1" applyProtection="1">
      <alignment horizontal="center" vertical="top"/>
      <protection locked="0"/>
    </xf>
    <xf numFmtId="0" fontId="42" fillId="0" borderId="8" xfId="543" applyFont="1" applyBorder="1" applyAlignment="1">
      <alignment horizontal="center" vertical="center" wrapText="1"/>
    </xf>
    <xf numFmtId="0" fontId="42" fillId="0" borderId="0" xfId="543" applyFont="1" applyAlignment="1">
      <alignment horizontal="center" vertical="center" wrapText="1"/>
    </xf>
    <xf numFmtId="0" fontId="42" fillId="0" borderId="12" xfId="543" applyFont="1" applyBorder="1" applyAlignment="1">
      <alignment horizontal="center" vertical="center" wrapText="1"/>
    </xf>
    <xf numFmtId="0" fontId="22" fillId="0" borderId="1" xfId="0" applyFont="1" applyBorder="1" applyAlignment="1">
      <alignment horizontal="center"/>
    </xf>
    <xf numFmtId="0" fontId="22" fillId="0" borderId="2" xfId="0" applyFont="1" applyBorder="1" applyAlignment="1">
      <alignment horizontal="center"/>
    </xf>
    <xf numFmtId="0" fontId="22" fillId="0" borderId="7" xfId="0" applyFont="1" applyBorder="1" applyAlignment="1">
      <alignment horizontal="center"/>
    </xf>
    <xf numFmtId="0" fontId="15" fillId="0" borderId="0" xfId="0" applyFont="1" applyAlignment="1">
      <alignment wrapText="1"/>
    </xf>
    <xf numFmtId="172" fontId="22" fillId="0" borderId="11" xfId="0" applyNumberFormat="1" applyFont="1" applyBorder="1" applyAlignment="1">
      <alignment horizontal="center" vertical="center" wrapText="1"/>
    </xf>
    <xf numFmtId="180" fontId="0" fillId="0" borderId="6" xfId="0" applyNumberFormat="1" applyBorder="1" applyAlignment="1">
      <alignment horizontal="center"/>
    </xf>
    <xf numFmtId="0" fontId="48" fillId="0" borderId="0" xfId="0" applyFont="1" applyAlignment="1">
      <alignment horizontal="center"/>
    </xf>
    <xf numFmtId="0" fontId="15" fillId="0" borderId="0" xfId="0" applyFont="1" applyAlignment="1">
      <alignment horizontal="center"/>
    </xf>
    <xf numFmtId="0" fontId="30" fillId="0" borderId="0" xfId="0" applyFont="1" applyAlignment="1">
      <alignment horizontal="center"/>
    </xf>
    <xf numFmtId="0" fontId="15" fillId="0" borderId="0" xfId="0" applyFont="1" applyAlignment="1">
      <alignment horizontal="center" vertical="top"/>
    </xf>
    <xf numFmtId="168" fontId="24" fillId="0" borderId="6" xfId="0" applyNumberFormat="1" applyFont="1" applyBorder="1" applyAlignment="1">
      <alignment horizontal="center"/>
    </xf>
    <xf numFmtId="0" fontId="23" fillId="0" borderId="0" xfId="0" applyFont="1" applyAlignment="1">
      <alignment horizontal="center"/>
    </xf>
    <xf numFmtId="0" fontId="176" fillId="0" borderId="8" xfId="543" applyFont="1" applyBorder="1" applyAlignment="1">
      <alignment horizontal="center" wrapText="1"/>
    </xf>
    <xf numFmtId="0" fontId="176" fillId="0" borderId="0" xfId="543" applyFont="1" applyAlignment="1">
      <alignment horizontal="center" wrapText="1"/>
    </xf>
    <xf numFmtId="0" fontId="176" fillId="0" borderId="12" xfId="543" applyFont="1" applyBorder="1" applyAlignment="1">
      <alignment horizontal="center" wrapText="1"/>
    </xf>
    <xf numFmtId="0" fontId="176" fillId="0" borderId="9" xfId="543" applyFont="1" applyBorder="1" applyAlignment="1">
      <alignment horizontal="center" wrapText="1"/>
    </xf>
    <xf numFmtId="0" fontId="176" fillId="0" borderId="6" xfId="543" applyFont="1" applyBorder="1" applyAlignment="1">
      <alignment horizontal="center" wrapText="1"/>
    </xf>
    <xf numFmtId="0" fontId="176" fillId="0" borderId="10" xfId="543" applyFont="1" applyBorder="1" applyAlignment="1">
      <alignment horizontal="center" wrapText="1"/>
    </xf>
    <xf numFmtId="0" fontId="176" fillId="0" borderId="8" xfId="543" applyFont="1" applyBorder="1" applyAlignment="1">
      <alignment horizontal="center" vertical="top" wrapText="1"/>
    </xf>
    <xf numFmtId="0" fontId="176" fillId="0" borderId="0" xfId="543" applyFont="1" applyAlignment="1">
      <alignment horizontal="center" vertical="top" wrapText="1"/>
    </xf>
    <xf numFmtId="0" fontId="176" fillId="0" borderId="12" xfId="543" applyFont="1" applyBorder="1" applyAlignment="1">
      <alignment horizontal="center" vertical="top" wrapText="1"/>
    </xf>
    <xf numFmtId="0" fontId="176" fillId="0" borderId="9" xfId="543" applyFont="1" applyBorder="1" applyAlignment="1">
      <alignment horizontal="center" vertical="top" wrapText="1"/>
    </xf>
    <xf numFmtId="0" fontId="176" fillId="0" borderId="6" xfId="543" applyFont="1" applyBorder="1" applyAlignment="1">
      <alignment horizontal="center" vertical="top" wrapText="1"/>
    </xf>
    <xf numFmtId="0" fontId="176" fillId="0" borderId="10" xfId="543" applyFont="1" applyBorder="1" applyAlignment="1">
      <alignment horizontal="center" vertical="top" wrapText="1"/>
    </xf>
    <xf numFmtId="0" fontId="171" fillId="0" borderId="0" xfId="0" applyFont="1" applyAlignment="1">
      <alignment horizontal="center" vertical="center" wrapText="1"/>
    </xf>
    <xf numFmtId="3" fontId="43" fillId="10" borderId="0" xfId="543" applyNumberFormat="1" applyFont="1" applyFill="1" applyAlignment="1">
      <alignment horizontal="left" vertical="center" wrapText="1"/>
    </xf>
    <xf numFmtId="0" fontId="24" fillId="0" borderId="2" xfId="0" applyFont="1" applyBorder="1" applyAlignment="1">
      <alignment horizontal="left" vertical="top" wrapText="1"/>
    </xf>
    <xf numFmtId="177" fontId="24"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4" fillId="0" borderId="0" xfId="0" applyFont="1" applyAlignment="1">
      <alignment vertical="top" wrapText="1"/>
    </xf>
    <xf numFmtId="0" fontId="24" fillId="0" borderId="6" xfId="0" applyFont="1" applyBorder="1" applyAlignment="1">
      <alignment horizontal="right" vertical="top" wrapText="1"/>
    </xf>
    <xf numFmtId="0" fontId="24"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4"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5" fillId="0" borderId="0" xfId="569" applyAlignment="1">
      <alignment horizontal="right" vertical="top" wrapText="1"/>
    </xf>
    <xf numFmtId="0" fontId="21" fillId="3" borderId="3" xfId="0" applyFont="1" applyFill="1" applyBorder="1" applyAlignment="1">
      <alignment horizontal="left" vertical="top"/>
    </xf>
    <xf numFmtId="0" fontId="21" fillId="3" borderId="4" xfId="0" applyFont="1" applyFill="1" applyBorder="1" applyAlignment="1">
      <alignment horizontal="left" vertical="top"/>
    </xf>
    <xf numFmtId="0" fontId="21" fillId="3" borderId="5" xfId="0" applyFont="1" applyFill="1" applyBorder="1" applyAlignment="1">
      <alignment horizontal="left" vertical="top"/>
    </xf>
    <xf numFmtId="164" fontId="15" fillId="0" borderId="50" xfId="4495" applyNumberFormat="1" applyFont="1" applyBorder="1" applyAlignment="1">
      <alignment horizontal="left" vertical="top" wrapText="1"/>
    </xf>
    <xf numFmtId="164" fontId="15" fillId="0" borderId="51" xfId="4495" applyNumberFormat="1" applyFont="1" applyBorder="1" applyAlignment="1">
      <alignment horizontal="left" vertical="top" wrapText="1"/>
    </xf>
    <xf numFmtId="164" fontId="15" fillId="0" borderId="52" xfId="4495" applyNumberFormat="1" applyFont="1" applyBorder="1" applyAlignment="1">
      <alignment horizontal="left" vertical="top" wrapText="1"/>
    </xf>
    <xf numFmtId="164" fontId="15" fillId="0" borderId="53" xfId="4495" applyNumberFormat="1" applyFont="1" applyBorder="1" applyAlignment="1">
      <alignment horizontal="left" vertical="top" wrapText="1"/>
    </xf>
    <xf numFmtId="164" fontId="15" fillId="0" borderId="0" xfId="4495" applyNumberFormat="1" applyFont="1" applyAlignment="1">
      <alignment horizontal="left" vertical="top" wrapText="1"/>
    </xf>
    <xf numFmtId="164" fontId="15" fillId="0" borderId="54" xfId="4495" applyNumberFormat="1" applyFont="1" applyBorder="1" applyAlignment="1">
      <alignment horizontal="left" vertical="top" wrapText="1"/>
    </xf>
    <xf numFmtId="164" fontId="15" fillId="0" borderId="57" xfId="4495" applyNumberFormat="1" applyFont="1" applyBorder="1" applyAlignment="1">
      <alignment horizontal="left" vertical="top" wrapText="1"/>
    </xf>
    <xf numFmtId="164" fontId="15" fillId="0" borderId="58" xfId="4495" applyNumberFormat="1" applyFont="1" applyBorder="1" applyAlignment="1">
      <alignment horizontal="left" vertical="top" wrapText="1"/>
    </xf>
    <xf numFmtId="164" fontId="15" fillId="0" borderId="59" xfId="4495" applyNumberFormat="1" applyFont="1" applyBorder="1" applyAlignment="1">
      <alignment horizontal="left" vertical="top" wrapText="1"/>
    </xf>
    <xf numFmtId="0" fontId="15" fillId="45" borderId="11" xfId="4495" applyFont="1" applyFill="1" applyBorder="1" applyAlignment="1">
      <alignment horizontal="center"/>
    </xf>
    <xf numFmtId="4" fontId="23" fillId="0" borderId="3" xfId="4495" applyNumberFormat="1" applyFont="1" applyBorder="1" applyAlignment="1">
      <alignment horizontal="center"/>
    </xf>
    <xf numFmtId="4" fontId="23" fillId="0" borderId="4" xfId="4495" applyNumberFormat="1" applyFont="1" applyBorder="1" applyAlignment="1">
      <alignment horizontal="center"/>
    </xf>
    <xf numFmtId="4" fontId="23"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5" fillId="43" borderId="6" xfId="1192" applyNumberFormat="1" applyFill="1" applyBorder="1" applyAlignment="1" applyProtection="1">
      <alignment horizontal="right"/>
      <protection locked="0"/>
    </xf>
    <xf numFmtId="168" fontId="15" fillId="0" borderId="0" xfId="1192" applyNumberFormat="1" applyAlignment="1">
      <alignment horizontal="right"/>
    </xf>
    <xf numFmtId="0" fontId="141" fillId="0" borderId="0" xfId="1192" applyFont="1" applyAlignment="1">
      <alignment horizontal="center"/>
    </xf>
    <xf numFmtId="168" fontId="15" fillId="43" borderId="6" xfId="543" applyNumberFormat="1" applyFill="1" applyBorder="1" applyAlignment="1" applyProtection="1">
      <alignment horizontal="center"/>
      <protection locked="0"/>
    </xf>
    <xf numFmtId="168" fontId="15" fillId="5" borderId="4" xfId="1192" applyNumberFormat="1" applyFill="1" applyBorder="1" applyAlignment="1" applyProtection="1">
      <alignment horizontal="center"/>
      <protection locked="0"/>
    </xf>
    <xf numFmtId="4" fontId="23" fillId="0" borderId="0" xfId="4495" applyNumberFormat="1" applyFont="1" applyAlignment="1">
      <alignment horizontal="center"/>
    </xf>
    <xf numFmtId="4" fontId="23" fillId="0" borderId="6" xfId="4495" applyNumberFormat="1" applyFont="1" applyBorder="1" applyAlignment="1">
      <alignment horizontal="center"/>
    </xf>
    <xf numFmtId="1" fontId="15" fillId="5" borderId="2" xfId="1192" applyNumberFormat="1" applyFill="1" applyBorder="1" applyAlignment="1" applyProtection="1">
      <alignment horizontal="center"/>
      <protection locked="0"/>
    </xf>
    <xf numFmtId="168" fontId="15" fillId="0" borderId="6" xfId="1192" applyNumberFormat="1" applyBorder="1" applyAlignment="1">
      <alignment horizontal="right"/>
    </xf>
    <xf numFmtId="168" fontId="15" fillId="0" borderId="4" xfId="1192" applyNumberFormat="1" applyBorder="1" applyAlignment="1">
      <alignment horizontal="right"/>
    </xf>
    <xf numFmtId="0" fontId="15" fillId="0" borderId="53" xfId="4495" applyFont="1" applyBorder="1" applyAlignment="1">
      <alignment horizontal="left" vertical="top" wrapText="1"/>
    </xf>
    <xf numFmtId="0" fontId="15" fillId="0" borderId="0" xfId="4495" applyFont="1" applyAlignment="1">
      <alignment horizontal="left" vertical="top" wrapText="1"/>
    </xf>
    <xf numFmtId="0" fontId="15" fillId="0" borderId="54" xfId="4495" applyFont="1" applyBorder="1" applyAlignment="1">
      <alignment horizontal="left" vertical="top" wrapText="1"/>
    </xf>
    <xf numFmtId="0" fontId="15" fillId="0" borderId="57" xfId="4495" applyFont="1" applyBorder="1" applyAlignment="1">
      <alignment horizontal="left" vertical="top" wrapText="1"/>
    </xf>
    <xf numFmtId="0" fontId="15" fillId="0" borderId="58" xfId="4495" applyFont="1" applyBorder="1" applyAlignment="1">
      <alignment horizontal="left" vertical="top" wrapText="1"/>
    </xf>
    <xf numFmtId="168" fontId="15" fillId="0" borderId="6" xfId="4496" applyNumberFormat="1" applyFont="1" applyBorder="1" applyAlignment="1">
      <alignment horizontal="center"/>
    </xf>
    <xf numFmtId="168" fontId="15" fillId="0" borderId="4" xfId="4496" applyNumberFormat="1" applyFont="1" applyBorder="1" applyAlignment="1">
      <alignment horizontal="center"/>
    </xf>
    <xf numFmtId="9" fontId="15" fillId="0" borderId="4" xfId="4496" applyNumberFormat="1" applyFont="1" applyBorder="1" applyAlignment="1">
      <alignment horizontal="center"/>
    </xf>
    <xf numFmtId="0" fontId="15" fillId="0" borderId="3" xfId="4495" applyFont="1" applyBorder="1" applyAlignment="1">
      <alignment horizontal="center"/>
    </xf>
    <xf numFmtId="0" fontId="15" fillId="0" borderId="4" xfId="4495" applyFont="1" applyBorder="1" applyAlignment="1">
      <alignment horizontal="center"/>
    </xf>
    <xf numFmtId="0" fontId="15" fillId="0" borderId="5" xfId="4495" applyFont="1" applyBorder="1" applyAlignment="1">
      <alignment horizontal="center"/>
    </xf>
    <xf numFmtId="0" fontId="22" fillId="0" borderId="0" xfId="4495" applyFont="1" applyAlignment="1">
      <alignment horizontal="center"/>
    </xf>
    <xf numFmtId="0" fontId="23" fillId="0" borderId="51" xfId="4495" applyFont="1" applyBorder="1" applyAlignment="1">
      <alignment horizontal="left" vertical="top" wrapText="1"/>
    </xf>
    <xf numFmtId="0" fontId="23" fillId="0" borderId="0" xfId="4495" applyFont="1" applyAlignment="1">
      <alignment horizontal="left" vertical="top" wrapText="1"/>
    </xf>
    <xf numFmtId="0" fontId="22" fillId="0" borderId="0" xfId="4495" applyFont="1" applyAlignment="1">
      <alignment horizontal="right"/>
    </xf>
    <xf numFmtId="10" fontId="23" fillId="0" borderId="2" xfId="4495" applyNumberFormat="1" applyFont="1" applyBorder="1" applyAlignment="1">
      <alignment horizontal="center"/>
    </xf>
    <xf numFmtId="0" fontId="23" fillId="0" borderId="0" xfId="4495" applyFont="1" applyAlignment="1">
      <alignment horizontal="center"/>
    </xf>
    <xf numFmtId="9" fontId="23" fillId="5" borderId="6" xfId="4495" applyNumberFormat="1" applyFont="1" applyFill="1" applyBorder="1" applyAlignment="1">
      <alignment horizontal="left"/>
    </xf>
    <xf numFmtId="0" fontId="129" fillId="0" borderId="0" xfId="4495" applyFont="1" applyAlignment="1">
      <alignment horizontal="left" vertical="top" wrapText="1"/>
    </xf>
    <xf numFmtId="0" fontId="31" fillId="42" borderId="2" xfId="4495" applyFont="1" applyFill="1" applyBorder="1" applyAlignment="1">
      <alignment horizontal="center"/>
    </xf>
    <xf numFmtId="0" fontId="31" fillId="42" borderId="6" xfId="4495" applyFont="1" applyFill="1" applyBorder="1" applyAlignment="1">
      <alignment horizontal="center"/>
    </xf>
    <xf numFmtId="0" fontId="22"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2" fillId="0" borderId="54" xfId="4495" applyFont="1" applyBorder="1" applyAlignment="1">
      <alignment horizontal="center"/>
    </xf>
    <xf numFmtId="0" fontId="15"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0" fontId="15" fillId="0" borderId="6" xfId="1192" applyBorder="1" applyAlignment="1">
      <alignment horizontal="left"/>
    </xf>
    <xf numFmtId="9" fontId="15" fillId="5" borderId="4" xfId="1192" applyNumberFormat="1" applyFill="1" applyBorder="1" applyAlignment="1" applyProtection="1">
      <alignment horizontal="left"/>
      <protection locked="0"/>
    </xf>
    <xf numFmtId="0" fontId="15" fillId="0" borderId="6" xfId="1192" applyBorder="1" applyAlignment="1">
      <alignment horizontal="right"/>
    </xf>
    <xf numFmtId="168" fontId="15" fillId="43" borderId="6" xfId="1192" applyNumberFormat="1" applyFill="1" applyBorder="1" applyAlignment="1" applyProtection="1">
      <alignment horizontal="right"/>
      <protection locked="0"/>
    </xf>
    <xf numFmtId="0" fontId="22" fillId="0" borderId="4" xfId="4495" applyFont="1" applyBorder="1" applyAlignment="1">
      <alignment horizontal="left"/>
    </xf>
    <xf numFmtId="0" fontId="22" fillId="0" borderId="5" xfId="4495" applyFont="1" applyBorder="1" applyAlignment="1">
      <alignment horizontal="left"/>
    </xf>
    <xf numFmtId="1" fontId="22" fillId="0" borderId="11" xfId="4495" applyNumberFormat="1" applyFont="1" applyBorder="1" applyAlignment="1">
      <alignment horizontal="center"/>
    </xf>
    <xf numFmtId="0" fontId="22" fillId="0" borderId="3" xfId="4495" applyFont="1" applyBorder="1" applyAlignment="1">
      <alignment horizontal="center" wrapText="1"/>
    </xf>
    <xf numFmtId="0" fontId="22" fillId="0" borderId="4" xfId="4495" applyFont="1" applyBorder="1" applyAlignment="1">
      <alignment horizontal="center" wrapText="1"/>
    </xf>
    <xf numFmtId="0" fontId="22" fillId="0" borderId="5" xfId="4495" applyFont="1" applyBorder="1" applyAlignment="1">
      <alignment horizontal="center" wrapText="1"/>
    </xf>
    <xf numFmtId="0" fontId="15" fillId="0" borderId="4" xfId="4495" applyFont="1" applyBorder="1" applyAlignment="1">
      <alignment horizontal="left"/>
    </xf>
    <xf numFmtId="0" fontId="15" fillId="0" borderId="5" xfId="4495" applyFont="1" applyBorder="1" applyAlignment="1">
      <alignment horizontal="left"/>
    </xf>
    <xf numFmtId="1" fontId="15" fillId="0" borderId="11" xfId="4495" applyNumberFormat="1" applyFont="1" applyBorder="1" applyAlignment="1">
      <alignment horizontal="center"/>
    </xf>
    <xf numFmtId="0" fontId="15" fillId="0" borderId="11" xfId="4495" applyFont="1" applyBorder="1" applyAlignment="1">
      <alignment horizontal="center"/>
    </xf>
    <xf numFmtId="1" fontId="15" fillId="46" borderId="11" xfId="4495" applyNumberFormat="1" applyFont="1" applyFill="1" applyBorder="1" applyAlignment="1">
      <alignment horizontal="center"/>
    </xf>
    <xf numFmtId="0" fontId="22" fillId="0" borderId="3" xfId="4495" applyFont="1" applyBorder="1" applyAlignment="1">
      <alignment horizontal="center"/>
    </xf>
    <xf numFmtId="0" fontId="22" fillId="0" borderId="4" xfId="4495" applyFont="1" applyBorder="1" applyAlignment="1">
      <alignment horizontal="center"/>
    </xf>
    <xf numFmtId="0" fontId="22" fillId="0" borderId="5" xfId="4495" applyFont="1" applyBorder="1" applyAlignment="1">
      <alignment horizontal="center"/>
    </xf>
    <xf numFmtId="0" fontId="22" fillId="0" borderId="3" xfId="4495" applyFont="1" applyBorder="1" applyAlignment="1">
      <alignment horizontal="left"/>
    </xf>
    <xf numFmtId="0" fontId="15"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2" fillId="0" borderId="4" xfId="4495" applyNumberFormat="1" applyFont="1" applyBorder="1" applyAlignment="1">
      <alignment horizontal="center" wrapText="1"/>
    </xf>
    <xf numFmtId="0" fontId="15" fillId="0" borderId="50" xfId="4496" applyFont="1" applyBorder="1" applyAlignment="1">
      <alignment horizontal="left" wrapText="1"/>
    </xf>
    <xf numFmtId="0" fontId="15" fillId="0" borderId="51" xfId="4496" applyFont="1" applyBorder="1" applyAlignment="1">
      <alignment horizontal="left" wrapText="1"/>
    </xf>
    <xf numFmtId="0" fontId="15" fillId="0" borderId="52" xfId="4496" applyFont="1" applyBorder="1" applyAlignment="1">
      <alignment horizontal="left" wrapText="1"/>
    </xf>
    <xf numFmtId="0" fontId="15" fillId="0" borderId="53" xfId="4496" applyFont="1" applyBorder="1" applyAlignment="1">
      <alignment horizontal="left" wrapText="1"/>
    </xf>
    <xf numFmtId="0" fontId="15" fillId="0" borderId="0" xfId="4496" applyFont="1" applyAlignment="1">
      <alignment horizontal="left" wrapText="1"/>
    </xf>
    <xf numFmtId="0" fontId="15" fillId="0" borderId="54" xfId="4496" applyFont="1" applyBorder="1" applyAlignment="1">
      <alignment horizontal="left" wrapText="1"/>
    </xf>
    <xf numFmtId="0" fontId="15" fillId="0" borderId="57" xfId="4496" applyFont="1" applyBorder="1" applyAlignment="1">
      <alignment horizontal="left" wrapText="1"/>
    </xf>
    <xf numFmtId="0" fontId="15" fillId="0" borderId="58" xfId="4496" applyFont="1" applyBorder="1" applyAlignment="1">
      <alignment horizontal="left" wrapText="1"/>
    </xf>
    <xf numFmtId="0" fontId="15" fillId="0" borderId="59" xfId="4496" applyFont="1" applyBorder="1" applyAlignment="1">
      <alignment horizontal="left" wrapText="1"/>
    </xf>
    <xf numFmtId="1" fontId="15" fillId="0" borderId="4" xfId="4496" applyNumberFormat="1" applyFont="1" applyBorder="1" applyAlignment="1">
      <alignment horizontal="center"/>
    </xf>
    <xf numFmtId="1" fontId="15" fillId="0" borderId="5" xfId="4496" applyNumberFormat="1" applyFont="1" applyBorder="1" applyAlignment="1">
      <alignment horizontal="center"/>
    </xf>
    <xf numFmtId="49" fontId="21" fillId="3" borderId="2" xfId="4495" applyNumberFormat="1" applyFont="1" applyFill="1" applyBorder="1" applyAlignment="1">
      <alignment horizontal="center" vertical="center" wrapText="1"/>
    </xf>
    <xf numFmtId="49" fontId="21" fillId="3" borderId="2" xfId="4495" applyNumberFormat="1" applyFont="1" applyFill="1" applyBorder="1" applyAlignment="1">
      <alignment horizontal="center" vertical="center"/>
    </xf>
    <xf numFmtId="49" fontId="21" fillId="3" borderId="0" xfId="4495" applyNumberFormat="1" applyFont="1" applyFill="1" applyAlignment="1">
      <alignment horizontal="center" vertical="center"/>
    </xf>
    <xf numFmtId="0" fontId="22" fillId="0" borderId="1" xfId="4495" applyFont="1" applyBorder="1" applyAlignment="1">
      <alignment horizontal="center" wrapText="1"/>
    </xf>
    <xf numFmtId="0" fontId="22" fillId="0" borderId="2" xfId="4495" applyFont="1" applyBorder="1" applyAlignment="1">
      <alignment horizontal="center" wrapText="1"/>
    </xf>
    <xf numFmtId="0" fontId="22" fillId="0" borderId="7" xfId="4495" applyFont="1" applyBorder="1" applyAlignment="1">
      <alignment horizontal="center" wrapText="1"/>
    </xf>
    <xf numFmtId="0" fontId="22" fillId="0" borderId="9" xfId="4495" applyFont="1" applyBorder="1" applyAlignment="1">
      <alignment horizontal="center" wrapText="1"/>
    </xf>
    <xf numFmtId="0" fontId="22" fillId="0" borderId="6" xfId="4495" applyFont="1" applyBorder="1" applyAlignment="1">
      <alignment horizontal="center" wrapText="1"/>
    </xf>
    <xf numFmtId="0" fontId="22" fillId="0" borderId="10" xfId="4495" applyFont="1" applyBorder="1" applyAlignment="1">
      <alignment horizontal="center" wrapText="1"/>
    </xf>
    <xf numFmtId="0" fontId="22" fillId="0" borderId="0" xfId="4495" applyFont="1" applyAlignment="1">
      <alignment horizontal="center" vertical="top"/>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5" borderId="50" xfId="4495" applyFill="1" applyBorder="1" applyAlignment="1">
      <alignment horizontal="center"/>
    </xf>
    <xf numFmtId="0" fontId="119" fillId="5" borderId="51" xfId="4495" applyFill="1" applyBorder="1" applyAlignment="1">
      <alignment horizontal="center"/>
    </xf>
    <xf numFmtId="0" fontId="119" fillId="0" borderId="53" xfId="4495" applyBorder="1" applyAlignment="1">
      <alignment horizontal="center"/>
    </xf>
    <xf numFmtId="0" fontId="119" fillId="0" borderId="0" xfId="4495" applyAlignment="1">
      <alignment horizontal="center"/>
    </xf>
    <xf numFmtId="0" fontId="23" fillId="5" borderId="0" xfId="4495" applyFont="1" applyFill="1" applyAlignment="1">
      <alignment horizontal="left" vertical="top"/>
    </xf>
    <xf numFmtId="0" fontId="119" fillId="5" borderId="53" xfId="4495" applyFill="1" applyBorder="1" applyAlignment="1">
      <alignment horizontal="center"/>
    </xf>
    <xf numFmtId="0" fontId="119" fillId="5" borderId="0" xfId="4495" applyFill="1" applyAlignment="1">
      <alignment horizontal="center"/>
    </xf>
    <xf numFmtId="0" fontId="23" fillId="0" borderId="58" xfId="4495" applyFont="1" applyBorder="1" applyAlignment="1">
      <alignment horizontal="left" vertical="top" wrapText="1"/>
    </xf>
    <xf numFmtId="0" fontId="23"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3" fillId="5" borderId="58" xfId="4495" applyNumberFormat="1" applyFont="1" applyFill="1" applyBorder="1" applyAlignment="1">
      <alignment horizontal="left"/>
    </xf>
    <xf numFmtId="0" fontId="119" fillId="5" borderId="55" xfId="4495" applyFill="1" applyBorder="1" applyAlignment="1">
      <alignment horizontal="center"/>
    </xf>
    <xf numFmtId="0" fontId="119" fillId="5" borderId="6" xfId="4495" applyFill="1" applyBorder="1" applyAlignment="1">
      <alignment horizontal="center"/>
    </xf>
    <xf numFmtId="0" fontId="23" fillId="5" borderId="0" xfId="4495" applyFont="1" applyFill="1" applyAlignment="1">
      <alignment horizontal="left" vertical="top" wrapText="1"/>
    </xf>
    <xf numFmtId="0" fontId="23" fillId="5" borderId="58" xfId="4495" applyFont="1" applyFill="1" applyBorder="1" applyAlignment="1">
      <alignment horizontal="left" vertical="top" wrapText="1"/>
    </xf>
    <xf numFmtId="0" fontId="23"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2" fillId="0" borderId="51" xfId="4495" applyFont="1" applyBorder="1" applyAlignment="1">
      <alignment horizontal="center" vertical="top"/>
    </xf>
    <xf numFmtId="0" fontId="22" fillId="0" borderId="52" xfId="4495" applyFont="1" applyBorder="1" applyAlignment="1">
      <alignment horizontal="center" vertical="top"/>
    </xf>
    <xf numFmtId="0" fontId="52" fillId="0" borderId="51" xfId="4495" applyFont="1" applyBorder="1" applyAlignment="1">
      <alignment horizontal="left" wrapText="1"/>
    </xf>
    <xf numFmtId="0" fontId="52" fillId="0" borderId="0" xfId="4495" applyFont="1" applyAlignment="1">
      <alignment horizontal="left" wrapText="1"/>
    </xf>
    <xf numFmtId="0" fontId="22" fillId="0" borderId="54" xfId="4495" applyFont="1" applyBorder="1" applyAlignment="1">
      <alignment horizontal="center" vertical="top"/>
    </xf>
    <xf numFmtId="0" fontId="129" fillId="0" borderId="0" xfId="4495" applyFont="1" applyAlignment="1">
      <alignment horizontal="left" vertical="center" wrapText="1"/>
    </xf>
    <xf numFmtId="0" fontId="22" fillId="0" borderId="0" xfId="4495" applyFont="1" applyAlignment="1">
      <alignment horizontal="left" vertical="top" wrapText="1"/>
    </xf>
    <xf numFmtId="0" fontId="15" fillId="0" borderId="0" xfId="4495" applyFont="1" applyAlignment="1">
      <alignment horizontal="left" vertical="top" wrapText="1" shrinkToFit="1"/>
    </xf>
    <xf numFmtId="44" fontId="15" fillId="0" borderId="0" xfId="707" applyFont="1" applyFill="1" applyBorder="1" applyAlignment="1" applyProtection="1">
      <alignment horizontal="left" vertical="top" wrapText="1"/>
    </xf>
    <xf numFmtId="0" fontId="15" fillId="0" borderId="0" xfId="4495" applyFont="1" applyAlignment="1">
      <alignment wrapText="1"/>
    </xf>
    <xf numFmtId="0" fontId="15" fillId="5" borderId="6" xfId="4495" applyFont="1" applyFill="1" applyBorder="1" applyAlignment="1" applyProtection="1">
      <alignment horizontal="center"/>
      <protection locked="0"/>
    </xf>
    <xf numFmtId="0" fontId="15" fillId="0" borderId="0" xfId="4495" applyFont="1" applyAlignment="1">
      <alignment horizontal="left" vertical="center" wrapText="1" shrinkToFit="1"/>
    </xf>
    <xf numFmtId="0" fontId="15" fillId="5" borderId="6" xfId="4495" applyFont="1" applyFill="1" applyBorder="1" applyAlignment="1" applyProtection="1">
      <alignment horizontal="left" wrapText="1" shrinkToFit="1"/>
      <protection locked="0"/>
    </xf>
    <xf numFmtId="0" fontId="15" fillId="43" borderId="6" xfId="1192" applyFill="1" applyBorder="1" applyAlignment="1" applyProtection="1">
      <alignment horizontal="left" vertical="top"/>
      <protection locked="0"/>
    </xf>
    <xf numFmtId="0" fontId="174" fillId="0" borderId="0" xfId="0" applyFont="1" applyAlignment="1" applyProtection="1">
      <alignment horizontal="left"/>
      <protection locked="0"/>
    </xf>
    <xf numFmtId="168" fontId="171" fillId="0" borderId="0" xfId="0" applyNumberFormat="1" applyFont="1" applyAlignment="1">
      <alignment horizontal="center" vertical="top" wrapText="1"/>
    </xf>
    <xf numFmtId="168" fontId="171" fillId="0" borderId="12" xfId="0" applyNumberFormat="1" applyFont="1" applyBorder="1" applyAlignment="1">
      <alignment horizontal="center" vertical="top" wrapText="1"/>
    </xf>
    <xf numFmtId="0" fontId="15" fillId="0" borderId="50" xfId="4495" applyFont="1" applyBorder="1" applyAlignment="1">
      <alignment horizontal="left" vertical="center" wrapText="1"/>
    </xf>
    <xf numFmtId="0" fontId="15" fillId="0" borderId="51" xfId="4495" applyFont="1" applyBorder="1" applyAlignment="1">
      <alignment horizontal="left" vertical="center" wrapText="1"/>
    </xf>
    <xf numFmtId="0" fontId="15" fillId="0" borderId="52" xfId="4495" applyFont="1" applyBorder="1" applyAlignment="1">
      <alignment horizontal="left" vertical="center" wrapText="1"/>
    </xf>
    <xf numFmtId="0" fontId="15" fillId="0" borderId="53" xfId="4495" applyFont="1" applyBorder="1" applyAlignment="1">
      <alignment horizontal="left" vertical="center" wrapText="1"/>
    </xf>
    <xf numFmtId="0" fontId="15" fillId="0" borderId="0" xfId="4495" applyFont="1" applyAlignment="1">
      <alignment horizontal="left" vertical="center" wrapText="1"/>
    </xf>
    <xf numFmtId="0" fontId="15" fillId="0" borderId="54" xfId="4495" applyFont="1" applyBorder="1" applyAlignment="1">
      <alignment horizontal="left" vertical="center" wrapText="1"/>
    </xf>
    <xf numFmtId="0" fontId="15" fillId="43" borderId="53" xfId="4495" applyFont="1" applyFill="1" applyBorder="1" applyAlignment="1" applyProtection="1">
      <alignment vertical="top" wrapText="1"/>
      <protection locked="0"/>
    </xf>
    <xf numFmtId="0" fontId="15" fillId="43" borderId="0" xfId="4495" applyFont="1" applyFill="1" applyAlignment="1" applyProtection="1">
      <alignment vertical="top" wrapText="1"/>
      <protection locked="0"/>
    </xf>
    <xf numFmtId="0" fontId="15" fillId="43" borderId="54" xfId="4495" applyFont="1" applyFill="1" applyBorder="1" applyAlignment="1" applyProtection="1">
      <alignment vertical="top" wrapText="1"/>
      <protection locked="0"/>
    </xf>
    <xf numFmtId="0" fontId="15" fillId="43" borderId="55" xfId="4495" applyFont="1" applyFill="1" applyBorder="1" applyAlignment="1" applyProtection="1">
      <alignment vertical="top" wrapText="1"/>
      <protection locked="0"/>
    </xf>
    <xf numFmtId="0" fontId="15" fillId="43" borderId="6" xfId="4495" applyFont="1" applyFill="1" applyBorder="1" applyAlignment="1" applyProtection="1">
      <alignment vertical="top" wrapText="1"/>
      <protection locked="0"/>
    </xf>
    <xf numFmtId="0" fontId="15" fillId="43" borderId="56" xfId="4495" applyFont="1" applyFill="1" applyBorder="1" applyAlignment="1" applyProtection="1">
      <alignment vertical="top" wrapText="1"/>
      <protection locked="0"/>
    </xf>
    <xf numFmtId="0" fontId="15" fillId="43" borderId="0" xfId="4495" applyFont="1" applyFill="1" applyAlignment="1" applyProtection="1">
      <alignment horizontal="left" vertical="center" wrapText="1"/>
      <protection locked="0"/>
    </xf>
    <xf numFmtId="0" fontId="15" fillId="43" borderId="54" xfId="4495" applyFont="1" applyFill="1" applyBorder="1" applyAlignment="1" applyProtection="1">
      <alignment horizontal="left" vertical="center" wrapText="1"/>
      <protection locked="0"/>
    </xf>
    <xf numFmtId="0" fontId="15" fillId="43" borderId="6" xfId="4495" applyFont="1" applyFill="1" applyBorder="1" applyAlignment="1" applyProtection="1">
      <alignment horizontal="left" vertical="center" wrapText="1"/>
      <protection locked="0"/>
    </xf>
    <xf numFmtId="0" fontId="15"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5" fillId="0" borderId="59" xfId="4495" applyFont="1" applyBorder="1" applyAlignment="1">
      <alignment horizontal="left" vertical="top" wrapText="1"/>
    </xf>
    <xf numFmtId="0" fontId="15" fillId="0" borderId="4" xfId="4496" applyFont="1" applyBorder="1" applyAlignment="1">
      <alignment horizontal="center"/>
    </xf>
    <xf numFmtId="0" fontId="15" fillId="0" borderId="5" xfId="4496" applyFont="1" applyBorder="1" applyAlignment="1">
      <alignment horizontal="center"/>
    </xf>
    <xf numFmtId="0" fontId="15" fillId="0" borderId="50" xfId="4495" applyFont="1" applyBorder="1" applyAlignment="1">
      <alignment horizontal="left" vertical="top" wrapText="1"/>
    </xf>
    <xf numFmtId="0" fontId="15" fillId="0" borderId="51" xfId="4495" applyFont="1" applyBorder="1" applyAlignment="1">
      <alignment horizontal="left" vertical="top" wrapText="1"/>
    </xf>
    <xf numFmtId="0" fontId="15" fillId="0" borderId="52" xfId="4495" applyFont="1" applyBorder="1" applyAlignment="1">
      <alignment horizontal="left" vertical="top" wrapText="1"/>
    </xf>
    <xf numFmtId="0" fontId="22" fillId="0" borderId="0" xfId="4495" applyFont="1"/>
    <xf numFmtId="0" fontId="15" fillId="0" borderId="57" xfId="4495" applyFont="1" applyBorder="1" applyAlignment="1">
      <alignment horizontal="left" vertical="center" wrapText="1"/>
    </xf>
    <xf numFmtId="0" fontId="15" fillId="0" borderId="58" xfId="4495" applyFont="1" applyBorder="1" applyAlignment="1">
      <alignment horizontal="left" vertical="center" wrapText="1"/>
    </xf>
    <xf numFmtId="0" fontId="15" fillId="0" borderId="59" xfId="4495" applyFont="1" applyBorder="1" applyAlignment="1">
      <alignment horizontal="left" vertical="center" wrapText="1"/>
    </xf>
    <xf numFmtId="0" fontId="22" fillId="0" borderId="0" xfId="4495" applyFont="1" applyAlignment="1">
      <alignment horizontal="left" vertical="top"/>
    </xf>
    <xf numFmtId="0" fontId="119" fillId="0" borderId="0" xfId="4495" applyAlignment="1" applyProtection="1">
      <alignment horizontal="center"/>
      <protection locked="0"/>
    </xf>
    <xf numFmtId="9" fontId="15" fillId="0" borderId="4" xfId="543" applyNumberFormat="1" applyBorder="1" applyAlignment="1">
      <alignment horizontal="center"/>
    </xf>
    <xf numFmtId="168" fontId="15" fillId="0" borderId="6" xfId="4495" applyNumberFormat="1" applyFont="1" applyBorder="1" applyAlignment="1">
      <alignment horizontal="right"/>
    </xf>
    <xf numFmtId="168" fontId="117" fillId="0" borderId="6" xfId="4495" applyNumberFormat="1" applyFont="1" applyBorder="1" applyAlignment="1">
      <alignment horizontal="right"/>
    </xf>
    <xf numFmtId="168" fontId="15" fillId="43" borderId="6" xfId="4495" applyNumberFormat="1" applyFont="1" applyFill="1" applyBorder="1" applyAlignment="1" applyProtection="1">
      <alignment horizontal="right"/>
      <protection locked="0"/>
    </xf>
    <xf numFmtId="6" fontId="15" fillId="0" borderId="3" xfId="1192" applyNumberFormat="1" applyBorder="1" applyAlignment="1">
      <alignment horizontal="right"/>
    </xf>
    <xf numFmtId="6" fontId="15" fillId="0" borderId="4" xfId="1192" applyNumberFormat="1" applyBorder="1" applyAlignment="1">
      <alignment horizontal="right"/>
    </xf>
    <xf numFmtId="6" fontId="15" fillId="0" borderId="5" xfId="1192" applyNumberFormat="1" applyBorder="1" applyAlignment="1">
      <alignment horizontal="right"/>
    </xf>
    <xf numFmtId="168" fontId="15" fillId="0" borderId="4" xfId="4495" applyNumberFormat="1" applyFont="1" applyBorder="1" applyAlignment="1">
      <alignment horizontal="right"/>
    </xf>
    <xf numFmtId="165" fontId="15" fillId="43" borderId="3" xfId="4495" applyNumberFormat="1" applyFont="1" applyFill="1" applyBorder="1" applyAlignment="1" applyProtection="1">
      <alignment horizontal="center"/>
      <protection locked="0"/>
    </xf>
    <xf numFmtId="165" fontId="15" fillId="43" borderId="4" xfId="4495" applyNumberFormat="1" applyFont="1" applyFill="1" applyBorder="1" applyAlignment="1" applyProtection="1">
      <alignment horizontal="center"/>
      <protection locked="0"/>
    </xf>
    <xf numFmtId="165" fontId="15" fillId="43" borderId="5" xfId="4495" applyNumberFormat="1" applyFont="1" applyFill="1" applyBorder="1" applyAlignment="1" applyProtection="1">
      <alignment horizontal="center"/>
      <protection locked="0"/>
    </xf>
    <xf numFmtId="165" fontId="15" fillId="0" borderId="6" xfId="1192" applyNumberFormat="1" applyBorder="1" applyAlignment="1">
      <alignment horizontal="right"/>
    </xf>
    <xf numFmtId="168" fontId="15" fillId="0" borderId="2" xfId="1192" applyNumberFormat="1" applyBorder="1" applyAlignment="1">
      <alignment horizontal="right"/>
    </xf>
    <xf numFmtId="0" fontId="15" fillId="5" borderId="6" xfId="1192" applyFill="1" applyBorder="1" applyAlignment="1" applyProtection="1">
      <alignment horizontal="left"/>
      <protection locked="0"/>
    </xf>
    <xf numFmtId="165" fontId="15" fillId="0" borderId="0" xfId="1192" applyNumberFormat="1" applyAlignment="1">
      <alignment horizontal="right"/>
    </xf>
    <xf numFmtId="2" fontId="15" fillId="0" borderId="0" xfId="1192" applyNumberFormat="1" applyAlignment="1">
      <alignment horizontal="right"/>
    </xf>
    <xf numFmtId="1" fontId="15" fillId="0" borderId="3" xfId="4495" applyNumberFormat="1" applyFont="1" applyBorder="1" applyAlignment="1">
      <alignment horizontal="center"/>
    </xf>
    <xf numFmtId="1" fontId="15" fillId="0" borderId="4" xfId="4495" applyNumberFormat="1" applyFont="1" applyBorder="1" applyAlignment="1">
      <alignment horizontal="center"/>
    </xf>
    <xf numFmtId="1" fontId="15" fillId="0" borderId="5" xfId="4495" applyNumberFormat="1" applyFont="1" applyBorder="1" applyAlignment="1">
      <alignment horizontal="center"/>
    </xf>
    <xf numFmtId="0" fontId="23" fillId="5" borderId="6" xfId="4495" applyFont="1" applyFill="1" applyBorder="1" applyAlignment="1" applyProtection="1">
      <alignment horizontal="left"/>
      <protection locked="0"/>
    </xf>
    <xf numFmtId="0" fontId="15" fillId="0" borderId="0" xfId="4495" applyFont="1" applyAlignment="1">
      <alignment horizontal="left"/>
    </xf>
    <xf numFmtId="0" fontId="15"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5" fillId="44" borderId="6" xfId="4495" applyFont="1" applyFill="1" applyBorder="1" applyAlignment="1">
      <alignment horizontal="left"/>
    </xf>
    <xf numFmtId="0" fontId="15" fillId="0" borderId="0" xfId="1192" applyAlignment="1">
      <alignment horizontal="right"/>
    </xf>
    <xf numFmtId="9" fontId="15" fillId="0" borderId="6" xfId="1192" applyNumberFormat="1" applyBorder="1" applyAlignment="1">
      <alignment horizontal="center"/>
    </xf>
    <xf numFmtId="9" fontId="15" fillId="0" borderId="6" xfId="1192" quotePrefix="1" applyNumberFormat="1" applyBorder="1" applyAlignment="1">
      <alignment horizontal="center"/>
    </xf>
    <xf numFmtId="9" fontId="15" fillId="0" borderId="0" xfId="1192" quotePrefix="1" applyNumberFormat="1" applyAlignment="1">
      <alignment horizontal="center"/>
    </xf>
    <xf numFmtId="1" fontId="15" fillId="5" borderId="4" xfId="1192" applyNumberFormat="1" applyFill="1" applyBorder="1" applyAlignment="1" applyProtection="1">
      <alignment horizontal="center"/>
      <protection locked="0"/>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1" fillId="3" borderId="2" xfId="4495" applyFont="1" applyFill="1" applyBorder="1" applyAlignment="1">
      <alignment horizontal="center" vertical="center"/>
    </xf>
    <xf numFmtId="0" fontId="21" fillId="3" borderId="16" xfId="4495" applyFont="1" applyFill="1" applyBorder="1" applyAlignment="1">
      <alignment horizontal="center" vertical="center"/>
    </xf>
    <xf numFmtId="0" fontId="22" fillId="0" borderId="48" xfId="4495" applyFont="1" applyBorder="1" applyAlignment="1">
      <alignment horizontal="left" vertical="top"/>
    </xf>
    <xf numFmtId="0" fontId="22" fillId="0" borderId="49" xfId="4495" applyFont="1" applyBorder="1" applyAlignment="1">
      <alignment horizontal="left" vertical="top"/>
    </xf>
    <xf numFmtId="0" fontId="15" fillId="0" borderId="50" xfId="4495" applyFont="1" applyBorder="1" applyAlignment="1">
      <alignment vertical="center" wrapText="1"/>
    </xf>
    <xf numFmtId="0" fontId="15" fillId="0" borderId="51" xfId="4495" applyFont="1" applyBorder="1" applyAlignment="1">
      <alignment vertical="center" wrapText="1"/>
    </xf>
    <xf numFmtId="0" fontId="15" fillId="0" borderId="52" xfId="4495" applyFont="1" applyBorder="1" applyAlignment="1">
      <alignment vertical="center" wrapText="1"/>
    </xf>
    <xf numFmtId="0" fontId="15" fillId="0" borderId="57" xfId="4495" applyFont="1" applyBorder="1" applyAlignment="1">
      <alignment vertical="center" wrapText="1"/>
    </xf>
    <xf numFmtId="0" fontId="15" fillId="0" borderId="58" xfId="4495" applyFont="1" applyBorder="1" applyAlignment="1">
      <alignment vertical="center" wrapText="1"/>
    </xf>
    <xf numFmtId="0" fontId="15"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168" fontId="97" fillId="0" borderId="84" xfId="4499" applyNumberFormat="1" applyFont="1" applyFill="1" applyBorder="1" applyAlignment="1" applyProtection="1">
      <alignment horizontal="left" vertical="center" indent="1"/>
    </xf>
    <xf numFmtId="168" fontId="97" fillId="0" borderId="83" xfId="4499" applyNumberFormat="1" applyFont="1" applyFill="1" applyBorder="1" applyAlignment="1" applyProtection="1">
      <alignment horizontal="left" vertical="center" indent="1"/>
    </xf>
    <xf numFmtId="0" fontId="97" fillId="0" borderId="11" xfId="4496" applyFont="1" applyBorder="1" applyAlignment="1">
      <alignment horizontal="left" indent="1"/>
    </xf>
    <xf numFmtId="0" fontId="97" fillId="0" borderId="15" xfId="4496" applyFont="1" applyBorder="1" applyAlignment="1">
      <alignment horizontal="left" indent="1"/>
    </xf>
    <xf numFmtId="0" fontId="136" fillId="0" borderId="71" xfId="4496" applyFont="1" applyBorder="1" applyAlignment="1">
      <alignment horizontal="left" indent="1"/>
    </xf>
    <xf numFmtId="168" fontId="97" fillId="0" borderId="11" xfId="4499" applyNumberFormat="1" applyFont="1" applyFill="1" applyBorder="1" applyAlignment="1" applyProtection="1">
      <alignment horizontal="left" vertical="center" indent="1"/>
    </xf>
    <xf numFmtId="168" fontId="97" fillId="0" borderId="13" xfId="4499" applyNumberFormat="1" applyFont="1" applyFill="1" applyBorder="1" applyAlignment="1" applyProtection="1">
      <alignment horizontal="left" vertical="center" indent="1"/>
    </xf>
    <xf numFmtId="49" fontId="135" fillId="3" borderId="0" xfId="1192" applyNumberFormat="1" applyFont="1" applyFill="1" applyAlignment="1">
      <alignment horizontal="center" vertical="center"/>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136" fillId="0" borderId="90" xfId="4496" applyFont="1" applyBorder="1" applyAlignment="1">
      <alignment horizontal="center" vertical="top" wrapText="1"/>
    </xf>
    <xf numFmtId="0" fontId="136" fillId="0" borderId="89" xfId="4496" applyFont="1" applyBorder="1" applyAlignment="1">
      <alignment horizontal="center" vertical="top" wrapText="1"/>
    </xf>
    <xf numFmtId="0" fontId="97" fillId="0" borderId="71" xfId="4496" applyFont="1" applyBorder="1"/>
    <xf numFmtId="0" fontId="97" fillId="0" borderId="74" xfId="4496" applyFont="1" applyBorder="1"/>
    <xf numFmtId="0" fontId="97" fillId="0" borderId="11" xfId="4496" applyFont="1" applyBorder="1"/>
    <xf numFmtId="0" fontId="97" fillId="0" borderId="91" xfId="4496" applyFont="1" applyBorder="1"/>
    <xf numFmtId="0" fontId="97" fillId="0" borderId="80" xfId="4496" applyFont="1" applyBorder="1" applyAlignment="1">
      <alignment horizontal="right"/>
    </xf>
    <xf numFmtId="0" fontId="97" fillId="0" borderId="11" xfId="4496" applyFont="1" applyBorder="1" applyAlignment="1">
      <alignment horizontal="right"/>
    </xf>
    <xf numFmtId="0" fontId="97" fillId="0" borderId="72" xfId="4496" applyFont="1" applyBorder="1" applyAlignment="1">
      <alignment horizontal="right"/>
    </xf>
    <xf numFmtId="0" fontId="97" fillId="0" borderId="73" xfId="4496" applyFont="1" applyBorder="1" applyAlignment="1">
      <alignment horizontal="right"/>
    </xf>
    <xf numFmtId="0" fontId="97" fillId="0" borderId="73" xfId="4496" applyFont="1" applyBorder="1"/>
    <xf numFmtId="0" fontId="97" fillId="0" borderId="93" xfId="4496" applyFont="1" applyBorder="1"/>
    <xf numFmtId="0" fontId="97" fillId="0" borderId="70" xfId="4496" applyFont="1" applyBorder="1" applyAlignment="1">
      <alignment horizontal="right"/>
    </xf>
    <xf numFmtId="0" fontId="97" fillId="0" borderId="71" xfId="4496" applyFont="1" applyBorder="1" applyAlignment="1">
      <alignment horizontal="right"/>
    </xf>
    <xf numFmtId="0" fontId="148" fillId="45" borderId="72" xfId="8726" applyFont="1" applyFill="1" applyBorder="1" applyAlignment="1">
      <alignment horizontal="center"/>
    </xf>
    <xf numFmtId="0" fontId="148" fillId="45" borderId="73" xfId="8726" applyFont="1" applyFill="1" applyBorder="1" applyAlignment="1">
      <alignment horizontal="center"/>
    </xf>
    <xf numFmtId="0" fontId="3" fillId="49" borderId="73" xfId="8726" applyFill="1" applyBorder="1" applyAlignment="1" applyProtection="1">
      <alignment horizontal="center"/>
      <protection locked="0"/>
    </xf>
    <xf numFmtId="0" fontId="3" fillId="49" borderId="93" xfId="8726" applyFill="1" applyBorder="1" applyAlignment="1" applyProtection="1">
      <alignment horizontal="center"/>
      <protection locked="0"/>
    </xf>
    <xf numFmtId="0" fontId="3" fillId="49" borderId="11" xfId="8726" applyFill="1" applyBorder="1" applyAlignment="1" applyProtection="1">
      <alignment horizontal="center"/>
      <protection locked="0"/>
    </xf>
    <xf numFmtId="0" fontId="3" fillId="49" borderId="91" xfId="8726" applyFill="1" applyBorder="1" applyAlignment="1" applyProtection="1">
      <alignment horizontal="center"/>
      <protection locked="0"/>
    </xf>
    <xf numFmtId="0" fontId="148" fillId="45" borderId="80" xfId="8726" applyFont="1" applyFill="1" applyBorder="1" applyAlignment="1">
      <alignment horizontal="center"/>
    </xf>
    <xf numFmtId="0" fontId="148" fillId="45" borderId="11" xfId="8726" applyFont="1" applyFill="1" applyBorder="1" applyAlignment="1">
      <alignment horizontal="center"/>
    </xf>
    <xf numFmtId="0" fontId="148" fillId="45" borderId="11" xfId="8726" applyFont="1" applyFill="1" applyBorder="1" applyAlignment="1">
      <alignment horizontal="center" wrapText="1"/>
    </xf>
    <xf numFmtId="0" fontId="149" fillId="45" borderId="11" xfId="8726" applyFont="1" applyFill="1" applyBorder="1" applyAlignment="1">
      <alignment horizontal="center"/>
    </xf>
    <xf numFmtId="0" fontId="149" fillId="45" borderId="91" xfId="8726" applyFont="1" applyFill="1" applyBorder="1" applyAlignment="1">
      <alignment horizontal="center"/>
    </xf>
    <xf numFmtId="0" fontId="101" fillId="45" borderId="70" xfId="8726" applyFont="1" applyFill="1" applyBorder="1" applyAlignment="1">
      <alignment horizontal="center"/>
    </xf>
    <xf numFmtId="0" fontId="101" fillId="45" borderId="71" xfId="8726" applyFont="1" applyFill="1" applyBorder="1" applyAlignment="1">
      <alignment horizontal="center"/>
    </xf>
    <xf numFmtId="0" fontId="101" fillId="45" borderId="74" xfId="8726" applyFont="1" applyFill="1" applyBorder="1" applyAlignment="1">
      <alignment horizontal="center"/>
    </xf>
    <xf numFmtId="0" fontId="101" fillId="45" borderId="70" xfId="8726" applyFont="1" applyFill="1" applyBorder="1" applyAlignment="1">
      <alignment horizontal="left" wrapText="1"/>
    </xf>
    <xf numFmtId="0" fontId="101" fillId="45" borderId="71" xfId="8726" applyFont="1" applyFill="1" applyBorder="1" applyAlignment="1">
      <alignment horizontal="left" wrapText="1"/>
    </xf>
    <xf numFmtId="0" fontId="101" fillId="45" borderId="80" xfId="8726" applyFont="1" applyFill="1" applyBorder="1" applyAlignment="1">
      <alignment horizontal="left" wrapText="1"/>
    </xf>
    <xf numFmtId="0" fontId="101" fillId="45" borderId="11" xfId="8726" applyFont="1" applyFill="1" applyBorder="1" applyAlignment="1">
      <alignment horizontal="left" wrapText="1"/>
    </xf>
    <xf numFmtId="0" fontId="162" fillId="49" borderId="80" xfId="8726" applyFont="1" applyFill="1" applyBorder="1" applyAlignment="1">
      <alignment horizontal="left" vertical="top"/>
    </xf>
    <xf numFmtId="0" fontId="162" fillId="49" borderId="11" xfId="8726" applyFont="1" applyFill="1" applyBorder="1" applyAlignment="1">
      <alignment horizontal="left" vertical="top"/>
    </xf>
    <xf numFmtId="0" fontId="162" fillId="49" borderId="91" xfId="8726" applyFont="1" applyFill="1" applyBorder="1" applyAlignment="1">
      <alignment horizontal="left" vertical="top"/>
    </xf>
    <xf numFmtId="0" fontId="162" fillId="49" borderId="72" xfId="8726" applyFont="1" applyFill="1" applyBorder="1" applyAlignment="1">
      <alignment horizontal="left" vertical="top"/>
    </xf>
    <xf numFmtId="0" fontId="162" fillId="49" borderId="73" xfId="8726" applyFont="1" applyFill="1" applyBorder="1" applyAlignment="1">
      <alignment horizontal="left" vertical="top"/>
    </xf>
    <xf numFmtId="0" fontId="162" fillId="49" borderId="93" xfId="8726" applyFont="1" applyFill="1" applyBorder="1" applyAlignment="1">
      <alignment horizontal="left" vertical="top"/>
    </xf>
    <xf numFmtId="10" fontId="3" fillId="49" borderId="84" xfId="8726" applyNumberFormat="1" applyFill="1" applyBorder="1" applyAlignment="1" applyProtection="1">
      <alignment horizontal="center"/>
      <protection locked="0"/>
    </xf>
    <xf numFmtId="10" fontId="3" fillId="49" borderId="82" xfId="8726" applyNumberFormat="1" applyFill="1" applyBorder="1" applyAlignment="1" applyProtection="1">
      <alignment horizontal="center"/>
      <protection locked="0"/>
    </xf>
    <xf numFmtId="10" fontId="3" fillId="49" borderId="85" xfId="8726" applyNumberFormat="1" applyFill="1" applyBorder="1" applyAlignment="1" applyProtection="1">
      <alignment horizontal="center"/>
      <protection locked="0"/>
    </xf>
    <xf numFmtId="0" fontId="3" fillId="49" borderId="3" xfId="8726" applyFill="1" applyBorder="1" applyAlignment="1" applyProtection="1">
      <alignment horizontal="center"/>
      <protection locked="0"/>
    </xf>
    <xf numFmtId="0" fontId="3" fillId="49" borderId="4" xfId="8726" applyFill="1" applyBorder="1" applyAlignment="1" applyProtection="1">
      <alignment horizontal="center"/>
      <protection locked="0"/>
    </xf>
    <xf numFmtId="0" fontId="3" fillId="49" borderId="79" xfId="8726" applyFill="1" applyBorder="1" applyAlignment="1" applyProtection="1">
      <alignment horizontal="center"/>
      <protection locked="0"/>
    </xf>
    <xf numFmtId="0" fontId="147" fillId="49" borderId="3" xfId="8726" applyFont="1" applyFill="1" applyBorder="1" applyAlignment="1" applyProtection="1">
      <alignment horizontal="center"/>
      <protection locked="0"/>
    </xf>
    <xf numFmtId="0" fontId="147" fillId="49" borderId="4" xfId="8726" applyFont="1" applyFill="1" applyBorder="1" applyAlignment="1" applyProtection="1">
      <alignment horizontal="center"/>
      <protection locked="0"/>
    </xf>
    <xf numFmtId="0" fontId="147" fillId="49" borderId="79" xfId="8726" applyFont="1" applyFill="1" applyBorder="1" applyAlignment="1" applyProtection="1">
      <alignment horizontal="center"/>
      <protection locked="0"/>
    </xf>
    <xf numFmtId="10" fontId="3" fillId="0" borderId="84" xfId="8726" applyNumberFormat="1" applyBorder="1" applyAlignment="1">
      <alignment horizontal="center"/>
    </xf>
    <xf numFmtId="10" fontId="3" fillId="0" borderId="82" xfId="8726" applyNumberFormat="1" applyBorder="1" applyAlignment="1">
      <alignment horizontal="center"/>
    </xf>
    <xf numFmtId="10" fontId="3" fillId="0" borderId="85" xfId="8726" applyNumberFormat="1" applyBorder="1" applyAlignment="1">
      <alignment horizontal="center"/>
    </xf>
    <xf numFmtId="0" fontId="147" fillId="49" borderId="71" xfId="8726" applyFont="1" applyFill="1" applyBorder="1" applyAlignment="1" applyProtection="1">
      <alignment horizontal="left" wrapText="1"/>
      <protection locked="0"/>
    </xf>
    <xf numFmtId="0" fontId="147" fillId="49" borderId="74" xfId="8726" applyFont="1" applyFill="1" applyBorder="1" applyAlignment="1" applyProtection="1">
      <alignment horizontal="left" wrapText="1"/>
      <protection locked="0"/>
    </xf>
    <xf numFmtId="0" fontId="147" fillId="49" borderId="11" xfId="8726" applyFont="1" applyFill="1" applyBorder="1" applyAlignment="1" applyProtection="1">
      <alignment horizontal="left" wrapText="1"/>
      <protection locked="0"/>
    </xf>
    <xf numFmtId="0" fontId="147" fillId="49" borderId="91" xfId="8726" applyFont="1" applyFill="1" applyBorder="1" applyAlignment="1" applyProtection="1">
      <alignment horizontal="left" wrapText="1"/>
      <protection locked="0"/>
    </xf>
    <xf numFmtId="168" fontId="164" fillId="49" borderId="11" xfId="700" applyNumberFormat="1" applyFont="1" applyFill="1" applyBorder="1" applyAlignment="1" applyProtection="1">
      <alignment horizontal="left"/>
      <protection locked="0"/>
    </xf>
    <xf numFmtId="168" fontId="164" fillId="49" borderId="91" xfId="700" applyNumberFormat="1" applyFont="1" applyFill="1" applyBorder="1" applyAlignment="1" applyProtection="1">
      <alignment horizontal="left"/>
      <protection locked="0"/>
    </xf>
    <xf numFmtId="0" fontId="145" fillId="45" borderId="95" xfId="8726" applyFont="1" applyFill="1" applyBorder="1" applyAlignment="1">
      <alignment horizontal="center"/>
    </xf>
    <xf numFmtId="0" fontId="145" fillId="45" borderId="13" xfId="8726" applyFont="1" applyFill="1" applyBorder="1" applyAlignment="1">
      <alignment horizontal="center"/>
    </xf>
    <xf numFmtId="0" fontId="145" fillId="45" borderId="71" xfId="8726" applyFont="1" applyFill="1" applyBorder="1" applyAlignment="1">
      <alignment horizontal="center"/>
    </xf>
    <xf numFmtId="0" fontId="145" fillId="45" borderId="74"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168" fontId="145" fillId="45" borderId="43" xfId="8726" applyNumberFormat="1" applyFont="1" applyFill="1" applyBorder="1" applyAlignment="1">
      <alignment horizontal="left"/>
    </xf>
    <xf numFmtId="168" fontId="145" fillId="45" borderId="96" xfId="8726" applyNumberFormat="1" applyFont="1" applyFill="1" applyBorder="1" applyAlignment="1">
      <alignment horizontal="left"/>
    </xf>
    <xf numFmtId="0" fontId="160" fillId="45" borderId="11" xfId="8726" applyFont="1" applyFill="1" applyBorder="1" applyAlignment="1">
      <alignment horizontal="right"/>
    </xf>
    <xf numFmtId="14" fontId="147" fillId="49" borderId="11" xfId="8726" applyNumberFormat="1" applyFont="1" applyFill="1" applyBorder="1" applyAlignment="1" applyProtection="1">
      <alignment horizontal="center"/>
      <protection locked="0"/>
    </xf>
    <xf numFmtId="0" fontId="147" fillId="49" borderId="11" xfId="8726" applyFont="1" applyFill="1" applyBorder="1" applyAlignment="1" applyProtection="1">
      <alignment horizontal="center"/>
      <protection locked="0"/>
    </xf>
    <xf numFmtId="1" fontId="163" fillId="49" borderId="11" xfId="8726" applyNumberFormat="1" applyFont="1" applyFill="1" applyBorder="1" applyAlignment="1" applyProtection="1">
      <alignment horizontal="center"/>
      <protection locked="0"/>
    </xf>
    <xf numFmtId="1" fontId="163" fillId="49" borderId="3" xfId="8726" applyNumberFormat="1" applyFont="1" applyFill="1" applyBorder="1" applyAlignment="1" applyProtection="1">
      <alignment horizontal="center"/>
      <protection locked="0"/>
    </xf>
    <xf numFmtId="1" fontId="163" fillId="49" borderId="4" xfId="8726" applyNumberFormat="1" applyFont="1" applyFill="1" applyBorder="1" applyAlignment="1" applyProtection="1">
      <alignment horizontal="center"/>
      <protection locked="0"/>
    </xf>
    <xf numFmtId="1" fontId="163" fillId="49" borderId="5" xfId="8726" applyNumberFormat="1" applyFont="1" applyFill="1" applyBorder="1" applyAlignment="1" applyProtection="1">
      <alignment horizontal="center"/>
      <protection locked="0"/>
    </xf>
    <xf numFmtId="1" fontId="149" fillId="44" borderId="3" xfId="8726" applyNumberFormat="1" applyFont="1" applyFill="1" applyBorder="1" applyAlignment="1">
      <alignment horizontal="center"/>
    </xf>
    <xf numFmtId="1" fontId="149" fillId="44" borderId="4" xfId="8726" applyNumberFormat="1" applyFont="1" applyFill="1" applyBorder="1" applyAlignment="1">
      <alignment horizontal="center"/>
    </xf>
    <xf numFmtId="1" fontId="149" fillId="44" borderId="5" xfId="8726" applyNumberFormat="1" applyFont="1" applyFill="1" applyBorder="1" applyAlignment="1">
      <alignment horizontal="center"/>
    </xf>
    <xf numFmtId="0" fontId="3" fillId="49" borderId="1" xfId="8726" applyFill="1" applyBorder="1" applyAlignment="1" applyProtection="1">
      <alignment horizontal="center"/>
      <protection locked="0"/>
    </xf>
    <xf numFmtId="0" fontId="3" fillId="49" borderId="2" xfId="8726" applyFill="1" applyBorder="1" applyAlignment="1" applyProtection="1">
      <alignment horizontal="center"/>
      <protection locked="0"/>
    </xf>
    <xf numFmtId="0" fontId="147" fillId="49" borderId="89" xfId="8726" applyFont="1" applyFill="1" applyBorder="1" applyAlignment="1" applyProtection="1">
      <alignment horizontal="left"/>
      <protection locked="0"/>
    </xf>
    <xf numFmtId="0" fontId="147" fillId="49" borderId="71" xfId="8726" applyFont="1" applyFill="1" applyBorder="1" applyAlignment="1" applyProtection="1">
      <alignment horizontal="left"/>
      <protection locked="0"/>
    </xf>
    <xf numFmtId="0" fontId="147" fillId="49" borderId="74" xfId="8726" applyFont="1" applyFill="1" applyBorder="1" applyAlignment="1" applyProtection="1">
      <alignment horizontal="left"/>
      <protection locked="0"/>
    </xf>
    <xf numFmtId="0" fontId="145" fillId="45" borderId="80" xfId="8726" applyFont="1" applyFill="1" applyBorder="1" applyAlignment="1">
      <alignment horizontal="center"/>
    </xf>
    <xf numFmtId="0" fontId="145" fillId="45" borderId="11" xfId="8726" applyFont="1" applyFill="1" applyBorder="1" applyAlignment="1">
      <alignment horizontal="center"/>
    </xf>
    <xf numFmtId="0" fontId="145" fillId="45" borderId="3" xfId="8726" applyFont="1" applyFill="1" applyBorder="1" applyAlignment="1">
      <alignment horizontal="center"/>
    </xf>
    <xf numFmtId="0" fontId="145" fillId="45" borderId="4" xfId="8726" applyFont="1" applyFill="1" applyBorder="1" applyAlignment="1">
      <alignment horizontal="center"/>
    </xf>
    <xf numFmtId="0" fontId="145" fillId="45" borderId="79" xfId="8726" applyFont="1" applyFill="1" applyBorder="1" applyAlignment="1">
      <alignment horizontal="center"/>
    </xf>
    <xf numFmtId="0" fontId="101" fillId="45" borderId="72" xfId="8726" applyFont="1" applyFill="1" applyBorder="1" applyAlignment="1">
      <alignment horizontal="center"/>
    </xf>
    <xf numFmtId="0" fontId="101" fillId="45" borderId="73" xfId="8726" applyFont="1" applyFill="1" applyBorder="1" applyAlignment="1">
      <alignment horizontal="center"/>
    </xf>
    <xf numFmtId="14" fontId="147" fillId="49" borderId="83" xfId="8726" applyNumberFormat="1" applyFont="1" applyFill="1" applyBorder="1" applyAlignment="1" applyProtection="1">
      <alignment horizontal="center"/>
      <protection locked="0"/>
    </xf>
    <xf numFmtId="0" fontId="147" fillId="49" borderId="73" xfId="8726" applyFont="1" applyFill="1" applyBorder="1" applyAlignment="1" applyProtection="1">
      <alignment horizontal="center"/>
      <protection locked="0"/>
    </xf>
    <xf numFmtId="0" fontId="147" fillId="49" borderId="93" xfId="8726" applyFont="1" applyFill="1" applyBorder="1" applyAlignment="1" applyProtection="1">
      <alignment horizontal="center"/>
      <protection locked="0"/>
    </xf>
    <xf numFmtId="0" fontId="164" fillId="49" borderId="80" xfId="8726" applyFont="1" applyFill="1" applyBorder="1" applyAlignment="1" applyProtection="1">
      <alignment horizontal="right"/>
      <protection locked="0"/>
    </xf>
    <xf numFmtId="0" fontId="164" fillId="49" borderId="11" xfId="8726" applyFont="1" applyFill="1" applyBorder="1" applyAlignment="1" applyProtection="1">
      <alignment horizontal="right"/>
      <protection locked="0"/>
    </xf>
    <xf numFmtId="43" fontId="145" fillId="53" borderId="3" xfId="698" applyFont="1" applyFill="1" applyBorder="1" applyAlignment="1" applyProtection="1">
      <alignment horizontal="center"/>
      <protection hidden="1"/>
    </xf>
    <xf numFmtId="43" fontId="145" fillId="53" borderId="4" xfId="698" applyFont="1" applyFill="1" applyBorder="1" applyAlignment="1" applyProtection="1">
      <alignment horizontal="center"/>
      <protection hidden="1"/>
    </xf>
    <xf numFmtId="43" fontId="145" fillId="53" borderId="79" xfId="698" applyFont="1" applyFill="1" applyBorder="1" applyAlignment="1" applyProtection="1">
      <alignment horizontal="center"/>
      <protection hidden="1"/>
    </xf>
    <xf numFmtId="0" fontId="177" fillId="54" borderId="3" xfId="698" applyNumberFormat="1" applyFont="1" applyFill="1" applyBorder="1" applyAlignment="1" applyProtection="1">
      <alignment horizontal="center"/>
      <protection locked="0"/>
    </xf>
    <xf numFmtId="0" fontId="177" fillId="54" borderId="4" xfId="698" applyNumberFormat="1" applyFont="1" applyFill="1" applyBorder="1" applyAlignment="1" applyProtection="1">
      <alignment horizontal="center"/>
      <protection locked="0"/>
    </xf>
    <xf numFmtId="0" fontId="177" fillId="54" borderId="79" xfId="698" applyNumberFormat="1" applyFont="1" applyFill="1" applyBorder="1" applyAlignment="1" applyProtection="1">
      <alignment horizontal="center"/>
      <protection locked="0"/>
    </xf>
    <xf numFmtId="44" fontId="146" fillId="0" borderId="8" xfId="700" applyFont="1" applyBorder="1" applyAlignment="1" applyProtection="1">
      <alignment horizontal="center" wrapText="1"/>
      <protection hidden="1"/>
    </xf>
    <xf numFmtId="44" fontId="146" fillId="0" borderId="0" xfId="700" applyFont="1" applyBorder="1" applyAlignment="1" applyProtection="1">
      <alignment horizontal="center" wrapText="1"/>
      <protection hidden="1"/>
    </xf>
    <xf numFmtId="44" fontId="146" fillId="0" borderId="12" xfId="700" applyFont="1" applyBorder="1" applyAlignment="1" applyProtection="1">
      <alignment horizontal="center" wrapText="1"/>
      <protection hidden="1"/>
    </xf>
    <xf numFmtId="44" fontId="146" fillId="0" borderId="9" xfId="700" applyFont="1" applyBorder="1" applyAlignment="1" applyProtection="1">
      <alignment horizontal="center" wrapText="1"/>
      <protection hidden="1"/>
    </xf>
    <xf numFmtId="44" fontId="146" fillId="0" borderId="6" xfId="700" applyFont="1" applyBorder="1" applyAlignment="1" applyProtection="1">
      <alignment horizontal="center" wrapText="1"/>
      <protection hidden="1"/>
    </xf>
    <xf numFmtId="44" fontId="146" fillId="0" borderId="10" xfId="700" applyFont="1" applyBorder="1" applyAlignment="1" applyProtection="1">
      <alignment horizontal="center" wrapText="1"/>
      <protection hidden="1"/>
    </xf>
    <xf numFmtId="43" fontId="146" fillId="53" borderId="8" xfId="698" applyFont="1" applyFill="1" applyBorder="1" applyAlignment="1" applyProtection="1">
      <alignment horizontal="center" wrapText="1"/>
      <protection hidden="1"/>
    </xf>
    <xf numFmtId="43" fontId="146" fillId="53" borderId="0" xfId="698" applyFont="1" applyFill="1" applyBorder="1" applyAlignment="1" applyProtection="1">
      <alignment horizontal="center" wrapText="1"/>
      <protection hidden="1"/>
    </xf>
    <xf numFmtId="43" fontId="146" fillId="53" borderId="41" xfId="698" applyFont="1" applyFill="1" applyBorder="1" applyAlignment="1" applyProtection="1">
      <alignment horizontal="center" wrapText="1"/>
      <protection hidden="1"/>
    </xf>
    <xf numFmtId="43" fontId="146" fillId="53" borderId="9" xfId="698" applyFont="1" applyFill="1" applyBorder="1" applyAlignment="1" applyProtection="1">
      <alignment horizontal="center" wrapText="1"/>
      <protection hidden="1"/>
    </xf>
    <xf numFmtId="43" fontId="146" fillId="53" borderId="6" xfId="698" applyFont="1" applyFill="1" applyBorder="1" applyAlignment="1" applyProtection="1">
      <alignment horizontal="center" wrapText="1"/>
      <protection hidden="1"/>
    </xf>
    <xf numFmtId="43" fontId="146" fillId="53" borderId="103" xfId="698" applyFont="1" applyFill="1" applyBorder="1" applyAlignment="1" applyProtection="1">
      <alignment horizontal="center" wrapText="1"/>
      <protection hidden="1"/>
    </xf>
    <xf numFmtId="0" fontId="147" fillId="53" borderId="80" xfId="698" applyNumberFormat="1" applyFont="1" applyFill="1" applyBorder="1" applyAlignment="1" applyProtection="1">
      <alignment horizontal="center"/>
      <protection hidden="1"/>
    </xf>
    <xf numFmtId="0" fontId="147" fillId="53" borderId="11" xfId="698" applyNumberFormat="1" applyFont="1" applyFill="1" applyBorder="1" applyAlignment="1" applyProtection="1">
      <alignment horizontal="center"/>
      <protection hidden="1"/>
    </xf>
    <xf numFmtId="0" fontId="147" fillId="49" borderId="11" xfId="0" applyFont="1" applyFill="1" applyBorder="1" applyAlignment="1" applyProtection="1">
      <alignment horizontal="center"/>
      <protection locked="0"/>
    </xf>
    <xf numFmtId="14" fontId="177" fillId="49" borderId="11" xfId="700" applyNumberFormat="1" applyFont="1" applyFill="1" applyBorder="1" applyAlignment="1" applyProtection="1">
      <alignment horizontal="center"/>
      <protection locked="0"/>
    </xf>
    <xf numFmtId="44" fontId="177" fillId="49" borderId="11" xfId="700" applyFont="1" applyFill="1" applyBorder="1" applyAlignment="1" applyProtection="1">
      <alignment horizontal="center"/>
      <protection locked="0"/>
    </xf>
    <xf numFmtId="164" fontId="147" fillId="49" borderId="11" xfId="700" applyNumberFormat="1" applyFont="1" applyFill="1" applyBorder="1" applyAlignment="1" applyProtection="1">
      <alignment horizontal="center"/>
      <protection locked="0"/>
    </xf>
    <xf numFmtId="9" fontId="147" fillId="49" borderId="11" xfId="1022" applyFont="1" applyFill="1" applyBorder="1" applyAlignment="1" applyProtection="1">
      <alignment horizontal="center"/>
      <protection locked="0"/>
    </xf>
    <xf numFmtId="0" fontId="101" fillId="44" borderId="0" xfId="8726" applyFont="1" applyFill="1" applyAlignment="1">
      <alignment horizontal="left"/>
    </xf>
    <xf numFmtId="0" fontId="149" fillId="44" borderId="0" xfId="8726" applyFont="1" applyFill="1" applyAlignment="1">
      <alignment horizontal="left" vertical="top"/>
    </xf>
    <xf numFmtId="0" fontId="101" fillId="44" borderId="0" xfId="4503" applyFont="1" applyFill="1" applyBorder="1" applyAlignment="1">
      <alignment horizontal="left" vertical="top"/>
    </xf>
    <xf numFmtId="0" fontId="173" fillId="48" borderId="65" xfId="8726" applyFont="1" applyFill="1" applyBorder="1" applyAlignment="1">
      <alignment horizontal="center"/>
    </xf>
    <xf numFmtId="0" fontId="173" fillId="48" borderId="29" xfId="8726" applyFont="1" applyFill="1" applyBorder="1" applyAlignment="1">
      <alignment horizontal="center"/>
    </xf>
    <xf numFmtId="0" fontId="173" fillId="48" borderId="31" xfId="8726" applyFont="1" applyFill="1" applyBorder="1" applyAlignment="1">
      <alignment horizontal="center"/>
    </xf>
    <xf numFmtId="0" fontId="3" fillId="48" borderId="66" xfId="8726" applyFill="1" applyBorder="1" applyAlignment="1">
      <alignment horizontal="center"/>
    </xf>
    <xf numFmtId="0" fontId="3" fillId="48" borderId="0" xfId="8726" applyFill="1" applyAlignment="1">
      <alignment horizontal="center"/>
    </xf>
    <xf numFmtId="0" fontId="3" fillId="48" borderId="41" xfId="8726" applyFill="1" applyBorder="1" applyAlignment="1">
      <alignment horizontal="center"/>
    </xf>
    <xf numFmtId="0" fontId="145" fillId="48" borderId="66" xfId="8726" applyFont="1" applyFill="1" applyBorder="1" applyAlignment="1">
      <alignment horizontal="center"/>
    </xf>
    <xf numFmtId="0" fontId="145" fillId="48" borderId="0" xfId="8726" applyFont="1" applyFill="1" applyAlignment="1">
      <alignment horizontal="center"/>
    </xf>
    <xf numFmtId="0" fontId="145" fillId="48" borderId="41" xfId="8726" applyFont="1" applyFill="1" applyBorder="1" applyAlignment="1">
      <alignment horizontal="center"/>
    </xf>
    <xf numFmtId="0" fontId="101" fillId="48" borderId="66" xfId="8726" applyFont="1" applyFill="1" applyBorder="1" applyAlignment="1">
      <alignment horizontal="center"/>
    </xf>
    <xf numFmtId="0" fontId="101" fillId="48" borderId="0" xfId="8726" applyFont="1" applyFill="1" applyAlignment="1">
      <alignment horizontal="center"/>
    </xf>
    <xf numFmtId="0" fontId="101" fillId="48" borderId="41" xfId="8726" applyFont="1" applyFill="1" applyBorder="1" applyAlignment="1">
      <alignment horizontal="center"/>
    </xf>
    <xf numFmtId="14" fontId="3" fillId="49" borderId="67" xfId="8726" applyNumberFormat="1" applyFill="1" applyBorder="1" applyAlignment="1" applyProtection="1">
      <alignment horizontal="center"/>
      <protection locked="0"/>
    </xf>
    <xf numFmtId="14" fontId="3" fillId="49" borderId="68" xfId="8726" applyNumberFormat="1" applyFill="1" applyBorder="1" applyAlignment="1" applyProtection="1">
      <alignment horizontal="center"/>
      <protection locked="0"/>
    </xf>
    <xf numFmtId="14" fontId="3" fillId="49" borderId="69" xfId="8726" applyNumberFormat="1" applyFill="1" applyBorder="1" applyAlignment="1" applyProtection="1">
      <alignment horizontal="center"/>
      <protection locked="0"/>
    </xf>
    <xf numFmtId="0" fontId="3" fillId="49" borderId="67" xfId="8726" applyFill="1" applyBorder="1" applyAlignment="1" applyProtection="1">
      <alignment horizontal="left"/>
      <protection locked="0"/>
    </xf>
    <xf numFmtId="0" fontId="3" fillId="49" borderId="68" xfId="8726" applyFill="1" applyBorder="1" applyAlignment="1" applyProtection="1">
      <alignment horizontal="left"/>
      <protection locked="0"/>
    </xf>
    <xf numFmtId="0" fontId="3" fillId="49" borderId="69" xfId="8726" applyFill="1" applyBorder="1" applyAlignment="1" applyProtection="1">
      <alignment horizontal="left"/>
      <protection locked="0"/>
    </xf>
    <xf numFmtId="0" fontId="3" fillId="49" borderId="67" xfId="8726" applyFill="1" applyBorder="1" applyAlignment="1" applyProtection="1">
      <alignment horizontal="center"/>
      <protection locked="0"/>
    </xf>
    <xf numFmtId="0" fontId="3" fillId="49" borderId="68" xfId="8726" applyFill="1" applyBorder="1" applyAlignment="1" applyProtection="1">
      <alignment horizontal="center"/>
      <protection locked="0"/>
    </xf>
    <xf numFmtId="0" fontId="3" fillId="49" borderId="69" xfId="8726" applyFill="1" applyBorder="1" applyAlignment="1" applyProtection="1">
      <alignment horizontal="center"/>
      <protection locked="0"/>
    </xf>
    <xf numFmtId="0" fontId="101" fillId="48" borderId="42" xfId="8726" applyFont="1" applyFill="1" applyBorder="1" applyAlignment="1">
      <alignment horizontal="center"/>
    </xf>
    <xf numFmtId="0" fontId="145" fillId="48" borderId="0" xfId="8726" applyFont="1" applyFill="1" applyAlignment="1">
      <alignment horizontal="left" vertical="top" wrapText="1"/>
    </xf>
    <xf numFmtId="0" fontId="101" fillId="48" borderId="0" xfId="8726" applyFont="1" applyFill="1" applyAlignment="1">
      <alignment horizontal="left"/>
    </xf>
    <xf numFmtId="43" fontId="145" fillId="45" borderId="67" xfId="698" applyFont="1" applyFill="1" applyBorder="1" applyAlignment="1" applyProtection="1">
      <alignment horizontal="center"/>
      <protection hidden="1"/>
    </xf>
    <xf numFmtId="43" fontId="145" fillId="45" borderId="68" xfId="698" applyFont="1" applyFill="1" applyBorder="1" applyAlignment="1" applyProtection="1">
      <alignment horizontal="center"/>
      <protection hidden="1"/>
    </xf>
    <xf numFmtId="43" fontId="145" fillId="45" borderId="69" xfId="698" applyFont="1" applyFill="1" applyBorder="1" applyAlignment="1" applyProtection="1">
      <alignment horizontal="center"/>
      <protection hidden="1"/>
    </xf>
    <xf numFmtId="43" fontId="146" fillId="53" borderId="66" xfId="698" applyFont="1" applyFill="1" applyBorder="1" applyAlignment="1" applyProtection="1">
      <alignment horizontal="center" wrapText="1"/>
      <protection hidden="1"/>
    </xf>
    <xf numFmtId="43" fontId="146" fillId="53" borderId="12" xfId="698" applyFont="1" applyFill="1" applyBorder="1" applyAlignment="1" applyProtection="1">
      <alignment horizontal="center" wrapText="1"/>
      <protection hidden="1"/>
    </xf>
    <xf numFmtId="43" fontId="146" fillId="53" borderId="102" xfId="698" applyFont="1" applyFill="1" applyBorder="1" applyAlignment="1" applyProtection="1">
      <alignment horizontal="center" wrapText="1"/>
      <protection hidden="1"/>
    </xf>
    <xf numFmtId="43" fontId="146" fillId="53" borderId="10" xfId="698" applyFont="1" applyFill="1" applyBorder="1" applyAlignment="1" applyProtection="1">
      <alignment horizontal="center" wrapText="1"/>
      <protection hidden="1"/>
    </xf>
    <xf numFmtId="14" fontId="146" fillId="0" borderId="8" xfId="700" applyNumberFormat="1" applyFont="1" applyFill="1" applyBorder="1" applyAlignment="1" applyProtection="1">
      <alignment horizontal="center" wrapText="1"/>
      <protection hidden="1"/>
    </xf>
    <xf numFmtId="14" fontId="146" fillId="0" borderId="0" xfId="700" applyNumberFormat="1" applyFont="1" applyFill="1" applyBorder="1" applyAlignment="1" applyProtection="1">
      <alignment horizontal="center" wrapText="1"/>
      <protection hidden="1"/>
    </xf>
    <xf numFmtId="14" fontId="146" fillId="0" borderId="12" xfId="700" applyNumberFormat="1" applyFont="1" applyFill="1" applyBorder="1" applyAlignment="1" applyProtection="1">
      <alignment horizontal="center" wrapText="1"/>
      <protection hidden="1"/>
    </xf>
    <xf numFmtId="14" fontId="146" fillId="0" borderId="9" xfId="700" applyNumberFormat="1" applyFont="1" applyFill="1" applyBorder="1" applyAlignment="1" applyProtection="1">
      <alignment horizontal="center" wrapText="1"/>
      <protection hidden="1"/>
    </xf>
    <xf numFmtId="14" fontId="146" fillId="0" borderId="6" xfId="700" applyNumberFormat="1" applyFont="1" applyFill="1" applyBorder="1" applyAlignment="1" applyProtection="1">
      <alignment horizontal="center" wrapText="1"/>
      <protection hidden="1"/>
    </xf>
    <xf numFmtId="14" fontId="146" fillId="0" borderId="10" xfId="700" applyNumberFormat="1" applyFont="1" applyFill="1" applyBorder="1" applyAlignment="1" applyProtection="1">
      <alignment horizontal="center" wrapText="1"/>
      <protection hidden="1"/>
    </xf>
    <xf numFmtId="0" fontId="101" fillId="0" borderId="67" xfId="8726" applyFont="1" applyBorder="1" applyAlignment="1">
      <alignment horizontal="left"/>
    </xf>
    <xf numFmtId="0" fontId="101" fillId="0" borderId="68" xfId="8726" applyFont="1" applyBorder="1" applyAlignment="1">
      <alignment horizontal="left"/>
    </xf>
    <xf numFmtId="0" fontId="148" fillId="45" borderId="72" xfId="8726" applyFont="1" applyFill="1" applyBorder="1" applyAlignment="1">
      <alignment horizontal="right"/>
    </xf>
    <xf numFmtId="0" fontId="148" fillId="45" borderId="73" xfId="8726" applyFont="1" applyFill="1" applyBorder="1" applyAlignment="1">
      <alignment horizontal="right"/>
    </xf>
    <xf numFmtId="0" fontId="149" fillId="44" borderId="73" xfId="700" applyNumberFormat="1" applyFont="1" applyFill="1" applyBorder="1" applyAlignment="1">
      <alignment horizontal="left"/>
    </xf>
    <xf numFmtId="168" fontId="149" fillId="44" borderId="73" xfId="700" applyNumberFormat="1" applyFont="1" applyFill="1" applyBorder="1" applyAlignment="1">
      <alignment horizontal="left"/>
    </xf>
    <xf numFmtId="168" fontId="149" fillId="44" borderId="93" xfId="700" applyNumberFormat="1" applyFont="1" applyFill="1" applyBorder="1" applyAlignment="1">
      <alignment horizontal="left"/>
    </xf>
    <xf numFmtId="0" fontId="145" fillId="48" borderId="0" xfId="8726" applyFont="1" applyFill="1" applyAlignment="1">
      <alignment horizontal="right"/>
    </xf>
    <xf numFmtId="182" fontId="3" fillId="49" borderId="11" xfId="700" applyNumberFormat="1" applyFont="1" applyFill="1" applyBorder="1" applyAlignment="1" applyProtection="1">
      <alignment horizontal="center"/>
      <protection locked="0"/>
    </xf>
    <xf numFmtId="10" fontId="162" fillId="49" borderId="11" xfId="1022" applyNumberFormat="1" applyFont="1" applyFill="1" applyBorder="1" applyAlignment="1" applyProtection="1">
      <alignment horizontal="center"/>
      <protection locked="0"/>
    </xf>
    <xf numFmtId="44" fontId="3" fillId="49" borderId="97" xfId="700" applyFont="1" applyFill="1" applyBorder="1" applyAlignment="1" applyProtection="1">
      <alignment horizontal="center"/>
      <protection locked="0"/>
    </xf>
    <xf numFmtId="168" fontId="146" fillId="48" borderId="0" xfId="700" applyNumberFormat="1" applyFont="1" applyFill="1" applyBorder="1" applyAlignment="1" applyProtection="1">
      <alignment horizontal="left"/>
      <protection locked="0"/>
    </xf>
    <xf numFmtId="0" fontId="149" fillId="45" borderId="67" xfId="0" applyFont="1" applyFill="1" applyBorder="1" applyAlignment="1" applyProtection="1">
      <alignment horizontal="center" wrapText="1"/>
      <protection hidden="1"/>
    </xf>
    <xf numFmtId="0" fontId="149" fillId="45" borderId="68" xfId="0" applyFont="1" applyFill="1" applyBorder="1" applyAlignment="1" applyProtection="1">
      <alignment horizontal="center" wrapText="1"/>
      <protection hidden="1"/>
    </xf>
    <xf numFmtId="0" fontId="149" fillId="45" borderId="69" xfId="0" applyFont="1" applyFill="1" applyBorder="1" applyAlignment="1" applyProtection="1">
      <alignment horizontal="center" wrapText="1"/>
      <protection hidden="1"/>
    </xf>
    <xf numFmtId="44" fontId="3" fillId="44" borderId="11" xfId="700" applyFont="1" applyFill="1" applyBorder="1" applyAlignment="1" applyProtection="1">
      <alignment horizontal="center"/>
      <protection hidden="1"/>
    </xf>
    <xf numFmtId="0" fontId="3" fillId="48" borderId="3" xfId="8726" applyFill="1" applyBorder="1" applyAlignment="1">
      <alignment horizontal="center"/>
    </xf>
    <xf numFmtId="0" fontId="3" fillId="48" borderId="4" xfId="8726" applyFill="1" applyBorder="1" applyAlignment="1">
      <alignment horizontal="center"/>
    </xf>
    <xf numFmtId="0" fontId="3" fillId="48" borderId="5" xfId="8726" applyFill="1" applyBorder="1" applyAlignment="1">
      <alignment horizontal="center"/>
    </xf>
    <xf numFmtId="0" fontId="3" fillId="48" borderId="1" xfId="8726" applyFill="1" applyBorder="1" applyAlignment="1">
      <alignment horizontal="center"/>
    </xf>
    <xf numFmtId="0" fontId="3" fillId="48" borderId="2" xfId="8726" applyFill="1" applyBorder="1" applyAlignment="1">
      <alignment horizontal="center"/>
    </xf>
    <xf numFmtId="0" fontId="3" fillId="48" borderId="7" xfId="8726" applyFill="1" applyBorder="1" applyAlignment="1">
      <alignment horizontal="center"/>
    </xf>
    <xf numFmtId="0" fontId="164" fillId="45" borderId="70" xfId="8726" applyFont="1" applyFill="1" applyBorder="1" applyAlignment="1">
      <alignment horizontal="right"/>
    </xf>
    <xf numFmtId="0" fontId="164" fillId="45" borderId="71" xfId="8726" applyFont="1" applyFill="1" applyBorder="1" applyAlignment="1">
      <alignment horizontal="right"/>
    </xf>
    <xf numFmtId="168" fontId="147" fillId="44" borderId="71" xfId="700" applyNumberFormat="1" applyFont="1" applyFill="1" applyBorder="1" applyAlignment="1">
      <alignment horizontal="left"/>
    </xf>
    <xf numFmtId="168" fontId="147" fillId="44" borderId="74" xfId="700" applyNumberFormat="1" applyFont="1" applyFill="1" applyBorder="1" applyAlignment="1">
      <alignment horizontal="left"/>
    </xf>
    <xf numFmtId="0" fontId="162" fillId="49" borderId="81" xfId="8726" applyFont="1" applyFill="1" applyBorder="1" applyAlignment="1" applyProtection="1">
      <alignment horizontal="center"/>
      <protection locked="0"/>
    </xf>
    <xf numFmtId="0" fontId="162" fillId="49" borderId="82" xfId="8726" applyFont="1" applyFill="1" applyBorder="1" applyAlignment="1" applyProtection="1">
      <alignment horizontal="center"/>
      <protection locked="0"/>
    </xf>
    <xf numFmtId="0" fontId="164" fillId="49" borderId="73" xfId="8726" applyFont="1" applyFill="1" applyBorder="1" applyAlignment="1" applyProtection="1">
      <alignment horizontal="left"/>
      <protection locked="0"/>
    </xf>
    <xf numFmtId="0" fontId="164" fillId="49" borderId="93" xfId="8726" applyFont="1" applyFill="1" applyBorder="1" applyAlignment="1" applyProtection="1">
      <alignment horizontal="left"/>
      <protection locked="0"/>
    </xf>
    <xf numFmtId="168" fontId="162" fillId="49" borderId="82" xfId="700" applyNumberFormat="1" applyFont="1" applyFill="1" applyBorder="1" applyAlignment="1" applyProtection="1">
      <alignment horizontal="left"/>
      <protection locked="0"/>
    </xf>
    <xf numFmtId="168" fontId="162" fillId="49" borderId="85" xfId="700" applyNumberFormat="1" applyFont="1" applyFill="1" applyBorder="1" applyAlignment="1" applyProtection="1">
      <alignment horizontal="left"/>
      <protection locked="0"/>
    </xf>
    <xf numFmtId="0" fontId="162" fillId="49" borderId="81" xfId="8726" applyFont="1" applyFill="1" applyBorder="1" applyAlignment="1" applyProtection="1">
      <alignment horizontal="left"/>
      <protection locked="0"/>
    </xf>
    <xf numFmtId="0" fontId="162" fillId="49" borderId="82" xfId="8726" applyFont="1" applyFill="1" applyBorder="1" applyAlignment="1" applyProtection="1">
      <alignment horizontal="left"/>
      <protection locked="0"/>
    </xf>
    <xf numFmtId="0" fontId="162" fillId="49" borderId="85" xfId="8726" applyFont="1" applyFill="1" applyBorder="1" applyAlignment="1" applyProtection="1">
      <alignment horizontal="left"/>
      <protection locked="0"/>
    </xf>
    <xf numFmtId="0" fontId="172" fillId="48" borderId="0" xfId="8726" applyFont="1" applyFill="1" applyAlignment="1">
      <alignment horizontal="left" wrapText="1"/>
    </xf>
    <xf numFmtId="0" fontId="172" fillId="48" borderId="41" xfId="8726" applyFont="1" applyFill="1" applyBorder="1" applyAlignment="1">
      <alignment horizontal="left" wrapText="1"/>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0" fontId="164" fillId="49" borderId="11" xfId="8726" applyFont="1" applyFill="1" applyBorder="1" applyAlignment="1" applyProtection="1">
      <alignment horizontal="left"/>
      <protection locked="0"/>
    </xf>
    <xf numFmtId="168" fontId="162" fillId="49" borderId="11" xfId="700" applyNumberFormat="1" applyFont="1" applyFill="1" applyBorder="1" applyAlignment="1" applyProtection="1">
      <alignment horizontal="left"/>
      <protection locked="0"/>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4" fillId="49" borderId="80" xfId="8726" applyFont="1" applyFill="1" applyBorder="1" applyAlignment="1" applyProtection="1">
      <alignment horizontal="center"/>
      <protection locked="0"/>
    </xf>
    <xf numFmtId="0" fontId="164" fillId="49" borderId="11" xfId="8726" applyFont="1" applyFill="1" applyBorder="1" applyAlignment="1" applyProtection="1">
      <alignment horizontal="center"/>
      <protection locked="0"/>
    </xf>
    <xf numFmtId="44" fontId="3" fillId="49" borderId="11" xfId="700" applyFont="1" applyFill="1" applyBorder="1" applyAlignment="1" applyProtection="1">
      <alignment horizontal="center"/>
      <protection locked="0"/>
    </xf>
    <xf numFmtId="0" fontId="162" fillId="45" borderId="80" xfId="8726" applyFont="1" applyFill="1" applyBorder="1" applyAlignment="1">
      <alignment horizontal="right"/>
    </xf>
    <xf numFmtId="0" fontId="162" fillId="45" borderId="11" xfId="8726" applyFont="1" applyFill="1" applyBorder="1" applyAlignment="1">
      <alignment horizontal="right"/>
    </xf>
    <xf numFmtId="168" fontId="162" fillId="44" borderId="11" xfId="700" applyNumberFormat="1" applyFont="1" applyFill="1" applyBorder="1" applyAlignment="1">
      <alignment horizontal="left"/>
    </xf>
    <xf numFmtId="43" fontId="145" fillId="55" borderId="104" xfId="698" applyFont="1" applyFill="1" applyBorder="1" applyAlignment="1" applyProtection="1">
      <alignment horizontal="center"/>
      <protection hidden="1"/>
    </xf>
    <xf numFmtId="43" fontId="145" fillId="55" borderId="97" xfId="698" applyFont="1" applyFill="1" applyBorder="1" applyAlignment="1" applyProtection="1">
      <alignment horizontal="center"/>
      <protection hidden="1"/>
    </xf>
    <xf numFmtId="43" fontId="145" fillId="55" borderId="98" xfId="698" applyFont="1" applyFill="1" applyBorder="1" applyAlignment="1" applyProtection="1">
      <alignment horizontal="center"/>
      <protection hidden="1"/>
    </xf>
    <xf numFmtId="43" fontId="147" fillId="53" borderId="13" xfId="698" applyFont="1" applyFill="1" applyBorder="1" applyAlignment="1" applyProtection="1">
      <alignment horizontal="left"/>
      <protection hidden="1"/>
    </xf>
    <xf numFmtId="44" fontId="3" fillId="49" borderId="13" xfId="700" applyFont="1" applyFill="1" applyBorder="1" applyAlignment="1" applyProtection="1">
      <alignment horizontal="center"/>
      <protection locked="0"/>
    </xf>
    <xf numFmtId="0" fontId="162" fillId="48" borderId="9" xfId="8726" applyFont="1" applyFill="1" applyBorder="1" applyAlignment="1">
      <alignment horizontal="center"/>
    </xf>
    <xf numFmtId="0" fontId="162" fillId="48" borderId="6" xfId="8726" applyFont="1" applyFill="1" applyBorder="1" applyAlignment="1">
      <alignment horizontal="center"/>
    </xf>
    <xf numFmtId="0" fontId="162" fillId="48" borderId="10" xfId="8726" applyFont="1" applyFill="1" applyBorder="1" applyAlignment="1">
      <alignment horizontal="center"/>
    </xf>
    <xf numFmtId="43" fontId="147" fillId="53" borderId="11" xfId="698" applyFont="1" applyFill="1" applyBorder="1" applyAlignment="1" applyProtection="1">
      <alignment horizontal="left"/>
      <protection hidden="1"/>
    </xf>
    <xf numFmtId="14" fontId="162" fillId="49" borderId="11" xfId="8726" applyNumberFormat="1" applyFont="1" applyFill="1" applyBorder="1" applyAlignment="1" applyProtection="1">
      <alignment horizontal="center"/>
      <protection locked="0"/>
    </xf>
    <xf numFmtId="14" fontId="162" fillId="49" borderId="91" xfId="8726" applyNumberFormat="1" applyFont="1" applyFill="1" applyBorder="1" applyAlignment="1" applyProtection="1">
      <alignment horizontal="center"/>
      <protection locked="0"/>
    </xf>
    <xf numFmtId="168" fontId="164" fillId="44" borderId="11" xfId="700" applyNumberFormat="1" applyFont="1" applyFill="1" applyBorder="1" applyAlignment="1">
      <alignment horizontal="left"/>
    </xf>
    <xf numFmtId="0" fontId="148" fillId="47" borderId="11" xfId="8726" applyFont="1" applyFill="1" applyBorder="1" applyAlignment="1">
      <alignment horizontal="center"/>
    </xf>
    <xf numFmtId="0" fontId="148" fillId="47" borderId="91" xfId="8726" applyFont="1" applyFill="1" applyBorder="1" applyAlignment="1">
      <alignment horizontal="center"/>
    </xf>
    <xf numFmtId="0" fontId="164" fillId="45" borderId="80" xfId="8726" applyFont="1" applyFill="1" applyBorder="1" applyAlignment="1">
      <alignment horizontal="right"/>
    </xf>
    <xf numFmtId="0" fontId="164" fillId="45" borderId="11" xfId="8726" applyFont="1" applyFill="1" applyBorder="1" applyAlignment="1">
      <alignment horizontal="right"/>
    </xf>
    <xf numFmtId="0" fontId="172" fillId="45" borderId="72" xfId="8726" applyFont="1" applyFill="1" applyBorder="1" applyAlignment="1">
      <alignment horizontal="center"/>
    </xf>
    <xf numFmtId="0" fontId="172" fillId="45" borderId="73" xfId="8726" applyFont="1" applyFill="1" applyBorder="1" applyAlignment="1">
      <alignment horizontal="center"/>
    </xf>
    <xf numFmtId="0" fontId="158" fillId="49" borderId="73" xfId="8726" applyFont="1" applyFill="1" applyBorder="1" applyAlignment="1" applyProtection="1">
      <alignment horizontal="left"/>
      <protection locked="0"/>
    </xf>
    <xf numFmtId="0" fontId="164" fillId="49" borderId="73" xfId="8726" applyFont="1" applyFill="1" applyBorder="1" applyAlignment="1" applyProtection="1">
      <alignment horizontal="center"/>
      <protection locked="0"/>
    </xf>
    <xf numFmtId="14" fontId="164" fillId="49" borderId="73" xfId="8726" applyNumberFormat="1" applyFont="1" applyFill="1" applyBorder="1" applyAlignment="1" applyProtection="1">
      <alignment horizontal="center"/>
      <protection locked="0"/>
    </xf>
    <xf numFmtId="168" fontId="164" fillId="49" borderId="73" xfId="8727" applyNumberFormat="1" applyFont="1" applyFill="1" applyBorder="1" applyAlignment="1" applyProtection="1">
      <alignment horizontal="center"/>
      <protection locked="0"/>
    </xf>
    <xf numFmtId="168" fontId="164" fillId="49" borderId="93" xfId="8727" applyNumberFormat="1" applyFont="1" applyFill="1" applyBorder="1" applyAlignment="1" applyProtection="1">
      <alignment horizontal="center"/>
      <protection locked="0"/>
    </xf>
    <xf numFmtId="0" fontId="162" fillId="49" borderId="72" xfId="8726" applyFont="1" applyFill="1" applyBorder="1" applyAlignment="1" applyProtection="1">
      <alignment horizontal="center"/>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4" fontId="162" fillId="49" borderId="93" xfId="8726" applyNumberFormat="1" applyFont="1" applyFill="1" applyBorder="1" applyAlignment="1" applyProtection="1">
      <alignment horizontal="center"/>
      <protection locked="0"/>
    </xf>
    <xf numFmtId="0" fontId="101" fillId="45" borderId="65" xfId="8726" applyFont="1" applyFill="1" applyBorder="1" applyAlignment="1">
      <alignment horizontal="left" wrapText="1"/>
    </xf>
    <xf numFmtId="0" fontId="101" fillId="45" borderId="29" xfId="8726" applyFont="1" applyFill="1" applyBorder="1" applyAlignment="1">
      <alignment horizontal="left" wrapText="1"/>
    </xf>
    <xf numFmtId="0" fontId="101" fillId="45" borderId="31" xfId="8726" applyFont="1" applyFill="1" applyBorder="1" applyAlignment="1">
      <alignment horizontal="left" wrapText="1"/>
    </xf>
    <xf numFmtId="0" fontId="101" fillId="45" borderId="86" xfId="8726" applyFont="1" applyFill="1" applyBorder="1" applyAlignment="1">
      <alignment horizontal="left" wrapText="1"/>
    </xf>
    <xf numFmtId="0" fontId="101" fillId="45" borderId="42" xfId="8726" applyFont="1" applyFill="1" applyBorder="1" applyAlignment="1">
      <alignment horizontal="left" wrapText="1"/>
    </xf>
    <xf numFmtId="0" fontId="101" fillId="45" borderId="44" xfId="8726" applyFont="1" applyFill="1" applyBorder="1" applyAlignment="1">
      <alignment horizontal="left" wrapText="1"/>
    </xf>
    <xf numFmtId="0" fontId="145" fillId="45" borderId="70" xfId="8726" applyFont="1" applyFill="1" applyBorder="1" applyAlignment="1">
      <alignment horizontal="left"/>
    </xf>
    <xf numFmtId="0" fontId="145" fillId="45" borderId="71" xfId="8726" applyFont="1" applyFill="1" applyBorder="1" applyAlignment="1">
      <alignment horizontal="left"/>
    </xf>
    <xf numFmtId="0" fontId="145" fillId="45" borderId="74" xfId="8726" applyFont="1" applyFill="1" applyBorder="1" applyAlignment="1">
      <alignment horizontal="left"/>
    </xf>
    <xf numFmtId="0" fontId="101" fillId="45" borderId="80" xfId="8726" applyFont="1" applyFill="1" applyBorder="1" applyAlignment="1">
      <alignment horizontal="center"/>
    </xf>
    <xf numFmtId="0" fontId="101" fillId="45" borderId="11" xfId="8726" applyFont="1" applyFill="1" applyBorder="1" applyAlignment="1">
      <alignment horizontal="center"/>
    </xf>
    <xf numFmtId="0" fontId="101" fillId="45" borderId="91" xfId="8726" applyFont="1" applyFill="1" applyBorder="1" applyAlignment="1">
      <alignment horizontal="center"/>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72" fillId="45" borderId="80" xfId="8726" applyFont="1" applyFill="1" applyBorder="1" applyAlignment="1">
      <alignment horizontal="center"/>
    </xf>
    <xf numFmtId="0" fontId="172" fillId="45" borderId="11" xfId="8726" applyFont="1" applyFill="1" applyBorder="1" applyAlignment="1">
      <alignment horizontal="center"/>
    </xf>
    <xf numFmtId="0" fontId="158" fillId="49" borderId="11" xfId="8726" applyFont="1" applyFill="1" applyBorder="1" applyAlignment="1" applyProtection="1">
      <alignment horizontal="left"/>
      <protection locked="0"/>
    </xf>
    <xf numFmtId="14" fontId="164" fillId="49" borderId="11" xfId="8726" applyNumberFormat="1" applyFont="1" applyFill="1" applyBorder="1" applyAlignment="1" applyProtection="1">
      <alignment horizontal="center"/>
      <protection locked="0"/>
    </xf>
    <xf numFmtId="168" fontId="164" fillId="49" borderId="11" xfId="8727" applyNumberFormat="1" applyFont="1" applyFill="1" applyBorder="1" applyAlignment="1" applyProtection="1">
      <alignment horizontal="center"/>
      <protection locked="0"/>
    </xf>
    <xf numFmtId="168" fontId="164" fillId="49" borderId="91" xfId="8727" applyNumberFormat="1" applyFont="1" applyFill="1" applyBorder="1" applyAlignment="1" applyProtection="1">
      <alignment horizontal="center"/>
      <protection locked="0"/>
    </xf>
    <xf numFmtId="0" fontId="149" fillId="45" borderId="11" xfId="8726" applyFont="1" applyFill="1" applyBorder="1" applyAlignment="1">
      <alignment horizontal="center" wrapText="1"/>
    </xf>
    <xf numFmtId="0" fontId="149" fillId="45" borderId="91" xfId="8726" applyFont="1" applyFill="1" applyBorder="1" applyAlignment="1">
      <alignment horizontal="center" wrapText="1"/>
    </xf>
    <xf numFmtId="0" fontId="160" fillId="45" borderId="80" xfId="8726" applyFont="1" applyFill="1" applyBorder="1" applyAlignment="1">
      <alignment horizontal="left"/>
    </xf>
    <xf numFmtId="0" fontId="160" fillId="45" borderId="11" xfId="8726" applyFont="1" applyFill="1" applyBorder="1" applyAlignment="1">
      <alignment horizontal="left"/>
    </xf>
    <xf numFmtId="0" fontId="160" fillId="45" borderId="72" xfId="8726" applyFont="1" applyFill="1" applyBorder="1" applyAlignment="1">
      <alignment horizontal="left"/>
    </xf>
    <xf numFmtId="0" fontId="160" fillId="45" borderId="73" xfId="8726" applyFont="1" applyFill="1" applyBorder="1" applyAlignment="1">
      <alignment horizontal="left"/>
    </xf>
    <xf numFmtId="0" fontId="145" fillId="45" borderId="70" xfId="8726" applyFont="1" applyFill="1" applyBorder="1" applyAlignment="1">
      <alignment horizontal="center"/>
    </xf>
    <xf numFmtId="0" fontId="153" fillId="45" borderId="80" xfId="8726" applyFont="1" applyFill="1" applyBorder="1" applyAlignment="1">
      <alignment horizontal="left"/>
    </xf>
    <xf numFmtId="0" fontId="153" fillId="45" borderId="11" xfId="8726" applyFont="1" applyFill="1" applyBorder="1" applyAlignment="1">
      <alignment horizontal="left"/>
    </xf>
    <xf numFmtId="0" fontId="163" fillId="49" borderId="11" xfId="8726" applyFont="1" applyFill="1" applyBorder="1" applyAlignment="1" applyProtection="1">
      <alignment horizontal="left"/>
      <protection locked="0"/>
    </xf>
    <xf numFmtId="0" fontId="163" fillId="49" borderId="91" xfId="8726" applyFont="1" applyFill="1" applyBorder="1" applyAlignment="1" applyProtection="1">
      <alignment horizontal="left"/>
      <protection locked="0"/>
    </xf>
    <xf numFmtId="0" fontId="164" fillId="49" borderId="80" xfId="8726" applyFont="1" applyFill="1" applyBorder="1" applyAlignment="1" applyProtection="1">
      <alignment horizontal="left" vertical="top"/>
      <protection locked="0"/>
    </xf>
    <xf numFmtId="0" fontId="164" fillId="49" borderId="11" xfId="8726" applyFont="1" applyFill="1" applyBorder="1" applyAlignment="1" applyProtection="1">
      <alignment horizontal="left" vertical="top"/>
      <protection locked="0"/>
    </xf>
    <xf numFmtId="0" fontId="164" fillId="49" borderId="91" xfId="8726" applyFont="1" applyFill="1" applyBorder="1" applyAlignment="1" applyProtection="1">
      <alignment horizontal="left" vertical="top"/>
      <protection locked="0"/>
    </xf>
    <xf numFmtId="0" fontId="164" fillId="49" borderId="72" xfId="8726" applyFont="1" applyFill="1" applyBorder="1" applyAlignment="1" applyProtection="1">
      <alignment horizontal="left" vertical="top"/>
      <protection locked="0"/>
    </xf>
    <xf numFmtId="0" fontId="164" fillId="49" borderId="73" xfId="8726" applyFont="1" applyFill="1" applyBorder="1" applyAlignment="1" applyProtection="1">
      <alignment horizontal="left" vertical="top"/>
      <protection locked="0"/>
    </xf>
    <xf numFmtId="0" fontId="164" fillId="49" borderId="93" xfId="8726" applyFont="1" applyFill="1" applyBorder="1" applyAlignment="1" applyProtection="1">
      <alignment horizontal="left" vertical="top"/>
      <protection locked="0"/>
    </xf>
    <xf numFmtId="0" fontId="145" fillId="45" borderId="75" xfId="8726" applyFont="1" applyFill="1" applyBorder="1" applyAlignment="1">
      <alignment horizontal="center"/>
    </xf>
    <xf numFmtId="0" fontId="145" fillId="45" borderId="76" xfId="8726" applyFont="1" applyFill="1" applyBorder="1" applyAlignment="1">
      <alignment horizontal="center"/>
    </xf>
    <xf numFmtId="0" fontId="145" fillId="45" borderId="77" xfId="8726" applyFont="1" applyFill="1" applyBorder="1" applyAlignment="1">
      <alignment horizontal="center"/>
    </xf>
    <xf numFmtId="0" fontId="101" fillId="45" borderId="74" xfId="8726" applyFont="1" applyFill="1" applyBorder="1" applyAlignment="1">
      <alignment horizontal="left" wrapText="1"/>
    </xf>
    <xf numFmtId="0" fontId="101" fillId="45" borderId="91" xfId="8726" applyFont="1" applyFill="1" applyBorder="1" applyAlignment="1">
      <alignment horizontal="left" wrapText="1"/>
    </xf>
    <xf numFmtId="0" fontId="101" fillId="45" borderId="65" xfId="8726" applyFont="1" applyFill="1" applyBorder="1" applyAlignment="1">
      <alignment horizontal="center"/>
    </xf>
    <xf numFmtId="0" fontId="101" fillId="45" borderId="29" xfId="8726" applyFont="1" applyFill="1" applyBorder="1" applyAlignment="1">
      <alignment horizontal="center"/>
    </xf>
    <xf numFmtId="0" fontId="101" fillId="45" borderId="31" xfId="8726" applyFont="1" applyFill="1" applyBorder="1" applyAlignment="1">
      <alignment horizontal="center"/>
    </xf>
    <xf numFmtId="0" fontId="159" fillId="45" borderId="11" xfId="8726" applyFont="1" applyFill="1" applyBorder="1" applyAlignment="1">
      <alignment horizontal="left"/>
    </xf>
    <xf numFmtId="0" fontId="159" fillId="45" borderId="91" xfId="8726" applyFont="1" applyFill="1" applyBorder="1" applyAlignment="1">
      <alignment horizontal="left"/>
    </xf>
    <xf numFmtId="0" fontId="3" fillId="47" borderId="73" xfId="8726" applyFill="1" applyBorder="1" applyAlignment="1" applyProtection="1">
      <alignment horizontal="center"/>
      <protection locked="0"/>
    </xf>
    <xf numFmtId="0" fontId="3" fillId="47" borderId="93" xfId="8726" applyFill="1" applyBorder="1" applyAlignment="1" applyProtection="1">
      <alignment horizontal="center"/>
      <protection locked="0"/>
    </xf>
    <xf numFmtId="0" fontId="145" fillId="45" borderId="94" xfId="8726" applyFont="1" applyFill="1" applyBorder="1" applyAlignment="1">
      <alignment horizontal="right"/>
    </xf>
    <xf numFmtId="0" fontId="145" fillId="45" borderId="43" xfId="8726" applyFont="1" applyFill="1" applyBorder="1" applyAlignment="1">
      <alignment horizontal="right"/>
    </xf>
    <xf numFmtId="0" fontId="162" fillId="49" borderId="71" xfId="8726" applyFont="1" applyFill="1" applyBorder="1" applyAlignment="1" applyProtection="1">
      <alignment horizontal="left"/>
      <protection locked="0"/>
    </xf>
    <xf numFmtId="0" fontId="162" fillId="49" borderId="74" xfId="8726" applyFont="1" applyFill="1" applyBorder="1" applyAlignment="1" applyProtection="1">
      <alignment horizontal="left"/>
      <protection locked="0"/>
    </xf>
    <xf numFmtId="0" fontId="145" fillId="45" borderId="72" xfId="8726" applyFont="1" applyFill="1" applyBorder="1" applyAlignment="1">
      <alignment horizontal="center"/>
    </xf>
    <xf numFmtId="0" fontId="145" fillId="45" borderId="73" xfId="8726" applyFont="1" applyFill="1" applyBorder="1" applyAlignment="1">
      <alignment horizontal="center"/>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0" fontId="162" fillId="44" borderId="80" xfId="8726" applyFont="1" applyFill="1" applyBorder="1" applyAlignment="1" applyProtection="1">
      <alignment horizontal="right"/>
      <protection locked="0"/>
    </xf>
    <xf numFmtId="0" fontId="162" fillId="44" borderId="11" xfId="8726" applyFont="1" applyFill="1" applyBorder="1" applyAlignment="1" applyProtection="1">
      <alignment horizontal="right"/>
      <protection locked="0"/>
    </xf>
    <xf numFmtId="0" fontId="162" fillId="44" borderId="91" xfId="8726" applyFont="1" applyFill="1" applyBorder="1" applyAlignment="1" applyProtection="1">
      <alignment horizontal="right"/>
      <protection locked="0"/>
    </xf>
    <xf numFmtId="0" fontId="162" fillId="49" borderId="5" xfId="8726" applyFont="1" applyFill="1" applyBorder="1" applyAlignment="1" applyProtection="1">
      <alignment horizontal="left"/>
      <protection locked="0"/>
    </xf>
    <xf numFmtId="0" fontId="162" fillId="44" borderId="72" xfId="8726" applyFont="1" applyFill="1" applyBorder="1" applyAlignment="1" applyProtection="1">
      <alignment horizontal="right"/>
      <protection locked="0"/>
    </xf>
    <xf numFmtId="0" fontId="162" fillId="44" borderId="73" xfId="8726" applyFont="1" applyFill="1" applyBorder="1" applyAlignment="1" applyProtection="1">
      <alignment horizontal="right"/>
      <protection locked="0"/>
    </xf>
    <xf numFmtId="0" fontId="162" fillId="44" borderId="93" xfId="8726" applyFont="1" applyFill="1" applyBorder="1" applyAlignment="1" applyProtection="1">
      <alignment horizontal="right"/>
      <protection locked="0"/>
    </xf>
    <xf numFmtId="168" fontId="162" fillId="49" borderId="11" xfId="8727" applyNumberFormat="1"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0" fontId="162" fillId="49" borderId="11" xfId="700" applyNumberFormat="1" applyFont="1" applyFill="1" applyBorder="1" applyAlignment="1" applyProtection="1">
      <alignment horizontal="left"/>
      <protection locked="0"/>
    </xf>
    <xf numFmtId="0" fontId="162" fillId="49" borderId="91" xfId="700" applyNumberFormat="1" applyFont="1" applyFill="1" applyBorder="1" applyAlignment="1" applyProtection="1">
      <alignment horizontal="left"/>
      <protection locked="0"/>
    </xf>
    <xf numFmtId="168" fontId="148" fillId="45" borderId="73" xfId="8727" applyNumberFormat="1" applyFont="1" applyFill="1" applyBorder="1" applyAlignment="1">
      <alignment horizontal="center"/>
    </xf>
    <xf numFmtId="1" fontId="148" fillId="45" borderId="73" xfId="8727" applyNumberFormat="1" applyFont="1" applyFill="1" applyBorder="1" applyAlignment="1">
      <alignment horizontal="center"/>
    </xf>
    <xf numFmtId="0" fontId="148" fillId="45" borderId="73" xfId="8727" applyNumberFormat="1" applyFont="1" applyFill="1" applyBorder="1" applyAlignment="1">
      <alignment horizontal="center"/>
    </xf>
    <xf numFmtId="0" fontId="148" fillId="45" borderId="93" xfId="8727" applyNumberFormat="1" applyFont="1" applyFill="1" applyBorder="1" applyAlignment="1">
      <alignment horizontal="center"/>
    </xf>
    <xf numFmtId="0" fontId="145" fillId="45" borderId="65" xfId="8726" applyFont="1" applyFill="1" applyBorder="1" applyAlignment="1">
      <alignment horizontal="center"/>
    </xf>
    <xf numFmtId="0" fontId="145" fillId="45" borderId="29" xfId="8726" applyFont="1" applyFill="1" applyBorder="1" applyAlignment="1">
      <alignment horizontal="center"/>
    </xf>
    <xf numFmtId="0" fontId="145" fillId="45" borderId="31" xfId="8726" applyFont="1" applyFill="1" applyBorder="1" applyAlignment="1">
      <alignment horizontal="center"/>
    </xf>
    <xf numFmtId="0" fontId="162" fillId="49" borderId="83" xfId="8726" applyFont="1" applyFill="1" applyBorder="1" applyAlignment="1" applyProtection="1">
      <alignment horizontal="left"/>
      <protection locked="0"/>
    </xf>
    <xf numFmtId="0" fontId="149" fillId="45" borderId="11" xfId="8726" applyFont="1" applyFill="1" applyBorder="1" applyAlignment="1">
      <alignment horizontal="center" vertical="center" wrapText="1"/>
    </xf>
    <xf numFmtId="0" fontId="149" fillId="45" borderId="91" xfId="8726" applyFont="1" applyFill="1" applyBorder="1" applyAlignment="1">
      <alignment horizontal="center" vertical="center" wrapText="1"/>
    </xf>
    <xf numFmtId="1" fontId="163" fillId="49" borderId="73" xfId="8726" applyNumberFormat="1" applyFont="1" applyFill="1" applyBorder="1" applyAlignment="1" applyProtection="1">
      <alignment horizontal="center"/>
      <protection locked="0"/>
    </xf>
    <xf numFmtId="1" fontId="163" fillId="49" borderId="84" xfId="8726" applyNumberFormat="1" applyFont="1" applyFill="1" applyBorder="1" applyAlignment="1" applyProtection="1">
      <alignment horizontal="center"/>
      <protection locked="0"/>
    </xf>
    <xf numFmtId="1" fontId="163" fillId="49" borderId="82" xfId="8726" applyNumberFormat="1" applyFont="1" applyFill="1" applyBorder="1" applyAlignment="1" applyProtection="1">
      <alignment horizontal="center"/>
      <protection locked="0"/>
    </xf>
    <xf numFmtId="1" fontId="163" fillId="49" borderId="83" xfId="8726" applyNumberFormat="1" applyFont="1" applyFill="1" applyBorder="1" applyAlignment="1" applyProtection="1">
      <alignment horizontal="center"/>
      <protection locked="0"/>
    </xf>
    <xf numFmtId="0" fontId="162" fillId="49" borderId="72" xfId="8726" applyFont="1" applyFill="1" applyBorder="1" applyAlignment="1" applyProtection="1">
      <alignment horizontal="right"/>
      <protection locked="0"/>
    </xf>
    <xf numFmtId="0" fontId="162" fillId="49" borderId="73" xfId="8726" applyFont="1" applyFill="1" applyBorder="1" applyAlignment="1" applyProtection="1">
      <alignment horizontal="right"/>
      <protection locked="0"/>
    </xf>
    <xf numFmtId="0" fontId="163" fillId="49" borderId="73" xfId="8726" applyFont="1" applyFill="1" applyBorder="1" applyAlignment="1" applyProtection="1">
      <alignment horizontal="center"/>
      <protection locked="0"/>
    </xf>
    <xf numFmtId="0" fontId="163" fillId="49" borderId="11" xfId="8726" applyFont="1" applyFill="1" applyBorder="1" applyAlignment="1" applyProtection="1">
      <alignment horizontal="center"/>
      <protection locked="0"/>
    </xf>
    <xf numFmtId="9" fontId="149" fillId="44" borderId="84" xfId="8728" applyFont="1" applyFill="1" applyBorder="1" applyAlignment="1">
      <alignment horizontal="center"/>
    </xf>
    <xf numFmtId="9" fontId="149" fillId="44" borderId="82" xfId="8728" applyFont="1" applyFill="1" applyBorder="1" applyAlignment="1">
      <alignment horizontal="center"/>
    </xf>
    <xf numFmtId="9" fontId="149" fillId="44" borderId="85" xfId="8728" applyFont="1" applyFill="1" applyBorder="1" applyAlignment="1">
      <alignment horizontal="center"/>
    </xf>
    <xf numFmtId="9" fontId="149" fillId="44" borderId="3" xfId="8728" applyFont="1" applyFill="1" applyBorder="1" applyAlignment="1">
      <alignment horizontal="center"/>
    </xf>
    <xf numFmtId="9" fontId="149" fillId="44" borderId="4" xfId="8728" applyFont="1" applyFill="1" applyBorder="1" applyAlignment="1">
      <alignment horizontal="center"/>
    </xf>
    <xf numFmtId="9" fontId="149" fillId="44" borderId="79" xfId="8728" applyFont="1" applyFill="1" applyBorder="1" applyAlignment="1">
      <alignment horizontal="center"/>
    </xf>
    <xf numFmtId="0" fontId="148" fillId="44" borderId="88" xfId="8726" applyFont="1" applyFill="1" applyBorder="1" applyAlignment="1">
      <alignment horizontal="center"/>
    </xf>
    <xf numFmtId="0" fontId="148" fillId="44" borderId="42" xfId="8726" applyFont="1" applyFill="1" applyBorder="1" applyAlignment="1">
      <alignment horizontal="center"/>
    </xf>
    <xf numFmtId="0" fontId="148" fillId="44" borderId="87" xfId="8726" applyFont="1" applyFill="1" applyBorder="1" applyAlignment="1">
      <alignment horizontal="center"/>
    </xf>
    <xf numFmtId="9" fontId="148" fillId="49" borderId="13" xfId="8726" applyNumberFormat="1" applyFont="1" applyFill="1" applyBorder="1" applyAlignment="1" applyProtection="1">
      <alignment horizontal="center"/>
      <protection locked="0"/>
    </xf>
    <xf numFmtId="0" fontId="145" fillId="45" borderId="67" xfId="8726" applyFont="1" applyFill="1" applyBorder="1" applyAlignment="1">
      <alignment horizontal="center"/>
    </xf>
    <xf numFmtId="0" fontId="145" fillId="45" borderId="68" xfId="8726" applyFont="1" applyFill="1" applyBorder="1" applyAlignment="1">
      <alignment horizontal="center"/>
    </xf>
    <xf numFmtId="0" fontId="145" fillId="45" borderId="69" xfId="8726" applyFont="1" applyFill="1" applyBorder="1" applyAlignment="1">
      <alignment horizontal="center"/>
    </xf>
    <xf numFmtId="0" fontId="149" fillId="45" borderId="65" xfId="8726" applyFont="1" applyFill="1" applyBorder="1" applyAlignment="1">
      <alignment horizontal="center" vertical="center" wrapText="1"/>
    </xf>
    <xf numFmtId="0" fontId="149" fillId="45" borderId="29" xfId="8726" applyFont="1" applyFill="1" applyBorder="1" applyAlignment="1">
      <alignment horizontal="center" vertical="center" wrapText="1"/>
    </xf>
    <xf numFmtId="0" fontId="149" fillId="45" borderId="31" xfId="8726" applyFont="1" applyFill="1" applyBorder="1" applyAlignment="1">
      <alignment horizontal="center" vertical="center" wrapText="1"/>
    </xf>
    <xf numFmtId="0" fontId="149" fillId="45" borderId="86" xfId="8726" applyFont="1" applyFill="1" applyBorder="1" applyAlignment="1">
      <alignment horizontal="center" vertical="center" wrapText="1"/>
    </xf>
    <xf numFmtId="0" fontId="149" fillId="45" borderId="42" xfId="8726" applyFont="1" applyFill="1" applyBorder="1" applyAlignment="1">
      <alignment horizontal="center" vertical="center" wrapText="1"/>
    </xf>
    <xf numFmtId="0" fontId="149" fillId="45" borderId="44" xfId="8726" applyFont="1" applyFill="1" applyBorder="1" applyAlignment="1">
      <alignment horizontal="center" vertical="center" wrapText="1"/>
    </xf>
    <xf numFmtId="0" fontId="149" fillId="45" borderId="67" xfId="8726" applyFont="1" applyFill="1" applyBorder="1" applyAlignment="1">
      <alignment horizontal="center"/>
    </xf>
    <xf numFmtId="0" fontId="149" fillId="45" borderId="68" xfId="8726" applyFont="1" applyFill="1" applyBorder="1" applyAlignment="1">
      <alignment horizontal="center"/>
    </xf>
    <xf numFmtId="0" fontId="149" fillId="45" borderId="69" xfId="8726" applyFont="1" applyFill="1" applyBorder="1" applyAlignment="1">
      <alignment horizontal="center"/>
    </xf>
    <xf numFmtId="9" fontId="148" fillId="44" borderId="88" xfId="1022" applyFont="1" applyFill="1" applyBorder="1" applyAlignment="1">
      <alignment horizontal="center"/>
    </xf>
    <xf numFmtId="9" fontId="148" fillId="44" borderId="42" xfId="1022" applyFont="1" applyFill="1" applyBorder="1" applyAlignment="1">
      <alignment horizontal="center"/>
    </xf>
    <xf numFmtId="9" fontId="148" fillId="44" borderId="44" xfId="1022" applyFont="1" applyFill="1" applyBorder="1" applyAlignment="1">
      <alignment horizontal="center"/>
    </xf>
    <xf numFmtId="0" fontId="149" fillId="45" borderId="95" xfId="8726" applyFont="1" applyFill="1" applyBorder="1" applyAlignment="1">
      <alignment horizontal="center" vertical="center" wrapText="1"/>
    </xf>
    <xf numFmtId="0" fontId="149" fillId="45" borderId="13" xfId="8726" applyFont="1" applyFill="1" applyBorder="1" applyAlignment="1">
      <alignment horizontal="center" vertical="center"/>
    </xf>
    <xf numFmtId="0" fontId="149" fillId="45" borderId="80" xfId="8726" applyFont="1" applyFill="1" applyBorder="1" applyAlignment="1">
      <alignment horizontal="center" vertical="center"/>
    </xf>
    <xf numFmtId="0" fontId="149" fillId="45" borderId="11" xfId="8726" applyFont="1" applyFill="1" applyBorder="1" applyAlignment="1">
      <alignment horizontal="center" vertical="center"/>
    </xf>
    <xf numFmtId="0" fontId="148" fillId="44" borderId="86" xfId="8726" applyFont="1" applyFill="1" applyBorder="1" applyAlignment="1">
      <alignment horizontal="center"/>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9" fontId="149" fillId="49" borderId="9" xfId="8726" applyNumberFormat="1" applyFont="1" applyFill="1" applyBorder="1" applyAlignment="1" applyProtection="1">
      <alignment horizontal="center"/>
      <protection locked="0"/>
    </xf>
    <xf numFmtId="9" fontId="149" fillId="49" borderId="6" xfId="8726" applyNumberFormat="1" applyFont="1" applyFill="1" applyBorder="1" applyAlignment="1" applyProtection="1">
      <alignment horizontal="center"/>
      <protection locked="0"/>
    </xf>
    <xf numFmtId="9" fontId="149" fillId="49" borderId="10" xfId="8726" applyNumberFormat="1" applyFont="1" applyFill="1" applyBorder="1" applyAlignment="1" applyProtection="1">
      <alignment horizontal="center"/>
      <protection locked="0"/>
    </xf>
    <xf numFmtId="0" fontId="149" fillId="44" borderId="9" xfId="8726" applyFont="1" applyFill="1" applyBorder="1" applyAlignment="1">
      <alignment horizontal="center"/>
    </xf>
    <xf numFmtId="0" fontId="149" fillId="44" borderId="6" xfId="8726" applyFont="1" applyFill="1" applyBorder="1" applyAlignment="1">
      <alignment horizontal="center"/>
    </xf>
    <xf numFmtId="0" fontId="149" fillId="44" borderId="10" xfId="8726" applyFont="1" applyFill="1" applyBorder="1" applyAlignment="1">
      <alignment horizontal="center"/>
    </xf>
    <xf numFmtId="0" fontId="149" fillId="44" borderId="103" xfId="8726" applyFont="1" applyFill="1" applyBorder="1" applyAlignment="1">
      <alignment horizontal="center"/>
    </xf>
    <xf numFmtId="9" fontId="162" fillId="49" borderId="92" xfId="8726" applyNumberFormat="1" applyFont="1" applyFill="1" applyBorder="1" applyAlignment="1">
      <alignment horizontal="center"/>
    </xf>
    <xf numFmtId="9" fontId="162" fillId="49" borderId="4" xfId="8726" applyNumberFormat="1" applyFont="1" applyFill="1" applyBorder="1" applyAlignment="1">
      <alignment horizontal="center"/>
    </xf>
    <xf numFmtId="9" fontId="162" fillId="49" borderId="5" xfId="8726" applyNumberFormat="1" applyFont="1" applyFill="1" applyBorder="1" applyAlignment="1">
      <alignment horizontal="center"/>
    </xf>
    <xf numFmtId="0" fontId="162" fillId="44" borderId="3" xfId="8726" applyFont="1" applyFill="1" applyBorder="1" applyAlignment="1">
      <alignment horizontal="center"/>
    </xf>
    <xf numFmtId="0" fontId="162" fillId="44" borderId="4" xfId="8726" applyFont="1" applyFill="1" applyBorder="1" applyAlignment="1">
      <alignment horizontal="center"/>
    </xf>
    <xf numFmtId="0" fontId="162" fillId="44" borderId="5" xfId="8726" applyFont="1" applyFill="1" applyBorder="1" applyAlignment="1">
      <alignment horizontal="center"/>
    </xf>
    <xf numFmtId="9" fontId="148" fillId="44" borderId="3" xfId="8726" applyNumberFormat="1" applyFont="1" applyFill="1" applyBorder="1" applyAlignment="1">
      <alignment horizontal="center"/>
    </xf>
    <xf numFmtId="9" fontId="148" fillId="44" borderId="4" xfId="8726" applyNumberFormat="1" applyFont="1" applyFill="1" applyBorder="1" applyAlignment="1">
      <alignment horizontal="center"/>
    </xf>
    <xf numFmtId="9" fontId="148" fillId="44" borderId="79" xfId="8726" applyNumberFormat="1" applyFont="1" applyFill="1" applyBorder="1" applyAlignment="1">
      <alignment horizontal="center"/>
    </xf>
    <xf numFmtId="0" fontId="148" fillId="44" borderId="81" xfId="8726" applyFont="1" applyFill="1" applyBorder="1" applyAlignment="1">
      <alignment horizontal="center"/>
    </xf>
    <xf numFmtId="0" fontId="148" fillId="44" borderId="82" xfId="8726" applyFont="1" applyFill="1" applyBorder="1" applyAlignment="1">
      <alignment horizontal="center"/>
    </xf>
    <xf numFmtId="0" fontId="148" fillId="44" borderId="83" xfId="8726" applyFont="1" applyFill="1" applyBorder="1" applyAlignment="1">
      <alignment horizontal="center"/>
    </xf>
    <xf numFmtId="0" fontId="162" fillId="44" borderId="84" xfId="8726" applyFont="1" applyFill="1" applyBorder="1" applyAlignment="1">
      <alignment horizontal="center"/>
    </xf>
    <xf numFmtId="0" fontId="162" fillId="44" borderId="82" xfId="8726" applyFont="1" applyFill="1" applyBorder="1" applyAlignment="1">
      <alignment horizontal="center"/>
    </xf>
    <xf numFmtId="0" fontId="162" fillId="44" borderId="83" xfId="8726" applyFont="1" applyFill="1" applyBorder="1" applyAlignment="1">
      <alignment horizontal="center"/>
    </xf>
    <xf numFmtId="9" fontId="148" fillId="44" borderId="84" xfId="8726" applyNumberFormat="1" applyFont="1" applyFill="1" applyBorder="1" applyAlignment="1">
      <alignment horizontal="center"/>
    </xf>
    <xf numFmtId="9" fontId="148" fillId="44" borderId="82" xfId="8726" applyNumberFormat="1" applyFont="1" applyFill="1" applyBorder="1" applyAlignment="1">
      <alignment horizontal="center"/>
    </xf>
    <xf numFmtId="9" fontId="148" fillId="44" borderId="85" xfId="8726" applyNumberFormat="1" applyFont="1" applyFill="1" applyBorder="1" applyAlignment="1">
      <alignment horizontal="center"/>
    </xf>
    <xf numFmtId="0" fontId="148" fillId="45" borderId="13"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11" xfId="8726" applyFont="1" applyFill="1" applyBorder="1" applyAlignment="1">
      <alignment horizontal="center" vertical="center"/>
    </xf>
    <xf numFmtId="0" fontId="148" fillId="45" borderId="9" xfId="8726" applyFont="1" applyFill="1" applyBorder="1" applyAlignment="1">
      <alignment horizontal="center" vertical="center"/>
    </xf>
    <xf numFmtId="0" fontId="148" fillId="45" borderId="3" xfId="8726" applyFont="1" applyFill="1" applyBorder="1" applyAlignment="1">
      <alignment horizontal="center" vertical="center"/>
    </xf>
    <xf numFmtId="0" fontId="148" fillId="45" borderId="78" xfId="8726" applyFont="1" applyFill="1" applyBorder="1" applyAlignment="1">
      <alignment horizontal="center"/>
    </xf>
    <xf numFmtId="0" fontId="148" fillId="45" borderId="2" xfId="8726" applyFont="1" applyFill="1" applyBorder="1" applyAlignment="1">
      <alignment horizontal="center"/>
    </xf>
    <xf numFmtId="0" fontId="148" fillId="45" borderId="7" xfId="8726" applyFont="1" applyFill="1" applyBorder="1" applyAlignment="1">
      <alignment horizontal="center"/>
    </xf>
    <xf numFmtId="0" fontId="148" fillId="45" borderId="3" xfId="8726" applyFont="1" applyFill="1" applyBorder="1" applyAlignment="1">
      <alignment horizontal="center"/>
    </xf>
    <xf numFmtId="0" fontId="148" fillId="45" borderId="4" xfId="8726" applyFont="1" applyFill="1" applyBorder="1" applyAlignment="1">
      <alignment horizontal="center"/>
    </xf>
    <xf numFmtId="0" fontId="148" fillId="45" borderId="5" xfId="8726" applyFont="1" applyFill="1" applyBorder="1" applyAlignment="1">
      <alignment horizontal="center"/>
    </xf>
    <xf numFmtId="0" fontId="148" fillId="45" borderId="79" xfId="8726" applyFont="1" applyFill="1" applyBorder="1" applyAlignment="1">
      <alignment horizontal="center"/>
    </xf>
    <xf numFmtId="168" fontId="164" fillId="44" borderId="11" xfId="8727" applyNumberFormat="1" applyFont="1" applyFill="1" applyBorder="1" applyAlignment="1" applyProtection="1">
      <alignment horizontal="left"/>
    </xf>
    <xf numFmtId="0" fontId="148" fillId="45" borderId="11" xfId="8726" applyFont="1" applyFill="1" applyBorder="1" applyAlignment="1">
      <alignment horizontal="right"/>
    </xf>
    <xf numFmtId="1" fontId="3" fillId="44" borderId="11" xfId="8726" applyNumberFormat="1" applyFill="1" applyBorder="1" applyAlignment="1">
      <alignment horizontal="center"/>
    </xf>
    <xf numFmtId="0" fontId="3" fillId="44" borderId="11" xfId="8726" applyFill="1" applyBorder="1" applyAlignment="1">
      <alignment horizontal="center"/>
    </xf>
    <xf numFmtId="0" fontId="146" fillId="45" borderId="11" xfId="8726" applyFont="1" applyFill="1" applyBorder="1" applyAlignment="1">
      <alignment horizontal="right" wrapText="1"/>
    </xf>
    <xf numFmtId="14" fontId="147" fillId="49" borderId="11" xfId="8726" applyNumberFormat="1" applyFont="1" applyFill="1" applyBorder="1" applyAlignment="1" applyProtection="1">
      <alignment horizontal="center" vertical="center"/>
      <protection locked="0"/>
    </xf>
    <xf numFmtId="0" fontId="147" fillId="49" borderId="11" xfId="8726" applyFont="1" applyFill="1" applyBorder="1" applyAlignment="1" applyProtection="1">
      <alignment horizontal="center" vertical="center"/>
      <protection locked="0"/>
    </xf>
    <xf numFmtId="0" fontId="101" fillId="45" borderId="67" xfId="8726" applyFont="1" applyFill="1" applyBorder="1" applyAlignment="1">
      <alignment horizontal="center"/>
    </xf>
    <xf numFmtId="0" fontId="101" fillId="45" borderId="68" xfId="8726" applyFont="1" applyFill="1" applyBorder="1" applyAlignment="1">
      <alignment horizontal="center"/>
    </xf>
    <xf numFmtId="0" fontId="101" fillId="45" borderId="69" xfId="8726" applyFont="1" applyFill="1" applyBorder="1" applyAlignment="1">
      <alignment horizontal="center"/>
    </xf>
    <xf numFmtId="0" fontId="147" fillId="49" borderId="67" xfId="8726" applyFont="1" applyFill="1" applyBorder="1" applyAlignment="1" applyProtection="1">
      <alignment horizontal="center"/>
      <protection locked="0"/>
    </xf>
    <xf numFmtId="0" fontId="147" fillId="49" borderId="68" xfId="8726" applyFont="1" applyFill="1" applyBorder="1" applyAlignment="1" applyProtection="1">
      <alignment horizontal="center"/>
      <protection locked="0"/>
    </xf>
    <xf numFmtId="0" fontId="147" fillId="49" borderId="69" xfId="8726" applyFont="1" applyFill="1" applyBorder="1" applyAlignment="1" applyProtection="1">
      <alignment horizontal="center"/>
      <protection locked="0"/>
    </xf>
    <xf numFmtId="0" fontId="101" fillId="45" borderId="67" xfId="8726" applyFont="1" applyFill="1" applyBorder="1" applyAlignment="1">
      <alignment horizontal="right"/>
    </xf>
    <xf numFmtId="0" fontId="101" fillId="45" borderId="68" xfId="8726" applyFont="1" applyFill="1" applyBorder="1" applyAlignment="1">
      <alignment horizontal="right"/>
    </xf>
    <xf numFmtId="0" fontId="101" fillId="45" borderId="99" xfId="8726" applyFont="1" applyFill="1" applyBorder="1" applyAlignment="1">
      <alignment horizontal="right"/>
    </xf>
    <xf numFmtId="0" fontId="3" fillId="44" borderId="97" xfId="8726" applyFill="1" applyBorder="1" applyAlignment="1">
      <alignment horizontal="center"/>
    </xf>
    <xf numFmtId="0" fontId="3" fillId="44" borderId="98" xfId="8726" applyFill="1" applyBorder="1" applyAlignment="1">
      <alignment horizontal="center"/>
    </xf>
    <xf numFmtId="1" fontId="147" fillId="49" borderId="11" xfId="8726" applyNumberFormat="1" applyFont="1" applyFill="1" applyBorder="1" applyAlignment="1" applyProtection="1">
      <alignment horizontal="center"/>
      <protection locked="0"/>
    </xf>
    <xf numFmtId="0" fontId="144" fillId="47" borderId="65" xfId="8726" applyFont="1" applyFill="1" applyBorder="1" applyAlignment="1">
      <alignment horizontal="center"/>
    </xf>
    <xf numFmtId="0" fontId="144" fillId="47" borderId="29" xfId="8726" applyFont="1" applyFill="1" applyBorder="1" applyAlignment="1">
      <alignment horizontal="center"/>
    </xf>
    <xf numFmtId="0" fontId="144" fillId="47" borderId="31" xfId="8726" applyFont="1" applyFill="1" applyBorder="1" applyAlignment="1">
      <alignment horizontal="center"/>
    </xf>
    <xf numFmtId="0" fontId="145" fillId="49" borderId="66" xfId="8726" applyFont="1" applyFill="1" applyBorder="1" applyAlignment="1">
      <alignment horizontal="center"/>
    </xf>
    <xf numFmtId="0" fontId="145" fillId="49" borderId="0" xfId="8726" applyFont="1" applyFill="1" applyAlignment="1">
      <alignment horizontal="center"/>
    </xf>
    <xf numFmtId="0" fontId="145" fillId="49" borderId="41" xfId="8726" applyFont="1" applyFill="1" applyBorder="1" applyAlignment="1">
      <alignment horizontal="center"/>
    </xf>
    <xf numFmtId="0" fontId="147" fillId="44" borderId="67" xfId="8726" applyFont="1" applyFill="1" applyBorder="1" applyAlignment="1">
      <alignment horizontal="left"/>
    </xf>
    <xf numFmtId="0" fontId="147" fillId="44" borderId="68" xfId="8726" applyFont="1" applyFill="1" applyBorder="1" applyAlignment="1">
      <alignment horizontal="left"/>
    </xf>
    <xf numFmtId="0" fontId="147" fillId="44" borderId="69" xfId="8726" applyFont="1" applyFill="1" applyBorder="1" applyAlignment="1">
      <alignment horizontal="left"/>
    </xf>
    <xf numFmtId="0" fontId="146" fillId="45" borderId="11" xfId="8726" applyFont="1" applyFill="1" applyBorder="1" applyAlignment="1">
      <alignment horizontal="right"/>
    </xf>
    <xf numFmtId="0" fontId="3" fillId="44" borderId="67" xfId="8726" applyFill="1" applyBorder="1" applyAlignment="1">
      <alignment horizontal="center"/>
    </xf>
    <xf numFmtId="0" fontId="3" fillId="44" borderId="68" xfId="8726" applyFill="1" applyBorder="1" applyAlignment="1">
      <alignment horizontal="center"/>
    </xf>
    <xf numFmtId="0" fontId="3" fillId="44" borderId="69" xfId="8726" applyFill="1" applyBorder="1" applyAlignment="1">
      <alignment horizontal="center"/>
    </xf>
    <xf numFmtId="0" fontId="101" fillId="45" borderId="70" xfId="8726" applyFont="1" applyFill="1" applyBorder="1" applyAlignment="1">
      <alignment horizontal="center" wrapText="1"/>
    </xf>
    <xf numFmtId="0" fontId="101" fillId="45" borderId="71" xfId="8726" applyFont="1" applyFill="1" applyBorder="1" applyAlignment="1">
      <alignment horizontal="center" wrapText="1"/>
    </xf>
    <xf numFmtId="0" fontId="101" fillId="45" borderId="74" xfId="8726" applyFont="1" applyFill="1" applyBorder="1" applyAlignment="1">
      <alignment horizontal="center" wrapText="1"/>
    </xf>
    <xf numFmtId="0" fontId="101" fillId="45" borderId="104" xfId="8726" applyFont="1" applyFill="1" applyBorder="1" applyAlignment="1">
      <alignment horizontal="center"/>
    </xf>
    <xf numFmtId="0" fontId="101" fillId="45" borderId="97" xfId="8726" applyFont="1" applyFill="1" applyBorder="1" applyAlignment="1">
      <alignment horizontal="center"/>
    </xf>
    <xf numFmtId="0" fontId="101" fillId="45" borderId="98" xfId="8726" applyFont="1" applyFill="1" applyBorder="1" applyAlignment="1">
      <alignment horizontal="center"/>
    </xf>
    <xf numFmtId="43" fontId="145" fillId="56" borderId="13" xfId="698" applyFont="1" applyFill="1" applyBorder="1" applyAlignment="1" applyProtection="1">
      <alignment horizontal="center"/>
      <protection hidden="1"/>
    </xf>
    <xf numFmtId="43" fontId="147" fillId="53" borderId="11" xfId="698" applyFont="1" applyFill="1" applyBorder="1" applyAlignment="1" applyProtection="1">
      <alignment horizontal="left" wrapText="1"/>
      <protection hidden="1"/>
    </xf>
    <xf numFmtId="0" fontId="162" fillId="45" borderId="11" xfId="8726" applyFont="1" applyFill="1" applyBorder="1" applyAlignment="1">
      <alignment horizontal="left"/>
    </xf>
    <xf numFmtId="0" fontId="172" fillId="45" borderId="11" xfId="8726" applyFont="1" applyFill="1" applyBorder="1" applyAlignment="1">
      <alignment horizontal="left" wrapText="1"/>
    </xf>
    <xf numFmtId="0" fontId="149" fillId="45" borderId="13" xfId="0" applyFont="1" applyFill="1" applyBorder="1" applyAlignment="1" applyProtection="1">
      <alignment horizontal="left" wrapText="1"/>
      <protection hidden="1"/>
    </xf>
    <xf numFmtId="0" fontId="149" fillId="45" borderId="13" xfId="0" applyFont="1" applyFill="1" applyBorder="1" applyAlignment="1" applyProtection="1">
      <alignment horizontal="center" wrapText="1"/>
      <protection hidden="1"/>
    </xf>
    <xf numFmtId="182" fontId="3" fillId="0" borderId="13" xfId="8726" applyNumberFormat="1" applyBorder="1" applyAlignment="1">
      <alignment horizontal="center"/>
    </xf>
    <xf numFmtId="0" fontId="3" fillId="0" borderId="13" xfId="8726" applyBorder="1" applyAlignment="1">
      <alignment horizontal="center"/>
    </xf>
    <xf numFmtId="44" fontId="3" fillId="0" borderId="11" xfId="700" applyFont="1" applyBorder="1" applyAlignment="1" applyProtection="1">
      <alignment horizontal="center"/>
      <protection hidden="1"/>
    </xf>
    <xf numFmtId="44" fontId="3" fillId="49" borderId="11" xfId="700" applyFont="1" applyFill="1" applyBorder="1" applyAlignment="1" applyProtection="1">
      <alignment horizontal="center"/>
      <protection hidden="1"/>
    </xf>
    <xf numFmtId="168" fontId="147" fillId="49" borderId="11" xfId="8727" applyNumberFormat="1" applyFont="1" applyFill="1" applyBorder="1" applyAlignment="1">
      <alignment horizontal="center"/>
    </xf>
    <xf numFmtId="0" fontId="145" fillId="44" borderId="11" xfId="8726" applyFont="1" applyFill="1" applyBorder="1" applyAlignment="1">
      <alignment horizontal="left"/>
    </xf>
    <xf numFmtId="0" fontId="162" fillId="48" borderId="3" xfId="8726" applyFont="1" applyFill="1" applyBorder="1" applyAlignment="1">
      <alignment horizontal="center"/>
    </xf>
    <xf numFmtId="0" fontId="162" fillId="48" borderId="4" xfId="8726" applyFont="1" applyFill="1" applyBorder="1" applyAlignment="1">
      <alignment horizontal="center"/>
    </xf>
    <xf numFmtId="0" fontId="162" fillId="48" borderId="5" xfId="8726" applyFont="1" applyFill="1" applyBorder="1" applyAlignment="1">
      <alignment horizontal="center"/>
    </xf>
    <xf numFmtId="0" fontId="147" fillId="49" borderId="3" xfId="0" applyFont="1" applyFill="1" applyBorder="1" applyAlignment="1" applyProtection="1">
      <alignment horizontal="center"/>
      <protection locked="0"/>
    </xf>
    <xf numFmtId="0" fontId="147" fillId="49" borderId="4" xfId="0" applyFont="1" applyFill="1" applyBorder="1" applyAlignment="1" applyProtection="1">
      <alignment horizontal="center"/>
      <protection locked="0"/>
    </xf>
    <xf numFmtId="0" fontId="147" fillId="49" borderId="5" xfId="0" applyFont="1" applyFill="1" applyBorder="1" applyAlignment="1" applyProtection="1">
      <alignment horizontal="center"/>
      <protection locked="0"/>
    </xf>
    <xf numFmtId="43" fontId="145" fillId="53" borderId="80" xfId="698" applyFont="1" applyFill="1" applyBorder="1" applyAlignment="1" applyProtection="1">
      <alignment horizontal="right"/>
      <protection hidden="1"/>
    </xf>
    <xf numFmtId="43" fontId="145" fillId="53" borderId="11" xfId="698" applyFont="1" applyFill="1" applyBorder="1" applyAlignment="1" applyProtection="1">
      <alignment horizontal="right"/>
      <protection hidden="1"/>
    </xf>
    <xf numFmtId="44" fontId="145" fillId="0" borderId="11" xfId="700" applyFont="1" applyBorder="1" applyAlignment="1" applyProtection="1">
      <alignment horizontal="center"/>
      <protection hidden="1"/>
    </xf>
    <xf numFmtId="164" fontId="145" fillId="0" borderId="11" xfId="700" applyNumberFormat="1" applyFont="1" applyBorder="1" applyAlignment="1" applyProtection="1">
      <alignment horizontal="center"/>
      <protection hidden="1"/>
    </xf>
    <xf numFmtId="9" fontId="145" fillId="0" borderId="11" xfId="1022" applyFont="1" applyBorder="1" applyAlignment="1" applyProtection="1">
      <alignment horizontal="center"/>
      <protection hidden="1"/>
    </xf>
    <xf numFmtId="168" fontId="15" fillId="2" borderId="3" xfId="569" applyNumberFormat="1" applyFill="1" applyBorder="1" applyAlignment="1">
      <alignment horizontal="center"/>
    </xf>
    <xf numFmtId="168" fontId="15" fillId="2" borderId="4" xfId="569" applyNumberFormat="1" applyFill="1" applyBorder="1" applyAlignment="1">
      <alignment horizontal="center"/>
    </xf>
    <xf numFmtId="168" fontId="15" fillId="2" borderId="5" xfId="569" applyNumberFormat="1" applyFill="1" applyBorder="1" applyAlignment="1">
      <alignment horizontal="center"/>
    </xf>
    <xf numFmtId="168" fontId="15" fillId="5" borderId="5" xfId="569" applyNumberFormat="1" applyFill="1" applyBorder="1" applyAlignment="1" applyProtection="1">
      <alignment horizontal="center"/>
      <protection locked="0"/>
    </xf>
    <xf numFmtId="168" fontId="15" fillId="5" borderId="11" xfId="569" applyNumberFormat="1" applyFill="1" applyBorder="1" applyAlignment="1" applyProtection="1">
      <alignment horizontal="center"/>
      <protection locked="0"/>
    </xf>
    <xf numFmtId="168" fontId="15" fillId="0" borderId="5" xfId="569" applyNumberFormat="1" applyBorder="1" applyAlignment="1">
      <alignment horizontal="center"/>
    </xf>
    <xf numFmtId="168" fontId="15" fillId="0" borderId="11" xfId="569" applyNumberFormat="1" applyBorder="1" applyAlignment="1">
      <alignment horizontal="center"/>
    </xf>
    <xf numFmtId="168" fontId="15" fillId="0" borderId="3" xfId="569" applyNumberFormat="1" applyBorder="1" applyAlignment="1">
      <alignment horizontal="center"/>
    </xf>
    <xf numFmtId="168" fontId="15" fillId="0" borderId="4" xfId="569" applyNumberFormat="1" applyBorder="1" applyAlignment="1">
      <alignment horizontal="center"/>
    </xf>
    <xf numFmtId="179" fontId="22" fillId="0" borderId="0" xfId="569" applyNumberFormat="1" applyFont="1" applyAlignment="1">
      <alignment horizontal="center" wrapText="1"/>
    </xf>
    <xf numFmtId="0" fontId="22" fillId="0" borderId="16" xfId="271" applyFont="1" applyBorder="1" applyAlignment="1">
      <alignment horizontal="center"/>
    </xf>
    <xf numFmtId="164" fontId="22" fillId="0" borderId="0" xfId="569" applyNumberFormat="1" applyFont="1" applyAlignment="1">
      <alignment horizontal="center" wrapText="1"/>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0" fontId="52" fillId="0" borderId="0" xfId="569" applyFont="1" applyAlignment="1">
      <alignment horizontal="left"/>
    </xf>
    <xf numFmtId="0" fontId="15" fillId="0" borderId="3" xfId="569" applyBorder="1" applyAlignment="1">
      <alignment horizontal="right"/>
    </xf>
    <xf numFmtId="0" fontId="15" fillId="0" borderId="4" xfId="569" applyBorder="1" applyAlignment="1">
      <alignment horizontal="right"/>
    </xf>
    <xf numFmtId="0" fontId="15" fillId="0" borderId="5" xfId="569" applyBorder="1" applyAlignment="1">
      <alignment horizontal="right"/>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168" fontId="15" fillId="0" borderId="3" xfId="569" applyNumberFormat="1" applyBorder="1" applyAlignment="1">
      <alignment horizontal="right"/>
    </xf>
    <xf numFmtId="168" fontId="15" fillId="0" borderId="4" xfId="569" applyNumberFormat="1" applyBorder="1" applyAlignment="1">
      <alignment horizontal="right"/>
    </xf>
    <xf numFmtId="168" fontId="15" fillId="0" borderId="5" xfId="569" applyNumberFormat="1" applyBorder="1" applyAlignment="1">
      <alignment horizontal="right"/>
    </xf>
    <xf numFmtId="9" fontId="15" fillId="0" borderId="5" xfId="569" applyNumberFormat="1" applyBorder="1" applyAlignment="1">
      <alignment horizontal="center"/>
    </xf>
    <xf numFmtId="9" fontId="15" fillId="0" borderId="11" xfId="569" applyNumberFormat="1" applyBorder="1" applyAlignment="1">
      <alignment horizontal="center"/>
    </xf>
    <xf numFmtId="0" fontId="22" fillId="0" borderId="3" xfId="569" applyFont="1" applyBorder="1" applyAlignment="1">
      <alignment horizontal="left"/>
    </xf>
    <xf numFmtId="0" fontId="22" fillId="0" borderId="5" xfId="569" applyFont="1" applyBorder="1" applyAlignment="1">
      <alignment horizontal="left"/>
    </xf>
    <xf numFmtId="0" fontId="23" fillId="0" borderId="4" xfId="569" applyFont="1" applyBorder="1" applyAlignment="1">
      <alignment horizontal="left"/>
    </xf>
    <xf numFmtId="0" fontId="23" fillId="0" borderId="5" xfId="569" applyFont="1" applyBorder="1" applyAlignment="1">
      <alignment horizontal="left"/>
    </xf>
    <xf numFmtId="0" fontId="21" fillId="3" borderId="2" xfId="569" applyFont="1" applyFill="1" applyBorder="1" applyAlignment="1">
      <alignment horizontal="center" vertical="center"/>
    </xf>
    <xf numFmtId="0" fontId="21" fillId="3" borderId="16" xfId="569" applyFont="1" applyFill="1" applyBorder="1" applyAlignment="1">
      <alignment horizontal="center" vertical="center"/>
    </xf>
    <xf numFmtId="0" fontId="22" fillId="0" borderId="11" xfId="569" applyFont="1" applyBorder="1" applyAlignment="1">
      <alignment horizontal="center" wrapText="1"/>
    </xf>
    <xf numFmtId="168" fontId="15" fillId="0" borderId="7" xfId="569" applyNumberFormat="1" applyBorder="1" applyAlignment="1">
      <alignment horizontal="center"/>
    </xf>
    <xf numFmtId="168" fontId="15" fillId="0" borderId="15" xfId="569" applyNumberFormat="1" applyBorder="1" applyAlignment="1">
      <alignment horizontal="center"/>
    </xf>
    <xf numFmtId="168" fontId="15" fillId="5" borderId="10" xfId="569" applyNumberFormat="1" applyFill="1" applyBorder="1" applyAlignment="1" applyProtection="1">
      <alignment horizontal="center"/>
      <protection locked="0"/>
    </xf>
    <xf numFmtId="168" fontId="15" fillId="5" borderId="13" xfId="569" applyNumberFormat="1" applyFill="1" applyBorder="1" applyAlignment="1" applyProtection="1">
      <alignment horizontal="center"/>
      <protection locked="0"/>
    </xf>
    <xf numFmtId="5" fontId="15" fillId="0" borderId="5" xfId="569" applyNumberFormat="1" applyBorder="1" applyAlignment="1">
      <alignment horizontal="center"/>
    </xf>
    <xf numFmtId="5" fontId="15" fillId="0" borderId="11" xfId="569" applyNumberFormat="1" applyBorder="1" applyAlignment="1">
      <alignment horizontal="center"/>
    </xf>
    <xf numFmtId="5" fontId="15" fillId="0" borderId="3" xfId="569" applyNumberFormat="1" applyBorder="1" applyAlignment="1">
      <alignment horizontal="center"/>
    </xf>
    <xf numFmtId="5" fontId="15" fillId="0" borderId="4" xfId="569" applyNumberFormat="1" applyBorder="1" applyAlignment="1">
      <alignment horizontal="center"/>
    </xf>
    <xf numFmtId="9" fontId="15" fillId="0" borderId="9" xfId="569" applyNumberFormat="1" applyBorder="1" applyAlignment="1">
      <alignment horizontal="center" vertical="center"/>
    </xf>
    <xf numFmtId="9" fontId="15" fillId="0" borderId="6" xfId="569" applyNumberFormat="1" applyBorder="1" applyAlignment="1">
      <alignment horizontal="center" vertical="center"/>
    </xf>
    <xf numFmtId="9" fontId="15" fillId="0" borderId="10" xfId="569" applyNumberFormat="1" applyBorder="1" applyAlignment="1">
      <alignment horizontal="center" vertical="center"/>
    </xf>
    <xf numFmtId="168" fontId="15" fillId="0" borderId="11" xfId="569" applyNumberFormat="1" applyBorder="1" applyAlignment="1">
      <alignment horizontal="right"/>
    </xf>
    <xf numFmtId="0" fontId="22" fillId="0" borderId="6" xfId="569" applyFont="1" applyBorder="1" applyAlignment="1">
      <alignment horizontal="center"/>
    </xf>
    <xf numFmtId="0" fontId="15" fillId="0" borderId="4" xfId="569" applyBorder="1" applyAlignment="1">
      <alignment horizontal="center"/>
    </xf>
    <xf numFmtId="0" fontId="15" fillId="0" borderId="5" xfId="569" applyBorder="1" applyAlignment="1">
      <alignment horizontal="center"/>
    </xf>
    <xf numFmtId="176" fontId="15" fillId="5" borderId="3" xfId="569" applyNumberFormat="1" applyFill="1" applyBorder="1" applyAlignment="1" applyProtection="1">
      <alignment horizontal="right"/>
      <protection locked="0"/>
    </xf>
    <xf numFmtId="176" fontId="15" fillId="5" borderId="4" xfId="569" applyNumberFormat="1" applyFill="1" applyBorder="1" applyAlignment="1" applyProtection="1">
      <alignment horizontal="right"/>
      <protection locked="0"/>
    </xf>
    <xf numFmtId="176" fontId="15" fillId="5" borderId="5" xfId="569" applyNumberFormat="1" applyFill="1" applyBorder="1" applyAlignment="1" applyProtection="1">
      <alignment horizontal="right"/>
      <protection locked="0"/>
    </xf>
    <xf numFmtId="0" fontId="106" fillId="0" borderId="0" xfId="569" applyFont="1" applyAlignment="1">
      <alignment horizontal="left" wrapText="1"/>
    </xf>
    <xf numFmtId="168" fontId="15" fillId="0" borderId="3" xfId="569" applyNumberFormat="1" applyBorder="1" applyAlignment="1" applyProtection="1">
      <alignment horizontal="right"/>
      <protection locked="0"/>
    </xf>
    <xf numFmtId="168" fontId="15" fillId="0" borderId="4" xfId="569" applyNumberFormat="1" applyBorder="1" applyAlignment="1" applyProtection="1">
      <alignment horizontal="right"/>
      <protection locked="0"/>
    </xf>
    <xf numFmtId="168" fontId="15" fillId="0" borderId="5" xfId="569" applyNumberFormat="1" applyBorder="1" applyAlignment="1" applyProtection="1">
      <alignment horizontal="right"/>
      <protection locked="0"/>
    </xf>
    <xf numFmtId="0" fontId="22" fillId="0" borderId="11" xfId="569" applyFont="1" applyBorder="1" applyAlignment="1">
      <alignment horizontal="center"/>
    </xf>
    <xf numFmtId="165" fontId="15" fillId="0" borderId="11" xfId="569" applyNumberFormat="1" applyBorder="1" applyAlignment="1" applyProtection="1">
      <alignment horizontal="center"/>
      <protection locked="0"/>
    </xf>
    <xf numFmtId="168" fontId="15" fillId="0" borderId="11" xfId="569" applyNumberFormat="1" applyBorder="1"/>
    <xf numFmtId="168" fontId="15" fillId="0" borderId="3" xfId="569" applyNumberFormat="1" applyBorder="1"/>
    <xf numFmtId="168" fontId="15" fillId="0" borderId="4" xfId="569" applyNumberFormat="1" applyBorder="1"/>
    <xf numFmtId="168" fontId="15" fillId="0" borderId="5" xfId="569" applyNumberFormat="1" applyBorder="1"/>
    <xf numFmtId="168" fontId="15" fillId="0" borderId="11" xfId="569" applyNumberFormat="1" applyBorder="1" applyAlignment="1">
      <alignment wrapText="1"/>
    </xf>
    <xf numFmtId="9" fontId="15" fillId="0" borderId="15" xfId="569" applyNumberFormat="1" applyBorder="1" applyAlignment="1">
      <alignment horizontal="center"/>
    </xf>
    <xf numFmtId="0" fontId="15" fillId="0" borderId="11" xfId="569" applyBorder="1" applyAlignment="1">
      <alignment horizontal="center"/>
    </xf>
    <xf numFmtId="0" fontId="106" fillId="0" borderId="0" xfId="0" applyFont="1" applyAlignment="1">
      <alignment horizontal="left" vertical="top" wrapText="1"/>
    </xf>
    <xf numFmtId="0" fontId="20" fillId="0" borderId="6" xfId="271" applyFont="1" applyBorder="1" applyAlignment="1">
      <alignment horizontal="center"/>
    </xf>
    <xf numFmtId="3" fontId="15" fillId="0" borderId="0" xfId="0" applyNumberFormat="1" applyFont="1" applyAlignment="1">
      <alignment horizontal="left" vertical="top" wrapText="1"/>
    </xf>
    <xf numFmtId="3" fontId="24" fillId="0" borderId="0" xfId="0" applyNumberFormat="1" applyFont="1" applyAlignment="1">
      <alignment horizontal="left" vertical="top" wrapText="1"/>
    </xf>
    <xf numFmtId="0" fontId="15" fillId="43" borderId="0" xfId="0" applyFont="1" applyFill="1" applyAlignment="1">
      <alignment horizontal="left"/>
    </xf>
  </cellXfs>
  <cellStyles count="25604">
    <cellStyle name="20% - Accent1" xfId="1" builtinId="30" customBuiltin="1"/>
    <cellStyle name="20% - Accent1 10" xfId="4505" xr:uid="{00000000-0005-0000-0000-000001000000}"/>
    <cellStyle name="20% - Accent1 10 2" xfId="12947" xr:uid="{103DB479-1885-4FB6-AFF9-F5585F0B17D4}"/>
    <cellStyle name="20% - Accent1 10 3" xfId="21384" xr:uid="{C65AE788-7146-471E-84C1-FBF5434B3849}"/>
    <cellStyle name="20% - Accent1 11" xfId="8729" xr:uid="{3AE34C8D-8502-4BA9-A180-7006C8B17A23}"/>
    <cellStyle name="20% - Accent1 12" xfId="17167" xr:uid="{6B55CA94-2020-4788-8454-C91E28ECFFC1}"/>
    <cellStyle name="20% - Accent1 2" xfId="2" xr:uid="{00000000-0005-0000-0000-000002000000}"/>
    <cellStyle name="20% - Accent1 2 10" xfId="8730" xr:uid="{842908D9-1E7A-47A0-BDC8-3F1A9306BEC0}"/>
    <cellStyle name="20% - Accent1 2 11" xfId="17168" xr:uid="{6F0C99C7-3B70-49C0-80F1-F22614509172}"/>
    <cellStyle name="20% - Accent1 2 2" xfId="3" xr:uid="{00000000-0005-0000-0000-000003000000}"/>
    <cellStyle name="20% - Accent1 2 2 10" xfId="17169" xr:uid="{EBB24B6A-927A-4C25-9970-6DCD12C9D4BB}"/>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D8FD9CE9-78B5-4964-B589-E39A1FB899A5}"/>
    <cellStyle name="20% - Accent1 2 2 2 2 2 2 3" xfId="23946" xr:uid="{F2C087C4-EA1C-460E-9E12-3D8845AD0431}"/>
    <cellStyle name="20% - Accent1 2 2 2 2 2 3" xfId="11291" xr:uid="{09F20527-10FF-4B78-8F23-56FA2DB6ACDB}"/>
    <cellStyle name="20% - Accent1 2 2 2 2 2 4" xfId="19729" xr:uid="{FCCB0081-5D95-4EEB-94E1-543401E8AFAA}"/>
    <cellStyle name="20% - Accent1 2 2 2 2 3" xfId="4922" xr:uid="{00000000-0005-0000-0000-000008000000}"/>
    <cellStyle name="20% - Accent1 2 2 2 2 3 2" xfId="13364" xr:uid="{D446D9E4-70CB-4C79-8F7C-F6D16624F31D}"/>
    <cellStyle name="20% - Accent1 2 2 2 2 3 3" xfId="21801" xr:uid="{E5557E20-C21B-4177-BB40-78CC19D5A350}"/>
    <cellStyle name="20% - Accent1 2 2 2 2 4" xfId="9146" xr:uid="{7E997F4D-6D42-42A5-A6DF-17D57673CF8A}"/>
    <cellStyle name="20% - Accent1 2 2 2 2 5" xfId="17584" xr:uid="{67C3A8EB-C0E1-48B4-80DF-F403CE51F7AC}"/>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EFB47249-B643-4840-ACEA-E6ADF4B7F3D9}"/>
    <cellStyle name="20% - Accent1 2 2 2 3 2 2 3" xfId="24359" xr:uid="{63F4FA7B-CB94-4259-A5A5-5829E15FCE2D}"/>
    <cellStyle name="20% - Accent1 2 2 2 3 2 3" xfId="11704" xr:uid="{81652685-4521-4D10-A0F0-30216BB51938}"/>
    <cellStyle name="20% - Accent1 2 2 2 3 2 4" xfId="20142" xr:uid="{EA1FC219-F8D5-4A86-BA18-0CFE72E1E50C}"/>
    <cellStyle name="20% - Accent1 2 2 2 3 3" xfId="5335" xr:uid="{00000000-0005-0000-0000-00000C000000}"/>
    <cellStyle name="20% - Accent1 2 2 2 3 3 2" xfId="13777" xr:uid="{F99D5232-408C-4711-8453-4DA2F5C1083D}"/>
    <cellStyle name="20% - Accent1 2 2 2 3 3 3" xfId="22214" xr:uid="{9DADB038-60E6-4605-8DA2-EF5C1B3BDDD0}"/>
    <cellStyle name="20% - Accent1 2 2 2 3 4" xfId="9559" xr:uid="{27E6BC65-10A3-478A-833D-27B8EA19B6A7}"/>
    <cellStyle name="20% - Accent1 2 2 2 3 5" xfId="17997" xr:uid="{4F718E4E-1B82-455B-9DB5-9A418B25E1D7}"/>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4A151A40-B68E-471B-BE49-2DE2E614571B}"/>
    <cellStyle name="20% - Accent1 2 2 2 4 2 2 3" xfId="24772" xr:uid="{EE200D2F-A87D-4979-9C61-7409D8A0E4B8}"/>
    <cellStyle name="20% - Accent1 2 2 2 4 2 3" xfId="12117" xr:uid="{AFEBC65E-5B01-4681-9D61-E8E5850C439B}"/>
    <cellStyle name="20% - Accent1 2 2 2 4 2 4" xfId="20555" xr:uid="{85C24833-7BD7-4A6A-A1AD-135984E8754A}"/>
    <cellStyle name="20% - Accent1 2 2 2 4 3" xfId="5748" xr:uid="{00000000-0005-0000-0000-000010000000}"/>
    <cellStyle name="20% - Accent1 2 2 2 4 3 2" xfId="14190" xr:uid="{2A94F396-6235-4AD5-BD97-0294F6EB27E5}"/>
    <cellStyle name="20% - Accent1 2 2 2 4 3 3" xfId="22627" xr:uid="{37D0EB79-AB4B-4096-ACB4-42D4AA76E323}"/>
    <cellStyle name="20% - Accent1 2 2 2 4 4" xfId="9972" xr:uid="{0BE0ECC8-431F-48EF-B257-61334A015C8D}"/>
    <cellStyle name="20% - Accent1 2 2 2 4 5" xfId="18410" xr:uid="{22FD7358-F0F7-4930-B92A-A426CB07F43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7BC70925-5EE6-4905-A47C-73DEEB07CCB3}"/>
    <cellStyle name="20% - Accent1 2 2 2 5 2 2 3" xfId="25185" xr:uid="{CB73D096-2CD0-4F47-9398-F0666647AAAB}"/>
    <cellStyle name="20% - Accent1 2 2 2 5 2 3" xfId="12530" xr:uid="{6775D627-B36E-4B88-B252-9617AB43E2E3}"/>
    <cellStyle name="20% - Accent1 2 2 2 5 2 4" xfId="20968" xr:uid="{7A607C70-B693-4C13-A3E8-F3BC1AE95079}"/>
    <cellStyle name="20% - Accent1 2 2 2 5 3" xfId="6161" xr:uid="{00000000-0005-0000-0000-000014000000}"/>
    <cellStyle name="20% - Accent1 2 2 2 5 3 2" xfId="14603" xr:uid="{08F0FCFF-B2FB-47DB-AAB7-329C7DE8B82E}"/>
    <cellStyle name="20% - Accent1 2 2 2 5 3 3" xfId="23040" xr:uid="{6F06891F-148A-470C-BFB8-D854355F9B2E}"/>
    <cellStyle name="20% - Accent1 2 2 2 5 4" xfId="10385" xr:uid="{133EFE8A-780E-45D3-84C1-6DC63D12EEF6}"/>
    <cellStyle name="20% - Accent1 2 2 2 5 5" xfId="18823" xr:uid="{40382CE0-6E3C-4A28-B87C-5E2674D9FB01}"/>
    <cellStyle name="20% - Accent1 2 2 2 6" xfId="2267" xr:uid="{00000000-0005-0000-0000-000015000000}"/>
    <cellStyle name="20% - Accent1 2 2 2 6 2" xfId="6574" xr:uid="{00000000-0005-0000-0000-000016000000}"/>
    <cellStyle name="20% - Accent1 2 2 2 6 2 2" xfId="15016" xr:uid="{82F03B91-F3CE-4990-89EF-8E018D4B12A4}"/>
    <cellStyle name="20% - Accent1 2 2 2 6 2 3" xfId="23453" xr:uid="{EE4A4BB7-F8BA-462B-B16B-068A5D4D48A1}"/>
    <cellStyle name="20% - Accent1 2 2 2 6 3" xfId="10798" xr:uid="{89F4A332-9899-4D14-93D3-F9A0362C4C63}"/>
    <cellStyle name="20% - Accent1 2 2 2 6 4" xfId="19236" xr:uid="{A475CDBB-BAB5-4BBB-9C52-E09AA4EFD803}"/>
    <cellStyle name="20% - Accent1 2 2 2 7" xfId="4508" xr:uid="{00000000-0005-0000-0000-000017000000}"/>
    <cellStyle name="20% - Accent1 2 2 2 7 2" xfId="12950" xr:uid="{7B871246-5DAE-4E63-85ED-90B37DDB666D}"/>
    <cellStyle name="20% - Accent1 2 2 2 7 3" xfId="21387" xr:uid="{0AFBB335-A847-4997-B665-92B1BD15B1DA}"/>
    <cellStyle name="20% - Accent1 2 2 2 8" xfId="8732" xr:uid="{775930BE-3B22-4665-9E9B-6EC07907402B}"/>
    <cellStyle name="20% - Accent1 2 2 2 9" xfId="17170" xr:uid="{4F06BE4A-3B80-4E08-8265-0B926CAE9FD7}"/>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5731FEA5-5CDD-4ED7-B9A9-CAF723814472}"/>
    <cellStyle name="20% - Accent1 2 2 3 2 2 3" xfId="23945" xr:uid="{D4BEECE5-173F-4D19-8473-19DBE8224785}"/>
    <cellStyle name="20% - Accent1 2 2 3 2 3" xfId="11290" xr:uid="{06BDE923-B2F7-477E-94BD-30D425E62141}"/>
    <cellStyle name="20% - Accent1 2 2 3 2 4" xfId="19728" xr:uid="{BF46B566-6C0E-416B-B070-8F5F9C176487}"/>
    <cellStyle name="20% - Accent1 2 2 3 3" xfId="4921" xr:uid="{00000000-0005-0000-0000-00001B000000}"/>
    <cellStyle name="20% - Accent1 2 2 3 3 2" xfId="13363" xr:uid="{3293F514-CE01-4DE8-9742-9F2BAC4A7240}"/>
    <cellStyle name="20% - Accent1 2 2 3 3 3" xfId="21800" xr:uid="{3D37402E-2CB6-4BEA-A533-D18CACECDD05}"/>
    <cellStyle name="20% - Accent1 2 2 3 4" xfId="9145" xr:uid="{613B63DF-387B-42A3-A535-80786AEFD1FC}"/>
    <cellStyle name="20% - Accent1 2 2 3 5" xfId="17583" xr:uid="{41E4B753-B2B7-473F-AE9F-9C84BFF5A497}"/>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4FEB9783-2081-4256-B563-B34510201E3C}"/>
    <cellStyle name="20% - Accent1 2 2 4 2 2 3" xfId="24358" xr:uid="{60189BEE-3FBC-4212-B70D-789E51525814}"/>
    <cellStyle name="20% - Accent1 2 2 4 2 3" xfId="11703" xr:uid="{8D75A342-3F4B-43EF-B764-D1B1A5C5FE69}"/>
    <cellStyle name="20% - Accent1 2 2 4 2 4" xfId="20141" xr:uid="{3E7F031F-7797-4DB3-BABB-7845FF4E0131}"/>
    <cellStyle name="20% - Accent1 2 2 4 3" xfId="5334" xr:uid="{00000000-0005-0000-0000-00001F000000}"/>
    <cellStyle name="20% - Accent1 2 2 4 3 2" xfId="13776" xr:uid="{5A8358CA-1E52-476B-B123-AB8FAAA50EC2}"/>
    <cellStyle name="20% - Accent1 2 2 4 3 3" xfId="22213" xr:uid="{06A7716C-84CC-4DF5-A556-191FF6BA5A51}"/>
    <cellStyle name="20% - Accent1 2 2 4 4" xfId="9558" xr:uid="{69DA964E-633E-4ACB-999A-603B834838D7}"/>
    <cellStyle name="20% - Accent1 2 2 4 5" xfId="17996" xr:uid="{3BC0B5D4-262D-4C7D-BF0E-B500991A3D2D}"/>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DBB77E0C-7C30-4426-9FCF-A303567A4694}"/>
    <cellStyle name="20% - Accent1 2 2 5 2 2 3" xfId="24771" xr:uid="{A2810D49-8E15-4BAF-8184-86A40B4369A2}"/>
    <cellStyle name="20% - Accent1 2 2 5 2 3" xfId="12116" xr:uid="{976FE2C7-0BCC-40E5-BCF9-E0B192E9D7A9}"/>
    <cellStyle name="20% - Accent1 2 2 5 2 4" xfId="20554" xr:uid="{DDE7DF5F-7ECC-4F6A-9044-899530F09CD3}"/>
    <cellStyle name="20% - Accent1 2 2 5 3" xfId="5747" xr:uid="{00000000-0005-0000-0000-000023000000}"/>
    <cellStyle name="20% - Accent1 2 2 5 3 2" xfId="14189" xr:uid="{ECCB2461-653D-4AB9-A5B8-27B185F44A11}"/>
    <cellStyle name="20% - Accent1 2 2 5 3 3" xfId="22626" xr:uid="{A4EC088F-BDF9-4261-846F-7F9B4A84EE8C}"/>
    <cellStyle name="20% - Accent1 2 2 5 4" xfId="9971" xr:uid="{8D8624A6-7240-400E-9442-CB107E4AB3FC}"/>
    <cellStyle name="20% - Accent1 2 2 5 5" xfId="18409" xr:uid="{F193FDA1-C205-4B7A-AD08-FA55DA55EAFA}"/>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3AEA9075-F215-4F35-8513-4D5BEAD7DDCA}"/>
    <cellStyle name="20% - Accent1 2 2 6 2 2 3" xfId="25184" xr:uid="{903FB92F-FEAB-45F2-910E-6A078DD6BF42}"/>
    <cellStyle name="20% - Accent1 2 2 6 2 3" xfId="12529" xr:uid="{5F4F5ADA-2785-43E2-99AB-363C43FF7B18}"/>
    <cellStyle name="20% - Accent1 2 2 6 2 4" xfId="20967" xr:uid="{2FB13FB3-D710-4B28-AB65-F35DAA62FA80}"/>
    <cellStyle name="20% - Accent1 2 2 6 3" xfId="6160" xr:uid="{00000000-0005-0000-0000-000027000000}"/>
    <cellStyle name="20% - Accent1 2 2 6 3 2" xfId="14602" xr:uid="{B712BCDF-5855-4DBE-A67F-EDF970393A62}"/>
    <cellStyle name="20% - Accent1 2 2 6 3 3" xfId="23039" xr:uid="{97DB1793-1137-4F61-9B88-5F69579233BC}"/>
    <cellStyle name="20% - Accent1 2 2 6 4" xfId="10384" xr:uid="{14666287-DEB6-4603-AE03-0F565458855A}"/>
    <cellStyle name="20% - Accent1 2 2 6 5" xfId="18822" xr:uid="{D9B2CBB0-47FD-4080-8145-450CC373462F}"/>
    <cellStyle name="20% - Accent1 2 2 7" xfId="2266" xr:uid="{00000000-0005-0000-0000-000028000000}"/>
    <cellStyle name="20% - Accent1 2 2 7 2" xfId="6573" xr:uid="{00000000-0005-0000-0000-000029000000}"/>
    <cellStyle name="20% - Accent1 2 2 7 2 2" xfId="15015" xr:uid="{1F5E8948-56EA-456A-8B8D-1FE20BAD1D42}"/>
    <cellStyle name="20% - Accent1 2 2 7 2 3" xfId="23452" xr:uid="{200CEDCE-6677-4F15-8B4F-C3872C2F0ED8}"/>
    <cellStyle name="20% - Accent1 2 2 7 3" xfId="10797" xr:uid="{CB51E274-0EFC-44A9-8002-B07D337CBF09}"/>
    <cellStyle name="20% - Accent1 2 2 7 4" xfId="19235" xr:uid="{8D58434D-EC69-42B6-A66A-2B31199114CE}"/>
    <cellStyle name="20% - Accent1 2 2 8" xfId="4507" xr:uid="{00000000-0005-0000-0000-00002A000000}"/>
    <cellStyle name="20% - Accent1 2 2 8 2" xfId="12949" xr:uid="{BBF13046-DE3E-49EA-B908-C9FC01D4B61C}"/>
    <cellStyle name="20% - Accent1 2 2 8 3" xfId="21386" xr:uid="{3EA8A329-9CD3-4176-8224-4153DE0718F5}"/>
    <cellStyle name="20% - Accent1 2 2 9" xfId="8731" xr:uid="{7CF329B3-1DFA-4E95-BEE2-C9BDCA7D2A79}"/>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2026B1BF-FCA4-4215-AEF2-DADA244E2391}"/>
    <cellStyle name="20% - Accent1 2 3 2 2 2 3" xfId="23947" xr:uid="{C410BD12-CFCA-486A-9FE8-D5B4BC843C0D}"/>
    <cellStyle name="20% - Accent1 2 3 2 2 3" xfId="11292" xr:uid="{1745E1BF-8FE9-4BC4-A43B-8A3DF5891662}"/>
    <cellStyle name="20% - Accent1 2 3 2 2 4" xfId="19730" xr:uid="{79C02C74-DB12-4350-A18B-D57256F34D0E}"/>
    <cellStyle name="20% - Accent1 2 3 2 3" xfId="4923" xr:uid="{00000000-0005-0000-0000-00002F000000}"/>
    <cellStyle name="20% - Accent1 2 3 2 3 2" xfId="13365" xr:uid="{329E0928-C984-423B-9532-95B195D8680D}"/>
    <cellStyle name="20% - Accent1 2 3 2 3 3" xfId="21802" xr:uid="{EB505EDA-ACEA-4073-9C3A-49D5DE36DBF3}"/>
    <cellStyle name="20% - Accent1 2 3 2 4" xfId="9147" xr:uid="{4CB3D0D2-AE3B-4B3E-99BA-052FA8457C22}"/>
    <cellStyle name="20% - Accent1 2 3 2 5" xfId="17585" xr:uid="{83FFD361-DA97-4DA5-966E-25CA1A27633C}"/>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58407A57-9342-4852-9A5A-FE62EAF2082F}"/>
    <cellStyle name="20% - Accent1 2 3 3 2 2 3" xfId="24360" xr:uid="{BD4F98EF-3A3A-4ED0-9941-108144C0ED84}"/>
    <cellStyle name="20% - Accent1 2 3 3 2 3" xfId="11705" xr:uid="{20C85160-9A56-41FE-8B38-FB761F805703}"/>
    <cellStyle name="20% - Accent1 2 3 3 2 4" xfId="20143" xr:uid="{6936F3A2-FB4A-43AF-9995-90E074B2034B}"/>
    <cellStyle name="20% - Accent1 2 3 3 3" xfId="5336" xr:uid="{00000000-0005-0000-0000-000033000000}"/>
    <cellStyle name="20% - Accent1 2 3 3 3 2" xfId="13778" xr:uid="{A481A455-44CC-4A6F-B005-A838B6635F98}"/>
    <cellStyle name="20% - Accent1 2 3 3 3 3" xfId="22215" xr:uid="{8D94B1A5-945F-4F8D-8E9E-232C00ADE1E1}"/>
    <cellStyle name="20% - Accent1 2 3 3 4" xfId="9560" xr:uid="{2F1D6C50-A8D7-4EE1-9866-B3EF2C7D4BD9}"/>
    <cellStyle name="20% - Accent1 2 3 3 5" xfId="17998" xr:uid="{BE1BEA9C-691B-4B1E-8132-4DC38F7A8372}"/>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FC07788A-EEA9-481C-B1A5-340DF9019514}"/>
    <cellStyle name="20% - Accent1 2 3 4 2 2 3" xfId="24773" xr:uid="{48545BC2-7874-40CD-9472-FD1485E00CAA}"/>
    <cellStyle name="20% - Accent1 2 3 4 2 3" xfId="12118" xr:uid="{7F8C3F49-C1E4-417A-BA66-03F086FBDE39}"/>
    <cellStyle name="20% - Accent1 2 3 4 2 4" xfId="20556" xr:uid="{260B4411-4A3E-4DE6-8DCB-FF56EDA8FA7F}"/>
    <cellStyle name="20% - Accent1 2 3 4 3" xfId="5749" xr:uid="{00000000-0005-0000-0000-000037000000}"/>
    <cellStyle name="20% - Accent1 2 3 4 3 2" xfId="14191" xr:uid="{F7EADBB8-72EB-4228-9366-3CF482950F92}"/>
    <cellStyle name="20% - Accent1 2 3 4 3 3" xfId="22628" xr:uid="{5A1E03BE-25CB-4A4F-B2B9-188EA91CAEC9}"/>
    <cellStyle name="20% - Accent1 2 3 4 4" xfId="9973" xr:uid="{995F6B5D-7B86-4A1C-B1DB-5C173C05C0F1}"/>
    <cellStyle name="20% - Accent1 2 3 4 5" xfId="18411" xr:uid="{6A4742CE-59EC-45AC-86D8-F96E88D7D57F}"/>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53A1A5D4-E307-4F26-926B-93ACFE3044A3}"/>
    <cellStyle name="20% - Accent1 2 3 5 2 2 3" xfId="25186" xr:uid="{2FF847DF-AB2C-4E0E-8BD4-85998687AEE0}"/>
    <cellStyle name="20% - Accent1 2 3 5 2 3" xfId="12531" xr:uid="{42C56AFE-6ABF-41FA-B25F-1BE778242591}"/>
    <cellStyle name="20% - Accent1 2 3 5 2 4" xfId="20969" xr:uid="{D41C3021-4B2A-459A-9E86-978690027BC2}"/>
    <cellStyle name="20% - Accent1 2 3 5 3" xfId="6162" xr:uid="{00000000-0005-0000-0000-00003B000000}"/>
    <cellStyle name="20% - Accent1 2 3 5 3 2" xfId="14604" xr:uid="{2A346ABC-5EEC-45FB-BEF0-89EEB16DB04D}"/>
    <cellStyle name="20% - Accent1 2 3 5 3 3" xfId="23041" xr:uid="{8A541B48-7B6A-43CD-B8A7-D3B61FFF98DE}"/>
    <cellStyle name="20% - Accent1 2 3 5 4" xfId="10386" xr:uid="{E1FFF03E-94FF-46BE-8FA9-EFEA9AC03924}"/>
    <cellStyle name="20% - Accent1 2 3 5 5" xfId="18824" xr:uid="{C56D2E54-69B6-40AA-A72A-B489E47A0117}"/>
    <cellStyle name="20% - Accent1 2 3 6" xfId="2268" xr:uid="{00000000-0005-0000-0000-00003C000000}"/>
    <cellStyle name="20% - Accent1 2 3 6 2" xfId="6575" xr:uid="{00000000-0005-0000-0000-00003D000000}"/>
    <cellStyle name="20% - Accent1 2 3 6 2 2" xfId="15017" xr:uid="{172BB5EC-600F-429E-ACB7-389D986AD6BF}"/>
    <cellStyle name="20% - Accent1 2 3 6 2 3" xfId="23454" xr:uid="{E46285A8-51CC-41F1-A122-23D3B27980F3}"/>
    <cellStyle name="20% - Accent1 2 3 6 3" xfId="10799" xr:uid="{194BA998-2C83-4FD0-9B33-25BEB3663D13}"/>
    <cellStyle name="20% - Accent1 2 3 6 4" xfId="19237" xr:uid="{6DCD45B8-5D0F-4EBB-97D0-4E2690427CA2}"/>
    <cellStyle name="20% - Accent1 2 3 7" xfId="4509" xr:uid="{00000000-0005-0000-0000-00003E000000}"/>
    <cellStyle name="20% - Accent1 2 3 7 2" xfId="12951" xr:uid="{A1B115CE-A262-4F45-99CA-6596D6EEB4C8}"/>
    <cellStyle name="20% - Accent1 2 3 7 3" xfId="21388" xr:uid="{21A12EAA-DC65-481E-8FD8-AEA561907F66}"/>
    <cellStyle name="20% - Accent1 2 3 8" xfId="8733" xr:uid="{DB65EC11-BFAA-47FF-9302-0DF040A855E3}"/>
    <cellStyle name="20% - Accent1 2 3 9" xfId="17171" xr:uid="{513755D0-2956-42A5-88F7-D2933695F703}"/>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EA13037C-23EE-43C4-A3AA-098D084C057B}"/>
    <cellStyle name="20% - Accent1 2 4 2 2 3" xfId="23944" xr:uid="{40DECFF3-1AB0-49E2-8AEC-67F8161EF65D}"/>
    <cellStyle name="20% - Accent1 2 4 2 3" xfId="11289" xr:uid="{984AD9ED-0D03-423D-86FA-46A324C0CDBB}"/>
    <cellStyle name="20% - Accent1 2 4 2 4" xfId="19727" xr:uid="{1442AD86-7441-4170-AC8A-96D9D2A0332A}"/>
    <cellStyle name="20% - Accent1 2 4 3" xfId="4920" xr:uid="{00000000-0005-0000-0000-000042000000}"/>
    <cellStyle name="20% - Accent1 2 4 3 2" xfId="13362" xr:uid="{33455B1A-FD40-46E9-B1E0-13C315E13D5B}"/>
    <cellStyle name="20% - Accent1 2 4 3 3" xfId="21799" xr:uid="{AFAB6B97-9A47-40F9-942F-7AC7EA1BEE3A}"/>
    <cellStyle name="20% - Accent1 2 4 4" xfId="9144" xr:uid="{94D5376F-67B1-4678-BFFF-96E126A63FCA}"/>
    <cellStyle name="20% - Accent1 2 4 5" xfId="17582" xr:uid="{D99B7360-7BBC-453E-B71B-9573510B2D30}"/>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AFE8E5BC-F765-4147-BB8D-DAD27DEB58C0}"/>
    <cellStyle name="20% - Accent1 2 5 2 2 3" xfId="24357" xr:uid="{C2F60FFB-A86A-4711-BDD3-53427A3A9116}"/>
    <cellStyle name="20% - Accent1 2 5 2 3" xfId="11702" xr:uid="{4253586A-30A8-454E-9BAC-6074939925A4}"/>
    <cellStyle name="20% - Accent1 2 5 2 4" xfId="20140" xr:uid="{1AB96017-87E1-48AD-B79A-4E07897C1EEA}"/>
    <cellStyle name="20% - Accent1 2 5 3" xfId="5333" xr:uid="{00000000-0005-0000-0000-000046000000}"/>
    <cellStyle name="20% - Accent1 2 5 3 2" xfId="13775" xr:uid="{8DBC7A21-15ED-486C-ACFA-3BEAD1D39B47}"/>
    <cellStyle name="20% - Accent1 2 5 3 3" xfId="22212" xr:uid="{413F195E-BB27-488B-BE0F-53495DE4E6D8}"/>
    <cellStyle name="20% - Accent1 2 5 4" xfId="9557" xr:uid="{18DB8AEA-D0C8-4815-82D7-79ED0442D630}"/>
    <cellStyle name="20% - Accent1 2 5 5" xfId="17995" xr:uid="{8B6FDBC6-87C7-423B-B066-6BEC470A39DB}"/>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D15E982E-5D8C-468A-B2CB-48055E058595}"/>
    <cellStyle name="20% - Accent1 2 6 2 2 3" xfId="24770" xr:uid="{05CDC7E0-6911-4C65-B061-98F01F7183FB}"/>
    <cellStyle name="20% - Accent1 2 6 2 3" xfId="12115" xr:uid="{C8BA1348-86A4-4676-9076-3EAD2282BE99}"/>
    <cellStyle name="20% - Accent1 2 6 2 4" xfId="20553" xr:uid="{7B36A5B7-3281-4D1D-8CD8-3E3215D2BF64}"/>
    <cellStyle name="20% - Accent1 2 6 3" xfId="5746" xr:uid="{00000000-0005-0000-0000-00004A000000}"/>
    <cellStyle name="20% - Accent1 2 6 3 2" xfId="14188" xr:uid="{75A73398-0FBB-47DA-9AED-A22B842D3006}"/>
    <cellStyle name="20% - Accent1 2 6 3 3" xfId="22625" xr:uid="{3F0D2B17-DD31-407A-92F9-B716E35DA351}"/>
    <cellStyle name="20% - Accent1 2 6 4" xfId="9970" xr:uid="{64F80D9D-B9DC-4D91-A199-9AD2D4217CB5}"/>
    <cellStyle name="20% - Accent1 2 6 5" xfId="18408" xr:uid="{CB940411-63CE-4DEC-A1AA-B12D385FFAAB}"/>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3A2716E7-927C-4913-8042-BFFEA1082764}"/>
    <cellStyle name="20% - Accent1 2 7 2 2 3" xfId="25183" xr:uid="{5670E070-586B-43A5-9379-706DCBC9CDBA}"/>
    <cellStyle name="20% - Accent1 2 7 2 3" xfId="12528" xr:uid="{1B947E4C-2937-4642-AA28-A151760CF649}"/>
    <cellStyle name="20% - Accent1 2 7 2 4" xfId="20966" xr:uid="{A4403364-2A08-4CF6-B3A9-E8553AD0AECA}"/>
    <cellStyle name="20% - Accent1 2 7 3" xfId="6159" xr:uid="{00000000-0005-0000-0000-00004E000000}"/>
    <cellStyle name="20% - Accent1 2 7 3 2" xfId="14601" xr:uid="{99FA4B29-E6DB-468B-AE6B-FD76FC80D352}"/>
    <cellStyle name="20% - Accent1 2 7 3 3" xfId="23038" xr:uid="{A303F055-3DA0-4EA2-A3E5-0700F8AFC9D1}"/>
    <cellStyle name="20% - Accent1 2 7 4" xfId="10383" xr:uid="{7CE3B2D2-BC76-411A-812B-DE6848E19145}"/>
    <cellStyle name="20% - Accent1 2 7 5" xfId="18821" xr:uid="{46DE4CE1-C167-4CD4-9832-0133C845C280}"/>
    <cellStyle name="20% - Accent1 2 8" xfId="2265" xr:uid="{00000000-0005-0000-0000-00004F000000}"/>
    <cellStyle name="20% - Accent1 2 8 2" xfId="6572" xr:uid="{00000000-0005-0000-0000-000050000000}"/>
    <cellStyle name="20% - Accent1 2 8 2 2" xfId="15014" xr:uid="{8E339DA0-6792-4474-BB32-AE14C7245121}"/>
    <cellStyle name="20% - Accent1 2 8 2 3" xfId="23451" xr:uid="{EF4E3EC6-5895-42B3-AD29-9610EB38BC35}"/>
    <cellStyle name="20% - Accent1 2 8 3" xfId="10796" xr:uid="{DDCAFE25-9B79-41AA-976A-FAC60BFC1C6E}"/>
    <cellStyle name="20% - Accent1 2 8 4" xfId="19234" xr:uid="{0E3F0041-D448-41D8-A186-526858DC024D}"/>
    <cellStyle name="20% - Accent1 2 9" xfId="4506" xr:uid="{00000000-0005-0000-0000-000051000000}"/>
    <cellStyle name="20% - Accent1 2 9 2" xfId="12948" xr:uid="{5C9742B7-25AF-4A82-982B-3C21931DDC62}"/>
    <cellStyle name="20% - Accent1 2 9 3" xfId="21385" xr:uid="{29F5641C-F98A-4EB6-8BC9-F97B3268D288}"/>
    <cellStyle name="20% - Accent1 3" xfId="6" xr:uid="{00000000-0005-0000-0000-000052000000}"/>
    <cellStyle name="20% - Accent1 3 10" xfId="17172" xr:uid="{B673DC80-B176-4FC2-99C8-AA7D9B27A3F3}"/>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E5416113-79BA-4C79-BA97-6CF1F266F749}"/>
    <cellStyle name="20% - Accent1 3 2 2 2 2 3" xfId="23949" xr:uid="{085046CD-31AD-4DA7-B1CC-0A6BE99CD44C}"/>
    <cellStyle name="20% - Accent1 3 2 2 2 3" xfId="11294" xr:uid="{866EBD97-F603-41AC-A0F2-675694E009DB}"/>
    <cellStyle name="20% - Accent1 3 2 2 2 4" xfId="19732" xr:uid="{1E87C3E8-F720-4359-B32F-B70D825BF5B3}"/>
    <cellStyle name="20% - Accent1 3 2 2 3" xfId="4925" xr:uid="{00000000-0005-0000-0000-000057000000}"/>
    <cellStyle name="20% - Accent1 3 2 2 3 2" xfId="13367" xr:uid="{5D148F6C-6377-42CC-B490-D1193911D281}"/>
    <cellStyle name="20% - Accent1 3 2 2 3 3" xfId="21804" xr:uid="{6792E31C-4A3A-49E1-B866-E4B5D801D826}"/>
    <cellStyle name="20% - Accent1 3 2 2 4" xfId="9149" xr:uid="{B5A047DF-A19A-4E84-B4E9-61488D4FC8C9}"/>
    <cellStyle name="20% - Accent1 3 2 2 5" xfId="17587" xr:uid="{4EAB5877-4BA0-4982-8D78-B79FAFCEE490}"/>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2C31FE73-4C43-4F96-B3CB-6EE34FA4D2EC}"/>
    <cellStyle name="20% - Accent1 3 2 3 2 2 3" xfId="24362" xr:uid="{D79DFD0D-6A1A-4772-82B1-41C6B6AFB3B4}"/>
    <cellStyle name="20% - Accent1 3 2 3 2 3" xfId="11707" xr:uid="{A6E85CCE-4CE9-4842-A9BF-4FEE26711AFD}"/>
    <cellStyle name="20% - Accent1 3 2 3 2 4" xfId="20145" xr:uid="{A15EE7DC-3FD0-493F-8950-4F1A97315B3A}"/>
    <cellStyle name="20% - Accent1 3 2 3 3" xfId="5338" xr:uid="{00000000-0005-0000-0000-00005B000000}"/>
    <cellStyle name="20% - Accent1 3 2 3 3 2" xfId="13780" xr:uid="{84C64CE5-FC60-4A82-99FF-B834D7A93687}"/>
    <cellStyle name="20% - Accent1 3 2 3 3 3" xfId="22217" xr:uid="{7D0CE6A8-83BC-43C9-A25B-A34B5DDB1562}"/>
    <cellStyle name="20% - Accent1 3 2 3 4" xfId="9562" xr:uid="{35CC3C7C-1638-413E-8FF2-7104014769B5}"/>
    <cellStyle name="20% - Accent1 3 2 3 5" xfId="18000" xr:uid="{EAE1F1B6-1163-47FB-A1B5-9592EB35DEED}"/>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56CA3B03-260D-47A9-BEC0-D51A11CB94C9}"/>
    <cellStyle name="20% - Accent1 3 2 4 2 2 3" xfId="24775" xr:uid="{73FC1F9A-15C5-4ED7-BDEC-E2740F650AFE}"/>
    <cellStyle name="20% - Accent1 3 2 4 2 3" xfId="12120" xr:uid="{C683FB57-874F-4B95-9344-76090D9799B8}"/>
    <cellStyle name="20% - Accent1 3 2 4 2 4" xfId="20558" xr:uid="{F527DC90-AF49-4401-BAA1-08579907F930}"/>
    <cellStyle name="20% - Accent1 3 2 4 3" xfId="5751" xr:uid="{00000000-0005-0000-0000-00005F000000}"/>
    <cellStyle name="20% - Accent1 3 2 4 3 2" xfId="14193" xr:uid="{39E32C27-7C8D-468D-BBFF-7F9085237ED5}"/>
    <cellStyle name="20% - Accent1 3 2 4 3 3" xfId="22630" xr:uid="{2ED8A05B-E401-4AD9-BED1-A4CC496E5F99}"/>
    <cellStyle name="20% - Accent1 3 2 4 4" xfId="9975" xr:uid="{A88F2677-91F8-4FCC-BE9D-ACCD9B765DF3}"/>
    <cellStyle name="20% - Accent1 3 2 4 5" xfId="18413" xr:uid="{60C3C65D-3886-4713-9095-51855EA138E7}"/>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A6DE11C6-742E-47CF-BF63-9F05A14BB8AE}"/>
    <cellStyle name="20% - Accent1 3 2 5 2 2 3" xfId="25188" xr:uid="{4985E40D-FE92-4AD1-92E6-ED7A649EBB5F}"/>
    <cellStyle name="20% - Accent1 3 2 5 2 3" xfId="12533" xr:uid="{353FD249-F9D5-42DA-BE1A-AB31B4D4EFBF}"/>
    <cellStyle name="20% - Accent1 3 2 5 2 4" xfId="20971" xr:uid="{CD290493-73D8-4472-AB5B-E2EA6A4C4F06}"/>
    <cellStyle name="20% - Accent1 3 2 5 3" xfId="6164" xr:uid="{00000000-0005-0000-0000-000063000000}"/>
    <cellStyle name="20% - Accent1 3 2 5 3 2" xfId="14606" xr:uid="{4820CA3C-BD2F-49B6-9529-6D1040C8695F}"/>
    <cellStyle name="20% - Accent1 3 2 5 3 3" xfId="23043" xr:uid="{C7537867-0504-48B7-A0D3-387BF8B041D3}"/>
    <cellStyle name="20% - Accent1 3 2 5 4" xfId="10388" xr:uid="{6EF1DE6A-4471-44E7-AD93-60500F605413}"/>
    <cellStyle name="20% - Accent1 3 2 5 5" xfId="18826" xr:uid="{D374BED2-0B5F-43EF-A3C8-8EB315028183}"/>
    <cellStyle name="20% - Accent1 3 2 6" xfId="2270" xr:uid="{00000000-0005-0000-0000-000064000000}"/>
    <cellStyle name="20% - Accent1 3 2 6 2" xfId="6577" xr:uid="{00000000-0005-0000-0000-000065000000}"/>
    <cellStyle name="20% - Accent1 3 2 6 2 2" xfId="15019" xr:uid="{0A6F5C2F-6432-44C0-80C3-8B4823806240}"/>
    <cellStyle name="20% - Accent1 3 2 6 2 3" xfId="23456" xr:uid="{598CC759-6396-4141-955F-0D9311202C58}"/>
    <cellStyle name="20% - Accent1 3 2 6 3" xfId="10801" xr:uid="{155E0373-46B6-4843-BC61-DA275491B2F1}"/>
    <cellStyle name="20% - Accent1 3 2 6 4" xfId="19239" xr:uid="{D00B3B69-2EFF-4B37-B40F-8D3AF4B6E6DE}"/>
    <cellStyle name="20% - Accent1 3 2 7" xfId="4511" xr:uid="{00000000-0005-0000-0000-000066000000}"/>
    <cellStyle name="20% - Accent1 3 2 7 2" xfId="12953" xr:uid="{787C92D5-03DD-4029-B2FB-351614145E99}"/>
    <cellStyle name="20% - Accent1 3 2 7 3" xfId="21390" xr:uid="{8BF87BBC-705D-49D8-8ED3-59C6A3D023CF}"/>
    <cellStyle name="20% - Accent1 3 2 8" xfId="8735" xr:uid="{3E66F11A-17B2-448E-9E17-98E7DC0C1603}"/>
    <cellStyle name="20% - Accent1 3 2 9" xfId="17173" xr:uid="{31A8F895-18AA-4710-9A41-0C494CAB84DB}"/>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B7DF79E1-4690-462D-893A-ACCF98E4191D}"/>
    <cellStyle name="20% - Accent1 3 3 2 2 3" xfId="23948" xr:uid="{C11FB14C-F81A-4998-AFCB-9B28F61907D4}"/>
    <cellStyle name="20% - Accent1 3 3 2 3" xfId="11293" xr:uid="{3EF4A8C4-0E32-4621-A70A-F5596DC8F639}"/>
    <cellStyle name="20% - Accent1 3 3 2 4" xfId="19731" xr:uid="{921DAAD1-AFF9-4DCF-883A-4A5C802BF3C6}"/>
    <cellStyle name="20% - Accent1 3 3 3" xfId="4924" xr:uid="{00000000-0005-0000-0000-00006A000000}"/>
    <cellStyle name="20% - Accent1 3 3 3 2" xfId="13366" xr:uid="{CFC4FC84-F85A-4296-BE6E-B9344C26EDB0}"/>
    <cellStyle name="20% - Accent1 3 3 3 3" xfId="21803" xr:uid="{C6064FD6-40D7-4298-B99F-CF19B12A4D86}"/>
    <cellStyle name="20% - Accent1 3 3 4" xfId="9148" xr:uid="{A90E95F2-D35E-4336-B4C8-0364651345BD}"/>
    <cellStyle name="20% - Accent1 3 3 5" xfId="17586" xr:uid="{3FF7E1E7-029C-4B48-8280-28E880564278}"/>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4C9DB3A5-1D35-422E-A7B9-20985A6D8967}"/>
    <cellStyle name="20% - Accent1 3 4 2 2 3" xfId="24361" xr:uid="{BA8E01E0-2B69-4355-8DE7-A7A4F3D8B6D1}"/>
    <cellStyle name="20% - Accent1 3 4 2 3" xfId="11706" xr:uid="{721A7221-A6F6-44B2-B9DF-12C96000FFA5}"/>
    <cellStyle name="20% - Accent1 3 4 2 4" xfId="20144" xr:uid="{F160CE6C-A613-4837-A7A6-4E063A8B8340}"/>
    <cellStyle name="20% - Accent1 3 4 3" xfId="5337" xr:uid="{00000000-0005-0000-0000-00006E000000}"/>
    <cellStyle name="20% - Accent1 3 4 3 2" xfId="13779" xr:uid="{FD239501-9B7E-4373-9EE2-B678F70F5740}"/>
    <cellStyle name="20% - Accent1 3 4 3 3" xfId="22216" xr:uid="{DE816FD2-39D4-41EF-9292-65F2A977D149}"/>
    <cellStyle name="20% - Accent1 3 4 4" xfId="9561" xr:uid="{64F72D6B-6AD6-4753-96D6-B5160BEDE52D}"/>
    <cellStyle name="20% - Accent1 3 4 5" xfId="17999" xr:uid="{3488CE9D-51AF-484C-8705-65234B44E7D1}"/>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99B892B6-BAE5-46C8-AAEF-55C03366CEB4}"/>
    <cellStyle name="20% - Accent1 3 5 2 2 3" xfId="24774" xr:uid="{DDF192E0-B9E3-4926-9E32-F03B13F94D35}"/>
    <cellStyle name="20% - Accent1 3 5 2 3" xfId="12119" xr:uid="{D73EC9F1-B9EB-45D0-9AD5-112BA7183276}"/>
    <cellStyle name="20% - Accent1 3 5 2 4" xfId="20557" xr:uid="{D1E32FE5-0515-4245-8E28-B1FA16BA51B9}"/>
    <cellStyle name="20% - Accent1 3 5 3" xfId="5750" xr:uid="{00000000-0005-0000-0000-000072000000}"/>
    <cellStyle name="20% - Accent1 3 5 3 2" xfId="14192" xr:uid="{77E14609-FFA5-4A87-99D4-008CC47BB08B}"/>
    <cellStyle name="20% - Accent1 3 5 3 3" xfId="22629" xr:uid="{4A73B88B-396D-4E93-B9B2-D96294715769}"/>
    <cellStyle name="20% - Accent1 3 5 4" xfId="9974" xr:uid="{37EAB7EB-C51B-465F-B6D0-0C93E30F6E30}"/>
    <cellStyle name="20% - Accent1 3 5 5" xfId="18412" xr:uid="{06E4394F-8E1B-4325-BABE-9E10147110D7}"/>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B458C7B9-D873-4134-928E-6F01F079236B}"/>
    <cellStyle name="20% - Accent1 3 6 2 2 3" xfId="25187" xr:uid="{8886E16B-9157-42AF-946B-9EEB452911B2}"/>
    <cellStyle name="20% - Accent1 3 6 2 3" xfId="12532" xr:uid="{7ABC15A1-BF62-4FE0-AB03-1BE8E8B12C23}"/>
    <cellStyle name="20% - Accent1 3 6 2 4" xfId="20970" xr:uid="{5E62DD94-2BD7-43A2-971F-A768B684352D}"/>
    <cellStyle name="20% - Accent1 3 6 3" xfId="6163" xr:uid="{00000000-0005-0000-0000-000076000000}"/>
    <cellStyle name="20% - Accent1 3 6 3 2" xfId="14605" xr:uid="{DE409EBB-E8EC-459E-8BBB-8B3B15E97BBF}"/>
    <cellStyle name="20% - Accent1 3 6 3 3" xfId="23042" xr:uid="{C4B35D5D-5824-4F20-9BD5-3008C6FA0FE3}"/>
    <cellStyle name="20% - Accent1 3 6 4" xfId="10387" xr:uid="{19B37638-23C1-4B89-80B2-BF86438AACDA}"/>
    <cellStyle name="20% - Accent1 3 6 5" xfId="18825" xr:uid="{D6B1AD6B-5D71-4F67-9FBD-DC795CB830BF}"/>
    <cellStyle name="20% - Accent1 3 7" xfId="2269" xr:uid="{00000000-0005-0000-0000-000077000000}"/>
    <cellStyle name="20% - Accent1 3 7 2" xfId="6576" xr:uid="{00000000-0005-0000-0000-000078000000}"/>
    <cellStyle name="20% - Accent1 3 7 2 2" xfId="15018" xr:uid="{0FDF5200-61D7-4B00-9FF4-FA3A1B376412}"/>
    <cellStyle name="20% - Accent1 3 7 2 3" xfId="23455" xr:uid="{346D0DE6-B0C6-4F27-A63F-02FB85FDFF29}"/>
    <cellStyle name="20% - Accent1 3 7 3" xfId="10800" xr:uid="{9CFB4A3B-B4B1-4E32-9C63-50CBAC01C7DF}"/>
    <cellStyle name="20% - Accent1 3 7 4" xfId="19238" xr:uid="{BB08DB64-3AD7-4842-BB00-79CF14853254}"/>
    <cellStyle name="20% - Accent1 3 8" xfId="4510" xr:uid="{00000000-0005-0000-0000-000079000000}"/>
    <cellStyle name="20% - Accent1 3 8 2" xfId="12952" xr:uid="{17EBCC3C-5DAF-40CE-8353-CEACE1B161D6}"/>
    <cellStyle name="20% - Accent1 3 8 3" xfId="21389" xr:uid="{DD45F145-5CB2-4232-960B-EB3D3CE0E117}"/>
    <cellStyle name="20% - Accent1 3 9" xfId="8734" xr:uid="{CF48FFA1-F889-4C33-9F00-988AFE68FA7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3FD177AC-63A3-4910-9EDC-DE205C2653AD}"/>
    <cellStyle name="20% - Accent1 4 2 2 2 3" xfId="23950" xr:uid="{83BFF06A-C680-4F34-BF59-07292420050F}"/>
    <cellStyle name="20% - Accent1 4 2 2 3" xfId="11295" xr:uid="{5AA1E314-1D5C-4D40-8F42-71972E32DE2D}"/>
    <cellStyle name="20% - Accent1 4 2 2 4" xfId="19733" xr:uid="{702BD229-391D-4723-ACB7-D245AD6F3511}"/>
    <cellStyle name="20% - Accent1 4 2 3" xfId="4926" xr:uid="{00000000-0005-0000-0000-00007E000000}"/>
    <cellStyle name="20% - Accent1 4 2 3 2" xfId="13368" xr:uid="{45AB22F9-CD99-4827-8361-A03DD5B4E267}"/>
    <cellStyle name="20% - Accent1 4 2 3 3" xfId="21805" xr:uid="{5592AFE3-65E0-4064-ABAA-70FE6C0F3615}"/>
    <cellStyle name="20% - Accent1 4 2 4" xfId="9150" xr:uid="{C641AEFA-09F6-4BA1-9C73-F3887BE978F1}"/>
    <cellStyle name="20% - Accent1 4 2 5" xfId="17588" xr:uid="{400D1757-2731-4795-8D23-AD16FBEC85C7}"/>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59A43C33-17BE-4D43-9C7B-98B822B5E55C}"/>
    <cellStyle name="20% - Accent1 4 3 2 2 3" xfId="24363" xr:uid="{551798D2-83FE-41D5-8E87-4C82524C0155}"/>
    <cellStyle name="20% - Accent1 4 3 2 3" xfId="11708" xr:uid="{B666DBEA-7254-4347-B9D1-1BAFF4A0EF77}"/>
    <cellStyle name="20% - Accent1 4 3 2 4" xfId="20146" xr:uid="{3C14A21F-F054-4CE7-961C-A0EF14933394}"/>
    <cellStyle name="20% - Accent1 4 3 3" xfId="5339" xr:uid="{00000000-0005-0000-0000-000082000000}"/>
    <cellStyle name="20% - Accent1 4 3 3 2" xfId="13781" xr:uid="{0C77C456-CDE1-4098-9D34-5D485DC7C2F3}"/>
    <cellStyle name="20% - Accent1 4 3 3 3" xfId="22218" xr:uid="{8A00B6FA-F1F2-40C2-B370-67A2957BB4B6}"/>
    <cellStyle name="20% - Accent1 4 3 4" xfId="9563" xr:uid="{B01FA58E-E4AA-4AC0-9588-34150AD89DA4}"/>
    <cellStyle name="20% - Accent1 4 3 5" xfId="18001" xr:uid="{8F1577E6-A275-4C6E-A5CF-EBBA021138DD}"/>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C290FA10-3691-4817-B840-C58C6656193C}"/>
    <cellStyle name="20% - Accent1 4 4 2 2 3" xfId="24776" xr:uid="{44FF7FCA-6994-41FF-97A6-DE1CAD2623BA}"/>
    <cellStyle name="20% - Accent1 4 4 2 3" xfId="12121" xr:uid="{5CFFA771-D453-4A31-905A-1EB11EBC4C13}"/>
    <cellStyle name="20% - Accent1 4 4 2 4" xfId="20559" xr:uid="{BF826C17-C6F7-4BE7-978F-D0685AE2DBFC}"/>
    <cellStyle name="20% - Accent1 4 4 3" xfId="5752" xr:uid="{00000000-0005-0000-0000-000086000000}"/>
    <cellStyle name="20% - Accent1 4 4 3 2" xfId="14194" xr:uid="{4F923707-12A4-4408-948A-000F96F219C3}"/>
    <cellStyle name="20% - Accent1 4 4 3 3" xfId="22631" xr:uid="{D42508B3-31B2-4BAD-BD70-933C00EDAC3B}"/>
    <cellStyle name="20% - Accent1 4 4 4" xfId="9976" xr:uid="{F4289FA7-8900-4DE0-826F-19E87C4EE6C0}"/>
    <cellStyle name="20% - Accent1 4 4 5" xfId="18414" xr:uid="{6231B5C2-C181-42DD-9149-16EC08BDF5FD}"/>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2F55A79D-71C3-4ED7-80CE-7A5111550D78}"/>
    <cellStyle name="20% - Accent1 4 5 2 2 3" xfId="25189" xr:uid="{C726878E-1B5D-4A7C-BC02-3F815BE8B45E}"/>
    <cellStyle name="20% - Accent1 4 5 2 3" xfId="12534" xr:uid="{B0B34033-308A-4930-8C61-90CFF8425D4E}"/>
    <cellStyle name="20% - Accent1 4 5 2 4" xfId="20972" xr:uid="{7DDD3B35-A3CD-463A-9578-091CF31A5401}"/>
    <cellStyle name="20% - Accent1 4 5 3" xfId="6165" xr:uid="{00000000-0005-0000-0000-00008A000000}"/>
    <cellStyle name="20% - Accent1 4 5 3 2" xfId="14607" xr:uid="{8904565C-2D8F-4D2C-A1E9-7430B6D2F96D}"/>
    <cellStyle name="20% - Accent1 4 5 3 3" xfId="23044" xr:uid="{F231B2D4-FBB5-444E-AB3B-ADD06E8AD41A}"/>
    <cellStyle name="20% - Accent1 4 5 4" xfId="10389" xr:uid="{A20F8732-BDE2-4102-BFD7-0A4023B3B4F3}"/>
    <cellStyle name="20% - Accent1 4 5 5" xfId="18827" xr:uid="{F43CB3B5-D298-4D20-9607-3918A90F5D85}"/>
    <cellStyle name="20% - Accent1 4 6" xfId="2271" xr:uid="{00000000-0005-0000-0000-00008B000000}"/>
    <cellStyle name="20% - Accent1 4 6 2" xfId="6578" xr:uid="{00000000-0005-0000-0000-00008C000000}"/>
    <cellStyle name="20% - Accent1 4 6 2 2" xfId="15020" xr:uid="{D4531329-FB39-49E3-B892-400014E2156D}"/>
    <cellStyle name="20% - Accent1 4 6 2 3" xfId="23457" xr:uid="{D13185C3-D9E4-47E7-A1C5-00296E3A2A05}"/>
    <cellStyle name="20% - Accent1 4 6 3" xfId="10802" xr:uid="{AD2F0172-8F60-4489-8897-776592C9F1A3}"/>
    <cellStyle name="20% - Accent1 4 6 4" xfId="19240" xr:uid="{5F23CD53-C76D-4508-A2EC-747DBA2AEEDB}"/>
    <cellStyle name="20% - Accent1 4 7" xfId="4512" xr:uid="{00000000-0005-0000-0000-00008D000000}"/>
    <cellStyle name="20% - Accent1 4 7 2" xfId="12954" xr:uid="{CFDD6E62-98D2-44E8-A7A9-9A4F08BF4DC0}"/>
    <cellStyle name="20% - Accent1 4 7 3" xfId="21391" xr:uid="{13326EC2-7E03-4874-946E-8110B98AB59C}"/>
    <cellStyle name="20% - Accent1 4 8" xfId="8736" xr:uid="{8A0B110A-FF80-4F1A-863D-75BDF7233DD2}"/>
    <cellStyle name="20% - Accent1 4 9" xfId="17174" xr:uid="{60EC2400-4F72-434F-958C-446212D06159}"/>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5399C915-6B92-4129-BE4F-D5A7163EA413}"/>
    <cellStyle name="20% - Accent1 5 2 2 3" xfId="23943" xr:uid="{D839714A-8B6B-4794-A9F7-312337D9BC50}"/>
    <cellStyle name="20% - Accent1 5 2 3" xfId="11288" xr:uid="{4E188D1A-014A-43DB-9EA5-863B4D199080}"/>
    <cellStyle name="20% - Accent1 5 2 4" xfId="19726" xr:uid="{7D80053A-3D0A-41BB-ADC3-86EE59CBF5CC}"/>
    <cellStyle name="20% - Accent1 5 3" xfId="4919" xr:uid="{00000000-0005-0000-0000-000091000000}"/>
    <cellStyle name="20% - Accent1 5 3 2" xfId="13361" xr:uid="{AB7601A4-12AC-4600-B56C-668A3BC6E534}"/>
    <cellStyle name="20% - Accent1 5 3 3" xfId="21798" xr:uid="{647AEB54-69E5-45FC-8811-88387238AC47}"/>
    <cellStyle name="20% - Accent1 5 4" xfId="9143" xr:uid="{A24BA2E6-19AF-4679-91D5-41F68A0C1434}"/>
    <cellStyle name="20% - Accent1 5 5" xfId="17581" xr:uid="{C4A18479-0641-4DC0-94FF-AB14DB37540F}"/>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EA017649-288B-4F9F-90ED-AE6A6C8154C4}"/>
    <cellStyle name="20% - Accent1 6 2 2 3" xfId="24356" xr:uid="{907D5314-9C8A-4AFF-AA5E-61C66FD6417E}"/>
    <cellStyle name="20% - Accent1 6 2 3" xfId="11701" xr:uid="{FCFE67D9-E19D-4295-B3B4-18992927A1A1}"/>
    <cellStyle name="20% - Accent1 6 2 4" xfId="20139" xr:uid="{0C151D40-4A15-41FB-88AE-CB9A64A03C58}"/>
    <cellStyle name="20% - Accent1 6 3" xfId="5332" xr:uid="{00000000-0005-0000-0000-000095000000}"/>
    <cellStyle name="20% - Accent1 6 3 2" xfId="13774" xr:uid="{1BB8AB6A-C4D0-45FA-B788-33A772A10CE2}"/>
    <cellStyle name="20% - Accent1 6 3 3" xfId="22211" xr:uid="{B569C07D-1F6F-4C42-B02F-99CDAA5AA002}"/>
    <cellStyle name="20% - Accent1 6 4" xfId="9556" xr:uid="{C52C3008-A010-40A9-A968-6ECBC079333A}"/>
    <cellStyle name="20% - Accent1 6 5" xfId="17994" xr:uid="{0281F821-9EBA-49C2-BBDF-BD6038C7A6F7}"/>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342D8F69-5703-42EE-B1A4-DE1B2DE1E71D}"/>
    <cellStyle name="20% - Accent1 7 2 2 3" xfId="24769" xr:uid="{D44BD39E-6ACD-44D8-99BF-9E7DD2723E38}"/>
    <cellStyle name="20% - Accent1 7 2 3" xfId="12114" xr:uid="{37815052-77D7-4F4F-A09F-2E4C81A3DD6E}"/>
    <cellStyle name="20% - Accent1 7 2 4" xfId="20552" xr:uid="{59D70DBA-1B4C-4286-9CDA-0B2C23C78A99}"/>
    <cellStyle name="20% - Accent1 7 3" xfId="5745" xr:uid="{00000000-0005-0000-0000-000099000000}"/>
    <cellStyle name="20% - Accent1 7 3 2" xfId="14187" xr:uid="{DF7CCD92-7048-4663-9B61-857ABCF24491}"/>
    <cellStyle name="20% - Accent1 7 3 3" xfId="22624" xr:uid="{29F17EB5-8C45-4380-B228-368AEACBCADB}"/>
    <cellStyle name="20% - Accent1 7 4" xfId="9969" xr:uid="{796B5B7B-7DEE-489F-BEA9-7466DFC61698}"/>
    <cellStyle name="20% - Accent1 7 5" xfId="18407" xr:uid="{936F12A3-4E27-4C12-ABEF-0B2E694390BE}"/>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1202C4F8-CC98-4CF9-8D6A-9685C03B843F}"/>
    <cellStyle name="20% - Accent1 8 2 2 3" xfId="25182" xr:uid="{89E7279D-36FF-4095-8AFE-305ADBAA7861}"/>
    <cellStyle name="20% - Accent1 8 2 3" xfId="12527" xr:uid="{94B8BD6C-6531-49CC-86A9-D76C09D22DC0}"/>
    <cellStyle name="20% - Accent1 8 2 4" xfId="20965" xr:uid="{7A814813-4BB1-490A-BCA1-53EA04578532}"/>
    <cellStyle name="20% - Accent1 8 3" xfId="6158" xr:uid="{00000000-0005-0000-0000-00009D000000}"/>
    <cellStyle name="20% - Accent1 8 3 2" xfId="14600" xr:uid="{EB9F1766-1567-4FB0-AE1E-A5B59EB16737}"/>
    <cellStyle name="20% - Accent1 8 3 3" xfId="23037" xr:uid="{8788D71A-1B0C-4ABD-A9F6-010864071DFF}"/>
    <cellStyle name="20% - Accent1 8 4" xfId="10382" xr:uid="{D4F467BE-95C9-4AAA-9CA5-727BE0103222}"/>
    <cellStyle name="20% - Accent1 8 5" xfId="18820" xr:uid="{F5E3AE23-A8B0-4D19-A6C1-876476F47B04}"/>
    <cellStyle name="20% - Accent1 9" xfId="2264" xr:uid="{00000000-0005-0000-0000-00009E000000}"/>
    <cellStyle name="20% - Accent1 9 2" xfId="6571" xr:uid="{00000000-0005-0000-0000-00009F000000}"/>
    <cellStyle name="20% - Accent1 9 2 2" xfId="15013" xr:uid="{6BA3E4CF-BEC0-4C0D-9958-D85ABD8B30CA}"/>
    <cellStyle name="20% - Accent1 9 2 3" xfId="23450" xr:uid="{2225E7F8-9CFB-45E1-96CB-5A3FA2EA4318}"/>
    <cellStyle name="20% - Accent1 9 3" xfId="10795" xr:uid="{9D480273-82CC-489D-AC45-D97ED665EE89}"/>
    <cellStyle name="20% - Accent1 9 4" xfId="19233" xr:uid="{0D7BE2B0-0503-4FB7-BE14-17088496CB49}"/>
    <cellStyle name="20% - Accent2" xfId="9" builtinId="34" customBuiltin="1"/>
    <cellStyle name="20% - Accent2 10" xfId="4513" xr:uid="{00000000-0005-0000-0000-0000A1000000}"/>
    <cellStyle name="20% - Accent2 10 2" xfId="12955" xr:uid="{22A1C65E-DC81-4FCA-BE98-03357007CFF2}"/>
    <cellStyle name="20% - Accent2 10 3" xfId="21392" xr:uid="{701A73DE-B8A5-4E7D-A47D-E6B902C4C11B}"/>
    <cellStyle name="20% - Accent2 11" xfId="8737" xr:uid="{C4025703-0FE8-4A69-B261-3A14160966E2}"/>
    <cellStyle name="20% - Accent2 12" xfId="17175" xr:uid="{8565E600-8521-4DAE-924E-2411257E1B36}"/>
    <cellStyle name="20% - Accent2 2" xfId="10" xr:uid="{00000000-0005-0000-0000-0000A2000000}"/>
    <cellStyle name="20% - Accent2 2 10" xfId="8738" xr:uid="{C2EFC690-FCD1-4FB6-875A-693BCC5CD28A}"/>
    <cellStyle name="20% - Accent2 2 11" xfId="17176" xr:uid="{F4F0878E-5CD0-4691-AADC-71DADA051101}"/>
    <cellStyle name="20% - Accent2 2 2" xfId="11" xr:uid="{00000000-0005-0000-0000-0000A3000000}"/>
    <cellStyle name="20% - Accent2 2 2 10" xfId="17177" xr:uid="{BC594900-9645-4CB7-B9FC-A3997F334E06}"/>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BD07BA96-BD08-4387-A94F-E16D62FA72D6}"/>
    <cellStyle name="20% - Accent2 2 2 2 2 2 2 3" xfId="23954" xr:uid="{02431DCC-907F-4FB0-989F-8AE4D9BBFEE0}"/>
    <cellStyle name="20% - Accent2 2 2 2 2 2 3" xfId="11299" xr:uid="{1F5EC418-D06E-41F9-9797-E25601FA0B2B}"/>
    <cellStyle name="20% - Accent2 2 2 2 2 2 4" xfId="19737" xr:uid="{8C4804F3-D003-4CBE-BEA0-D3737CC2D9D0}"/>
    <cellStyle name="20% - Accent2 2 2 2 2 3" xfId="4930" xr:uid="{00000000-0005-0000-0000-0000A8000000}"/>
    <cellStyle name="20% - Accent2 2 2 2 2 3 2" xfId="13372" xr:uid="{73ABFE1B-E75A-4AB2-A3E2-97CD1E4E253D}"/>
    <cellStyle name="20% - Accent2 2 2 2 2 3 3" xfId="21809" xr:uid="{28E1346A-209C-44CE-871E-B8E2AD4392C7}"/>
    <cellStyle name="20% - Accent2 2 2 2 2 4" xfId="9154" xr:uid="{434BBE13-4D1D-4B9F-852F-7B7EE99ED295}"/>
    <cellStyle name="20% - Accent2 2 2 2 2 5" xfId="17592" xr:uid="{6480EFEB-C731-454C-871D-DC95487FC73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4A978CE6-833A-4A89-8C80-DC6F4B1FB450}"/>
    <cellStyle name="20% - Accent2 2 2 2 3 2 2 3" xfId="24367" xr:uid="{E58A7732-F61B-4C96-B55D-D2A31FD7791E}"/>
    <cellStyle name="20% - Accent2 2 2 2 3 2 3" xfId="11712" xr:uid="{E70DF2BA-281E-426B-8D0F-9BED4C991B6A}"/>
    <cellStyle name="20% - Accent2 2 2 2 3 2 4" xfId="20150" xr:uid="{D425A8FA-3E2E-45AD-893D-BA133AE16BCA}"/>
    <cellStyle name="20% - Accent2 2 2 2 3 3" xfId="5343" xr:uid="{00000000-0005-0000-0000-0000AC000000}"/>
    <cellStyle name="20% - Accent2 2 2 2 3 3 2" xfId="13785" xr:uid="{BFAF3EB2-536F-4646-B233-0B3965D7EA18}"/>
    <cellStyle name="20% - Accent2 2 2 2 3 3 3" xfId="22222" xr:uid="{DD297732-25D2-4D3B-BC5C-477BCB0E9043}"/>
    <cellStyle name="20% - Accent2 2 2 2 3 4" xfId="9567" xr:uid="{FE2C37D5-0360-4446-9851-CA933903F69F}"/>
    <cellStyle name="20% - Accent2 2 2 2 3 5" xfId="18005" xr:uid="{02B10FD6-2000-4CD0-ADA4-BA17E1160153}"/>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808FD2DF-B96A-4BAD-BB48-E66A5F243AC6}"/>
    <cellStyle name="20% - Accent2 2 2 2 4 2 2 3" xfId="24780" xr:uid="{115A9EA7-C10D-4A83-AC01-071F53A8A643}"/>
    <cellStyle name="20% - Accent2 2 2 2 4 2 3" xfId="12125" xr:uid="{A53CD5F1-53C8-4C8D-8A1A-371028BA446C}"/>
    <cellStyle name="20% - Accent2 2 2 2 4 2 4" xfId="20563" xr:uid="{43ABC4E0-BE74-4331-B043-F5F67C633C07}"/>
    <cellStyle name="20% - Accent2 2 2 2 4 3" xfId="5756" xr:uid="{00000000-0005-0000-0000-0000B0000000}"/>
    <cellStyle name="20% - Accent2 2 2 2 4 3 2" xfId="14198" xr:uid="{409E729F-8203-4657-86D7-D4DCEE7881A5}"/>
    <cellStyle name="20% - Accent2 2 2 2 4 3 3" xfId="22635" xr:uid="{70DC9392-645D-478A-8145-EAE61E54D881}"/>
    <cellStyle name="20% - Accent2 2 2 2 4 4" xfId="9980" xr:uid="{4D0827AA-22B8-4BF1-82C5-24BC7D2AE343}"/>
    <cellStyle name="20% - Accent2 2 2 2 4 5" xfId="18418" xr:uid="{51642959-9087-4639-99F1-555062D8AFA6}"/>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7D1E7510-87F0-4D4C-9299-DD4EF2C53698}"/>
    <cellStyle name="20% - Accent2 2 2 2 5 2 2 3" xfId="25193" xr:uid="{9C33DD62-717D-4501-BBBB-5065DA62C166}"/>
    <cellStyle name="20% - Accent2 2 2 2 5 2 3" xfId="12538" xr:uid="{DDA48679-F3A3-4AF2-9ACE-8A4F4CE3B8CC}"/>
    <cellStyle name="20% - Accent2 2 2 2 5 2 4" xfId="20976" xr:uid="{931B70B7-8D03-411F-9BA3-06F3C24A420C}"/>
    <cellStyle name="20% - Accent2 2 2 2 5 3" xfId="6169" xr:uid="{00000000-0005-0000-0000-0000B4000000}"/>
    <cellStyle name="20% - Accent2 2 2 2 5 3 2" xfId="14611" xr:uid="{C1580F69-4078-435F-B141-C4EED35FF063}"/>
    <cellStyle name="20% - Accent2 2 2 2 5 3 3" xfId="23048" xr:uid="{55D662F4-EF72-41AE-9179-7F57DC48ED9C}"/>
    <cellStyle name="20% - Accent2 2 2 2 5 4" xfId="10393" xr:uid="{AB391276-0961-4297-B9B6-197D1D727549}"/>
    <cellStyle name="20% - Accent2 2 2 2 5 5" xfId="18831" xr:uid="{0A01E0F9-CEFC-41DD-9F26-FADF43268CB1}"/>
    <cellStyle name="20% - Accent2 2 2 2 6" xfId="2275" xr:uid="{00000000-0005-0000-0000-0000B5000000}"/>
    <cellStyle name="20% - Accent2 2 2 2 6 2" xfId="6582" xr:uid="{00000000-0005-0000-0000-0000B6000000}"/>
    <cellStyle name="20% - Accent2 2 2 2 6 2 2" xfId="15024" xr:uid="{DA76F8E5-9D05-4FE3-854E-7643C52983C6}"/>
    <cellStyle name="20% - Accent2 2 2 2 6 2 3" xfId="23461" xr:uid="{5551A4AE-87AB-4613-994A-9B83BE55535F}"/>
    <cellStyle name="20% - Accent2 2 2 2 6 3" xfId="10806" xr:uid="{D0A425FF-B6A8-405C-87D2-ABA090056F71}"/>
    <cellStyle name="20% - Accent2 2 2 2 6 4" xfId="19244" xr:uid="{6800C20B-FABA-4F39-B8B9-0E7BEAF40D25}"/>
    <cellStyle name="20% - Accent2 2 2 2 7" xfId="4516" xr:uid="{00000000-0005-0000-0000-0000B7000000}"/>
    <cellStyle name="20% - Accent2 2 2 2 7 2" xfId="12958" xr:uid="{8E0E161D-2D20-49F6-9A1E-5BF3E5847F34}"/>
    <cellStyle name="20% - Accent2 2 2 2 7 3" xfId="21395" xr:uid="{E1B9EF7D-6804-4220-8302-895491F4A99F}"/>
    <cellStyle name="20% - Accent2 2 2 2 8" xfId="8740" xr:uid="{8676DD0E-A55D-47F0-BF3C-3358A0474B62}"/>
    <cellStyle name="20% - Accent2 2 2 2 9" xfId="17178" xr:uid="{CF6A3855-E3A1-438B-A44A-9D51D1CD0E70}"/>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CD9B6BF6-75A1-421B-B3D9-10C05A446D22}"/>
    <cellStyle name="20% - Accent2 2 2 3 2 2 3" xfId="23953" xr:uid="{0A9FC30E-74B2-414F-B009-41A20102AFCC}"/>
    <cellStyle name="20% - Accent2 2 2 3 2 3" xfId="11298" xr:uid="{7A25B4E0-E299-470A-B922-9C72D53FB55B}"/>
    <cellStyle name="20% - Accent2 2 2 3 2 4" xfId="19736" xr:uid="{CA82E9F5-3055-448A-9C39-4EA3FC1EC729}"/>
    <cellStyle name="20% - Accent2 2 2 3 3" xfId="4929" xr:uid="{00000000-0005-0000-0000-0000BB000000}"/>
    <cellStyle name="20% - Accent2 2 2 3 3 2" xfId="13371" xr:uid="{E41776FC-62D4-4D02-B3A8-5F20CDC50658}"/>
    <cellStyle name="20% - Accent2 2 2 3 3 3" xfId="21808" xr:uid="{5E98557D-B0D9-4B77-8A08-8632C4537DDA}"/>
    <cellStyle name="20% - Accent2 2 2 3 4" xfId="9153" xr:uid="{B02171A0-65EA-4189-910A-D17B3FEC0C91}"/>
    <cellStyle name="20% - Accent2 2 2 3 5" xfId="17591" xr:uid="{0BF0FED8-D844-490D-AF7E-38A119CC814F}"/>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DA814C13-602A-4F0E-80E7-A78A68194772}"/>
    <cellStyle name="20% - Accent2 2 2 4 2 2 3" xfId="24366" xr:uid="{AB749F9F-5A38-454D-AF9A-44692298A4CF}"/>
    <cellStyle name="20% - Accent2 2 2 4 2 3" xfId="11711" xr:uid="{794176FE-E5EC-41A8-8593-A034DC4DE6A8}"/>
    <cellStyle name="20% - Accent2 2 2 4 2 4" xfId="20149" xr:uid="{82DD84FF-7FEE-4F60-B3F1-E645C49E5A0C}"/>
    <cellStyle name="20% - Accent2 2 2 4 3" xfId="5342" xr:uid="{00000000-0005-0000-0000-0000BF000000}"/>
    <cellStyle name="20% - Accent2 2 2 4 3 2" xfId="13784" xr:uid="{BEB47FB9-B97B-4AB5-80E3-ECE110296C51}"/>
    <cellStyle name="20% - Accent2 2 2 4 3 3" xfId="22221" xr:uid="{8027AD9A-55B3-47B1-AEF5-94301387AB30}"/>
    <cellStyle name="20% - Accent2 2 2 4 4" xfId="9566" xr:uid="{A9A8701B-3485-4F7F-9B8C-DC472BC7D6D8}"/>
    <cellStyle name="20% - Accent2 2 2 4 5" xfId="18004" xr:uid="{F3B47A3F-1BB7-4181-AE49-3FBE91E3DE15}"/>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D611658E-FC73-4D27-BB57-BFBD449E5244}"/>
    <cellStyle name="20% - Accent2 2 2 5 2 2 3" xfId="24779" xr:uid="{63189D8C-010D-42FE-861F-196ED56A49E9}"/>
    <cellStyle name="20% - Accent2 2 2 5 2 3" xfId="12124" xr:uid="{7B371FE5-51CA-4DAA-90BC-FECD15007B33}"/>
    <cellStyle name="20% - Accent2 2 2 5 2 4" xfId="20562" xr:uid="{47914CC1-D1DA-4EA5-AA1E-52FCA4C1C0E6}"/>
    <cellStyle name="20% - Accent2 2 2 5 3" xfId="5755" xr:uid="{00000000-0005-0000-0000-0000C3000000}"/>
    <cellStyle name="20% - Accent2 2 2 5 3 2" xfId="14197" xr:uid="{04CAEE25-E221-4E88-AC79-9CABF9D48210}"/>
    <cellStyle name="20% - Accent2 2 2 5 3 3" xfId="22634" xr:uid="{1839B6DF-66F7-410D-9029-B9BAACA0FD6E}"/>
    <cellStyle name="20% - Accent2 2 2 5 4" xfId="9979" xr:uid="{08CAE8E4-A42E-4A31-B005-C44F633ACC22}"/>
    <cellStyle name="20% - Accent2 2 2 5 5" xfId="18417" xr:uid="{0F106636-C848-4EF8-99C2-7A9AA2D5F938}"/>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51501CC5-62E4-47EC-B38B-B8B6F584383C}"/>
    <cellStyle name="20% - Accent2 2 2 6 2 2 3" xfId="25192" xr:uid="{D4ADD28B-D83C-4256-9A39-ADD4312ADA60}"/>
    <cellStyle name="20% - Accent2 2 2 6 2 3" xfId="12537" xr:uid="{355C64C3-30C4-4F43-8101-C0BDDED89750}"/>
    <cellStyle name="20% - Accent2 2 2 6 2 4" xfId="20975" xr:uid="{E2E1EF50-6D44-495F-998D-6DD88FE0040A}"/>
    <cellStyle name="20% - Accent2 2 2 6 3" xfId="6168" xr:uid="{00000000-0005-0000-0000-0000C7000000}"/>
    <cellStyle name="20% - Accent2 2 2 6 3 2" xfId="14610" xr:uid="{335621D9-AC6C-422A-9C1E-FF0852953001}"/>
    <cellStyle name="20% - Accent2 2 2 6 3 3" xfId="23047" xr:uid="{FF7B60A7-65FC-45C3-A12F-A5DB8A0F7EAC}"/>
    <cellStyle name="20% - Accent2 2 2 6 4" xfId="10392" xr:uid="{B74FF5DE-99EA-4138-BFA9-D61192A782E7}"/>
    <cellStyle name="20% - Accent2 2 2 6 5" xfId="18830" xr:uid="{E73A3431-A37F-4880-9079-35E427E39C9C}"/>
    <cellStyle name="20% - Accent2 2 2 7" xfId="2274" xr:uid="{00000000-0005-0000-0000-0000C8000000}"/>
    <cellStyle name="20% - Accent2 2 2 7 2" xfId="6581" xr:uid="{00000000-0005-0000-0000-0000C9000000}"/>
    <cellStyle name="20% - Accent2 2 2 7 2 2" xfId="15023" xr:uid="{DCB26188-1742-4B37-85EC-7E275ED2EAAF}"/>
    <cellStyle name="20% - Accent2 2 2 7 2 3" xfId="23460" xr:uid="{725E1DCE-F65D-4FB6-B53B-0FE8F7FAD929}"/>
    <cellStyle name="20% - Accent2 2 2 7 3" xfId="10805" xr:uid="{439FDF42-217F-4D8A-9090-AE7F85F43515}"/>
    <cellStyle name="20% - Accent2 2 2 7 4" xfId="19243" xr:uid="{1FFF9808-EC01-47D6-BFF1-72AE43E72D9B}"/>
    <cellStyle name="20% - Accent2 2 2 8" xfId="4515" xr:uid="{00000000-0005-0000-0000-0000CA000000}"/>
    <cellStyle name="20% - Accent2 2 2 8 2" xfId="12957" xr:uid="{34130708-7E2E-48E8-869E-E16AFB6AB758}"/>
    <cellStyle name="20% - Accent2 2 2 8 3" xfId="21394" xr:uid="{72C5B7D7-A6C0-4AFA-A458-485615AD9552}"/>
    <cellStyle name="20% - Accent2 2 2 9" xfId="8739" xr:uid="{C18EFCEB-19EA-44A2-81D0-692124000B1C}"/>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F47BFF60-5B6E-4BDF-995D-A96BE20ED72E}"/>
    <cellStyle name="20% - Accent2 2 3 2 2 2 3" xfId="23955" xr:uid="{6FDD81A4-464E-4EDF-863F-A47811F86E05}"/>
    <cellStyle name="20% - Accent2 2 3 2 2 3" xfId="11300" xr:uid="{E4CFCCF3-EF03-499E-8F44-2B6745FBF859}"/>
    <cellStyle name="20% - Accent2 2 3 2 2 4" xfId="19738" xr:uid="{D75D1361-104F-468E-9E9D-7E58763295B6}"/>
    <cellStyle name="20% - Accent2 2 3 2 3" xfId="4931" xr:uid="{00000000-0005-0000-0000-0000CF000000}"/>
    <cellStyle name="20% - Accent2 2 3 2 3 2" xfId="13373" xr:uid="{34BE6072-65A0-4339-9D77-1A767E5B66C3}"/>
    <cellStyle name="20% - Accent2 2 3 2 3 3" xfId="21810" xr:uid="{25573EA4-7502-4E1C-AB85-E193140C3641}"/>
    <cellStyle name="20% - Accent2 2 3 2 4" xfId="9155" xr:uid="{606CE480-0B84-493B-AEBA-501CCA5DB558}"/>
    <cellStyle name="20% - Accent2 2 3 2 5" xfId="17593" xr:uid="{489EA173-E3FD-4E4B-9C31-A64EC515B1DA}"/>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83C44B7D-785A-4355-9A97-66060473DC83}"/>
    <cellStyle name="20% - Accent2 2 3 3 2 2 3" xfId="24368" xr:uid="{9A765BA7-D70B-45FA-A35E-194BE394982C}"/>
    <cellStyle name="20% - Accent2 2 3 3 2 3" xfId="11713" xr:uid="{0D1B666B-6EE3-48E6-95E5-CD8FFCA95496}"/>
    <cellStyle name="20% - Accent2 2 3 3 2 4" xfId="20151" xr:uid="{29EBF03A-A6D0-4B21-983B-1E9B0F009212}"/>
    <cellStyle name="20% - Accent2 2 3 3 3" xfId="5344" xr:uid="{00000000-0005-0000-0000-0000D3000000}"/>
    <cellStyle name="20% - Accent2 2 3 3 3 2" xfId="13786" xr:uid="{B5FD23EA-94E0-4188-AB24-FC6C2E52D5E8}"/>
    <cellStyle name="20% - Accent2 2 3 3 3 3" xfId="22223" xr:uid="{56715E83-580A-4B06-97B8-2B2204D3DA42}"/>
    <cellStyle name="20% - Accent2 2 3 3 4" xfId="9568" xr:uid="{E1D476AF-E31D-44D9-B400-F011BAE0E160}"/>
    <cellStyle name="20% - Accent2 2 3 3 5" xfId="18006" xr:uid="{C61EDAB5-DF1F-4823-AF2D-DB618455BAB4}"/>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5FA528F8-4393-44A1-A8E8-74E78C515760}"/>
    <cellStyle name="20% - Accent2 2 3 4 2 2 3" xfId="24781" xr:uid="{50725354-3F13-4E9D-8DEE-E13CA4A4C80F}"/>
    <cellStyle name="20% - Accent2 2 3 4 2 3" xfId="12126" xr:uid="{DF63945B-F2AE-4562-BBC1-A992239B2ABF}"/>
    <cellStyle name="20% - Accent2 2 3 4 2 4" xfId="20564" xr:uid="{9ECC7BCD-00C9-45CD-9C61-D4760628FD64}"/>
    <cellStyle name="20% - Accent2 2 3 4 3" xfId="5757" xr:uid="{00000000-0005-0000-0000-0000D7000000}"/>
    <cellStyle name="20% - Accent2 2 3 4 3 2" xfId="14199" xr:uid="{B55E1AB1-18CD-4248-99A6-C364ACED4600}"/>
    <cellStyle name="20% - Accent2 2 3 4 3 3" xfId="22636" xr:uid="{C7AF47F4-D2FA-4D53-8B9F-D5898E27694E}"/>
    <cellStyle name="20% - Accent2 2 3 4 4" xfId="9981" xr:uid="{1BC1FE59-07F8-4217-B3B3-D2C7B93D3CF0}"/>
    <cellStyle name="20% - Accent2 2 3 4 5" xfId="18419" xr:uid="{F67A99B6-8E1B-4B75-B9C5-29B06212A1D1}"/>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DA91BD98-8410-4049-BD84-B9F807883714}"/>
    <cellStyle name="20% - Accent2 2 3 5 2 2 3" xfId="25194" xr:uid="{8DA1227A-F063-4595-BFEA-C7C31B221AD7}"/>
    <cellStyle name="20% - Accent2 2 3 5 2 3" xfId="12539" xr:uid="{E4BC82BA-8BBD-4A58-990C-E2708A8AB46B}"/>
    <cellStyle name="20% - Accent2 2 3 5 2 4" xfId="20977" xr:uid="{254ED368-F2A2-49EB-9762-2F35A308D5DC}"/>
    <cellStyle name="20% - Accent2 2 3 5 3" xfId="6170" xr:uid="{00000000-0005-0000-0000-0000DB000000}"/>
    <cellStyle name="20% - Accent2 2 3 5 3 2" xfId="14612" xr:uid="{A87505BF-BF9B-4A57-BFF2-7E3848BA3F2B}"/>
    <cellStyle name="20% - Accent2 2 3 5 3 3" xfId="23049" xr:uid="{C3A73EA8-91E9-460F-8104-EB3D25250F87}"/>
    <cellStyle name="20% - Accent2 2 3 5 4" xfId="10394" xr:uid="{41031520-25C3-47CB-ADBF-11B5ABF7435D}"/>
    <cellStyle name="20% - Accent2 2 3 5 5" xfId="18832" xr:uid="{B4963A6F-7456-49A1-AB25-E681E784DD4F}"/>
    <cellStyle name="20% - Accent2 2 3 6" xfId="2276" xr:uid="{00000000-0005-0000-0000-0000DC000000}"/>
    <cellStyle name="20% - Accent2 2 3 6 2" xfId="6583" xr:uid="{00000000-0005-0000-0000-0000DD000000}"/>
    <cellStyle name="20% - Accent2 2 3 6 2 2" xfId="15025" xr:uid="{CD906DC2-1196-4A03-945F-B3E23F03576F}"/>
    <cellStyle name="20% - Accent2 2 3 6 2 3" xfId="23462" xr:uid="{A562AD82-7749-4F0B-A2D4-27F25C1C611E}"/>
    <cellStyle name="20% - Accent2 2 3 6 3" xfId="10807" xr:uid="{A625FD17-FAC9-4B6E-84C0-735FAF8F06B4}"/>
    <cellStyle name="20% - Accent2 2 3 6 4" xfId="19245" xr:uid="{62868C43-40C4-43B9-B4F3-9BF4C2C55B7D}"/>
    <cellStyle name="20% - Accent2 2 3 7" xfId="4517" xr:uid="{00000000-0005-0000-0000-0000DE000000}"/>
    <cellStyle name="20% - Accent2 2 3 7 2" xfId="12959" xr:uid="{202C9EC7-E2B8-48EE-8504-F1D27D9BFA2E}"/>
    <cellStyle name="20% - Accent2 2 3 7 3" xfId="21396" xr:uid="{FC3872F4-4B04-4886-A6C5-DF94944255B4}"/>
    <cellStyle name="20% - Accent2 2 3 8" xfId="8741" xr:uid="{53C6D89D-A234-4012-B9B5-DACB4F029159}"/>
    <cellStyle name="20% - Accent2 2 3 9" xfId="17179" xr:uid="{79F5987C-1E7D-4259-B894-32254D108430}"/>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0EA82610-D8AB-4E45-B22F-1ADF6A717CA7}"/>
    <cellStyle name="20% - Accent2 2 4 2 2 3" xfId="23952" xr:uid="{D66D93EB-05BF-4A92-AC61-2533EA3FC982}"/>
    <cellStyle name="20% - Accent2 2 4 2 3" xfId="11297" xr:uid="{7BFD6146-96BB-4A16-8B96-ACA719A775DE}"/>
    <cellStyle name="20% - Accent2 2 4 2 4" xfId="19735" xr:uid="{0E35D8CB-8D78-412F-9A12-F381A0DFCD86}"/>
    <cellStyle name="20% - Accent2 2 4 3" xfId="4928" xr:uid="{00000000-0005-0000-0000-0000E2000000}"/>
    <cellStyle name="20% - Accent2 2 4 3 2" xfId="13370" xr:uid="{FB3B6974-1896-4E7E-B1BB-E6D1851B5510}"/>
    <cellStyle name="20% - Accent2 2 4 3 3" xfId="21807" xr:uid="{3857A9D1-A049-40F4-8BE1-F6253DFA3545}"/>
    <cellStyle name="20% - Accent2 2 4 4" xfId="9152" xr:uid="{C11090AF-D2E5-4458-B995-5D5162F5EC57}"/>
    <cellStyle name="20% - Accent2 2 4 5" xfId="17590" xr:uid="{9EF26F63-7F49-421D-BF28-1E7476EF51D1}"/>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47462BAD-D1E6-4AD0-AED8-1F1B802367FB}"/>
    <cellStyle name="20% - Accent2 2 5 2 2 3" xfId="24365" xr:uid="{C1734732-AD6F-44C7-9D5B-4D799510660D}"/>
    <cellStyle name="20% - Accent2 2 5 2 3" xfId="11710" xr:uid="{327070A9-9224-4642-8325-480E9D98F46C}"/>
    <cellStyle name="20% - Accent2 2 5 2 4" xfId="20148" xr:uid="{F81E812C-18DA-42DC-AEE7-1A6EEBB288C4}"/>
    <cellStyle name="20% - Accent2 2 5 3" xfId="5341" xr:uid="{00000000-0005-0000-0000-0000E6000000}"/>
    <cellStyle name="20% - Accent2 2 5 3 2" xfId="13783" xr:uid="{BA6E206C-A3F5-40A0-9C93-A385466149EC}"/>
    <cellStyle name="20% - Accent2 2 5 3 3" xfId="22220" xr:uid="{C766C10D-C775-4682-917B-6DA87D972F69}"/>
    <cellStyle name="20% - Accent2 2 5 4" xfId="9565" xr:uid="{9DC66463-B494-4770-B598-389AFE28CC13}"/>
    <cellStyle name="20% - Accent2 2 5 5" xfId="18003" xr:uid="{94BCC7E2-01B8-4114-9DB4-FEDE2EF0200E}"/>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2DBD1347-224B-4532-96BA-AD596920B8D8}"/>
    <cellStyle name="20% - Accent2 2 6 2 2 3" xfId="24778" xr:uid="{A47D6CCE-19E5-46EA-8C76-EAB09B69F4D0}"/>
    <cellStyle name="20% - Accent2 2 6 2 3" xfId="12123" xr:uid="{0088D740-8085-49CF-8EED-88F8F5C7EB04}"/>
    <cellStyle name="20% - Accent2 2 6 2 4" xfId="20561" xr:uid="{27BEE24B-7E08-4F7D-96C8-1A10723FF09A}"/>
    <cellStyle name="20% - Accent2 2 6 3" xfId="5754" xr:uid="{00000000-0005-0000-0000-0000EA000000}"/>
    <cellStyle name="20% - Accent2 2 6 3 2" xfId="14196" xr:uid="{C45A14C9-188C-49EB-BAC8-11B6983F7EE8}"/>
    <cellStyle name="20% - Accent2 2 6 3 3" xfId="22633" xr:uid="{394206EA-F7EA-4ADB-BC66-F4374A401109}"/>
    <cellStyle name="20% - Accent2 2 6 4" xfId="9978" xr:uid="{9238FEA8-4758-40DD-9B78-6C83BE246BC5}"/>
    <cellStyle name="20% - Accent2 2 6 5" xfId="18416" xr:uid="{F7292D1D-31F4-4B28-BDCB-9B495B2F8C12}"/>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9EA816AD-0411-413F-962C-6A1C12F19C0D}"/>
    <cellStyle name="20% - Accent2 2 7 2 2 3" xfId="25191" xr:uid="{18F1C422-6BA4-4E2B-9C46-AC1A99EDE308}"/>
    <cellStyle name="20% - Accent2 2 7 2 3" xfId="12536" xr:uid="{2BE5FBC1-86CD-401B-8732-CE107672DBF4}"/>
    <cellStyle name="20% - Accent2 2 7 2 4" xfId="20974" xr:uid="{AE23C286-33AC-4D3F-8553-484C96462CCE}"/>
    <cellStyle name="20% - Accent2 2 7 3" xfId="6167" xr:uid="{00000000-0005-0000-0000-0000EE000000}"/>
    <cellStyle name="20% - Accent2 2 7 3 2" xfId="14609" xr:uid="{3EC7A4B7-BA89-47C4-A279-1AA58B8B1FA1}"/>
    <cellStyle name="20% - Accent2 2 7 3 3" xfId="23046" xr:uid="{1BA5758E-49CD-4923-BA3E-EC12B210D3BC}"/>
    <cellStyle name="20% - Accent2 2 7 4" xfId="10391" xr:uid="{35A3B4DE-36F3-4101-9BD4-2A51D8F70490}"/>
    <cellStyle name="20% - Accent2 2 7 5" xfId="18829" xr:uid="{ACC5F04F-C008-4579-8126-2A3D95E2F634}"/>
    <cellStyle name="20% - Accent2 2 8" xfId="2273" xr:uid="{00000000-0005-0000-0000-0000EF000000}"/>
    <cellStyle name="20% - Accent2 2 8 2" xfId="6580" xr:uid="{00000000-0005-0000-0000-0000F0000000}"/>
    <cellStyle name="20% - Accent2 2 8 2 2" xfId="15022" xr:uid="{466AC13C-7EC3-4500-A461-9B2454886CA4}"/>
    <cellStyle name="20% - Accent2 2 8 2 3" xfId="23459" xr:uid="{212186F4-9D78-4BA4-B6D8-61DAADCB3C31}"/>
    <cellStyle name="20% - Accent2 2 8 3" xfId="10804" xr:uid="{99FDD140-4BB6-4EC3-BDE4-F7B2A29B7BFB}"/>
    <cellStyle name="20% - Accent2 2 8 4" xfId="19242" xr:uid="{D9DDF325-2750-494C-A8D9-DC2671421326}"/>
    <cellStyle name="20% - Accent2 2 9" xfId="4514" xr:uid="{00000000-0005-0000-0000-0000F1000000}"/>
    <cellStyle name="20% - Accent2 2 9 2" xfId="12956" xr:uid="{CCDE6AD9-C800-4F16-961E-456CFCF349B1}"/>
    <cellStyle name="20% - Accent2 2 9 3" xfId="21393" xr:uid="{4FB56EA1-3B47-48F9-BD66-034A1A2FAC2D}"/>
    <cellStyle name="20% - Accent2 3" xfId="14" xr:uid="{00000000-0005-0000-0000-0000F2000000}"/>
    <cellStyle name="20% - Accent2 3 10" xfId="17180" xr:uid="{AE5034E9-7A12-4AD3-B0F9-30DBDFD64AD2}"/>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6E143465-F79C-4CAF-9618-E25A82D8CF03}"/>
    <cellStyle name="20% - Accent2 3 2 2 2 2 3" xfId="23957" xr:uid="{A4EF30CC-00E9-4A51-87D3-AC2257F5C093}"/>
    <cellStyle name="20% - Accent2 3 2 2 2 3" xfId="11302" xr:uid="{912FFC5A-EB07-4D4E-A88B-707A45AED0FF}"/>
    <cellStyle name="20% - Accent2 3 2 2 2 4" xfId="19740" xr:uid="{BCA2710C-9BC0-4290-AEB3-D029FE0C6A78}"/>
    <cellStyle name="20% - Accent2 3 2 2 3" xfId="4933" xr:uid="{00000000-0005-0000-0000-0000F7000000}"/>
    <cellStyle name="20% - Accent2 3 2 2 3 2" xfId="13375" xr:uid="{209DC4B2-D99E-47DE-812F-A3CC19C0BB7C}"/>
    <cellStyle name="20% - Accent2 3 2 2 3 3" xfId="21812" xr:uid="{C8E0B1D6-FDBC-4580-AE95-040FA38D2142}"/>
    <cellStyle name="20% - Accent2 3 2 2 4" xfId="9157" xr:uid="{37076E99-679E-42FD-A9E2-C93E9393B5DD}"/>
    <cellStyle name="20% - Accent2 3 2 2 5" xfId="17595" xr:uid="{44C487A5-090B-4E02-BDB9-21CD81799D1D}"/>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CF8F8927-FEC2-48C1-946E-B8F34EE24635}"/>
    <cellStyle name="20% - Accent2 3 2 3 2 2 3" xfId="24370" xr:uid="{D85EC5A1-D8D3-47B3-AA7E-03473DAA23EA}"/>
    <cellStyle name="20% - Accent2 3 2 3 2 3" xfId="11715" xr:uid="{4C2C1B63-0716-418A-B0F9-25471B2860A6}"/>
    <cellStyle name="20% - Accent2 3 2 3 2 4" xfId="20153" xr:uid="{C591B708-AFAA-4A03-BA30-93D811EFF144}"/>
    <cellStyle name="20% - Accent2 3 2 3 3" xfId="5346" xr:uid="{00000000-0005-0000-0000-0000FB000000}"/>
    <cellStyle name="20% - Accent2 3 2 3 3 2" xfId="13788" xr:uid="{299AF2F7-59CE-4B71-9E43-9F02C6A470C1}"/>
    <cellStyle name="20% - Accent2 3 2 3 3 3" xfId="22225" xr:uid="{20CC1074-A165-4FC2-B369-C8C5A060E1F1}"/>
    <cellStyle name="20% - Accent2 3 2 3 4" xfId="9570" xr:uid="{F12836AF-B9ED-4BEA-96F7-CEE8075E0885}"/>
    <cellStyle name="20% - Accent2 3 2 3 5" xfId="18008" xr:uid="{7D8A643F-1AC1-41D3-B0C3-DB1466B35407}"/>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6BA66ABE-F35B-4E1D-85FF-EED717E449ED}"/>
    <cellStyle name="20% - Accent2 3 2 4 2 2 3" xfId="24783" xr:uid="{45575F0C-7072-4CE7-B721-5A0FD5D5E8B0}"/>
    <cellStyle name="20% - Accent2 3 2 4 2 3" xfId="12128" xr:uid="{7164DE3A-26EB-4F8B-AAA6-8524B4E27C2D}"/>
    <cellStyle name="20% - Accent2 3 2 4 2 4" xfId="20566" xr:uid="{3F7A16A4-E5A5-4EB5-8B7F-BE8AD9DE8A0D}"/>
    <cellStyle name="20% - Accent2 3 2 4 3" xfId="5759" xr:uid="{00000000-0005-0000-0000-0000FF000000}"/>
    <cellStyle name="20% - Accent2 3 2 4 3 2" xfId="14201" xr:uid="{3380E581-DACF-4F16-AFE4-46BC14466DB6}"/>
    <cellStyle name="20% - Accent2 3 2 4 3 3" xfId="22638" xr:uid="{AE62DA91-D5DE-4AF1-B194-C541776030CC}"/>
    <cellStyle name="20% - Accent2 3 2 4 4" xfId="9983" xr:uid="{2B0BB768-6934-4F6D-B281-316742F2C65B}"/>
    <cellStyle name="20% - Accent2 3 2 4 5" xfId="18421" xr:uid="{B53D693F-7014-40A1-B267-50839995ADF2}"/>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2F2666DA-696D-4EC0-8D95-F8B567C38EF4}"/>
    <cellStyle name="20% - Accent2 3 2 5 2 2 3" xfId="25196" xr:uid="{130690B6-C30C-4EEC-AC43-F8D8C62A50BE}"/>
    <cellStyle name="20% - Accent2 3 2 5 2 3" xfId="12541" xr:uid="{6D25077F-8018-46CF-83D6-6B5611EDA604}"/>
    <cellStyle name="20% - Accent2 3 2 5 2 4" xfId="20979" xr:uid="{D45AEB87-F4DA-4286-9205-102B44420D10}"/>
    <cellStyle name="20% - Accent2 3 2 5 3" xfId="6172" xr:uid="{00000000-0005-0000-0000-000003010000}"/>
    <cellStyle name="20% - Accent2 3 2 5 3 2" xfId="14614" xr:uid="{9C1E2EF5-D58E-472D-B5A4-9B24100E4DB0}"/>
    <cellStyle name="20% - Accent2 3 2 5 3 3" xfId="23051" xr:uid="{DF998D6B-9B1C-49F3-B40B-245510E6B906}"/>
    <cellStyle name="20% - Accent2 3 2 5 4" xfId="10396" xr:uid="{3516793B-5C44-4597-BE9A-8604D598634E}"/>
    <cellStyle name="20% - Accent2 3 2 5 5" xfId="18834" xr:uid="{2D6042EF-4DCC-414C-A699-65C4112D1777}"/>
    <cellStyle name="20% - Accent2 3 2 6" xfId="2278" xr:uid="{00000000-0005-0000-0000-000004010000}"/>
    <cellStyle name="20% - Accent2 3 2 6 2" xfId="6585" xr:uid="{00000000-0005-0000-0000-000005010000}"/>
    <cellStyle name="20% - Accent2 3 2 6 2 2" xfId="15027" xr:uid="{BE70DE49-C70E-4998-8165-73F3175241C2}"/>
    <cellStyle name="20% - Accent2 3 2 6 2 3" xfId="23464" xr:uid="{E14205EE-DFE9-42B5-A584-F976518D7362}"/>
    <cellStyle name="20% - Accent2 3 2 6 3" xfId="10809" xr:uid="{52EC1D21-B771-4D1E-8790-3C9B473D4B1F}"/>
    <cellStyle name="20% - Accent2 3 2 6 4" xfId="19247" xr:uid="{EC84BA3F-5C65-4CF6-8F1D-9E03949A31C6}"/>
    <cellStyle name="20% - Accent2 3 2 7" xfId="4519" xr:uid="{00000000-0005-0000-0000-000006010000}"/>
    <cellStyle name="20% - Accent2 3 2 7 2" xfId="12961" xr:uid="{078DEEBB-F154-4A16-91FF-8AADCD385107}"/>
    <cellStyle name="20% - Accent2 3 2 7 3" xfId="21398" xr:uid="{14250255-85B2-4AA3-942F-4DDADE51A233}"/>
    <cellStyle name="20% - Accent2 3 2 8" xfId="8743" xr:uid="{B1AA62D7-A6BC-4514-8860-8623D432E5EA}"/>
    <cellStyle name="20% - Accent2 3 2 9" xfId="17181" xr:uid="{2E47B496-265B-4607-A2F6-DD5D22455338}"/>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886117D9-A767-461E-8D13-6C12B2663BC0}"/>
    <cellStyle name="20% - Accent2 3 3 2 2 3" xfId="23956" xr:uid="{0F19EFB7-11C3-4648-A645-0E097058CC47}"/>
    <cellStyle name="20% - Accent2 3 3 2 3" xfId="11301" xr:uid="{37FF6718-33FE-4020-99BA-9FC46648D8F9}"/>
    <cellStyle name="20% - Accent2 3 3 2 4" xfId="19739" xr:uid="{F4A7C2D6-61AB-4FDB-A62A-F37F5093998B}"/>
    <cellStyle name="20% - Accent2 3 3 3" xfId="4932" xr:uid="{00000000-0005-0000-0000-00000A010000}"/>
    <cellStyle name="20% - Accent2 3 3 3 2" xfId="13374" xr:uid="{0D0A4995-A796-40C0-9CDE-08D63A6C16F1}"/>
    <cellStyle name="20% - Accent2 3 3 3 3" xfId="21811" xr:uid="{4EC65EEC-4BC6-4BCE-BE45-2B0EB752E7E7}"/>
    <cellStyle name="20% - Accent2 3 3 4" xfId="9156" xr:uid="{49BBF8EE-E49B-4FFF-8814-D175C331AD6A}"/>
    <cellStyle name="20% - Accent2 3 3 5" xfId="17594" xr:uid="{3E1ECB51-9435-4E66-8680-12779C55A68C}"/>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160F1EA4-36AB-4D7D-98E4-63C0FE95527C}"/>
    <cellStyle name="20% - Accent2 3 4 2 2 3" xfId="24369" xr:uid="{E2C4347A-D548-489B-92B7-F393A733FEAF}"/>
    <cellStyle name="20% - Accent2 3 4 2 3" xfId="11714" xr:uid="{F757DC16-9931-427A-83A7-625C5E8B99A6}"/>
    <cellStyle name="20% - Accent2 3 4 2 4" xfId="20152" xr:uid="{A627E9B7-44FA-4E8B-AAB0-00AF0C2BFF9D}"/>
    <cellStyle name="20% - Accent2 3 4 3" xfId="5345" xr:uid="{00000000-0005-0000-0000-00000E010000}"/>
    <cellStyle name="20% - Accent2 3 4 3 2" xfId="13787" xr:uid="{117F176E-E05C-4D6F-BFFD-FDF44E832DC6}"/>
    <cellStyle name="20% - Accent2 3 4 3 3" xfId="22224" xr:uid="{45FB5959-C6C4-4833-8052-C38F4C78AB3C}"/>
    <cellStyle name="20% - Accent2 3 4 4" xfId="9569" xr:uid="{560E8DC4-B5FF-49E9-9A32-5993835673F1}"/>
    <cellStyle name="20% - Accent2 3 4 5" xfId="18007" xr:uid="{3431BA41-8C7D-4BEF-AF72-8F3E5DF370E1}"/>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A9FE2F0E-C036-45D0-B111-95ED209C083C}"/>
    <cellStyle name="20% - Accent2 3 5 2 2 3" xfId="24782" xr:uid="{29EEFE62-8148-4CA2-93F1-6B040DDF48AC}"/>
    <cellStyle name="20% - Accent2 3 5 2 3" xfId="12127" xr:uid="{8FA112A5-545D-4265-8E01-2B16466B98EB}"/>
    <cellStyle name="20% - Accent2 3 5 2 4" xfId="20565" xr:uid="{47DC3122-44A0-4F2C-BF17-30033A724C94}"/>
    <cellStyle name="20% - Accent2 3 5 3" xfId="5758" xr:uid="{00000000-0005-0000-0000-000012010000}"/>
    <cellStyle name="20% - Accent2 3 5 3 2" xfId="14200" xr:uid="{1DED3BD6-B2DA-4279-8BF8-0DDD8817C2E8}"/>
    <cellStyle name="20% - Accent2 3 5 3 3" xfId="22637" xr:uid="{D6DCE0AC-C9D3-4EA6-957A-4723A1E99B97}"/>
    <cellStyle name="20% - Accent2 3 5 4" xfId="9982" xr:uid="{F88C15D6-10DA-4F93-9E49-7553C7825349}"/>
    <cellStyle name="20% - Accent2 3 5 5" xfId="18420" xr:uid="{A5851F91-7B14-48D0-BB77-75214D2B0A00}"/>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28F5AF57-03A2-441B-A487-DD8501F470DB}"/>
    <cellStyle name="20% - Accent2 3 6 2 2 3" xfId="25195" xr:uid="{A71E3C71-17AA-472F-81D6-5EFD27A3DF82}"/>
    <cellStyle name="20% - Accent2 3 6 2 3" xfId="12540" xr:uid="{35BF0D2F-1BE8-4C97-8467-ECC2033DC36F}"/>
    <cellStyle name="20% - Accent2 3 6 2 4" xfId="20978" xr:uid="{A394A090-508D-4A7A-A7B2-C131946D3D79}"/>
    <cellStyle name="20% - Accent2 3 6 3" xfId="6171" xr:uid="{00000000-0005-0000-0000-000016010000}"/>
    <cellStyle name="20% - Accent2 3 6 3 2" xfId="14613" xr:uid="{854A7F93-43BA-4D12-A92D-0ADF471D2FED}"/>
    <cellStyle name="20% - Accent2 3 6 3 3" xfId="23050" xr:uid="{FD1671D1-2515-4EF0-AFCA-1F912E2BAF69}"/>
    <cellStyle name="20% - Accent2 3 6 4" xfId="10395" xr:uid="{A109FE92-3C2E-44FE-972D-FB4D18C774C7}"/>
    <cellStyle name="20% - Accent2 3 6 5" xfId="18833" xr:uid="{54340A5A-0C64-4918-8D80-7248A7889F0E}"/>
    <cellStyle name="20% - Accent2 3 7" xfId="2277" xr:uid="{00000000-0005-0000-0000-000017010000}"/>
    <cellStyle name="20% - Accent2 3 7 2" xfId="6584" xr:uid="{00000000-0005-0000-0000-000018010000}"/>
    <cellStyle name="20% - Accent2 3 7 2 2" xfId="15026" xr:uid="{2CD2C4EA-9DFF-41DA-8C80-6C281D7CDF85}"/>
    <cellStyle name="20% - Accent2 3 7 2 3" xfId="23463" xr:uid="{F60060C3-C1F0-4BE8-9764-0A3CA2EA3D2C}"/>
    <cellStyle name="20% - Accent2 3 7 3" xfId="10808" xr:uid="{A0B0A26B-E1EB-408C-A8CF-222FB573A8E2}"/>
    <cellStyle name="20% - Accent2 3 7 4" xfId="19246" xr:uid="{897A6E05-D0D3-43E3-B86E-162BF86426EE}"/>
    <cellStyle name="20% - Accent2 3 8" xfId="4518" xr:uid="{00000000-0005-0000-0000-000019010000}"/>
    <cellStyle name="20% - Accent2 3 8 2" xfId="12960" xr:uid="{212A1BA7-F3AB-4359-B670-A6FDBE4D1464}"/>
    <cellStyle name="20% - Accent2 3 8 3" xfId="21397" xr:uid="{C33D1C86-FC3F-46EA-AF64-58B6A19F5969}"/>
    <cellStyle name="20% - Accent2 3 9" xfId="8742" xr:uid="{952B54A7-F128-4C3F-9B10-8439DC5C3813}"/>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F57445AC-3C0D-4404-8DD6-E9F8D3889FD8}"/>
    <cellStyle name="20% - Accent2 4 2 2 2 3" xfId="23958" xr:uid="{634B152F-95D8-4461-8779-81F9D20502C3}"/>
    <cellStyle name="20% - Accent2 4 2 2 3" xfId="11303" xr:uid="{2F27F4A8-BE8F-4FBD-894A-9DA2F8392991}"/>
    <cellStyle name="20% - Accent2 4 2 2 4" xfId="19741" xr:uid="{4D2DB1C1-35EF-4B6E-9A1F-34964D724BCC}"/>
    <cellStyle name="20% - Accent2 4 2 3" xfId="4934" xr:uid="{00000000-0005-0000-0000-00001E010000}"/>
    <cellStyle name="20% - Accent2 4 2 3 2" xfId="13376" xr:uid="{A0F72A61-1466-4E48-8710-6FE7859E0D79}"/>
    <cellStyle name="20% - Accent2 4 2 3 3" xfId="21813" xr:uid="{57928006-0601-4634-9512-5917DF9EB49D}"/>
    <cellStyle name="20% - Accent2 4 2 4" xfId="9158" xr:uid="{9A33A710-E345-44E2-9E48-76EB04A461B6}"/>
    <cellStyle name="20% - Accent2 4 2 5" xfId="17596" xr:uid="{252C7455-EEEC-4E98-850E-EBDBC90B3E76}"/>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F01AF31A-9B18-4B39-9CF8-EF0ECD5E5D81}"/>
    <cellStyle name="20% - Accent2 4 3 2 2 3" xfId="24371" xr:uid="{9361FE4E-A1B0-4C5A-B7FC-F7A34A902598}"/>
    <cellStyle name="20% - Accent2 4 3 2 3" xfId="11716" xr:uid="{2B1FE6D4-777B-4486-B269-42814399F666}"/>
    <cellStyle name="20% - Accent2 4 3 2 4" xfId="20154" xr:uid="{086BB39F-DF91-484F-AAF0-52C64DA849AE}"/>
    <cellStyle name="20% - Accent2 4 3 3" xfId="5347" xr:uid="{00000000-0005-0000-0000-000022010000}"/>
    <cellStyle name="20% - Accent2 4 3 3 2" xfId="13789" xr:uid="{0BA05371-7D69-44C2-A58C-53A8143DF204}"/>
    <cellStyle name="20% - Accent2 4 3 3 3" xfId="22226" xr:uid="{DCAB7F10-EBB4-4C7E-BB41-234B15F420FB}"/>
    <cellStyle name="20% - Accent2 4 3 4" xfId="9571" xr:uid="{21154D36-4C32-486A-BFEE-05A345E8F3B7}"/>
    <cellStyle name="20% - Accent2 4 3 5" xfId="18009" xr:uid="{EB55CF15-BD95-4E3C-AECB-8E2410CB7A54}"/>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28AD1009-3249-42C4-BD5D-1B3BC6ECC450}"/>
    <cellStyle name="20% - Accent2 4 4 2 2 3" xfId="24784" xr:uid="{0FBDC239-6FD6-4BA5-8ABA-2222A78FCC71}"/>
    <cellStyle name="20% - Accent2 4 4 2 3" xfId="12129" xr:uid="{DAB87AB9-855C-4E4A-B358-67CFB378B961}"/>
    <cellStyle name="20% - Accent2 4 4 2 4" xfId="20567" xr:uid="{ECE7C896-522E-4DD8-AD54-017159B7384E}"/>
    <cellStyle name="20% - Accent2 4 4 3" xfId="5760" xr:uid="{00000000-0005-0000-0000-000026010000}"/>
    <cellStyle name="20% - Accent2 4 4 3 2" xfId="14202" xr:uid="{A69DAB1E-02AB-4758-9E7D-C953E6AB304F}"/>
    <cellStyle name="20% - Accent2 4 4 3 3" xfId="22639" xr:uid="{D21D3D8C-529B-4C88-B7D0-0498498759A0}"/>
    <cellStyle name="20% - Accent2 4 4 4" xfId="9984" xr:uid="{D0466B47-0804-4509-A83F-6A3529C7338D}"/>
    <cellStyle name="20% - Accent2 4 4 5" xfId="18422" xr:uid="{85F966AE-35AA-49EF-B86B-0C96446DABCE}"/>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FB610A34-8F1F-4C4F-B354-059E705CC921}"/>
    <cellStyle name="20% - Accent2 4 5 2 2 3" xfId="25197" xr:uid="{BB21BB0F-908A-4AA2-80DA-C8F12DA1B731}"/>
    <cellStyle name="20% - Accent2 4 5 2 3" xfId="12542" xr:uid="{77FD1CBE-0405-4831-BD5F-8285A16710B8}"/>
    <cellStyle name="20% - Accent2 4 5 2 4" xfId="20980" xr:uid="{500715D4-98D7-4482-88C9-D1AC50601D06}"/>
    <cellStyle name="20% - Accent2 4 5 3" xfId="6173" xr:uid="{00000000-0005-0000-0000-00002A010000}"/>
    <cellStyle name="20% - Accent2 4 5 3 2" xfId="14615" xr:uid="{A820C550-AD5F-49D2-976E-46C48CD4EC48}"/>
    <cellStyle name="20% - Accent2 4 5 3 3" xfId="23052" xr:uid="{2D189B89-DC72-419A-A4A4-2BACC633CEBE}"/>
    <cellStyle name="20% - Accent2 4 5 4" xfId="10397" xr:uid="{505AE65C-DA29-48B2-A47B-119A8083A363}"/>
    <cellStyle name="20% - Accent2 4 5 5" xfId="18835" xr:uid="{FC54A465-369C-4087-A41A-23F1651C5EB8}"/>
    <cellStyle name="20% - Accent2 4 6" xfId="2279" xr:uid="{00000000-0005-0000-0000-00002B010000}"/>
    <cellStyle name="20% - Accent2 4 6 2" xfId="6586" xr:uid="{00000000-0005-0000-0000-00002C010000}"/>
    <cellStyle name="20% - Accent2 4 6 2 2" xfId="15028" xr:uid="{B3A2A55E-B7CC-462F-9138-D6AF719926C8}"/>
    <cellStyle name="20% - Accent2 4 6 2 3" xfId="23465" xr:uid="{7E495678-98AF-402D-9D42-94D085C88E17}"/>
    <cellStyle name="20% - Accent2 4 6 3" xfId="10810" xr:uid="{162782C8-3A76-4163-BCBA-EC9D2345BB19}"/>
    <cellStyle name="20% - Accent2 4 6 4" xfId="19248" xr:uid="{E5327107-1298-4ECC-B3B1-F6307A84B750}"/>
    <cellStyle name="20% - Accent2 4 7" xfId="4520" xr:uid="{00000000-0005-0000-0000-00002D010000}"/>
    <cellStyle name="20% - Accent2 4 7 2" xfId="12962" xr:uid="{291EA3B8-081D-45A9-B637-BAFF400ACC18}"/>
    <cellStyle name="20% - Accent2 4 7 3" xfId="21399" xr:uid="{B09994F9-A23B-4852-8891-6674F995231A}"/>
    <cellStyle name="20% - Accent2 4 8" xfId="8744" xr:uid="{D46C68FE-A753-401D-83DB-BE694594D376}"/>
    <cellStyle name="20% - Accent2 4 9" xfId="17182" xr:uid="{7ACEC9CE-5D0C-46A7-9D49-C7DDD437C3E7}"/>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EE432ADF-73C1-4B38-951F-E60E7E0060C3}"/>
    <cellStyle name="20% - Accent2 5 2 2 3" xfId="23951" xr:uid="{A2B097A9-86BA-4467-844B-84EC5A8E9111}"/>
    <cellStyle name="20% - Accent2 5 2 3" xfId="11296" xr:uid="{F746E522-39A5-4671-80F2-42CF5E7E6B4A}"/>
    <cellStyle name="20% - Accent2 5 2 4" xfId="19734" xr:uid="{9E8F3A9D-4A9C-4464-9C8D-21FABEC40D03}"/>
    <cellStyle name="20% - Accent2 5 3" xfId="4927" xr:uid="{00000000-0005-0000-0000-000031010000}"/>
    <cellStyle name="20% - Accent2 5 3 2" xfId="13369" xr:uid="{EEDB8EB5-4422-4D7B-8AF6-6A90B1BF6398}"/>
    <cellStyle name="20% - Accent2 5 3 3" xfId="21806" xr:uid="{9EB1EFC5-DDB3-44AF-835F-95D907E4B743}"/>
    <cellStyle name="20% - Accent2 5 4" xfId="9151" xr:uid="{0B7A86C6-A764-4DE5-BB70-C0B22BC6F1DC}"/>
    <cellStyle name="20% - Accent2 5 5" xfId="17589" xr:uid="{FAD936C7-FA8D-41BB-A68C-695A3301F922}"/>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8092CAEF-F0D7-44EA-A7F5-401F190957F6}"/>
    <cellStyle name="20% - Accent2 6 2 2 3" xfId="24364" xr:uid="{64339E1E-CDD7-4C9E-8C29-9DDDE43A486D}"/>
    <cellStyle name="20% - Accent2 6 2 3" xfId="11709" xr:uid="{1FEEA7EA-3EDD-478E-A236-77D26FADA1A5}"/>
    <cellStyle name="20% - Accent2 6 2 4" xfId="20147" xr:uid="{12CAAE22-9C2C-429F-8F28-995567744F6C}"/>
    <cellStyle name="20% - Accent2 6 3" xfId="5340" xr:uid="{00000000-0005-0000-0000-000035010000}"/>
    <cellStyle name="20% - Accent2 6 3 2" xfId="13782" xr:uid="{21EFB5B1-1953-4DD3-8B7A-920887D4F4C5}"/>
    <cellStyle name="20% - Accent2 6 3 3" xfId="22219" xr:uid="{55A5D627-9A1E-4D78-9F31-86D3BF436EFB}"/>
    <cellStyle name="20% - Accent2 6 4" xfId="9564" xr:uid="{82D84CEC-10AF-4276-BC1A-2D5B52A852DF}"/>
    <cellStyle name="20% - Accent2 6 5" xfId="18002" xr:uid="{CF180C0F-D6B4-4D94-B536-4AA39ECD9B8D}"/>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4DC4869A-B02C-449D-86E3-4AAADE2E7F16}"/>
    <cellStyle name="20% - Accent2 7 2 2 3" xfId="24777" xr:uid="{5E8B237E-2B3A-4D15-B37B-037AB90D875E}"/>
    <cellStyle name="20% - Accent2 7 2 3" xfId="12122" xr:uid="{203B7814-0199-41A5-91A6-024BF6EEE94D}"/>
    <cellStyle name="20% - Accent2 7 2 4" xfId="20560" xr:uid="{C6F5FD51-2551-436D-B2C4-DDFD7D44C53C}"/>
    <cellStyle name="20% - Accent2 7 3" xfId="5753" xr:uid="{00000000-0005-0000-0000-000039010000}"/>
    <cellStyle name="20% - Accent2 7 3 2" xfId="14195" xr:uid="{BD9C99CD-1292-4137-B35D-071F7FFC0985}"/>
    <cellStyle name="20% - Accent2 7 3 3" xfId="22632" xr:uid="{5608B144-4A1F-4146-AD33-1F1149D80705}"/>
    <cellStyle name="20% - Accent2 7 4" xfId="9977" xr:uid="{DD0982DA-BB73-485F-AF4B-0D73036A6DB0}"/>
    <cellStyle name="20% - Accent2 7 5" xfId="18415" xr:uid="{03458856-70DA-4BAF-B416-946A4A518144}"/>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E4D0A3D9-A2EB-490D-9FF4-099C2F2576FE}"/>
    <cellStyle name="20% - Accent2 8 2 2 3" xfId="25190" xr:uid="{549279FB-CC20-4E42-90D6-DE761B027613}"/>
    <cellStyle name="20% - Accent2 8 2 3" xfId="12535" xr:uid="{B73F1C00-A4DC-41D0-994C-B21307F9D1DD}"/>
    <cellStyle name="20% - Accent2 8 2 4" xfId="20973" xr:uid="{211DE9D3-AB07-4E8C-8C7F-70C9A6CBA019}"/>
    <cellStyle name="20% - Accent2 8 3" xfId="6166" xr:uid="{00000000-0005-0000-0000-00003D010000}"/>
    <cellStyle name="20% - Accent2 8 3 2" xfId="14608" xr:uid="{3B6A2E8D-7064-4253-8FE0-BC8DA74F1581}"/>
    <cellStyle name="20% - Accent2 8 3 3" xfId="23045" xr:uid="{5F3370B2-EC38-4678-ADC2-CF1521318E81}"/>
    <cellStyle name="20% - Accent2 8 4" xfId="10390" xr:uid="{DAFE1A36-2A51-4809-84F2-A4C18647DD07}"/>
    <cellStyle name="20% - Accent2 8 5" xfId="18828" xr:uid="{BD2A6F66-1DE4-4EA0-BD41-51EA8F895398}"/>
    <cellStyle name="20% - Accent2 9" xfId="2272" xr:uid="{00000000-0005-0000-0000-00003E010000}"/>
    <cellStyle name="20% - Accent2 9 2" xfId="6579" xr:uid="{00000000-0005-0000-0000-00003F010000}"/>
    <cellStyle name="20% - Accent2 9 2 2" xfId="15021" xr:uid="{C7E218FF-55DF-4172-A38E-4B41D798460B}"/>
    <cellStyle name="20% - Accent2 9 2 3" xfId="23458" xr:uid="{387E53E0-FFC4-4172-AE20-6F13F6718A05}"/>
    <cellStyle name="20% - Accent2 9 3" xfId="10803" xr:uid="{47068859-F329-49FD-AE3F-F5AD84FED911}"/>
    <cellStyle name="20% - Accent2 9 4" xfId="19241" xr:uid="{318C0188-8555-49C7-BC87-7F3C4E872BD9}"/>
    <cellStyle name="20% - Accent3" xfId="17" builtinId="38" customBuiltin="1"/>
    <cellStyle name="20% - Accent3 10" xfId="4521" xr:uid="{00000000-0005-0000-0000-000041010000}"/>
    <cellStyle name="20% - Accent3 10 2" xfId="12963" xr:uid="{1AB16056-598A-400E-910E-D2FA79CAABAA}"/>
    <cellStyle name="20% - Accent3 10 3" xfId="21400" xr:uid="{23486099-510B-4801-98C5-FBDF79C527EE}"/>
    <cellStyle name="20% - Accent3 11" xfId="8745" xr:uid="{6B29E27D-7060-402B-9D03-B14CC0AD5316}"/>
    <cellStyle name="20% - Accent3 12" xfId="17183" xr:uid="{711A02FB-F633-4059-BD0A-FBD1CA773B62}"/>
    <cellStyle name="20% - Accent3 2" xfId="18" xr:uid="{00000000-0005-0000-0000-000042010000}"/>
    <cellStyle name="20% - Accent3 2 10" xfId="8746" xr:uid="{00652A4E-D8ED-473F-9084-5EB09F0D5231}"/>
    <cellStyle name="20% - Accent3 2 11" xfId="17184" xr:uid="{A65FA93D-050A-4E56-8145-56B4DC1DFA9C}"/>
    <cellStyle name="20% - Accent3 2 2" xfId="19" xr:uid="{00000000-0005-0000-0000-000043010000}"/>
    <cellStyle name="20% - Accent3 2 2 10" xfId="17185" xr:uid="{94ACBE35-C01E-477F-A8FF-AAA0608C0B18}"/>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57DE5D4D-9FCC-4DEB-B80E-E38232B9FC09}"/>
    <cellStyle name="20% - Accent3 2 2 2 2 2 2 3" xfId="23962" xr:uid="{69638849-96DF-4484-A558-BECA94F8F0B4}"/>
    <cellStyle name="20% - Accent3 2 2 2 2 2 3" xfId="11307" xr:uid="{6E4F61E9-1918-4DEB-B515-44D70C1E57A8}"/>
    <cellStyle name="20% - Accent3 2 2 2 2 2 4" xfId="19745" xr:uid="{76C5D7B1-CD0B-47C1-ADE2-2DDA9AE9AB7A}"/>
    <cellStyle name="20% - Accent3 2 2 2 2 3" xfId="4938" xr:uid="{00000000-0005-0000-0000-000048010000}"/>
    <cellStyle name="20% - Accent3 2 2 2 2 3 2" xfId="13380" xr:uid="{A9F6BD7A-70DE-40D6-AD8A-6784130569AC}"/>
    <cellStyle name="20% - Accent3 2 2 2 2 3 3" xfId="21817" xr:uid="{A2F2298E-9C51-4E58-8A92-D89C536BB03C}"/>
    <cellStyle name="20% - Accent3 2 2 2 2 4" xfId="9162" xr:uid="{6B07EE2A-1AEC-44AC-B397-55B9698E568A}"/>
    <cellStyle name="20% - Accent3 2 2 2 2 5" xfId="17600" xr:uid="{2AFCFF19-5865-4DC7-8197-CE5C11D34D83}"/>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9B900F4D-3E58-44A4-B8F4-D3CD9AAD1121}"/>
    <cellStyle name="20% - Accent3 2 2 2 3 2 2 3" xfId="24375" xr:uid="{91B8E3AA-A51A-459B-AD6E-ED5E888C2F57}"/>
    <cellStyle name="20% - Accent3 2 2 2 3 2 3" xfId="11720" xr:uid="{9BE6DEA9-4188-4D12-BBCC-B37077C471C9}"/>
    <cellStyle name="20% - Accent3 2 2 2 3 2 4" xfId="20158" xr:uid="{BD918CFE-8F4D-47E8-B781-BE2310D958E5}"/>
    <cellStyle name="20% - Accent3 2 2 2 3 3" xfId="5351" xr:uid="{00000000-0005-0000-0000-00004C010000}"/>
    <cellStyle name="20% - Accent3 2 2 2 3 3 2" xfId="13793" xr:uid="{2A984D46-1EB1-43C0-9A2B-B33BDA0CA6A0}"/>
    <cellStyle name="20% - Accent3 2 2 2 3 3 3" xfId="22230" xr:uid="{C47ED4EA-88AD-4172-B6A6-259C9B19A1A8}"/>
    <cellStyle name="20% - Accent3 2 2 2 3 4" xfId="9575" xr:uid="{76D28FB5-3A88-44A0-A398-C200E4416649}"/>
    <cellStyle name="20% - Accent3 2 2 2 3 5" xfId="18013" xr:uid="{6C047711-1EEA-4020-A3B9-4818391A4A17}"/>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355F1A2D-8E85-41CC-A470-DD67ADE25550}"/>
    <cellStyle name="20% - Accent3 2 2 2 4 2 2 3" xfId="24788" xr:uid="{2D7E9900-CEA7-454F-A1DA-F3E4BDF2F265}"/>
    <cellStyle name="20% - Accent3 2 2 2 4 2 3" xfId="12133" xr:uid="{8FFB403A-0D14-4737-B59C-3316947A1E7C}"/>
    <cellStyle name="20% - Accent3 2 2 2 4 2 4" xfId="20571" xr:uid="{074CFE05-DDAB-4464-B2CA-4E33F81FC8E7}"/>
    <cellStyle name="20% - Accent3 2 2 2 4 3" xfId="5764" xr:uid="{00000000-0005-0000-0000-000050010000}"/>
    <cellStyle name="20% - Accent3 2 2 2 4 3 2" xfId="14206" xr:uid="{8E72485B-3D51-4BD4-AF55-7612A3AFA7E5}"/>
    <cellStyle name="20% - Accent3 2 2 2 4 3 3" xfId="22643" xr:uid="{54544AA5-6FE6-4765-9C06-1353447C127F}"/>
    <cellStyle name="20% - Accent3 2 2 2 4 4" xfId="9988" xr:uid="{625AD53E-CE62-4BA3-85ED-1AE32058ED06}"/>
    <cellStyle name="20% - Accent3 2 2 2 4 5" xfId="18426" xr:uid="{A101C04F-509B-4151-8E14-974967D041DE}"/>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645F4812-CB8C-4984-B025-95DF40FE7CEF}"/>
    <cellStyle name="20% - Accent3 2 2 2 5 2 2 3" xfId="25201" xr:uid="{359FD735-A0C0-4947-8CC6-590ADE4D816E}"/>
    <cellStyle name="20% - Accent3 2 2 2 5 2 3" xfId="12546" xr:uid="{85F5DAAC-B92D-45AE-8C91-DDC9BBFE0D71}"/>
    <cellStyle name="20% - Accent3 2 2 2 5 2 4" xfId="20984" xr:uid="{C0C9C767-CA4E-4DC5-B56B-D0EE2C05BABA}"/>
    <cellStyle name="20% - Accent3 2 2 2 5 3" xfId="6177" xr:uid="{00000000-0005-0000-0000-000054010000}"/>
    <cellStyle name="20% - Accent3 2 2 2 5 3 2" xfId="14619" xr:uid="{D5E1F60D-A082-41D0-97F8-02AE83F6B164}"/>
    <cellStyle name="20% - Accent3 2 2 2 5 3 3" xfId="23056" xr:uid="{8CF26C23-4D1A-47C4-8C44-EB7CAFC7E591}"/>
    <cellStyle name="20% - Accent3 2 2 2 5 4" xfId="10401" xr:uid="{9DC2C3AF-38F6-4752-B8C9-D78B733E264E}"/>
    <cellStyle name="20% - Accent3 2 2 2 5 5" xfId="18839" xr:uid="{E0FC81CF-BE00-4DDC-AE4F-7BB32A07D466}"/>
    <cellStyle name="20% - Accent3 2 2 2 6" xfId="2283" xr:uid="{00000000-0005-0000-0000-000055010000}"/>
    <cellStyle name="20% - Accent3 2 2 2 6 2" xfId="6590" xr:uid="{00000000-0005-0000-0000-000056010000}"/>
    <cellStyle name="20% - Accent3 2 2 2 6 2 2" xfId="15032" xr:uid="{8A219AC8-3DE3-4631-9E36-3DCA50BF2E50}"/>
    <cellStyle name="20% - Accent3 2 2 2 6 2 3" xfId="23469" xr:uid="{CDCDF73A-5121-4180-A558-6210830C4F0D}"/>
    <cellStyle name="20% - Accent3 2 2 2 6 3" xfId="10814" xr:uid="{71DA77E5-6CAB-4B68-979C-AC26C4C8F16F}"/>
    <cellStyle name="20% - Accent3 2 2 2 6 4" xfId="19252" xr:uid="{F7320FFC-60CD-4B33-9841-F3047782A5B7}"/>
    <cellStyle name="20% - Accent3 2 2 2 7" xfId="4524" xr:uid="{00000000-0005-0000-0000-000057010000}"/>
    <cellStyle name="20% - Accent3 2 2 2 7 2" xfId="12966" xr:uid="{8FD0643C-2D93-43EC-96E8-6DD3EDD94DF8}"/>
    <cellStyle name="20% - Accent3 2 2 2 7 3" xfId="21403" xr:uid="{8448B2CA-893E-4541-BF1A-DB8BB29E51F7}"/>
    <cellStyle name="20% - Accent3 2 2 2 8" xfId="8748" xr:uid="{2A0CFFFF-5623-4B0E-97A6-32DCBCA57F42}"/>
    <cellStyle name="20% - Accent3 2 2 2 9" xfId="17186" xr:uid="{ABFB2682-4DDE-44F5-B6AB-7341A7DA8199}"/>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D2936C2F-23FF-40D0-8362-248280C3494A}"/>
    <cellStyle name="20% - Accent3 2 2 3 2 2 3" xfId="23961" xr:uid="{00997CB5-844F-4EDC-91CA-CEEF6BB7B46B}"/>
    <cellStyle name="20% - Accent3 2 2 3 2 3" xfId="11306" xr:uid="{B8F95ED7-28BE-4FD5-83A3-277241D43EAB}"/>
    <cellStyle name="20% - Accent3 2 2 3 2 4" xfId="19744" xr:uid="{0EBE0389-69BE-49E6-9C03-0F0C177D7F7A}"/>
    <cellStyle name="20% - Accent3 2 2 3 3" xfId="4937" xr:uid="{00000000-0005-0000-0000-00005B010000}"/>
    <cellStyle name="20% - Accent3 2 2 3 3 2" xfId="13379" xr:uid="{9CE3F663-6E4C-4903-A24B-67D09FEC8D89}"/>
    <cellStyle name="20% - Accent3 2 2 3 3 3" xfId="21816" xr:uid="{2960BB9A-0DEB-4E81-81CD-2E88B28E113D}"/>
    <cellStyle name="20% - Accent3 2 2 3 4" xfId="9161" xr:uid="{882C41BB-5C1E-4CD0-860E-2E989F320B0D}"/>
    <cellStyle name="20% - Accent3 2 2 3 5" xfId="17599" xr:uid="{EBFCA0D1-36D8-4D1F-8506-0C7C20B8D78D}"/>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73E82ED0-4BEC-46B1-9A81-108746B05A11}"/>
    <cellStyle name="20% - Accent3 2 2 4 2 2 3" xfId="24374" xr:uid="{1BE9D78F-DEFE-4962-9F60-3F01AB279A1F}"/>
    <cellStyle name="20% - Accent3 2 2 4 2 3" xfId="11719" xr:uid="{27BC9F3C-61DA-4173-A7AC-3FB71228039F}"/>
    <cellStyle name="20% - Accent3 2 2 4 2 4" xfId="20157" xr:uid="{40744FBF-2E47-451B-BC8D-1B9A163725FC}"/>
    <cellStyle name="20% - Accent3 2 2 4 3" xfId="5350" xr:uid="{00000000-0005-0000-0000-00005F010000}"/>
    <cellStyle name="20% - Accent3 2 2 4 3 2" xfId="13792" xr:uid="{66E82D28-9705-4B59-A275-B063CAB39E7E}"/>
    <cellStyle name="20% - Accent3 2 2 4 3 3" xfId="22229" xr:uid="{8C755A91-9112-4F7F-9D1B-7354CA581648}"/>
    <cellStyle name="20% - Accent3 2 2 4 4" xfId="9574" xr:uid="{79C38182-5805-4D98-B5F3-E50173E965EE}"/>
    <cellStyle name="20% - Accent3 2 2 4 5" xfId="18012" xr:uid="{2D0F221A-DEB9-44A6-822B-A691FD70838C}"/>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1D4301D5-0D10-4138-A505-68C8127D5202}"/>
    <cellStyle name="20% - Accent3 2 2 5 2 2 3" xfId="24787" xr:uid="{B719BEEB-C80E-49BE-A4F0-D4D660BC264B}"/>
    <cellStyle name="20% - Accent3 2 2 5 2 3" xfId="12132" xr:uid="{2D6D628C-40AE-465B-8C27-1CA2E6A24B15}"/>
    <cellStyle name="20% - Accent3 2 2 5 2 4" xfId="20570" xr:uid="{FB7056C5-E50C-4D70-808D-0C53E37DD0F5}"/>
    <cellStyle name="20% - Accent3 2 2 5 3" xfId="5763" xr:uid="{00000000-0005-0000-0000-000063010000}"/>
    <cellStyle name="20% - Accent3 2 2 5 3 2" xfId="14205" xr:uid="{A6E550BD-FD58-4D53-8D2A-EA0BB9966251}"/>
    <cellStyle name="20% - Accent3 2 2 5 3 3" xfId="22642" xr:uid="{1661DCEA-3060-4D53-8C5C-0C6BFA33627A}"/>
    <cellStyle name="20% - Accent3 2 2 5 4" xfId="9987" xr:uid="{C757765B-68BA-404C-BD73-F774043E9A6C}"/>
    <cellStyle name="20% - Accent3 2 2 5 5" xfId="18425" xr:uid="{85B04A06-319A-4F99-BA13-53013BFAE81D}"/>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14E0E981-3761-457D-A7B0-B4A8BC8E53FB}"/>
    <cellStyle name="20% - Accent3 2 2 6 2 2 3" xfId="25200" xr:uid="{56DBEC2E-995C-485F-B0E2-97F04DF5C327}"/>
    <cellStyle name="20% - Accent3 2 2 6 2 3" xfId="12545" xr:uid="{C50E12EB-38B5-4D3E-AB39-4CDC4184E204}"/>
    <cellStyle name="20% - Accent3 2 2 6 2 4" xfId="20983" xr:uid="{8493F347-B4B9-401A-A448-24FEC9BBCBA6}"/>
    <cellStyle name="20% - Accent3 2 2 6 3" xfId="6176" xr:uid="{00000000-0005-0000-0000-000067010000}"/>
    <cellStyle name="20% - Accent3 2 2 6 3 2" xfId="14618" xr:uid="{7B0247D1-B24A-4BDF-A016-9AB63F42541F}"/>
    <cellStyle name="20% - Accent3 2 2 6 3 3" xfId="23055" xr:uid="{1D9E9395-1EE3-4A8C-985E-4B4372E016C2}"/>
    <cellStyle name="20% - Accent3 2 2 6 4" xfId="10400" xr:uid="{2E827A91-D75C-4B49-AECB-355CE53EA7C6}"/>
    <cellStyle name="20% - Accent3 2 2 6 5" xfId="18838" xr:uid="{CA71AF59-2BFF-4EBF-BE5B-810465C87554}"/>
    <cellStyle name="20% - Accent3 2 2 7" xfId="2282" xr:uid="{00000000-0005-0000-0000-000068010000}"/>
    <cellStyle name="20% - Accent3 2 2 7 2" xfId="6589" xr:uid="{00000000-0005-0000-0000-000069010000}"/>
    <cellStyle name="20% - Accent3 2 2 7 2 2" xfId="15031" xr:uid="{F653F80F-07E3-47D1-B611-4932A9A6A6AC}"/>
    <cellStyle name="20% - Accent3 2 2 7 2 3" xfId="23468" xr:uid="{C5529A3D-575F-4955-A0A1-22D39D8D3C74}"/>
    <cellStyle name="20% - Accent3 2 2 7 3" xfId="10813" xr:uid="{9870CF2E-222D-4BF3-BBB5-8EFDBA6B187E}"/>
    <cellStyle name="20% - Accent3 2 2 7 4" xfId="19251" xr:uid="{13554FDC-6DB3-4BDF-B3E2-547FC8FAF2D6}"/>
    <cellStyle name="20% - Accent3 2 2 8" xfId="4523" xr:uid="{00000000-0005-0000-0000-00006A010000}"/>
    <cellStyle name="20% - Accent3 2 2 8 2" xfId="12965" xr:uid="{37E846A2-C344-4041-A357-15A2B094DC15}"/>
    <cellStyle name="20% - Accent3 2 2 8 3" xfId="21402" xr:uid="{796E7145-08CB-41DC-B553-2EF8BFE841D4}"/>
    <cellStyle name="20% - Accent3 2 2 9" xfId="8747" xr:uid="{C2E5F990-FD59-4052-B656-DFE447001888}"/>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77EE2CE2-8FC2-4DB6-96AE-A072B1FF02C3}"/>
    <cellStyle name="20% - Accent3 2 3 2 2 2 3" xfId="23963" xr:uid="{01ADC018-661C-48AF-9D0A-55597D83EBD2}"/>
    <cellStyle name="20% - Accent3 2 3 2 2 3" xfId="11308" xr:uid="{A537002B-324F-4C28-B196-37035648CC2F}"/>
    <cellStyle name="20% - Accent3 2 3 2 2 4" xfId="19746" xr:uid="{169B9948-376F-42A1-B6A9-A76354670C39}"/>
    <cellStyle name="20% - Accent3 2 3 2 3" xfId="4939" xr:uid="{00000000-0005-0000-0000-00006F010000}"/>
    <cellStyle name="20% - Accent3 2 3 2 3 2" xfId="13381" xr:uid="{B00E2364-F1F1-4EF5-B3DF-93549D84B36C}"/>
    <cellStyle name="20% - Accent3 2 3 2 3 3" xfId="21818" xr:uid="{26C01177-A483-4315-8176-F72719AE70CD}"/>
    <cellStyle name="20% - Accent3 2 3 2 4" xfId="9163" xr:uid="{C6A705BC-7C09-45F6-B4F4-65193C6EE2DD}"/>
    <cellStyle name="20% - Accent3 2 3 2 5" xfId="17601" xr:uid="{A2B26A22-7DC3-4569-802A-409F7CA3ECD6}"/>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7F4A8295-F047-4D8F-B6CD-8E99E82D3AE1}"/>
    <cellStyle name="20% - Accent3 2 3 3 2 2 3" xfId="24376" xr:uid="{ED29C733-97B6-4F70-BFFE-7256CEBC00AC}"/>
    <cellStyle name="20% - Accent3 2 3 3 2 3" xfId="11721" xr:uid="{3484EBB9-1C88-4733-8E9B-4C9183A92B3F}"/>
    <cellStyle name="20% - Accent3 2 3 3 2 4" xfId="20159" xr:uid="{35C7CB82-1AB8-4E1C-B487-4A920753DDBB}"/>
    <cellStyle name="20% - Accent3 2 3 3 3" xfId="5352" xr:uid="{00000000-0005-0000-0000-000073010000}"/>
    <cellStyle name="20% - Accent3 2 3 3 3 2" xfId="13794" xr:uid="{C064B59D-D766-4730-AA7B-6141C457BC49}"/>
    <cellStyle name="20% - Accent3 2 3 3 3 3" xfId="22231" xr:uid="{7526A578-E56A-4293-91BF-0B34E0A01D47}"/>
    <cellStyle name="20% - Accent3 2 3 3 4" xfId="9576" xr:uid="{7CDBF6CE-5918-4FF1-99D3-B72277B9BF4E}"/>
    <cellStyle name="20% - Accent3 2 3 3 5" xfId="18014" xr:uid="{C8E85D14-B1EA-49B8-8C77-A68B7E8C4619}"/>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503F26FC-28C1-4897-934B-702B9B8253ED}"/>
    <cellStyle name="20% - Accent3 2 3 4 2 2 3" xfId="24789" xr:uid="{B41C97AC-80BC-422F-9BE9-60D52D760201}"/>
    <cellStyle name="20% - Accent3 2 3 4 2 3" xfId="12134" xr:uid="{C35452E6-5E7B-434F-9179-A21D03D1DE24}"/>
    <cellStyle name="20% - Accent3 2 3 4 2 4" xfId="20572" xr:uid="{2C6E25FE-DA6F-4106-AEFE-02C02EFCD4BE}"/>
    <cellStyle name="20% - Accent3 2 3 4 3" xfId="5765" xr:uid="{00000000-0005-0000-0000-000077010000}"/>
    <cellStyle name="20% - Accent3 2 3 4 3 2" xfId="14207" xr:uid="{D1862044-E1B7-462A-A08B-84ADC0C0D79A}"/>
    <cellStyle name="20% - Accent3 2 3 4 3 3" xfId="22644" xr:uid="{A0F109B6-62D2-4650-9107-27254FE1B81D}"/>
    <cellStyle name="20% - Accent3 2 3 4 4" xfId="9989" xr:uid="{9064FBAB-4ECB-4C56-8A9D-EE0FEA5937C3}"/>
    <cellStyle name="20% - Accent3 2 3 4 5" xfId="18427" xr:uid="{8247BD0B-2687-45F4-81B2-B1034BD7D3AD}"/>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D40C54D1-8F26-453A-AA19-220CFA9B309E}"/>
    <cellStyle name="20% - Accent3 2 3 5 2 2 3" xfId="25202" xr:uid="{58B5E4FB-127C-4916-9B90-0B3FFB3960CA}"/>
    <cellStyle name="20% - Accent3 2 3 5 2 3" xfId="12547" xr:uid="{F9A80F3A-9350-4B22-923F-B674CBE46E0A}"/>
    <cellStyle name="20% - Accent3 2 3 5 2 4" xfId="20985" xr:uid="{B189F4AB-FF8B-46C2-8B8E-7B575B4E6944}"/>
    <cellStyle name="20% - Accent3 2 3 5 3" xfId="6178" xr:uid="{00000000-0005-0000-0000-00007B010000}"/>
    <cellStyle name="20% - Accent3 2 3 5 3 2" xfId="14620" xr:uid="{B4D6C0F7-2150-432F-993A-14AFDC0CA96B}"/>
    <cellStyle name="20% - Accent3 2 3 5 3 3" xfId="23057" xr:uid="{5E65B826-4F35-4B4B-A719-437752C9D083}"/>
    <cellStyle name="20% - Accent3 2 3 5 4" xfId="10402" xr:uid="{D5934249-8D4A-4369-8841-82945FBD4C3D}"/>
    <cellStyle name="20% - Accent3 2 3 5 5" xfId="18840" xr:uid="{C7FDF55C-9B11-4950-9DAE-2F89BEF71525}"/>
    <cellStyle name="20% - Accent3 2 3 6" xfId="2284" xr:uid="{00000000-0005-0000-0000-00007C010000}"/>
    <cellStyle name="20% - Accent3 2 3 6 2" xfId="6591" xr:uid="{00000000-0005-0000-0000-00007D010000}"/>
    <cellStyle name="20% - Accent3 2 3 6 2 2" xfId="15033" xr:uid="{616E4EF8-F0D6-4AE5-9695-20F347F84CBF}"/>
    <cellStyle name="20% - Accent3 2 3 6 2 3" xfId="23470" xr:uid="{5FA6DB0D-320D-445E-902D-A3CA4E9512FA}"/>
    <cellStyle name="20% - Accent3 2 3 6 3" xfId="10815" xr:uid="{7831DAD1-E1A6-4732-A84F-F8CDEBBA7ADB}"/>
    <cellStyle name="20% - Accent3 2 3 6 4" xfId="19253" xr:uid="{59E00DA6-E2ED-4775-BC88-D5DA5C8507A1}"/>
    <cellStyle name="20% - Accent3 2 3 7" xfId="4525" xr:uid="{00000000-0005-0000-0000-00007E010000}"/>
    <cellStyle name="20% - Accent3 2 3 7 2" xfId="12967" xr:uid="{368F1C47-1D4B-4972-BC59-C161936D8048}"/>
    <cellStyle name="20% - Accent3 2 3 7 3" xfId="21404" xr:uid="{EFCBA6C7-2F5D-4EF0-9198-245164CFBA7D}"/>
    <cellStyle name="20% - Accent3 2 3 8" xfId="8749" xr:uid="{D455A390-9F55-46C9-AE57-0320EC1E55F1}"/>
    <cellStyle name="20% - Accent3 2 3 9" xfId="17187" xr:uid="{262173EB-551B-4E54-A544-0D6BFE85A71B}"/>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95268B93-673A-4008-9433-529FF6E1E637}"/>
    <cellStyle name="20% - Accent3 2 4 2 2 3" xfId="23960" xr:uid="{F53F80C7-BF23-4494-B5E5-A6FCE2FA3DE9}"/>
    <cellStyle name="20% - Accent3 2 4 2 3" xfId="11305" xr:uid="{77EA93A1-7333-4084-AB28-3BA968C9A7D9}"/>
    <cellStyle name="20% - Accent3 2 4 2 4" xfId="19743" xr:uid="{85C776D9-EBB7-4580-A4A4-92B629D27DE2}"/>
    <cellStyle name="20% - Accent3 2 4 3" xfId="4936" xr:uid="{00000000-0005-0000-0000-000082010000}"/>
    <cellStyle name="20% - Accent3 2 4 3 2" xfId="13378" xr:uid="{4FDB2563-17AE-468E-AF65-0497B8081A84}"/>
    <cellStyle name="20% - Accent3 2 4 3 3" xfId="21815" xr:uid="{0CDE9808-0DEB-4F02-BB0E-6153AB082A9B}"/>
    <cellStyle name="20% - Accent3 2 4 4" xfId="9160" xr:uid="{4D668EFC-F1DA-453C-9886-A8A09C083C97}"/>
    <cellStyle name="20% - Accent3 2 4 5" xfId="17598" xr:uid="{AED14B88-2AF3-42EF-850D-9B2997C0F33E}"/>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842C7D3B-9B26-48B4-8E6E-7F503AD01064}"/>
    <cellStyle name="20% - Accent3 2 5 2 2 3" xfId="24373" xr:uid="{DA2EAE69-802B-403F-A8EE-9002AC853153}"/>
    <cellStyle name="20% - Accent3 2 5 2 3" xfId="11718" xr:uid="{3BF074CE-2BD1-410E-B7A4-417B5F470482}"/>
    <cellStyle name="20% - Accent3 2 5 2 4" xfId="20156" xr:uid="{B2FFFBC3-B542-46D4-ABB6-2F256E34FB8E}"/>
    <cellStyle name="20% - Accent3 2 5 3" xfId="5349" xr:uid="{00000000-0005-0000-0000-000086010000}"/>
    <cellStyle name="20% - Accent3 2 5 3 2" xfId="13791" xr:uid="{3FFCC691-7121-49BF-BAD6-341475F55239}"/>
    <cellStyle name="20% - Accent3 2 5 3 3" xfId="22228" xr:uid="{B0480D03-177F-4643-9328-5C9E3E451693}"/>
    <cellStyle name="20% - Accent3 2 5 4" xfId="9573" xr:uid="{56C71CE5-AF2D-4C99-9BD1-CE05967F9DDC}"/>
    <cellStyle name="20% - Accent3 2 5 5" xfId="18011" xr:uid="{ECE3D447-34A8-4284-B393-9938C54489F9}"/>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E7FB2692-33EE-415F-A8F9-031245517E3D}"/>
    <cellStyle name="20% - Accent3 2 6 2 2 3" xfId="24786" xr:uid="{B97798FC-85C9-433F-B881-762801EE866C}"/>
    <cellStyle name="20% - Accent3 2 6 2 3" xfId="12131" xr:uid="{B42666AE-E3AD-410E-9F99-540BC857622C}"/>
    <cellStyle name="20% - Accent3 2 6 2 4" xfId="20569" xr:uid="{8491DFB1-C670-4A17-A3D4-85427A8C56D1}"/>
    <cellStyle name="20% - Accent3 2 6 3" xfId="5762" xr:uid="{00000000-0005-0000-0000-00008A010000}"/>
    <cellStyle name="20% - Accent3 2 6 3 2" xfId="14204" xr:uid="{DB620EBF-9384-472F-98C7-58EE8353C0D6}"/>
    <cellStyle name="20% - Accent3 2 6 3 3" xfId="22641" xr:uid="{D2830A3A-6936-4B69-92F6-1CA22CF39BDA}"/>
    <cellStyle name="20% - Accent3 2 6 4" xfId="9986" xr:uid="{23C872F0-98BB-4E4B-8588-76C5A083F1E9}"/>
    <cellStyle name="20% - Accent3 2 6 5" xfId="18424" xr:uid="{A4CED299-EEC0-40AA-824D-D6B3625CF693}"/>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66D0F523-80A0-48A8-A614-E4ED63147341}"/>
    <cellStyle name="20% - Accent3 2 7 2 2 3" xfId="25199" xr:uid="{0A0DAE8C-F4B1-4728-829D-5C4FA3C74C34}"/>
    <cellStyle name="20% - Accent3 2 7 2 3" xfId="12544" xr:uid="{2ADB8523-889E-4E88-8B5F-B968997AFCBF}"/>
    <cellStyle name="20% - Accent3 2 7 2 4" xfId="20982" xr:uid="{57ACE68D-F324-4B6B-938A-D75029A16528}"/>
    <cellStyle name="20% - Accent3 2 7 3" xfId="6175" xr:uid="{00000000-0005-0000-0000-00008E010000}"/>
    <cellStyle name="20% - Accent3 2 7 3 2" xfId="14617" xr:uid="{554CFE02-AB69-4E92-A7A1-D6CBD7CD579B}"/>
    <cellStyle name="20% - Accent3 2 7 3 3" xfId="23054" xr:uid="{59FD81C5-A184-4E21-BCFA-18C7E61753FE}"/>
    <cellStyle name="20% - Accent3 2 7 4" xfId="10399" xr:uid="{242C78D1-1605-48C8-BD39-4EFA3255C570}"/>
    <cellStyle name="20% - Accent3 2 7 5" xfId="18837" xr:uid="{3F28CC18-410C-4501-A103-72989FB1FEBF}"/>
    <cellStyle name="20% - Accent3 2 8" xfId="2281" xr:uid="{00000000-0005-0000-0000-00008F010000}"/>
    <cellStyle name="20% - Accent3 2 8 2" xfId="6588" xr:uid="{00000000-0005-0000-0000-000090010000}"/>
    <cellStyle name="20% - Accent3 2 8 2 2" xfId="15030" xr:uid="{922E072C-80A6-4FAD-8D5A-CF5509104893}"/>
    <cellStyle name="20% - Accent3 2 8 2 3" xfId="23467" xr:uid="{45E4D522-11C5-4FAB-BF7D-8D1257E82C3B}"/>
    <cellStyle name="20% - Accent3 2 8 3" xfId="10812" xr:uid="{62A2C566-A47F-4098-8542-DDA384A232D4}"/>
    <cellStyle name="20% - Accent3 2 8 4" xfId="19250" xr:uid="{E477BD60-C3F1-41CE-9250-E20F02E38955}"/>
    <cellStyle name="20% - Accent3 2 9" xfId="4522" xr:uid="{00000000-0005-0000-0000-000091010000}"/>
    <cellStyle name="20% - Accent3 2 9 2" xfId="12964" xr:uid="{A867B74E-74B2-4CFF-945D-C7C573AA84AC}"/>
    <cellStyle name="20% - Accent3 2 9 3" xfId="21401" xr:uid="{F6B58953-D09A-4826-899A-A36B0F58454A}"/>
    <cellStyle name="20% - Accent3 3" xfId="22" xr:uid="{00000000-0005-0000-0000-000092010000}"/>
    <cellStyle name="20% - Accent3 3 10" xfId="17188" xr:uid="{C35B3527-099B-4BE8-A192-70108061778E}"/>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910FE8BB-3EA5-445E-A3CA-053E3DD46317}"/>
    <cellStyle name="20% - Accent3 3 2 2 2 2 3" xfId="23965" xr:uid="{929E3B1C-3ABE-4605-AE80-F4A749F7E3A4}"/>
    <cellStyle name="20% - Accent3 3 2 2 2 3" xfId="11310" xr:uid="{D547128E-D4A6-4A3D-9677-0C6815BC9DF4}"/>
    <cellStyle name="20% - Accent3 3 2 2 2 4" xfId="19748" xr:uid="{96103F5C-5092-4D90-A075-34BEFD57B02C}"/>
    <cellStyle name="20% - Accent3 3 2 2 3" xfId="4941" xr:uid="{00000000-0005-0000-0000-000097010000}"/>
    <cellStyle name="20% - Accent3 3 2 2 3 2" xfId="13383" xr:uid="{B83F3FC6-F22F-49C0-AEB1-51FC33BE1303}"/>
    <cellStyle name="20% - Accent3 3 2 2 3 3" xfId="21820" xr:uid="{FFA938A5-D074-49B5-8D52-3FA985A2CC83}"/>
    <cellStyle name="20% - Accent3 3 2 2 4" xfId="9165" xr:uid="{CAF88FAB-D148-41ED-8850-398DB0528218}"/>
    <cellStyle name="20% - Accent3 3 2 2 5" xfId="17603" xr:uid="{B8133FB9-3450-42AD-8C69-E027B3035C48}"/>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031F4A66-8F68-435A-8179-F1C20F19C6ED}"/>
    <cellStyle name="20% - Accent3 3 2 3 2 2 3" xfId="24378" xr:uid="{EBEE636D-45BA-4E3B-BE43-20CACC5C5408}"/>
    <cellStyle name="20% - Accent3 3 2 3 2 3" xfId="11723" xr:uid="{2EE7ADA6-1F69-48C0-9ED6-933FE5D675F7}"/>
    <cellStyle name="20% - Accent3 3 2 3 2 4" xfId="20161" xr:uid="{B7AC2E3F-D48C-45E4-A2C0-A7F9835D1EC5}"/>
    <cellStyle name="20% - Accent3 3 2 3 3" xfId="5354" xr:uid="{00000000-0005-0000-0000-00009B010000}"/>
    <cellStyle name="20% - Accent3 3 2 3 3 2" xfId="13796" xr:uid="{67469F15-504D-42CD-AAC2-E27A47CD1E82}"/>
    <cellStyle name="20% - Accent3 3 2 3 3 3" xfId="22233" xr:uid="{749EE9B7-ADA1-4B5B-AFC6-11B689CC7757}"/>
    <cellStyle name="20% - Accent3 3 2 3 4" xfId="9578" xr:uid="{F63BEE8B-F5CF-48BC-9316-3CFD179D2A64}"/>
    <cellStyle name="20% - Accent3 3 2 3 5" xfId="18016" xr:uid="{5BF2A8DD-FB9C-4D7D-9FE4-6E56FEDF0EDE}"/>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2DA19BC6-F06C-4956-BB43-2F5CB40479BA}"/>
    <cellStyle name="20% - Accent3 3 2 4 2 2 3" xfId="24791" xr:uid="{8303CF42-B85E-4BB7-ACAB-D57FF7271FFD}"/>
    <cellStyle name="20% - Accent3 3 2 4 2 3" xfId="12136" xr:uid="{EE8DC051-FE75-46AB-9569-0C2527FEEB47}"/>
    <cellStyle name="20% - Accent3 3 2 4 2 4" xfId="20574" xr:uid="{994DFE5F-BBF7-4EBD-9CB0-5CCC07787EDD}"/>
    <cellStyle name="20% - Accent3 3 2 4 3" xfId="5767" xr:uid="{00000000-0005-0000-0000-00009F010000}"/>
    <cellStyle name="20% - Accent3 3 2 4 3 2" xfId="14209" xr:uid="{0E9BE094-77F2-41B1-B138-0D0E4D90E0EF}"/>
    <cellStyle name="20% - Accent3 3 2 4 3 3" xfId="22646" xr:uid="{77E1F454-5514-404C-9D41-8F19C3D520E8}"/>
    <cellStyle name="20% - Accent3 3 2 4 4" xfId="9991" xr:uid="{C155D3D9-6F30-404F-B9EC-009D10BA0AD8}"/>
    <cellStyle name="20% - Accent3 3 2 4 5" xfId="18429" xr:uid="{451B8FC4-996A-435F-92FD-073C057868F4}"/>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464A6D8F-89A7-439E-9B97-20E1720801B6}"/>
    <cellStyle name="20% - Accent3 3 2 5 2 2 3" xfId="25204" xr:uid="{1949F200-759F-4A74-96C7-72A6CA3ACCB4}"/>
    <cellStyle name="20% - Accent3 3 2 5 2 3" xfId="12549" xr:uid="{AB79182F-4EB3-4989-B49B-78005DA7D111}"/>
    <cellStyle name="20% - Accent3 3 2 5 2 4" xfId="20987" xr:uid="{D0019D7A-DD4D-43D0-A4B8-E1C0D5AE49B6}"/>
    <cellStyle name="20% - Accent3 3 2 5 3" xfId="6180" xr:uid="{00000000-0005-0000-0000-0000A3010000}"/>
    <cellStyle name="20% - Accent3 3 2 5 3 2" xfId="14622" xr:uid="{47C74E80-D948-46AF-927F-98FD15941D21}"/>
    <cellStyle name="20% - Accent3 3 2 5 3 3" xfId="23059" xr:uid="{F766047F-59F4-4B40-833A-B6C5D133BDE0}"/>
    <cellStyle name="20% - Accent3 3 2 5 4" xfId="10404" xr:uid="{76AC6A3A-70E2-473D-A7C6-30AC5740ED91}"/>
    <cellStyle name="20% - Accent3 3 2 5 5" xfId="18842" xr:uid="{3ED704B4-B01B-49FC-999F-6DA64CF3779C}"/>
    <cellStyle name="20% - Accent3 3 2 6" xfId="2286" xr:uid="{00000000-0005-0000-0000-0000A4010000}"/>
    <cellStyle name="20% - Accent3 3 2 6 2" xfId="6593" xr:uid="{00000000-0005-0000-0000-0000A5010000}"/>
    <cellStyle name="20% - Accent3 3 2 6 2 2" xfId="15035" xr:uid="{A7B81475-A569-467D-9F3C-BE5C98197E6D}"/>
    <cellStyle name="20% - Accent3 3 2 6 2 3" xfId="23472" xr:uid="{1ECB48EF-E680-4B32-9232-2DF46E6C92C2}"/>
    <cellStyle name="20% - Accent3 3 2 6 3" xfId="10817" xr:uid="{C046BC8A-D632-4F09-A488-3ABF4849E002}"/>
    <cellStyle name="20% - Accent3 3 2 6 4" xfId="19255" xr:uid="{C2190937-D781-4F56-B388-A50843C5AB4B}"/>
    <cellStyle name="20% - Accent3 3 2 7" xfId="4527" xr:uid="{00000000-0005-0000-0000-0000A6010000}"/>
    <cellStyle name="20% - Accent3 3 2 7 2" xfId="12969" xr:uid="{C2310B70-025B-456F-853F-1CB3EA3B5B15}"/>
    <cellStyle name="20% - Accent3 3 2 7 3" xfId="21406" xr:uid="{68580563-8194-4663-8D73-4C9FFC088714}"/>
    <cellStyle name="20% - Accent3 3 2 8" xfId="8751" xr:uid="{E5784BE8-F9B6-4568-B2DE-6BBA59325357}"/>
    <cellStyle name="20% - Accent3 3 2 9" xfId="17189" xr:uid="{20782C08-D820-4B4C-B703-DF53C82D886F}"/>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2A4C2A73-E560-4B61-A41A-54E6785651CF}"/>
    <cellStyle name="20% - Accent3 3 3 2 2 3" xfId="23964" xr:uid="{ACBDD5F2-A9F8-47B7-9332-29344E0B1695}"/>
    <cellStyle name="20% - Accent3 3 3 2 3" xfId="11309" xr:uid="{C223825D-74A5-4DA1-98C2-E1DB27E39F56}"/>
    <cellStyle name="20% - Accent3 3 3 2 4" xfId="19747" xr:uid="{C2A48715-A388-4732-9F00-CDEBE3C151F3}"/>
    <cellStyle name="20% - Accent3 3 3 3" xfId="4940" xr:uid="{00000000-0005-0000-0000-0000AA010000}"/>
    <cellStyle name="20% - Accent3 3 3 3 2" xfId="13382" xr:uid="{95995EF1-9A82-4992-949B-3AB4113D8FA3}"/>
    <cellStyle name="20% - Accent3 3 3 3 3" xfId="21819" xr:uid="{86E7B8B4-EF6A-4AF2-9E81-4E1128FE4547}"/>
    <cellStyle name="20% - Accent3 3 3 4" xfId="9164" xr:uid="{C0582314-F7CA-4A07-BCBA-720457F68EDB}"/>
    <cellStyle name="20% - Accent3 3 3 5" xfId="17602" xr:uid="{50054C98-913A-4C1E-AD1C-355AE27AB231}"/>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94DE15C2-F803-4756-85E0-AD78BD7A2211}"/>
    <cellStyle name="20% - Accent3 3 4 2 2 3" xfId="24377" xr:uid="{E7BE4F42-40ED-4186-8063-B8328CBA5574}"/>
    <cellStyle name="20% - Accent3 3 4 2 3" xfId="11722" xr:uid="{74BD7537-39F7-4447-9F4B-C18445C9546B}"/>
    <cellStyle name="20% - Accent3 3 4 2 4" xfId="20160" xr:uid="{AC5DFE52-DF8A-4B94-AFAF-EF1ED02922E3}"/>
    <cellStyle name="20% - Accent3 3 4 3" xfId="5353" xr:uid="{00000000-0005-0000-0000-0000AE010000}"/>
    <cellStyle name="20% - Accent3 3 4 3 2" xfId="13795" xr:uid="{E0C91948-A808-4D9D-98AA-A49DA6FCFBCB}"/>
    <cellStyle name="20% - Accent3 3 4 3 3" xfId="22232" xr:uid="{1F3150F7-154D-4742-B947-4625AF388CE9}"/>
    <cellStyle name="20% - Accent3 3 4 4" xfId="9577" xr:uid="{13284F86-7783-49E1-A1FD-0A80B4393A1F}"/>
    <cellStyle name="20% - Accent3 3 4 5" xfId="18015" xr:uid="{2A4F3A30-0D93-4395-AFF1-626E21FF937D}"/>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98DE1D95-D132-490D-AC65-A128CA0AD37E}"/>
    <cellStyle name="20% - Accent3 3 5 2 2 3" xfId="24790" xr:uid="{539102D2-9CEA-4F53-AAEC-2A016A6006AF}"/>
    <cellStyle name="20% - Accent3 3 5 2 3" xfId="12135" xr:uid="{183371F9-E54B-48E7-ABA4-257DB0B526CD}"/>
    <cellStyle name="20% - Accent3 3 5 2 4" xfId="20573" xr:uid="{2CA825EC-14A7-4A59-BFF9-448D63297E8F}"/>
    <cellStyle name="20% - Accent3 3 5 3" xfId="5766" xr:uid="{00000000-0005-0000-0000-0000B2010000}"/>
    <cellStyle name="20% - Accent3 3 5 3 2" xfId="14208" xr:uid="{C9D3761A-C5B1-429C-B618-355C0AAC7357}"/>
    <cellStyle name="20% - Accent3 3 5 3 3" xfId="22645" xr:uid="{7E9C9913-838C-406F-8974-0DA5FD7CC6C0}"/>
    <cellStyle name="20% - Accent3 3 5 4" xfId="9990" xr:uid="{91B84F3B-4BBB-4487-BBBA-40C20BDB8251}"/>
    <cellStyle name="20% - Accent3 3 5 5" xfId="18428" xr:uid="{85251159-BE6D-4A4D-8A08-4035FDC2F0D2}"/>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E6E23BC3-27BD-47DB-8086-DCC7291EFD6C}"/>
    <cellStyle name="20% - Accent3 3 6 2 2 3" xfId="25203" xr:uid="{6864FD9E-76FB-4370-952B-A75837F2C2B1}"/>
    <cellStyle name="20% - Accent3 3 6 2 3" xfId="12548" xr:uid="{1F2ABE42-6414-4393-B85B-F9532360F679}"/>
    <cellStyle name="20% - Accent3 3 6 2 4" xfId="20986" xr:uid="{E766449B-308F-4077-A5B4-1C3285D49133}"/>
    <cellStyle name="20% - Accent3 3 6 3" xfId="6179" xr:uid="{00000000-0005-0000-0000-0000B6010000}"/>
    <cellStyle name="20% - Accent3 3 6 3 2" xfId="14621" xr:uid="{C2274027-1C5B-426C-B4CB-D6CE1A4CC8C2}"/>
    <cellStyle name="20% - Accent3 3 6 3 3" xfId="23058" xr:uid="{DE65250C-61D8-4879-B787-79576B9B63C0}"/>
    <cellStyle name="20% - Accent3 3 6 4" xfId="10403" xr:uid="{845312C0-8426-42CE-929C-30E09E081BE6}"/>
    <cellStyle name="20% - Accent3 3 6 5" xfId="18841" xr:uid="{625EE9A2-F36A-4491-AFAB-7B5D0FDD8430}"/>
    <cellStyle name="20% - Accent3 3 7" xfId="2285" xr:uid="{00000000-0005-0000-0000-0000B7010000}"/>
    <cellStyle name="20% - Accent3 3 7 2" xfId="6592" xr:uid="{00000000-0005-0000-0000-0000B8010000}"/>
    <cellStyle name="20% - Accent3 3 7 2 2" xfId="15034" xr:uid="{C17940DE-C345-43FD-93B8-3409B4DC88D0}"/>
    <cellStyle name="20% - Accent3 3 7 2 3" xfId="23471" xr:uid="{AC773A68-793D-46D2-A9FF-E4146F008FD7}"/>
    <cellStyle name="20% - Accent3 3 7 3" xfId="10816" xr:uid="{9FB0B9BC-68C7-44F1-9C46-3D802E930F73}"/>
    <cellStyle name="20% - Accent3 3 7 4" xfId="19254" xr:uid="{6A068E46-76DD-4802-A6A3-6DF188CC810E}"/>
    <cellStyle name="20% - Accent3 3 8" xfId="4526" xr:uid="{00000000-0005-0000-0000-0000B9010000}"/>
    <cellStyle name="20% - Accent3 3 8 2" xfId="12968" xr:uid="{60AFDFC3-79BB-419C-A00C-B7FBF33D5AFD}"/>
    <cellStyle name="20% - Accent3 3 8 3" xfId="21405" xr:uid="{F21FFCD0-8275-4DCB-A011-00B2249A0BE4}"/>
    <cellStyle name="20% - Accent3 3 9" xfId="8750" xr:uid="{170F5D67-A3F8-4E26-B0C1-168F8B697FD5}"/>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7E9D4DCB-0A07-4E0A-92C8-1EB8480AB472}"/>
    <cellStyle name="20% - Accent3 4 2 2 2 3" xfId="23966" xr:uid="{085D5C41-6C07-4F00-8D0F-6289E1F0F873}"/>
    <cellStyle name="20% - Accent3 4 2 2 3" xfId="11311" xr:uid="{44BF6E33-6554-4FB2-A480-3CEF595A8686}"/>
    <cellStyle name="20% - Accent3 4 2 2 4" xfId="19749" xr:uid="{1C24FEA3-7CA9-4057-A298-4E4A03AAECE0}"/>
    <cellStyle name="20% - Accent3 4 2 3" xfId="4942" xr:uid="{00000000-0005-0000-0000-0000BE010000}"/>
    <cellStyle name="20% - Accent3 4 2 3 2" xfId="13384" xr:uid="{FEE396FC-4B49-481F-AC90-8D9D95F70EA3}"/>
    <cellStyle name="20% - Accent3 4 2 3 3" xfId="21821" xr:uid="{B033D5D9-A7E0-4392-B98E-C557D45DB116}"/>
    <cellStyle name="20% - Accent3 4 2 4" xfId="9166" xr:uid="{74BF4B29-03AE-45EB-8A92-7B00CA50F5D9}"/>
    <cellStyle name="20% - Accent3 4 2 5" xfId="17604" xr:uid="{72512D8A-D4A2-4534-AE73-DCA4D3981832}"/>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92C70261-0979-485A-BBF4-6E9AF09B5992}"/>
    <cellStyle name="20% - Accent3 4 3 2 2 3" xfId="24379" xr:uid="{2723E1DD-7C74-4FE7-A2E8-06D8C27E015A}"/>
    <cellStyle name="20% - Accent3 4 3 2 3" xfId="11724" xr:uid="{5237C051-A000-438C-AF38-AEE380032DE4}"/>
    <cellStyle name="20% - Accent3 4 3 2 4" xfId="20162" xr:uid="{3BA3322E-3A65-4099-B229-237E7A743F79}"/>
    <cellStyle name="20% - Accent3 4 3 3" xfId="5355" xr:uid="{00000000-0005-0000-0000-0000C2010000}"/>
    <cellStyle name="20% - Accent3 4 3 3 2" xfId="13797" xr:uid="{8465806D-36DB-4B67-BA5A-2A9BC742A2AA}"/>
    <cellStyle name="20% - Accent3 4 3 3 3" xfId="22234" xr:uid="{B6BF8BEA-5FB6-44CD-8A40-E5B88FC1CA39}"/>
    <cellStyle name="20% - Accent3 4 3 4" xfId="9579" xr:uid="{311F6235-553A-4AD2-B5CF-86E33436518F}"/>
    <cellStyle name="20% - Accent3 4 3 5" xfId="18017" xr:uid="{4FB39738-0398-4F02-B9F0-3737A4F57EB4}"/>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70AB99DE-359D-4B9F-8F7B-4CD199B601B9}"/>
    <cellStyle name="20% - Accent3 4 4 2 2 3" xfId="24792" xr:uid="{38110F91-7500-46D8-801E-4910B391EFEF}"/>
    <cellStyle name="20% - Accent3 4 4 2 3" xfId="12137" xr:uid="{0DA0BC9D-8744-4262-982C-C614AC3DD6E6}"/>
    <cellStyle name="20% - Accent3 4 4 2 4" xfId="20575" xr:uid="{9BD3B386-CA65-479D-BB34-06A10E661F92}"/>
    <cellStyle name="20% - Accent3 4 4 3" xfId="5768" xr:uid="{00000000-0005-0000-0000-0000C6010000}"/>
    <cellStyle name="20% - Accent3 4 4 3 2" xfId="14210" xr:uid="{B8D03403-62EF-46C2-91E4-27377835DDAC}"/>
    <cellStyle name="20% - Accent3 4 4 3 3" xfId="22647" xr:uid="{A5E46035-CC13-4D92-A239-AA48E6B010AC}"/>
    <cellStyle name="20% - Accent3 4 4 4" xfId="9992" xr:uid="{047198C7-77C1-4386-AA75-467F1BE055F9}"/>
    <cellStyle name="20% - Accent3 4 4 5" xfId="18430" xr:uid="{E11D6394-6DD8-4E9A-836A-895F6A429831}"/>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70F9386D-613A-404C-91C3-30D40214C58E}"/>
    <cellStyle name="20% - Accent3 4 5 2 2 3" xfId="25205" xr:uid="{4B5ADA1B-96AC-49B5-B1EA-9A6213A992BC}"/>
    <cellStyle name="20% - Accent3 4 5 2 3" xfId="12550" xr:uid="{858D5A60-512C-45D2-A2CD-85F63CE170AE}"/>
    <cellStyle name="20% - Accent3 4 5 2 4" xfId="20988" xr:uid="{5CE45E6E-693E-468D-8E44-C0256775D898}"/>
    <cellStyle name="20% - Accent3 4 5 3" xfId="6181" xr:uid="{00000000-0005-0000-0000-0000CA010000}"/>
    <cellStyle name="20% - Accent3 4 5 3 2" xfId="14623" xr:uid="{8CF67DB4-F46F-42AD-94FF-AE135B5FC033}"/>
    <cellStyle name="20% - Accent3 4 5 3 3" xfId="23060" xr:uid="{E1C64DE7-3DC4-4EEA-BCAF-F88E0AF184FA}"/>
    <cellStyle name="20% - Accent3 4 5 4" xfId="10405" xr:uid="{6263B5B0-D4AC-467F-948E-351357645A57}"/>
    <cellStyle name="20% - Accent3 4 5 5" xfId="18843" xr:uid="{06DC7672-61C9-43F1-86ED-4805662A7AEE}"/>
    <cellStyle name="20% - Accent3 4 6" xfId="2287" xr:uid="{00000000-0005-0000-0000-0000CB010000}"/>
    <cellStyle name="20% - Accent3 4 6 2" xfId="6594" xr:uid="{00000000-0005-0000-0000-0000CC010000}"/>
    <cellStyle name="20% - Accent3 4 6 2 2" xfId="15036" xr:uid="{856E4929-2B4D-46DA-B604-B313E802202A}"/>
    <cellStyle name="20% - Accent3 4 6 2 3" xfId="23473" xr:uid="{868229C1-2A21-4DF6-BE98-BFE896F86FFE}"/>
    <cellStyle name="20% - Accent3 4 6 3" xfId="10818" xr:uid="{8746F715-DDCF-4D17-B799-93BA31FA0BFA}"/>
    <cellStyle name="20% - Accent3 4 6 4" xfId="19256" xr:uid="{822BC2B5-CBE0-4331-8278-371004A196D0}"/>
    <cellStyle name="20% - Accent3 4 7" xfId="4528" xr:uid="{00000000-0005-0000-0000-0000CD010000}"/>
    <cellStyle name="20% - Accent3 4 7 2" xfId="12970" xr:uid="{E2410D32-B80C-4241-B965-F64E766B8CD9}"/>
    <cellStyle name="20% - Accent3 4 7 3" xfId="21407" xr:uid="{C4D6ED4F-59C2-4800-8D99-46F1E402E844}"/>
    <cellStyle name="20% - Accent3 4 8" xfId="8752" xr:uid="{88F7A8C0-09C7-4BC7-AA7B-20FC77907AEB}"/>
    <cellStyle name="20% - Accent3 4 9" xfId="17190" xr:uid="{AA719D0B-A204-45DA-A39B-D9BB900DC7B6}"/>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41E503C7-9932-4A77-8B66-0BB41DC564E8}"/>
    <cellStyle name="20% - Accent3 5 2 2 3" xfId="23959" xr:uid="{7331C4C2-6844-47BC-B2CB-7D738F1F88E8}"/>
    <cellStyle name="20% - Accent3 5 2 3" xfId="11304" xr:uid="{6A9BB054-7B99-46C4-B7A8-982BFD6A148C}"/>
    <cellStyle name="20% - Accent3 5 2 4" xfId="19742" xr:uid="{2CFC4DF8-ED39-420C-930C-97876964BD47}"/>
    <cellStyle name="20% - Accent3 5 3" xfId="4935" xr:uid="{00000000-0005-0000-0000-0000D1010000}"/>
    <cellStyle name="20% - Accent3 5 3 2" xfId="13377" xr:uid="{8367FC63-33DA-4544-82E9-BB3B27DEEF05}"/>
    <cellStyle name="20% - Accent3 5 3 3" xfId="21814" xr:uid="{71DFF94B-FC29-49D8-A38F-573B3046558F}"/>
    <cellStyle name="20% - Accent3 5 4" xfId="9159" xr:uid="{4AF80274-AEC8-4029-80F5-B919E7D781F6}"/>
    <cellStyle name="20% - Accent3 5 5" xfId="17597" xr:uid="{C45A6B4E-9A5C-467E-B53C-2C79071EEC21}"/>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975F37E6-B92A-4B3D-8845-A65B2D6AB60C}"/>
    <cellStyle name="20% - Accent3 6 2 2 3" xfId="24372" xr:uid="{CA0A58D5-861B-43AF-B29F-261DABC70252}"/>
    <cellStyle name="20% - Accent3 6 2 3" xfId="11717" xr:uid="{B48F275B-7CB3-4941-BB3C-D8C7EE8B05BB}"/>
    <cellStyle name="20% - Accent3 6 2 4" xfId="20155" xr:uid="{B50C0F1E-0E70-4129-B06D-7BCB3361AA72}"/>
    <cellStyle name="20% - Accent3 6 3" xfId="5348" xr:uid="{00000000-0005-0000-0000-0000D5010000}"/>
    <cellStyle name="20% - Accent3 6 3 2" xfId="13790" xr:uid="{FD5BF9EB-D11F-4736-9BE4-6CD1A4771895}"/>
    <cellStyle name="20% - Accent3 6 3 3" xfId="22227" xr:uid="{4C4C54E7-E9D4-448B-A455-6CC1F5104EEB}"/>
    <cellStyle name="20% - Accent3 6 4" xfId="9572" xr:uid="{FB51C56B-4C69-49A6-8315-78B163EF1552}"/>
    <cellStyle name="20% - Accent3 6 5" xfId="18010" xr:uid="{33118DF6-71BA-4FD7-A0DF-F500A66A41B5}"/>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C7AC43B7-B218-4CC6-B022-41995CE08A05}"/>
    <cellStyle name="20% - Accent3 7 2 2 3" xfId="24785" xr:uid="{631BC1AE-2CD8-4A33-A51A-EE19581C59B8}"/>
    <cellStyle name="20% - Accent3 7 2 3" xfId="12130" xr:uid="{18839B81-29BE-4252-A582-98EC3E95B89A}"/>
    <cellStyle name="20% - Accent3 7 2 4" xfId="20568" xr:uid="{5597C1AB-A7AD-48CA-BA30-14C78E133E38}"/>
    <cellStyle name="20% - Accent3 7 3" xfId="5761" xr:uid="{00000000-0005-0000-0000-0000D9010000}"/>
    <cellStyle name="20% - Accent3 7 3 2" xfId="14203" xr:uid="{6E6FFD53-8FCE-45B0-9BD1-D474164C1D0E}"/>
    <cellStyle name="20% - Accent3 7 3 3" xfId="22640" xr:uid="{B6481F77-FBA2-45A1-AE19-B438E71887CE}"/>
    <cellStyle name="20% - Accent3 7 4" xfId="9985" xr:uid="{211D527F-AD04-45D8-8D8B-5A22C496BC74}"/>
    <cellStyle name="20% - Accent3 7 5" xfId="18423" xr:uid="{DA44FB8E-23A9-4DB0-B178-A3C1CD49C37B}"/>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AB78C132-53E7-41F3-8568-0E891B421281}"/>
    <cellStyle name="20% - Accent3 8 2 2 3" xfId="25198" xr:uid="{58FD3F5B-4B26-457B-8606-0732BBBE6357}"/>
    <cellStyle name="20% - Accent3 8 2 3" xfId="12543" xr:uid="{027B7EF7-4CC6-43C5-A111-60D0ACB71DBD}"/>
    <cellStyle name="20% - Accent3 8 2 4" xfId="20981" xr:uid="{B90E57ED-26E0-4A11-AA41-BEEED846D4EC}"/>
    <cellStyle name="20% - Accent3 8 3" xfId="6174" xr:uid="{00000000-0005-0000-0000-0000DD010000}"/>
    <cellStyle name="20% - Accent3 8 3 2" xfId="14616" xr:uid="{A1F2B76D-2A1E-4826-8781-A81804D6D5FC}"/>
    <cellStyle name="20% - Accent3 8 3 3" xfId="23053" xr:uid="{A2FD3DF9-B8F1-42CC-9774-3887ACD7A3F5}"/>
    <cellStyle name="20% - Accent3 8 4" xfId="10398" xr:uid="{1584E4C7-59D2-4429-86CF-9BEACBAB4398}"/>
    <cellStyle name="20% - Accent3 8 5" xfId="18836" xr:uid="{00A34F79-8B7D-4494-8ECD-8B3F5D3BA5A9}"/>
    <cellStyle name="20% - Accent3 9" xfId="2280" xr:uid="{00000000-0005-0000-0000-0000DE010000}"/>
    <cellStyle name="20% - Accent3 9 2" xfId="6587" xr:uid="{00000000-0005-0000-0000-0000DF010000}"/>
    <cellStyle name="20% - Accent3 9 2 2" xfId="15029" xr:uid="{9CF9FF64-D7A4-410D-8458-91F3744900C6}"/>
    <cellStyle name="20% - Accent3 9 2 3" xfId="23466" xr:uid="{9DCEBAE2-F762-4EB2-9C09-170BC73053A0}"/>
    <cellStyle name="20% - Accent3 9 3" xfId="10811" xr:uid="{ECA557D8-5A08-4F40-BF2F-E8E3EED52A21}"/>
    <cellStyle name="20% - Accent3 9 4" xfId="19249" xr:uid="{FE2B42EA-1E84-445A-B3E6-0D0182EF33B1}"/>
    <cellStyle name="20% - Accent4" xfId="25" builtinId="42" customBuiltin="1"/>
    <cellStyle name="20% - Accent4 10" xfId="4529" xr:uid="{00000000-0005-0000-0000-0000E1010000}"/>
    <cellStyle name="20% - Accent4 10 2" xfId="12971" xr:uid="{3D5DE515-851B-4FE2-A648-762BF6A5A1C2}"/>
    <cellStyle name="20% - Accent4 10 3" xfId="21408" xr:uid="{28AC67D7-7AE9-4FB2-BC15-822D6336489E}"/>
    <cellStyle name="20% - Accent4 11" xfId="8753" xr:uid="{980F4E5F-48C7-40F5-8160-9F94489DDB9C}"/>
    <cellStyle name="20% - Accent4 12" xfId="17191" xr:uid="{65CA5991-51BD-459A-9732-9B42511FA49D}"/>
    <cellStyle name="20% - Accent4 2" xfId="26" xr:uid="{00000000-0005-0000-0000-0000E2010000}"/>
    <cellStyle name="20% - Accent4 2 10" xfId="8754" xr:uid="{DC36E879-D67B-401D-84F1-1E3A669C59B6}"/>
    <cellStyle name="20% - Accent4 2 11" xfId="17192" xr:uid="{540504FC-70C0-4245-B51D-7271E3537FF8}"/>
    <cellStyle name="20% - Accent4 2 2" xfId="27" xr:uid="{00000000-0005-0000-0000-0000E3010000}"/>
    <cellStyle name="20% - Accent4 2 2 10" xfId="17193" xr:uid="{4EC3A964-DF78-4E90-8AD9-DA326588600D}"/>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B70C380C-94D9-44F7-B296-8F20C2F33EA9}"/>
    <cellStyle name="20% - Accent4 2 2 2 2 2 2 3" xfId="23970" xr:uid="{9117DCAA-F72F-42FF-A570-ADE94D78B43E}"/>
    <cellStyle name="20% - Accent4 2 2 2 2 2 3" xfId="11315" xr:uid="{9E879019-2979-4550-9808-87E551494DFF}"/>
    <cellStyle name="20% - Accent4 2 2 2 2 2 4" xfId="19753" xr:uid="{F9950BCB-892F-4DBB-B0C6-943CC53DD48A}"/>
    <cellStyle name="20% - Accent4 2 2 2 2 3" xfId="4946" xr:uid="{00000000-0005-0000-0000-0000E8010000}"/>
    <cellStyle name="20% - Accent4 2 2 2 2 3 2" xfId="13388" xr:uid="{2210552C-70BE-4C52-B968-DE4387A05FE5}"/>
    <cellStyle name="20% - Accent4 2 2 2 2 3 3" xfId="21825" xr:uid="{E5567BAE-27D9-44F9-9D71-5BA82B5911CC}"/>
    <cellStyle name="20% - Accent4 2 2 2 2 4" xfId="9170" xr:uid="{2BFB33EA-DB40-4BDB-89C1-25C80FA86072}"/>
    <cellStyle name="20% - Accent4 2 2 2 2 5" xfId="17608" xr:uid="{1107B752-4C43-4536-AD74-2AC722E41002}"/>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C8DDB886-3D53-4893-94C6-A45036002F3C}"/>
    <cellStyle name="20% - Accent4 2 2 2 3 2 2 3" xfId="24383" xr:uid="{88DBBBB7-740A-40EF-BABD-E4A35F124919}"/>
    <cellStyle name="20% - Accent4 2 2 2 3 2 3" xfId="11728" xr:uid="{81D45A4E-732D-4A37-8E33-1CF7274210C5}"/>
    <cellStyle name="20% - Accent4 2 2 2 3 2 4" xfId="20166" xr:uid="{EF7AC372-AB32-4A03-AF38-B27D3EE650FA}"/>
    <cellStyle name="20% - Accent4 2 2 2 3 3" xfId="5359" xr:uid="{00000000-0005-0000-0000-0000EC010000}"/>
    <cellStyle name="20% - Accent4 2 2 2 3 3 2" xfId="13801" xr:uid="{B82520CB-2D3A-482F-B4AA-934FBDB16A64}"/>
    <cellStyle name="20% - Accent4 2 2 2 3 3 3" xfId="22238" xr:uid="{C055FCDB-7154-48EE-AC96-C2910E1B0A12}"/>
    <cellStyle name="20% - Accent4 2 2 2 3 4" xfId="9583" xr:uid="{4E7CC6A2-E509-4CF3-8431-62D5FB29C6A8}"/>
    <cellStyle name="20% - Accent4 2 2 2 3 5" xfId="18021" xr:uid="{7D1E7534-9E8A-4DDF-B9F9-E35E598381AD}"/>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28D4A8C3-64DA-4BBB-AA84-5E2CCC8E1ECE}"/>
    <cellStyle name="20% - Accent4 2 2 2 4 2 2 3" xfId="24796" xr:uid="{830372B4-4AD7-4E40-8D83-91F20ABF18BD}"/>
    <cellStyle name="20% - Accent4 2 2 2 4 2 3" xfId="12141" xr:uid="{56888FF9-127B-4ED6-AF2E-636C91D48CC9}"/>
    <cellStyle name="20% - Accent4 2 2 2 4 2 4" xfId="20579" xr:uid="{F3AF20B6-5B0E-43CD-95A0-6C37C8A97573}"/>
    <cellStyle name="20% - Accent4 2 2 2 4 3" xfId="5772" xr:uid="{00000000-0005-0000-0000-0000F0010000}"/>
    <cellStyle name="20% - Accent4 2 2 2 4 3 2" xfId="14214" xr:uid="{8E61B375-7D64-4BD3-89E5-FC72EAF67B9C}"/>
    <cellStyle name="20% - Accent4 2 2 2 4 3 3" xfId="22651" xr:uid="{A6AC4FF0-8638-4D00-80F2-CE6AD37FCC28}"/>
    <cellStyle name="20% - Accent4 2 2 2 4 4" xfId="9996" xr:uid="{EB505207-8ABB-4B22-AF26-4B4A4DA13198}"/>
    <cellStyle name="20% - Accent4 2 2 2 4 5" xfId="18434" xr:uid="{5E6D8C88-A83A-42EF-A6B4-335F2B1944E2}"/>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559CBA4B-3613-4624-B36C-A1A11E8A2EA9}"/>
    <cellStyle name="20% - Accent4 2 2 2 5 2 2 3" xfId="25209" xr:uid="{2F6A25BA-AD6D-4636-BB20-90F7E11E324A}"/>
    <cellStyle name="20% - Accent4 2 2 2 5 2 3" xfId="12554" xr:uid="{1BDB4FDC-1E7D-41F3-802C-572D34BC7FE4}"/>
    <cellStyle name="20% - Accent4 2 2 2 5 2 4" xfId="20992" xr:uid="{ADF50C7F-330B-4A7D-A5DC-9A0A088ADC9B}"/>
    <cellStyle name="20% - Accent4 2 2 2 5 3" xfId="6185" xr:uid="{00000000-0005-0000-0000-0000F4010000}"/>
    <cellStyle name="20% - Accent4 2 2 2 5 3 2" xfId="14627" xr:uid="{20E9B309-3D8E-46D8-9A9B-EFD9B7B8695B}"/>
    <cellStyle name="20% - Accent4 2 2 2 5 3 3" xfId="23064" xr:uid="{C6F15588-3F37-4C95-9A20-AA02E2638A8C}"/>
    <cellStyle name="20% - Accent4 2 2 2 5 4" xfId="10409" xr:uid="{4C5710C9-7C4A-4C33-87F7-573985265DA6}"/>
    <cellStyle name="20% - Accent4 2 2 2 5 5" xfId="18847" xr:uid="{8E078DD8-804A-4D50-BC20-6643857A9939}"/>
    <cellStyle name="20% - Accent4 2 2 2 6" xfId="2291" xr:uid="{00000000-0005-0000-0000-0000F5010000}"/>
    <cellStyle name="20% - Accent4 2 2 2 6 2" xfId="6598" xr:uid="{00000000-0005-0000-0000-0000F6010000}"/>
    <cellStyle name="20% - Accent4 2 2 2 6 2 2" xfId="15040" xr:uid="{9E2A0610-D79F-41AA-9DD7-1412566A81DF}"/>
    <cellStyle name="20% - Accent4 2 2 2 6 2 3" xfId="23477" xr:uid="{EBB6136E-6E30-4AED-B1F9-802F8A3A7B7D}"/>
    <cellStyle name="20% - Accent4 2 2 2 6 3" xfId="10822" xr:uid="{1078684D-0723-42F8-8B83-9C169175E71E}"/>
    <cellStyle name="20% - Accent4 2 2 2 6 4" xfId="19260" xr:uid="{0A5BFC1E-192E-4F18-AAC5-403B6324AF6C}"/>
    <cellStyle name="20% - Accent4 2 2 2 7" xfId="4532" xr:uid="{00000000-0005-0000-0000-0000F7010000}"/>
    <cellStyle name="20% - Accent4 2 2 2 7 2" xfId="12974" xr:uid="{32370E0B-B65E-4B96-9559-7ECF715D39E2}"/>
    <cellStyle name="20% - Accent4 2 2 2 7 3" xfId="21411" xr:uid="{4E3CAFE6-8561-4CA8-9756-2318EF32B3C4}"/>
    <cellStyle name="20% - Accent4 2 2 2 8" xfId="8756" xr:uid="{BE69E1D8-A649-44F0-AEB4-37BFDE01A35D}"/>
    <cellStyle name="20% - Accent4 2 2 2 9" xfId="17194" xr:uid="{B8EA0B2D-F146-4F06-AB51-2D41EEB6297E}"/>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331AE76E-E9BD-475F-B3BD-CF54D93DFEC9}"/>
    <cellStyle name="20% - Accent4 2 2 3 2 2 3" xfId="23969" xr:uid="{CAB49AB7-EA88-4040-B004-81D09D44CF04}"/>
    <cellStyle name="20% - Accent4 2 2 3 2 3" xfId="11314" xr:uid="{40D843FF-7613-4743-B61E-DF21A84C5144}"/>
    <cellStyle name="20% - Accent4 2 2 3 2 4" xfId="19752" xr:uid="{F0B9F9CE-A857-4032-9089-F4CA74244C59}"/>
    <cellStyle name="20% - Accent4 2 2 3 3" xfId="4945" xr:uid="{00000000-0005-0000-0000-0000FB010000}"/>
    <cellStyle name="20% - Accent4 2 2 3 3 2" xfId="13387" xr:uid="{E3F9A93C-6E68-467C-B53E-4AEDD52DEFF1}"/>
    <cellStyle name="20% - Accent4 2 2 3 3 3" xfId="21824" xr:uid="{ABDA9310-3B4E-486B-9DE2-1E139932836A}"/>
    <cellStyle name="20% - Accent4 2 2 3 4" xfId="9169" xr:uid="{B2CA1DC3-007B-4CED-96B7-2F59B169A79F}"/>
    <cellStyle name="20% - Accent4 2 2 3 5" xfId="17607" xr:uid="{4458A8D6-712C-4091-A3F6-C6EC33F373BC}"/>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7AAD88F2-23CD-46B8-B1D0-A3DD460086D2}"/>
    <cellStyle name="20% - Accent4 2 2 4 2 2 3" xfId="24382" xr:uid="{B7140088-AE21-45BB-868C-F0AE2A206991}"/>
    <cellStyle name="20% - Accent4 2 2 4 2 3" xfId="11727" xr:uid="{C76B2256-E298-4200-9B1E-E0FD0840A25F}"/>
    <cellStyle name="20% - Accent4 2 2 4 2 4" xfId="20165" xr:uid="{590648E4-6CF4-463B-B03D-3D918BABFCA8}"/>
    <cellStyle name="20% - Accent4 2 2 4 3" xfId="5358" xr:uid="{00000000-0005-0000-0000-0000FF010000}"/>
    <cellStyle name="20% - Accent4 2 2 4 3 2" xfId="13800" xr:uid="{C76186C6-5BB8-4F8A-B528-F99D99474089}"/>
    <cellStyle name="20% - Accent4 2 2 4 3 3" xfId="22237" xr:uid="{ACFED44A-A399-4619-8F6C-416BC457ADBA}"/>
    <cellStyle name="20% - Accent4 2 2 4 4" xfId="9582" xr:uid="{52069164-8224-4C1B-8528-1AE9C9525437}"/>
    <cellStyle name="20% - Accent4 2 2 4 5" xfId="18020" xr:uid="{2CD32F42-0569-4E3B-A2F3-7A3FD7B7C8F9}"/>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D447040D-04AA-4EE9-8996-3464BCA4658E}"/>
    <cellStyle name="20% - Accent4 2 2 5 2 2 3" xfId="24795" xr:uid="{CB98A895-7856-40BA-8A43-36F50A7873C6}"/>
    <cellStyle name="20% - Accent4 2 2 5 2 3" xfId="12140" xr:uid="{A33C6D30-2E3B-4AC4-A8D9-E4E309ED8885}"/>
    <cellStyle name="20% - Accent4 2 2 5 2 4" xfId="20578" xr:uid="{09E35748-A300-42C6-A506-66ABC2FF8131}"/>
    <cellStyle name="20% - Accent4 2 2 5 3" xfId="5771" xr:uid="{00000000-0005-0000-0000-000003020000}"/>
    <cellStyle name="20% - Accent4 2 2 5 3 2" xfId="14213" xr:uid="{7D32C98B-14B5-4B98-855F-FFD7B29EE7B8}"/>
    <cellStyle name="20% - Accent4 2 2 5 3 3" xfId="22650" xr:uid="{7CA3D1A9-F1D0-49BD-ADE0-20B70C8460EF}"/>
    <cellStyle name="20% - Accent4 2 2 5 4" xfId="9995" xr:uid="{8138E438-C885-4AE3-BD09-B5B94AF894EB}"/>
    <cellStyle name="20% - Accent4 2 2 5 5" xfId="18433" xr:uid="{9AD7A7B0-01FE-465E-8EE4-0A6A16694B76}"/>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A387A3E4-ED3C-47FF-A4BF-AA3DEDAD2096}"/>
    <cellStyle name="20% - Accent4 2 2 6 2 2 3" xfId="25208" xr:uid="{8C54557A-98CA-4E2A-B201-186DDA318C1E}"/>
    <cellStyle name="20% - Accent4 2 2 6 2 3" xfId="12553" xr:uid="{42458ED5-6D81-422A-845D-F27C37EBBC20}"/>
    <cellStyle name="20% - Accent4 2 2 6 2 4" xfId="20991" xr:uid="{E094CE4E-4D6E-4F13-A3C0-82C8AF9EBDAE}"/>
    <cellStyle name="20% - Accent4 2 2 6 3" xfId="6184" xr:uid="{00000000-0005-0000-0000-000007020000}"/>
    <cellStyle name="20% - Accent4 2 2 6 3 2" xfId="14626" xr:uid="{76459A20-E774-45E2-9564-609744DC8E3F}"/>
    <cellStyle name="20% - Accent4 2 2 6 3 3" xfId="23063" xr:uid="{34C7572B-AE85-40DC-905F-9DAC079F93E0}"/>
    <cellStyle name="20% - Accent4 2 2 6 4" xfId="10408" xr:uid="{B73E688F-6EE7-4A3A-809F-1EF3032A49BF}"/>
    <cellStyle name="20% - Accent4 2 2 6 5" xfId="18846" xr:uid="{534B80BB-5D71-450D-A4DA-B40D7F0E1C93}"/>
    <cellStyle name="20% - Accent4 2 2 7" xfId="2290" xr:uid="{00000000-0005-0000-0000-000008020000}"/>
    <cellStyle name="20% - Accent4 2 2 7 2" xfId="6597" xr:uid="{00000000-0005-0000-0000-000009020000}"/>
    <cellStyle name="20% - Accent4 2 2 7 2 2" xfId="15039" xr:uid="{C03D65CD-A400-4A86-97E6-333918E9F3D2}"/>
    <cellStyle name="20% - Accent4 2 2 7 2 3" xfId="23476" xr:uid="{D4AF690B-46CD-4818-8B3E-FA8D9EF4624F}"/>
    <cellStyle name="20% - Accent4 2 2 7 3" xfId="10821" xr:uid="{AEA04F16-832E-4709-B9FD-43FFC19A3A38}"/>
    <cellStyle name="20% - Accent4 2 2 7 4" xfId="19259" xr:uid="{55F8F014-2965-4C3E-8504-B2C63BE5A9A5}"/>
    <cellStyle name="20% - Accent4 2 2 8" xfId="4531" xr:uid="{00000000-0005-0000-0000-00000A020000}"/>
    <cellStyle name="20% - Accent4 2 2 8 2" xfId="12973" xr:uid="{3DF72F34-D8F8-4FB8-9490-9D7B9327980A}"/>
    <cellStyle name="20% - Accent4 2 2 8 3" xfId="21410" xr:uid="{187FADFE-7B21-4568-94C5-0264CE6FA4F0}"/>
    <cellStyle name="20% - Accent4 2 2 9" xfId="8755" xr:uid="{69418E2A-6F81-4205-A89A-691FA12A740C}"/>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E393B2AC-A08D-43B9-BE2A-0BD3CA0DD7F9}"/>
    <cellStyle name="20% - Accent4 2 3 2 2 2 3" xfId="23971" xr:uid="{15C2C767-2E0C-4C43-A27C-DE2CF4372B4C}"/>
    <cellStyle name="20% - Accent4 2 3 2 2 3" xfId="11316" xr:uid="{966DBCDB-3702-4901-87DE-AE154A62137E}"/>
    <cellStyle name="20% - Accent4 2 3 2 2 4" xfId="19754" xr:uid="{7CAA6620-A9F1-4EB0-A66E-AFED80A792B6}"/>
    <cellStyle name="20% - Accent4 2 3 2 3" xfId="4947" xr:uid="{00000000-0005-0000-0000-00000F020000}"/>
    <cellStyle name="20% - Accent4 2 3 2 3 2" xfId="13389" xr:uid="{B4F2045E-238A-4CE7-B8E1-07671C404D21}"/>
    <cellStyle name="20% - Accent4 2 3 2 3 3" xfId="21826" xr:uid="{C652FA13-16C0-4DE6-BF6C-CE4B97157E3C}"/>
    <cellStyle name="20% - Accent4 2 3 2 4" xfId="9171" xr:uid="{F1C7D6C8-9D70-4A7B-B423-22BCC2A4222D}"/>
    <cellStyle name="20% - Accent4 2 3 2 5" xfId="17609" xr:uid="{C7D09757-270B-4F08-A205-F9D036A5C122}"/>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56A3FABD-09F1-4691-8880-186BD051A453}"/>
    <cellStyle name="20% - Accent4 2 3 3 2 2 3" xfId="24384" xr:uid="{82986C4A-218E-475F-8BE5-EE516014E39B}"/>
    <cellStyle name="20% - Accent4 2 3 3 2 3" xfId="11729" xr:uid="{6C70230E-4424-4509-B69F-4809F82F06A0}"/>
    <cellStyle name="20% - Accent4 2 3 3 2 4" xfId="20167" xr:uid="{AC7F0629-DB1D-4E36-AB3A-9378BBB1F71D}"/>
    <cellStyle name="20% - Accent4 2 3 3 3" xfId="5360" xr:uid="{00000000-0005-0000-0000-000013020000}"/>
    <cellStyle name="20% - Accent4 2 3 3 3 2" xfId="13802" xr:uid="{F209FCA9-F10E-46A3-AA4D-761664A87CA7}"/>
    <cellStyle name="20% - Accent4 2 3 3 3 3" xfId="22239" xr:uid="{06358BA0-E440-40DD-A454-2C4C29248471}"/>
    <cellStyle name="20% - Accent4 2 3 3 4" xfId="9584" xr:uid="{79F406D8-039B-469C-9C69-376E6FC90B5D}"/>
    <cellStyle name="20% - Accent4 2 3 3 5" xfId="18022" xr:uid="{8C62E054-FEC8-422B-9453-3A49964FB79B}"/>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F5C4677A-D02C-466C-92F3-3B1E9DF47A06}"/>
    <cellStyle name="20% - Accent4 2 3 4 2 2 3" xfId="24797" xr:uid="{05122A56-6253-46BB-9617-D2CE0738FB31}"/>
    <cellStyle name="20% - Accent4 2 3 4 2 3" xfId="12142" xr:uid="{29685071-DE3C-4E22-A4D7-FEEA267BCC0D}"/>
    <cellStyle name="20% - Accent4 2 3 4 2 4" xfId="20580" xr:uid="{FB8D2970-CFB1-494C-9797-8E7CED1EFE6D}"/>
    <cellStyle name="20% - Accent4 2 3 4 3" xfId="5773" xr:uid="{00000000-0005-0000-0000-000017020000}"/>
    <cellStyle name="20% - Accent4 2 3 4 3 2" xfId="14215" xr:uid="{804A5989-8D2F-4720-A8FC-AC6E477DADA3}"/>
    <cellStyle name="20% - Accent4 2 3 4 3 3" xfId="22652" xr:uid="{946DC72D-4C2D-439D-BF67-E1326ECA5E2E}"/>
    <cellStyle name="20% - Accent4 2 3 4 4" xfId="9997" xr:uid="{2835EE10-3B2C-4A30-BFFE-BCEBD6169382}"/>
    <cellStyle name="20% - Accent4 2 3 4 5" xfId="18435" xr:uid="{2DFC8203-169B-4B18-BBFD-F2789BCE6C1D}"/>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BFF3CAD8-F7BB-40EF-93FF-B8F1D82E1643}"/>
    <cellStyle name="20% - Accent4 2 3 5 2 2 3" xfId="25210" xr:uid="{3A23DC2E-CB3C-4CE5-804E-0AEE7324AD04}"/>
    <cellStyle name="20% - Accent4 2 3 5 2 3" xfId="12555" xr:uid="{5696F15A-9DAB-4713-BA19-7431126187A9}"/>
    <cellStyle name="20% - Accent4 2 3 5 2 4" xfId="20993" xr:uid="{B1BD92D4-216D-4E90-8642-79339E28D665}"/>
    <cellStyle name="20% - Accent4 2 3 5 3" xfId="6186" xr:uid="{00000000-0005-0000-0000-00001B020000}"/>
    <cellStyle name="20% - Accent4 2 3 5 3 2" xfId="14628" xr:uid="{1D7D9612-4041-44B3-A420-9CA2AC67EC01}"/>
    <cellStyle name="20% - Accent4 2 3 5 3 3" xfId="23065" xr:uid="{96E352BD-B15A-4FF7-8B2F-768987082DC6}"/>
    <cellStyle name="20% - Accent4 2 3 5 4" xfId="10410" xr:uid="{4A7282AE-D8BF-43FA-8017-5EE0521D8DF4}"/>
    <cellStyle name="20% - Accent4 2 3 5 5" xfId="18848" xr:uid="{FBD4EA20-4E9E-4F27-AE91-F8A891F08FE7}"/>
    <cellStyle name="20% - Accent4 2 3 6" xfId="2292" xr:uid="{00000000-0005-0000-0000-00001C020000}"/>
    <cellStyle name="20% - Accent4 2 3 6 2" xfId="6599" xr:uid="{00000000-0005-0000-0000-00001D020000}"/>
    <cellStyle name="20% - Accent4 2 3 6 2 2" xfId="15041" xr:uid="{24F5CF00-CD96-4F4A-AD86-7567810DF7B4}"/>
    <cellStyle name="20% - Accent4 2 3 6 2 3" xfId="23478" xr:uid="{F6BAC859-8B72-4CFE-95EB-1688F9407533}"/>
    <cellStyle name="20% - Accent4 2 3 6 3" xfId="10823" xr:uid="{8B71D067-A4FE-4D02-8A07-0C6A16DC802C}"/>
    <cellStyle name="20% - Accent4 2 3 6 4" xfId="19261" xr:uid="{A60F6F09-95A8-408B-A501-57C24A66044A}"/>
    <cellStyle name="20% - Accent4 2 3 7" xfId="4533" xr:uid="{00000000-0005-0000-0000-00001E020000}"/>
    <cellStyle name="20% - Accent4 2 3 7 2" xfId="12975" xr:uid="{5576BAAF-0B75-4B9C-A38A-9888E9758332}"/>
    <cellStyle name="20% - Accent4 2 3 7 3" xfId="21412" xr:uid="{AB30E3F9-27A9-43E3-8B6E-6EE713E89645}"/>
    <cellStyle name="20% - Accent4 2 3 8" xfId="8757" xr:uid="{E95E6D77-0A6D-4EFD-81BF-983026722976}"/>
    <cellStyle name="20% - Accent4 2 3 9" xfId="17195" xr:uid="{5F38CA08-88EF-44A6-B88A-328844A05BCD}"/>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821B4255-0C50-49F7-9F36-959BAC3A3163}"/>
    <cellStyle name="20% - Accent4 2 4 2 2 3" xfId="23968" xr:uid="{2A44385A-5E76-4F5E-AB6F-7C14F7DDA5BE}"/>
    <cellStyle name="20% - Accent4 2 4 2 3" xfId="11313" xr:uid="{1FB45193-89B9-4E83-BFBB-CE3B9216C159}"/>
    <cellStyle name="20% - Accent4 2 4 2 4" xfId="19751" xr:uid="{926C1338-DCBF-41FE-A344-1889D5E098BB}"/>
    <cellStyle name="20% - Accent4 2 4 3" xfId="4944" xr:uid="{00000000-0005-0000-0000-000022020000}"/>
    <cellStyle name="20% - Accent4 2 4 3 2" xfId="13386" xr:uid="{AD7726F1-DCF9-47A2-9052-709E3506D802}"/>
    <cellStyle name="20% - Accent4 2 4 3 3" xfId="21823" xr:uid="{47B77222-51B8-433A-9807-09F805CE1492}"/>
    <cellStyle name="20% - Accent4 2 4 4" xfId="9168" xr:uid="{9AA1BA75-3F0E-49A7-895B-E9298EA9ECF8}"/>
    <cellStyle name="20% - Accent4 2 4 5" xfId="17606" xr:uid="{B9E6E90E-439D-40D0-AA17-50A312293CCA}"/>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3443E990-918D-4653-952A-42F511C44030}"/>
    <cellStyle name="20% - Accent4 2 5 2 2 3" xfId="24381" xr:uid="{43D7C29F-4EF8-4D0C-8B2E-1F35ED370F81}"/>
    <cellStyle name="20% - Accent4 2 5 2 3" xfId="11726" xr:uid="{0ADD9F79-A272-45BD-BB32-C4C77243E5DD}"/>
    <cellStyle name="20% - Accent4 2 5 2 4" xfId="20164" xr:uid="{E99044FE-4D3C-4C99-A369-BE913D72FC41}"/>
    <cellStyle name="20% - Accent4 2 5 3" xfId="5357" xr:uid="{00000000-0005-0000-0000-000026020000}"/>
    <cellStyle name="20% - Accent4 2 5 3 2" xfId="13799" xr:uid="{BEB72E0C-15C3-4CE4-A657-E004E668ADAA}"/>
    <cellStyle name="20% - Accent4 2 5 3 3" xfId="22236" xr:uid="{B9779E4D-0FE3-4A05-8928-034828252199}"/>
    <cellStyle name="20% - Accent4 2 5 4" xfId="9581" xr:uid="{B0D76291-454B-4B78-A817-3F617E807899}"/>
    <cellStyle name="20% - Accent4 2 5 5" xfId="18019" xr:uid="{17C17981-2AC8-4C57-952C-8EDBAB670DA8}"/>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1BBABEB9-0C7A-40E9-B63A-EBE93489DC9A}"/>
    <cellStyle name="20% - Accent4 2 6 2 2 3" xfId="24794" xr:uid="{FF1820B7-7404-4474-A377-D4C93E024012}"/>
    <cellStyle name="20% - Accent4 2 6 2 3" xfId="12139" xr:uid="{C5CC7F6D-4E8E-4D9A-B519-965725F9201D}"/>
    <cellStyle name="20% - Accent4 2 6 2 4" xfId="20577" xr:uid="{65D39F19-FF45-45C5-9FF1-C60A09ABEA3F}"/>
    <cellStyle name="20% - Accent4 2 6 3" xfId="5770" xr:uid="{00000000-0005-0000-0000-00002A020000}"/>
    <cellStyle name="20% - Accent4 2 6 3 2" xfId="14212" xr:uid="{7E7A5188-F2F4-4950-8A56-5E3EC76F5D88}"/>
    <cellStyle name="20% - Accent4 2 6 3 3" xfId="22649" xr:uid="{CC70C237-51E8-4FE4-8C5C-EB960C68E350}"/>
    <cellStyle name="20% - Accent4 2 6 4" xfId="9994" xr:uid="{4C192227-84FE-4294-892E-A17F87CB041C}"/>
    <cellStyle name="20% - Accent4 2 6 5" xfId="18432" xr:uid="{7061614C-1E56-4684-891A-6A654F5BA245}"/>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B2C76F39-EAC0-4063-9C63-B2A9DC057C1E}"/>
    <cellStyle name="20% - Accent4 2 7 2 2 3" xfId="25207" xr:uid="{2B1A3764-89EB-45C1-8F17-CD3DF85EBAAA}"/>
    <cellStyle name="20% - Accent4 2 7 2 3" xfId="12552" xr:uid="{80CA6584-5074-460B-A7F2-C79DEA80EA60}"/>
    <cellStyle name="20% - Accent4 2 7 2 4" xfId="20990" xr:uid="{E23182BD-DB74-4697-86FF-6645709229E5}"/>
    <cellStyle name="20% - Accent4 2 7 3" xfId="6183" xr:uid="{00000000-0005-0000-0000-00002E020000}"/>
    <cellStyle name="20% - Accent4 2 7 3 2" xfId="14625" xr:uid="{6F401C35-01C7-4456-90C0-1BFF17DC40AD}"/>
    <cellStyle name="20% - Accent4 2 7 3 3" xfId="23062" xr:uid="{682DE7F7-685D-4287-B0DB-5957D27F2469}"/>
    <cellStyle name="20% - Accent4 2 7 4" xfId="10407" xr:uid="{11CA879B-57E8-4911-B25C-6A7DFA626601}"/>
    <cellStyle name="20% - Accent4 2 7 5" xfId="18845" xr:uid="{AB89CE26-FBF9-44A6-B7CD-4E2DC47C5F89}"/>
    <cellStyle name="20% - Accent4 2 8" xfId="2289" xr:uid="{00000000-0005-0000-0000-00002F020000}"/>
    <cellStyle name="20% - Accent4 2 8 2" xfId="6596" xr:uid="{00000000-0005-0000-0000-000030020000}"/>
    <cellStyle name="20% - Accent4 2 8 2 2" xfId="15038" xr:uid="{E818F9D7-3A95-4BAE-9DF0-7AFF8545BAFE}"/>
    <cellStyle name="20% - Accent4 2 8 2 3" xfId="23475" xr:uid="{049CE8D0-E068-4988-98BD-2F1ED3228D76}"/>
    <cellStyle name="20% - Accent4 2 8 3" xfId="10820" xr:uid="{4F5454D6-BB7B-4E6D-B381-8B9908CF4666}"/>
    <cellStyle name="20% - Accent4 2 8 4" xfId="19258" xr:uid="{815D264F-BD85-4A22-9D72-95FCED2B1BCE}"/>
    <cellStyle name="20% - Accent4 2 9" xfId="4530" xr:uid="{00000000-0005-0000-0000-000031020000}"/>
    <cellStyle name="20% - Accent4 2 9 2" xfId="12972" xr:uid="{354BF5B2-83E0-451C-8A86-6A43ADA326EC}"/>
    <cellStyle name="20% - Accent4 2 9 3" xfId="21409" xr:uid="{BBAFFF76-AB60-44D9-9EFF-C3C731161B5F}"/>
    <cellStyle name="20% - Accent4 3" xfId="30" xr:uid="{00000000-0005-0000-0000-000032020000}"/>
    <cellStyle name="20% - Accent4 3 10" xfId="17196" xr:uid="{E65AFDAB-ED16-4CAD-A040-329ECA94C616}"/>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46C9FD23-2E0E-4000-80C9-D4B7C7BC1D80}"/>
    <cellStyle name="20% - Accent4 3 2 2 2 2 3" xfId="23973" xr:uid="{1B32A787-43F7-4253-B309-72E619B62965}"/>
    <cellStyle name="20% - Accent4 3 2 2 2 3" xfId="11318" xr:uid="{452E51A0-3FFA-43F3-9076-D739B983C72F}"/>
    <cellStyle name="20% - Accent4 3 2 2 2 4" xfId="19756" xr:uid="{993098FA-30A8-4150-BCAD-185DEB41DEA6}"/>
    <cellStyle name="20% - Accent4 3 2 2 3" xfId="4949" xr:uid="{00000000-0005-0000-0000-000037020000}"/>
    <cellStyle name="20% - Accent4 3 2 2 3 2" xfId="13391" xr:uid="{909B1E27-D8E2-481A-B52A-EE7D2BE822F1}"/>
    <cellStyle name="20% - Accent4 3 2 2 3 3" xfId="21828" xr:uid="{070C7F37-0EC8-4469-A46B-540BE67E28C0}"/>
    <cellStyle name="20% - Accent4 3 2 2 4" xfId="9173" xr:uid="{B6F64571-2B90-4707-A0E0-3E3BD029537B}"/>
    <cellStyle name="20% - Accent4 3 2 2 5" xfId="17611" xr:uid="{D80414E7-30B7-4A62-95C3-E1059BA6D56E}"/>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10DC5F5B-31E1-4C1C-B16D-297C49E92833}"/>
    <cellStyle name="20% - Accent4 3 2 3 2 2 3" xfId="24386" xr:uid="{CA6ACE32-D67F-441F-BFB7-447FEA0AF515}"/>
    <cellStyle name="20% - Accent4 3 2 3 2 3" xfId="11731" xr:uid="{6C002CAA-0CB5-464A-BF7F-9E33BE1045E9}"/>
    <cellStyle name="20% - Accent4 3 2 3 2 4" xfId="20169" xr:uid="{8AD15149-53B7-4D36-A304-63D05E738DBD}"/>
    <cellStyle name="20% - Accent4 3 2 3 3" xfId="5362" xr:uid="{00000000-0005-0000-0000-00003B020000}"/>
    <cellStyle name="20% - Accent4 3 2 3 3 2" xfId="13804" xr:uid="{72B395B6-8484-4FC4-A735-C037512E6113}"/>
    <cellStyle name="20% - Accent4 3 2 3 3 3" xfId="22241" xr:uid="{649B5C26-7A9B-4C32-9865-6AB0457DC671}"/>
    <cellStyle name="20% - Accent4 3 2 3 4" xfId="9586" xr:uid="{495375A6-09D8-401B-A93D-8D893FE6A32A}"/>
    <cellStyle name="20% - Accent4 3 2 3 5" xfId="18024" xr:uid="{743ADDCE-98D4-4A9F-B6E7-3079C39FAF64}"/>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BF1B450D-6105-446B-868F-0A68D4297027}"/>
    <cellStyle name="20% - Accent4 3 2 4 2 2 3" xfId="24799" xr:uid="{9E831468-2B48-4EF4-8D81-4164CE1143AB}"/>
    <cellStyle name="20% - Accent4 3 2 4 2 3" xfId="12144" xr:uid="{6C9584E7-DDE0-4D9B-818C-C0BB71D49F54}"/>
    <cellStyle name="20% - Accent4 3 2 4 2 4" xfId="20582" xr:uid="{C00D3498-9B9B-40C6-B25D-1FD0711FE2ED}"/>
    <cellStyle name="20% - Accent4 3 2 4 3" xfId="5775" xr:uid="{00000000-0005-0000-0000-00003F020000}"/>
    <cellStyle name="20% - Accent4 3 2 4 3 2" xfId="14217" xr:uid="{E9D23ADD-7705-454A-B5DB-19A74494BA02}"/>
    <cellStyle name="20% - Accent4 3 2 4 3 3" xfId="22654" xr:uid="{8107E783-CC36-4176-ADD6-F94718859514}"/>
    <cellStyle name="20% - Accent4 3 2 4 4" xfId="9999" xr:uid="{8A946860-6960-439E-B7B1-64574D30FA20}"/>
    <cellStyle name="20% - Accent4 3 2 4 5" xfId="18437" xr:uid="{6FFF50A7-6E90-4B50-8339-A7854D4CE134}"/>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82E2C31A-99D4-48C2-88D2-CC1213EF5EE0}"/>
    <cellStyle name="20% - Accent4 3 2 5 2 2 3" xfId="25212" xr:uid="{A0E789AB-5B3D-4934-83C6-648B020EEE91}"/>
    <cellStyle name="20% - Accent4 3 2 5 2 3" xfId="12557" xr:uid="{8144F29B-0148-47B0-BD5A-6FAD07579E98}"/>
    <cellStyle name="20% - Accent4 3 2 5 2 4" xfId="20995" xr:uid="{57512C37-B7DD-4C4B-9C5B-9F7ACDE7A186}"/>
    <cellStyle name="20% - Accent4 3 2 5 3" xfId="6188" xr:uid="{00000000-0005-0000-0000-000043020000}"/>
    <cellStyle name="20% - Accent4 3 2 5 3 2" xfId="14630" xr:uid="{C60A56D3-B152-471B-A36C-E35FC67D1AB8}"/>
    <cellStyle name="20% - Accent4 3 2 5 3 3" xfId="23067" xr:uid="{4A535DBE-C44C-49E8-B771-E14EB685761F}"/>
    <cellStyle name="20% - Accent4 3 2 5 4" xfId="10412" xr:uid="{925F3F7B-84D8-4E0C-8920-BA137BD7AE71}"/>
    <cellStyle name="20% - Accent4 3 2 5 5" xfId="18850" xr:uid="{6F0BF2BB-E668-4BFC-A8CF-AC332AFB68E7}"/>
    <cellStyle name="20% - Accent4 3 2 6" xfId="2294" xr:uid="{00000000-0005-0000-0000-000044020000}"/>
    <cellStyle name="20% - Accent4 3 2 6 2" xfId="6601" xr:uid="{00000000-0005-0000-0000-000045020000}"/>
    <cellStyle name="20% - Accent4 3 2 6 2 2" xfId="15043" xr:uid="{E056BDC7-05C9-4DE7-8BB9-35B712F81691}"/>
    <cellStyle name="20% - Accent4 3 2 6 2 3" xfId="23480" xr:uid="{5528C3DF-0A21-4D6D-BD62-C60353BB5A7B}"/>
    <cellStyle name="20% - Accent4 3 2 6 3" xfId="10825" xr:uid="{13E273E7-2C28-4922-B48F-6FBF68512FEB}"/>
    <cellStyle name="20% - Accent4 3 2 6 4" xfId="19263" xr:uid="{75385A92-2997-4769-AB09-D2D286C18AC3}"/>
    <cellStyle name="20% - Accent4 3 2 7" xfId="4535" xr:uid="{00000000-0005-0000-0000-000046020000}"/>
    <cellStyle name="20% - Accent4 3 2 7 2" xfId="12977" xr:uid="{41CCCE87-EC77-410F-861C-D14F0C0EAD6F}"/>
    <cellStyle name="20% - Accent4 3 2 7 3" xfId="21414" xr:uid="{E7E449CB-59FC-4A47-AAF0-7B12A58058BC}"/>
    <cellStyle name="20% - Accent4 3 2 8" xfId="8759" xr:uid="{AA3FB309-4C74-441E-8534-08AD097721C1}"/>
    <cellStyle name="20% - Accent4 3 2 9" xfId="17197" xr:uid="{D4209538-1E7D-4191-8FAF-0E0D1AFC876E}"/>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BE524F7A-E561-418B-B90F-BD9C606A6B5D}"/>
    <cellStyle name="20% - Accent4 3 3 2 2 3" xfId="23972" xr:uid="{19E45076-A72A-48BC-BBDF-2E5CF549EDEA}"/>
    <cellStyle name="20% - Accent4 3 3 2 3" xfId="11317" xr:uid="{8627926C-F04B-4ED7-8CE0-CE8D5E1F4C9C}"/>
    <cellStyle name="20% - Accent4 3 3 2 4" xfId="19755" xr:uid="{A6B61EC9-BF98-4BF7-A814-45A4204AE59D}"/>
    <cellStyle name="20% - Accent4 3 3 3" xfId="4948" xr:uid="{00000000-0005-0000-0000-00004A020000}"/>
    <cellStyle name="20% - Accent4 3 3 3 2" xfId="13390" xr:uid="{5108E890-5560-45BE-8CE2-FD4F3C7FAA77}"/>
    <cellStyle name="20% - Accent4 3 3 3 3" xfId="21827" xr:uid="{7F4C608D-89BF-4602-8C59-5A08D942B2EE}"/>
    <cellStyle name="20% - Accent4 3 3 4" xfId="9172" xr:uid="{3FA8BA7E-76CB-483E-8EAE-5D2407A42214}"/>
    <cellStyle name="20% - Accent4 3 3 5" xfId="17610" xr:uid="{20104001-A437-4A30-AAC5-64B62B42DA46}"/>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ACF6A9D2-C5EF-4D28-98EA-E71B985F8EAF}"/>
    <cellStyle name="20% - Accent4 3 4 2 2 3" xfId="24385" xr:uid="{0B6D1D04-EADE-45CA-8CA2-4F1D80ED4E6A}"/>
    <cellStyle name="20% - Accent4 3 4 2 3" xfId="11730" xr:uid="{66EEE90B-BC0E-4246-A8D8-5CAB80C00DF4}"/>
    <cellStyle name="20% - Accent4 3 4 2 4" xfId="20168" xr:uid="{E5F281A3-2D2A-40C3-92D9-EDC16BB392F1}"/>
    <cellStyle name="20% - Accent4 3 4 3" xfId="5361" xr:uid="{00000000-0005-0000-0000-00004E020000}"/>
    <cellStyle name="20% - Accent4 3 4 3 2" xfId="13803" xr:uid="{82CB774C-9822-47A1-AB58-E98C7EC78CC9}"/>
    <cellStyle name="20% - Accent4 3 4 3 3" xfId="22240" xr:uid="{BC395A6A-AEAB-4541-8BBD-91A11CFC5547}"/>
    <cellStyle name="20% - Accent4 3 4 4" xfId="9585" xr:uid="{F6EC5C71-2DED-4201-B7C4-17D602C90AD5}"/>
    <cellStyle name="20% - Accent4 3 4 5" xfId="18023" xr:uid="{5E26AE9C-804E-4C67-B522-7EB7BCD278D7}"/>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9C49957B-33AD-4D1A-B66F-F1F9218EC35C}"/>
    <cellStyle name="20% - Accent4 3 5 2 2 3" xfId="24798" xr:uid="{B1612D24-92CA-4EB8-AB35-22A8911098EA}"/>
    <cellStyle name="20% - Accent4 3 5 2 3" xfId="12143" xr:uid="{373BCA23-2B2E-4C4C-9B74-BD3528DED0D0}"/>
    <cellStyle name="20% - Accent4 3 5 2 4" xfId="20581" xr:uid="{74EA398F-321E-4A4C-9BC7-A2CCD6BCDF54}"/>
    <cellStyle name="20% - Accent4 3 5 3" xfId="5774" xr:uid="{00000000-0005-0000-0000-000052020000}"/>
    <cellStyle name="20% - Accent4 3 5 3 2" xfId="14216" xr:uid="{15DD3DA9-CB2B-45A9-A5CD-A3EA6E072926}"/>
    <cellStyle name="20% - Accent4 3 5 3 3" xfId="22653" xr:uid="{ACE06153-901C-4CBE-A544-E55111492A87}"/>
    <cellStyle name="20% - Accent4 3 5 4" xfId="9998" xr:uid="{C4DBC00A-CD0C-473E-8E1C-3D6025368CF9}"/>
    <cellStyle name="20% - Accent4 3 5 5" xfId="18436" xr:uid="{39CD45B7-0DAA-4631-A8AE-2B0ACC500A3E}"/>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A2AA0DCD-30F8-4FDE-85B7-24ADA6DE7506}"/>
    <cellStyle name="20% - Accent4 3 6 2 2 3" xfId="25211" xr:uid="{3A7BDFCB-83A8-4E18-830B-8BD2958FA2B9}"/>
    <cellStyle name="20% - Accent4 3 6 2 3" xfId="12556" xr:uid="{1725728C-C989-4432-821C-D598C3988478}"/>
    <cellStyle name="20% - Accent4 3 6 2 4" xfId="20994" xr:uid="{AA67E8CF-535E-47A3-888B-9D97460CD360}"/>
    <cellStyle name="20% - Accent4 3 6 3" xfId="6187" xr:uid="{00000000-0005-0000-0000-000056020000}"/>
    <cellStyle name="20% - Accent4 3 6 3 2" xfId="14629" xr:uid="{1D91A4BE-CD45-4C24-9A62-D87F80FB4C8B}"/>
    <cellStyle name="20% - Accent4 3 6 3 3" xfId="23066" xr:uid="{35B99E82-5F84-4F4B-BF0E-14AD0C351E21}"/>
    <cellStyle name="20% - Accent4 3 6 4" xfId="10411" xr:uid="{8556FA8C-254B-4C43-BACE-782D5F94EE70}"/>
    <cellStyle name="20% - Accent4 3 6 5" xfId="18849" xr:uid="{DDAE4304-9A2D-4654-A073-17A4773DD488}"/>
    <cellStyle name="20% - Accent4 3 7" xfId="2293" xr:uid="{00000000-0005-0000-0000-000057020000}"/>
    <cellStyle name="20% - Accent4 3 7 2" xfId="6600" xr:uid="{00000000-0005-0000-0000-000058020000}"/>
    <cellStyle name="20% - Accent4 3 7 2 2" xfId="15042" xr:uid="{847D5CF6-1B82-481E-AE84-847D668109C5}"/>
    <cellStyle name="20% - Accent4 3 7 2 3" xfId="23479" xr:uid="{6A36888E-3308-4BA6-A47E-70421C40479B}"/>
    <cellStyle name="20% - Accent4 3 7 3" xfId="10824" xr:uid="{0F6FFE68-4430-4EA4-99AC-C343A42880BC}"/>
    <cellStyle name="20% - Accent4 3 7 4" xfId="19262" xr:uid="{E99C3978-43F1-4DD7-95C6-503E1DCE0ABD}"/>
    <cellStyle name="20% - Accent4 3 8" xfId="4534" xr:uid="{00000000-0005-0000-0000-000059020000}"/>
    <cellStyle name="20% - Accent4 3 8 2" xfId="12976" xr:uid="{510A5F59-8E45-4748-B9CB-D54EDEF8F154}"/>
    <cellStyle name="20% - Accent4 3 8 3" xfId="21413" xr:uid="{CD06D37B-D753-4DCC-8012-B5A79CAB6FAE}"/>
    <cellStyle name="20% - Accent4 3 9" xfId="8758" xr:uid="{B4430A5B-0F80-4D28-AEFD-3E259F6558A8}"/>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D55BCB7E-5093-4A2F-9408-2AA43709A89B}"/>
    <cellStyle name="20% - Accent4 4 2 2 2 3" xfId="23974" xr:uid="{9B3008C5-28B2-4EDD-A5CF-B3CEA36118C2}"/>
    <cellStyle name="20% - Accent4 4 2 2 3" xfId="11319" xr:uid="{C8E664C2-88FD-43A4-9AEB-845AF8444AC1}"/>
    <cellStyle name="20% - Accent4 4 2 2 4" xfId="19757" xr:uid="{876B44F9-0AEF-4F29-89FE-B075AD132DCC}"/>
    <cellStyle name="20% - Accent4 4 2 3" xfId="4950" xr:uid="{00000000-0005-0000-0000-00005E020000}"/>
    <cellStyle name="20% - Accent4 4 2 3 2" xfId="13392" xr:uid="{E2DB3AFD-4AC4-4DC1-A22A-226192EAD349}"/>
    <cellStyle name="20% - Accent4 4 2 3 3" xfId="21829" xr:uid="{D2C56D76-B817-481B-B5AC-13724FBBB1B6}"/>
    <cellStyle name="20% - Accent4 4 2 4" xfId="9174" xr:uid="{1CCDB893-ABE4-412F-B21F-EBAA38BC83CC}"/>
    <cellStyle name="20% - Accent4 4 2 5" xfId="17612" xr:uid="{6A546D4D-DDFD-4CB7-916A-CE2A74406ED5}"/>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795C1714-4344-4068-BD66-1CC59273C7E9}"/>
    <cellStyle name="20% - Accent4 4 3 2 2 3" xfId="24387" xr:uid="{3B64798F-79EF-474F-976B-6B3E13AC934D}"/>
    <cellStyle name="20% - Accent4 4 3 2 3" xfId="11732" xr:uid="{3929AA3C-692B-42F2-AE26-B3253031316C}"/>
    <cellStyle name="20% - Accent4 4 3 2 4" xfId="20170" xr:uid="{1C964741-EE87-4174-9AA8-F611984623EC}"/>
    <cellStyle name="20% - Accent4 4 3 3" xfId="5363" xr:uid="{00000000-0005-0000-0000-000062020000}"/>
    <cellStyle name="20% - Accent4 4 3 3 2" xfId="13805" xr:uid="{1CFE719A-7AA6-49FE-9541-3934CB04E04D}"/>
    <cellStyle name="20% - Accent4 4 3 3 3" xfId="22242" xr:uid="{3BFC7951-9CB2-4654-82C3-0CF3B7C7922B}"/>
    <cellStyle name="20% - Accent4 4 3 4" xfId="9587" xr:uid="{64FA6FE3-441C-4483-9B60-CF60B799E742}"/>
    <cellStyle name="20% - Accent4 4 3 5" xfId="18025" xr:uid="{D0C57C71-7DB6-4300-8EBA-6435FD07F26C}"/>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35237BE3-95C5-4E01-96F8-67FE3D95D4E3}"/>
    <cellStyle name="20% - Accent4 4 4 2 2 3" xfId="24800" xr:uid="{596129F8-96E4-4BBA-A889-049128B1E8AC}"/>
    <cellStyle name="20% - Accent4 4 4 2 3" xfId="12145" xr:uid="{106EC916-33D6-49C2-B44E-224E4030AD13}"/>
    <cellStyle name="20% - Accent4 4 4 2 4" xfId="20583" xr:uid="{CBC670B3-60B7-45AC-A5F2-413D9174B326}"/>
    <cellStyle name="20% - Accent4 4 4 3" xfId="5776" xr:uid="{00000000-0005-0000-0000-000066020000}"/>
    <cellStyle name="20% - Accent4 4 4 3 2" xfId="14218" xr:uid="{15D1BD79-F864-4D1C-A509-BCBA7102B2F5}"/>
    <cellStyle name="20% - Accent4 4 4 3 3" xfId="22655" xr:uid="{AF35439B-1AE0-4185-B49B-90BEBC99E436}"/>
    <cellStyle name="20% - Accent4 4 4 4" xfId="10000" xr:uid="{0D0F86FB-7C7A-4924-B54F-15558DDDE5A7}"/>
    <cellStyle name="20% - Accent4 4 4 5" xfId="18438" xr:uid="{45AB5835-E945-4312-9B81-035C90E2F483}"/>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28F62A22-74EF-44F9-A7E1-51C2FCBD2EF5}"/>
    <cellStyle name="20% - Accent4 4 5 2 2 3" xfId="25213" xr:uid="{9353023B-6F96-419E-A499-DB6C100FA399}"/>
    <cellStyle name="20% - Accent4 4 5 2 3" xfId="12558" xr:uid="{D15F914B-BB15-42F6-899C-98C0B3DF2213}"/>
    <cellStyle name="20% - Accent4 4 5 2 4" xfId="20996" xr:uid="{10824F28-75AB-4931-8232-FC6D0ABCAB33}"/>
    <cellStyle name="20% - Accent4 4 5 3" xfId="6189" xr:uid="{00000000-0005-0000-0000-00006A020000}"/>
    <cellStyle name="20% - Accent4 4 5 3 2" xfId="14631" xr:uid="{213BD03F-12CE-49EC-A2DB-B739EFC115CD}"/>
    <cellStyle name="20% - Accent4 4 5 3 3" xfId="23068" xr:uid="{9A8167B9-2323-4F93-A3EA-2548485C853E}"/>
    <cellStyle name="20% - Accent4 4 5 4" xfId="10413" xr:uid="{93061649-5065-40C8-B0C6-BBB4E93288DB}"/>
    <cellStyle name="20% - Accent4 4 5 5" xfId="18851" xr:uid="{CDD3551D-1463-401E-A6C7-542FD12BF308}"/>
    <cellStyle name="20% - Accent4 4 6" xfId="2295" xr:uid="{00000000-0005-0000-0000-00006B020000}"/>
    <cellStyle name="20% - Accent4 4 6 2" xfId="6602" xr:uid="{00000000-0005-0000-0000-00006C020000}"/>
    <cellStyle name="20% - Accent4 4 6 2 2" xfId="15044" xr:uid="{731D5468-5BEF-4C49-A162-B83A7B265ACC}"/>
    <cellStyle name="20% - Accent4 4 6 2 3" xfId="23481" xr:uid="{EF2E3EFE-2BA2-4F6E-B288-35F915A13A76}"/>
    <cellStyle name="20% - Accent4 4 6 3" xfId="10826" xr:uid="{51327793-B595-4DD6-BFAA-296CCDFC876E}"/>
    <cellStyle name="20% - Accent4 4 6 4" xfId="19264" xr:uid="{1B218F0C-8782-4185-8C5F-447128700CF7}"/>
    <cellStyle name="20% - Accent4 4 7" xfId="4536" xr:uid="{00000000-0005-0000-0000-00006D020000}"/>
    <cellStyle name="20% - Accent4 4 7 2" xfId="12978" xr:uid="{13ECFA0D-BC3C-4199-A1E2-B33BEF4252F4}"/>
    <cellStyle name="20% - Accent4 4 7 3" xfId="21415" xr:uid="{AE0B1B2A-0147-4CF4-88A3-0AEE6C638E22}"/>
    <cellStyle name="20% - Accent4 4 8" xfId="8760" xr:uid="{0F43116F-632F-471D-8660-3F9E09991E88}"/>
    <cellStyle name="20% - Accent4 4 9" xfId="17198" xr:uid="{8A510C0C-1F90-47CC-A49B-EFF84A78B042}"/>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234D5DF1-B953-48FA-937E-117FC472024A}"/>
    <cellStyle name="20% - Accent4 5 2 2 3" xfId="23967" xr:uid="{2BA7DE1E-3414-42B0-BAD1-FFF6B4754C88}"/>
    <cellStyle name="20% - Accent4 5 2 3" xfId="11312" xr:uid="{DCEB8350-5648-4054-B568-EC04257761B1}"/>
    <cellStyle name="20% - Accent4 5 2 4" xfId="19750" xr:uid="{BEEA4CCF-3F4C-46BC-90AF-3151ACA5A683}"/>
    <cellStyle name="20% - Accent4 5 3" xfId="4943" xr:uid="{00000000-0005-0000-0000-000071020000}"/>
    <cellStyle name="20% - Accent4 5 3 2" xfId="13385" xr:uid="{53F151A8-805B-401B-B9F7-6D24590979C9}"/>
    <cellStyle name="20% - Accent4 5 3 3" xfId="21822" xr:uid="{B59BB049-3F90-48FA-A946-79DAA062A50A}"/>
    <cellStyle name="20% - Accent4 5 4" xfId="9167" xr:uid="{859146B2-E927-44B6-BD3F-35334AAA871A}"/>
    <cellStyle name="20% - Accent4 5 5" xfId="17605" xr:uid="{85D49EBC-B19B-4D78-BE36-2625CEDC7144}"/>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250F004C-A587-47E3-BBE7-7C4CE6774FE8}"/>
    <cellStyle name="20% - Accent4 6 2 2 3" xfId="24380" xr:uid="{44ED586D-AC9A-48CA-B21A-B094EBE4CFC2}"/>
    <cellStyle name="20% - Accent4 6 2 3" xfId="11725" xr:uid="{DEC6E4A6-7B68-4806-9A34-838E817FE95C}"/>
    <cellStyle name="20% - Accent4 6 2 4" xfId="20163" xr:uid="{21DBC8E3-E724-43D6-85C5-4722AF14CDCC}"/>
    <cellStyle name="20% - Accent4 6 3" xfId="5356" xr:uid="{00000000-0005-0000-0000-000075020000}"/>
    <cellStyle name="20% - Accent4 6 3 2" xfId="13798" xr:uid="{8AF94717-E7C2-4335-9052-AAC7A5DAD226}"/>
    <cellStyle name="20% - Accent4 6 3 3" xfId="22235" xr:uid="{017A04C1-8481-402D-8890-4784D0D0FEE6}"/>
    <cellStyle name="20% - Accent4 6 4" xfId="9580" xr:uid="{7E3CCA8C-598F-47CD-AA1F-D9C69FF6DDF7}"/>
    <cellStyle name="20% - Accent4 6 5" xfId="18018" xr:uid="{7F23DCB5-B1A2-4E4E-9D5E-0A78567D69CB}"/>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6BDC8BF5-EEFA-473F-A708-7D3CE1A3C9C3}"/>
    <cellStyle name="20% - Accent4 7 2 2 3" xfId="24793" xr:uid="{74A01415-503D-4648-80E7-E2D252075266}"/>
    <cellStyle name="20% - Accent4 7 2 3" xfId="12138" xr:uid="{B361653F-49D5-4A51-8C13-C7F482B1547F}"/>
    <cellStyle name="20% - Accent4 7 2 4" xfId="20576" xr:uid="{281891E9-7A59-43F3-BDCA-2AC7FEC4F5DB}"/>
    <cellStyle name="20% - Accent4 7 3" xfId="5769" xr:uid="{00000000-0005-0000-0000-000079020000}"/>
    <cellStyle name="20% - Accent4 7 3 2" xfId="14211" xr:uid="{36D76AC3-A81F-4C79-97C5-38E05336FC24}"/>
    <cellStyle name="20% - Accent4 7 3 3" xfId="22648" xr:uid="{05784CDA-A1A3-4A9B-B5AC-A6628960A53B}"/>
    <cellStyle name="20% - Accent4 7 4" xfId="9993" xr:uid="{F66968CA-924B-40DF-9FFD-49DF8A39D395}"/>
    <cellStyle name="20% - Accent4 7 5" xfId="18431" xr:uid="{8FF135ED-64DC-42DE-AAF5-0A70A7C5ACEE}"/>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DAA72674-84E7-492B-9B82-6B9BDFE11DEE}"/>
    <cellStyle name="20% - Accent4 8 2 2 3" xfId="25206" xr:uid="{C9CE56C0-92E2-4C11-B376-7E46BB53F2C7}"/>
    <cellStyle name="20% - Accent4 8 2 3" xfId="12551" xr:uid="{4F1F6CED-19EC-433E-BDC1-3C73284D76E0}"/>
    <cellStyle name="20% - Accent4 8 2 4" xfId="20989" xr:uid="{A8CAE135-7AE7-47E0-A40E-D712A835E536}"/>
    <cellStyle name="20% - Accent4 8 3" xfId="6182" xr:uid="{00000000-0005-0000-0000-00007D020000}"/>
    <cellStyle name="20% - Accent4 8 3 2" xfId="14624" xr:uid="{D5A0152F-9FFD-49CF-A25B-65DE01AE6792}"/>
    <cellStyle name="20% - Accent4 8 3 3" xfId="23061" xr:uid="{969095B6-0939-4225-8C1C-F0A16BD8C4F7}"/>
    <cellStyle name="20% - Accent4 8 4" xfId="10406" xr:uid="{F4440CFF-BDF0-4024-B07A-7DDC21370854}"/>
    <cellStyle name="20% - Accent4 8 5" xfId="18844" xr:uid="{733A65CA-13E1-424E-A990-08B3617EFDB5}"/>
    <cellStyle name="20% - Accent4 9" xfId="2288" xr:uid="{00000000-0005-0000-0000-00007E020000}"/>
    <cellStyle name="20% - Accent4 9 2" xfId="6595" xr:uid="{00000000-0005-0000-0000-00007F020000}"/>
    <cellStyle name="20% - Accent4 9 2 2" xfId="15037" xr:uid="{E72DE779-E480-4585-8EF3-ED3CD6D31605}"/>
    <cellStyle name="20% - Accent4 9 2 3" xfId="23474" xr:uid="{0EFAE0FD-AB8D-41D7-885C-3BE6E0FC56DB}"/>
    <cellStyle name="20% - Accent4 9 3" xfId="10819" xr:uid="{751CD3DC-339B-4743-BDB4-3B0158C6AF47}"/>
    <cellStyle name="20% - Accent4 9 4" xfId="19257" xr:uid="{9C44D3CA-4936-4B56-A6D7-618E8F70D3B6}"/>
    <cellStyle name="20% - Accent5" xfId="33" builtinId="46" customBuiltin="1"/>
    <cellStyle name="20% - Accent5 10" xfId="4537" xr:uid="{00000000-0005-0000-0000-000081020000}"/>
    <cellStyle name="20% - Accent5 10 2" xfId="12979" xr:uid="{53DA540E-38A4-4FB4-A824-E4A18C54C16A}"/>
    <cellStyle name="20% - Accent5 10 3" xfId="21416" xr:uid="{1313BE3E-EB5E-42CC-B71C-E4819F478542}"/>
    <cellStyle name="20% - Accent5 11" xfId="8761" xr:uid="{31EEFC77-BEA3-43CC-A259-3EE7EEFC3A87}"/>
    <cellStyle name="20% - Accent5 12" xfId="17199" xr:uid="{01C43B4D-DBD5-4D87-B463-D50D4A6D71B4}"/>
    <cellStyle name="20% - Accent5 2" xfId="34" xr:uid="{00000000-0005-0000-0000-000082020000}"/>
    <cellStyle name="20% - Accent5 2 10" xfId="8762" xr:uid="{6DB3D5BB-C359-4793-A274-99CC87C99A69}"/>
    <cellStyle name="20% - Accent5 2 11" xfId="17200" xr:uid="{271BDEDE-3011-458C-83E3-CAA2C556ADDF}"/>
    <cellStyle name="20% - Accent5 2 2" xfId="35" xr:uid="{00000000-0005-0000-0000-000083020000}"/>
    <cellStyle name="20% - Accent5 2 2 10" xfId="17201" xr:uid="{01E991AE-969A-41CC-8128-C114C8868C81}"/>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BF2C42C2-DBCE-40DC-AF4C-02C99E2EE878}"/>
    <cellStyle name="20% - Accent5 2 2 2 2 2 2 3" xfId="23978" xr:uid="{8A1BC1EB-7B01-4347-BAA5-AB846B0BE017}"/>
    <cellStyle name="20% - Accent5 2 2 2 2 2 3" xfId="11323" xr:uid="{8C392795-F2AB-4775-90B3-BB85BF415F34}"/>
    <cellStyle name="20% - Accent5 2 2 2 2 2 4" xfId="19761" xr:uid="{3180D42F-5A63-43C4-84D0-9ACF7E25C9B3}"/>
    <cellStyle name="20% - Accent5 2 2 2 2 3" xfId="4954" xr:uid="{00000000-0005-0000-0000-000088020000}"/>
    <cellStyle name="20% - Accent5 2 2 2 2 3 2" xfId="13396" xr:uid="{E4EE36E5-6190-49D1-99B9-9493DC72A466}"/>
    <cellStyle name="20% - Accent5 2 2 2 2 3 3" xfId="21833" xr:uid="{36463808-F2E1-40AC-8A7A-A5B38E2699D0}"/>
    <cellStyle name="20% - Accent5 2 2 2 2 4" xfId="9178" xr:uid="{593FFB81-D931-4D1C-8DC4-E2F20A02B4FE}"/>
    <cellStyle name="20% - Accent5 2 2 2 2 5" xfId="17616" xr:uid="{3515DD29-5075-4197-A4CD-D44ECD01B879}"/>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5D544218-C841-43DE-9F43-E854B03260B4}"/>
    <cellStyle name="20% - Accent5 2 2 2 3 2 2 3" xfId="24391" xr:uid="{3AC046D8-2FD1-4E30-93E1-0EEF06BF81B5}"/>
    <cellStyle name="20% - Accent5 2 2 2 3 2 3" xfId="11736" xr:uid="{F8A2FAD7-1A2A-45DD-8650-0A21D9F72D73}"/>
    <cellStyle name="20% - Accent5 2 2 2 3 2 4" xfId="20174" xr:uid="{98F59DEA-EA86-4FAD-9EAF-F0A1946BA00A}"/>
    <cellStyle name="20% - Accent5 2 2 2 3 3" xfId="5367" xr:uid="{00000000-0005-0000-0000-00008C020000}"/>
    <cellStyle name="20% - Accent5 2 2 2 3 3 2" xfId="13809" xr:uid="{69E68505-DC79-47B8-A4F0-42BD344764D3}"/>
    <cellStyle name="20% - Accent5 2 2 2 3 3 3" xfId="22246" xr:uid="{7883BE6B-4E37-4700-BD27-7CC54FEADF8B}"/>
    <cellStyle name="20% - Accent5 2 2 2 3 4" xfId="9591" xr:uid="{3CFC7F39-12E1-40C6-B60B-A3823C8882F2}"/>
    <cellStyle name="20% - Accent5 2 2 2 3 5" xfId="18029" xr:uid="{56CB3E76-4783-4883-9142-D64A1B77764E}"/>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2697C92E-0DE3-43D2-8111-83CE51827DAD}"/>
    <cellStyle name="20% - Accent5 2 2 2 4 2 2 3" xfId="24804" xr:uid="{5C7C8178-2AFF-4580-80AD-4BA0FE982ED0}"/>
    <cellStyle name="20% - Accent5 2 2 2 4 2 3" xfId="12149" xr:uid="{EDD0320E-A319-4A6C-AE4B-3C2647D71DED}"/>
    <cellStyle name="20% - Accent5 2 2 2 4 2 4" xfId="20587" xr:uid="{4C0AB9F2-A51A-4E61-99F9-D98C2C589057}"/>
    <cellStyle name="20% - Accent5 2 2 2 4 3" xfId="5780" xr:uid="{00000000-0005-0000-0000-000090020000}"/>
    <cellStyle name="20% - Accent5 2 2 2 4 3 2" xfId="14222" xr:uid="{C2767FAE-EE9D-456E-8C3D-0B1C8FAF1159}"/>
    <cellStyle name="20% - Accent5 2 2 2 4 3 3" xfId="22659" xr:uid="{02F1E3DF-CB4C-45EF-B2F8-B8932D315374}"/>
    <cellStyle name="20% - Accent5 2 2 2 4 4" xfId="10004" xr:uid="{95ED6841-0FF0-45CF-9D26-B91FCE35BD85}"/>
    <cellStyle name="20% - Accent5 2 2 2 4 5" xfId="18442" xr:uid="{D38DF879-538A-4604-AC19-3FB32C0198E7}"/>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AEFA7D2C-B898-4CAC-A98B-7438B0CEFF33}"/>
    <cellStyle name="20% - Accent5 2 2 2 5 2 2 3" xfId="25217" xr:uid="{90C7F84F-40E3-454B-807F-855E3B776F26}"/>
    <cellStyle name="20% - Accent5 2 2 2 5 2 3" xfId="12562" xr:uid="{D8383E66-8F22-4C43-B12B-E2B5983430F4}"/>
    <cellStyle name="20% - Accent5 2 2 2 5 2 4" xfId="21000" xr:uid="{8ACFC49A-A9A7-430B-8206-C90CBCEF0BE5}"/>
    <cellStyle name="20% - Accent5 2 2 2 5 3" xfId="6193" xr:uid="{00000000-0005-0000-0000-000094020000}"/>
    <cellStyle name="20% - Accent5 2 2 2 5 3 2" xfId="14635" xr:uid="{0A807EA2-7826-4219-9B33-4E896A8FDCF8}"/>
    <cellStyle name="20% - Accent5 2 2 2 5 3 3" xfId="23072" xr:uid="{9A06FFDF-49F4-4DD3-AC44-0B5AE65F9DE5}"/>
    <cellStyle name="20% - Accent5 2 2 2 5 4" xfId="10417" xr:uid="{9CFF4BD7-70BF-453F-908D-836385F73148}"/>
    <cellStyle name="20% - Accent5 2 2 2 5 5" xfId="18855" xr:uid="{119A06FB-0A99-4F68-8B04-005F03D3D506}"/>
    <cellStyle name="20% - Accent5 2 2 2 6" xfId="2299" xr:uid="{00000000-0005-0000-0000-000095020000}"/>
    <cellStyle name="20% - Accent5 2 2 2 6 2" xfId="6606" xr:uid="{00000000-0005-0000-0000-000096020000}"/>
    <cellStyle name="20% - Accent5 2 2 2 6 2 2" xfId="15048" xr:uid="{E019A8E5-C0F0-4C82-A4A5-251260097C85}"/>
    <cellStyle name="20% - Accent5 2 2 2 6 2 3" xfId="23485" xr:uid="{816EC2B9-04D3-4467-AAE1-2102188551D8}"/>
    <cellStyle name="20% - Accent5 2 2 2 6 3" xfId="10830" xr:uid="{0A72CE05-7961-4D12-B1E4-7EF47642015F}"/>
    <cellStyle name="20% - Accent5 2 2 2 6 4" xfId="19268" xr:uid="{FFA74C4A-9669-49C0-908E-8A790F53A27C}"/>
    <cellStyle name="20% - Accent5 2 2 2 7" xfId="4540" xr:uid="{00000000-0005-0000-0000-000097020000}"/>
    <cellStyle name="20% - Accent5 2 2 2 7 2" xfId="12982" xr:uid="{4DD241C2-BDF5-46F8-A778-9685FE6DE9CD}"/>
    <cellStyle name="20% - Accent5 2 2 2 7 3" xfId="21419" xr:uid="{320DB763-A90F-4C67-8755-C7562596BA7A}"/>
    <cellStyle name="20% - Accent5 2 2 2 8" xfId="8764" xr:uid="{0A02692B-EEB7-4B83-A868-AFBDFF6766EE}"/>
    <cellStyle name="20% - Accent5 2 2 2 9" xfId="17202" xr:uid="{43E55C8C-CBDB-40A8-BC43-4C1CE9177020}"/>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E8F64403-F2D8-4074-8AE7-38C87B66292C}"/>
    <cellStyle name="20% - Accent5 2 2 3 2 2 3" xfId="23977" xr:uid="{961C801C-0F66-4922-8A3E-44F2BF2F1D62}"/>
    <cellStyle name="20% - Accent5 2 2 3 2 3" xfId="11322" xr:uid="{118BCD83-0B55-49E3-8273-6F48D6A07D34}"/>
    <cellStyle name="20% - Accent5 2 2 3 2 4" xfId="19760" xr:uid="{78DF26F0-23D6-4ADB-A867-7128A24067B1}"/>
    <cellStyle name="20% - Accent5 2 2 3 3" xfId="4953" xr:uid="{00000000-0005-0000-0000-00009B020000}"/>
    <cellStyle name="20% - Accent5 2 2 3 3 2" xfId="13395" xr:uid="{9816DD3D-0C34-4E53-A94E-4CE88B45CA2B}"/>
    <cellStyle name="20% - Accent5 2 2 3 3 3" xfId="21832" xr:uid="{358B4877-7CD6-4D18-B528-144117F5A2F2}"/>
    <cellStyle name="20% - Accent5 2 2 3 4" xfId="9177" xr:uid="{4E9AB6C9-E345-4301-B6F0-326EA79F605A}"/>
    <cellStyle name="20% - Accent5 2 2 3 5" xfId="17615" xr:uid="{95BC63D9-18F6-41AA-A629-1D78B5434CC1}"/>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69471DD4-FE7E-42C4-A0EE-C4D4AEEC0B58}"/>
    <cellStyle name="20% - Accent5 2 2 4 2 2 3" xfId="24390" xr:uid="{4FCB8913-BE88-4CD6-BA04-2C5B85050BF3}"/>
    <cellStyle name="20% - Accent5 2 2 4 2 3" xfId="11735" xr:uid="{5C473DBF-C7AA-4D76-963E-2A85AD4E762D}"/>
    <cellStyle name="20% - Accent5 2 2 4 2 4" xfId="20173" xr:uid="{CE82D5A2-00C2-4DE9-A0C5-082AC8FA6578}"/>
    <cellStyle name="20% - Accent5 2 2 4 3" xfId="5366" xr:uid="{00000000-0005-0000-0000-00009F020000}"/>
    <cellStyle name="20% - Accent5 2 2 4 3 2" xfId="13808" xr:uid="{BECE8AA7-F76E-4DDF-B92B-258767FF7C38}"/>
    <cellStyle name="20% - Accent5 2 2 4 3 3" xfId="22245" xr:uid="{978B2602-073E-4D10-B2C0-3E4A2FD89E85}"/>
    <cellStyle name="20% - Accent5 2 2 4 4" xfId="9590" xr:uid="{201B4242-5B9C-4DDB-A8CE-C908C3A21750}"/>
    <cellStyle name="20% - Accent5 2 2 4 5" xfId="18028" xr:uid="{28CADA28-D232-461A-B06C-F102224305F5}"/>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1A32A05A-B565-4A02-B9A6-1CBECDBB0641}"/>
    <cellStyle name="20% - Accent5 2 2 5 2 2 3" xfId="24803" xr:uid="{ECCAA6B9-80A7-4364-8E3E-98C948C70BB8}"/>
    <cellStyle name="20% - Accent5 2 2 5 2 3" xfId="12148" xr:uid="{9392DAFF-A805-40E0-A98A-47AB05E4FB59}"/>
    <cellStyle name="20% - Accent5 2 2 5 2 4" xfId="20586" xr:uid="{49491302-17BE-4616-8769-B4E5CCD9CA16}"/>
    <cellStyle name="20% - Accent5 2 2 5 3" xfId="5779" xr:uid="{00000000-0005-0000-0000-0000A3020000}"/>
    <cellStyle name="20% - Accent5 2 2 5 3 2" xfId="14221" xr:uid="{FBC422B1-2EEC-46C0-AFEF-3B0DB7590C10}"/>
    <cellStyle name="20% - Accent5 2 2 5 3 3" xfId="22658" xr:uid="{39222355-7311-42BC-BBD4-18611834D3A1}"/>
    <cellStyle name="20% - Accent5 2 2 5 4" xfId="10003" xr:uid="{2A0C0F9B-F29E-4C0D-9A82-6D352CC2A2B6}"/>
    <cellStyle name="20% - Accent5 2 2 5 5" xfId="18441" xr:uid="{69CDAB30-98D5-413B-86AC-754BF9226285}"/>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8893D4FC-8C33-4FEA-BBB1-D8D97627C838}"/>
    <cellStyle name="20% - Accent5 2 2 6 2 2 3" xfId="25216" xr:uid="{CAD91BCF-CA1B-4FD8-B24A-4A0C57C633F9}"/>
    <cellStyle name="20% - Accent5 2 2 6 2 3" xfId="12561" xr:uid="{FF9629D1-8BAB-4E42-8C6E-155B79A98967}"/>
    <cellStyle name="20% - Accent5 2 2 6 2 4" xfId="20999" xr:uid="{7CB35420-B932-48E4-88B1-63C948E4EDE1}"/>
    <cellStyle name="20% - Accent5 2 2 6 3" xfId="6192" xr:uid="{00000000-0005-0000-0000-0000A7020000}"/>
    <cellStyle name="20% - Accent5 2 2 6 3 2" xfId="14634" xr:uid="{DCE91091-037B-4EBC-BA0B-EAC4D0533127}"/>
    <cellStyle name="20% - Accent5 2 2 6 3 3" xfId="23071" xr:uid="{AA28C9EE-CDD5-40C0-9514-677F0F857FFF}"/>
    <cellStyle name="20% - Accent5 2 2 6 4" xfId="10416" xr:uid="{2CC9B493-D55A-461D-8E2D-42A643B53E2D}"/>
    <cellStyle name="20% - Accent5 2 2 6 5" xfId="18854" xr:uid="{B8E4AEB9-EEE2-49F0-BB4B-A2EC99E45385}"/>
    <cellStyle name="20% - Accent5 2 2 7" xfId="2298" xr:uid="{00000000-0005-0000-0000-0000A8020000}"/>
    <cellStyle name="20% - Accent5 2 2 7 2" xfId="6605" xr:uid="{00000000-0005-0000-0000-0000A9020000}"/>
    <cellStyle name="20% - Accent5 2 2 7 2 2" xfId="15047" xr:uid="{8962A1BD-BE07-4D8D-A091-11B18A667A8E}"/>
    <cellStyle name="20% - Accent5 2 2 7 2 3" xfId="23484" xr:uid="{7BE1DB79-83AA-4B9B-AA7A-2F4F1701AB8C}"/>
    <cellStyle name="20% - Accent5 2 2 7 3" xfId="10829" xr:uid="{E8B175E4-4A0A-4983-8927-1180EFD7CB7A}"/>
    <cellStyle name="20% - Accent5 2 2 7 4" xfId="19267" xr:uid="{491FE2C0-AD48-4A45-AF39-370FEE8D384C}"/>
    <cellStyle name="20% - Accent5 2 2 8" xfId="4539" xr:uid="{00000000-0005-0000-0000-0000AA020000}"/>
    <cellStyle name="20% - Accent5 2 2 8 2" xfId="12981" xr:uid="{23D05555-2349-4E37-8093-3E5B3D6322FA}"/>
    <cellStyle name="20% - Accent5 2 2 8 3" xfId="21418" xr:uid="{E9219EE5-932E-4E89-B1AA-71540B997D97}"/>
    <cellStyle name="20% - Accent5 2 2 9" xfId="8763" xr:uid="{829367DE-AB4F-45F5-AC5D-79CB3A42E35A}"/>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C2118521-2535-418F-B024-16BEA309BEF4}"/>
    <cellStyle name="20% - Accent5 2 3 2 2 2 3" xfId="23979" xr:uid="{955BF923-766D-41BF-AFAD-51EAF0A9F373}"/>
    <cellStyle name="20% - Accent5 2 3 2 2 3" xfId="11324" xr:uid="{0AC92D10-480D-4AE8-85F8-4AEABB581844}"/>
    <cellStyle name="20% - Accent5 2 3 2 2 4" xfId="19762" xr:uid="{0CB6174B-A4D7-4CFE-9A71-B790FFC0F06E}"/>
    <cellStyle name="20% - Accent5 2 3 2 3" xfId="4955" xr:uid="{00000000-0005-0000-0000-0000AF020000}"/>
    <cellStyle name="20% - Accent5 2 3 2 3 2" xfId="13397" xr:uid="{B3676BB3-6F7B-44E9-A166-AE5E06CAB558}"/>
    <cellStyle name="20% - Accent5 2 3 2 3 3" xfId="21834" xr:uid="{E2CC06B7-9B4D-4A90-96A1-9AD4CDE48FFB}"/>
    <cellStyle name="20% - Accent5 2 3 2 4" xfId="9179" xr:uid="{567B0D23-D861-4DE8-A6EB-AC9456815D73}"/>
    <cellStyle name="20% - Accent5 2 3 2 5" xfId="17617" xr:uid="{916CF401-2698-4995-A8F3-D44D81107776}"/>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D1D09245-FEAD-4FD7-BAE4-F80D49B7656C}"/>
    <cellStyle name="20% - Accent5 2 3 3 2 2 3" xfId="24392" xr:uid="{E26C2ACF-47B4-4A0B-AB22-15E613F89AB3}"/>
    <cellStyle name="20% - Accent5 2 3 3 2 3" xfId="11737" xr:uid="{0F43E3CD-65E0-4528-959F-3CD30821D0BF}"/>
    <cellStyle name="20% - Accent5 2 3 3 2 4" xfId="20175" xr:uid="{56A13916-1C66-4686-884C-3C8407D8F9D8}"/>
    <cellStyle name="20% - Accent5 2 3 3 3" xfId="5368" xr:uid="{00000000-0005-0000-0000-0000B3020000}"/>
    <cellStyle name="20% - Accent5 2 3 3 3 2" xfId="13810" xr:uid="{264BA2BF-CB54-4975-81FF-BF4D1EF0E399}"/>
    <cellStyle name="20% - Accent5 2 3 3 3 3" xfId="22247" xr:uid="{213A068F-0CB0-42AB-AFD2-4A6A899792A1}"/>
    <cellStyle name="20% - Accent5 2 3 3 4" xfId="9592" xr:uid="{75DFA2E9-D62C-4EDE-A8BF-374B2810CACA}"/>
    <cellStyle name="20% - Accent5 2 3 3 5" xfId="18030" xr:uid="{742542D6-39B7-48CF-9259-8A2CA3890A38}"/>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4F23111D-136C-4D71-8869-5A2AAAAB8AA6}"/>
    <cellStyle name="20% - Accent5 2 3 4 2 2 3" xfId="24805" xr:uid="{7AC643B8-2F00-4980-BBF7-88C7F856A312}"/>
    <cellStyle name="20% - Accent5 2 3 4 2 3" xfId="12150" xr:uid="{E512221B-080E-45ED-B4A7-21C2CF451DC3}"/>
    <cellStyle name="20% - Accent5 2 3 4 2 4" xfId="20588" xr:uid="{78FAA881-F5A8-470E-BBF9-1B31DA003ABD}"/>
    <cellStyle name="20% - Accent5 2 3 4 3" xfId="5781" xr:uid="{00000000-0005-0000-0000-0000B7020000}"/>
    <cellStyle name="20% - Accent5 2 3 4 3 2" xfId="14223" xr:uid="{E054686C-2090-44DE-838D-8A6B57BFBAF8}"/>
    <cellStyle name="20% - Accent5 2 3 4 3 3" xfId="22660" xr:uid="{FF018EC6-BA67-4612-9143-B9114C26ED1E}"/>
    <cellStyle name="20% - Accent5 2 3 4 4" xfId="10005" xr:uid="{F4A17ADA-9C9A-4BF2-812D-32C767ED2440}"/>
    <cellStyle name="20% - Accent5 2 3 4 5" xfId="18443" xr:uid="{EFE3139E-2B82-4B25-8CCE-C1AD27F70A33}"/>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C89A45AB-869B-4971-B105-EC3887B6AFCB}"/>
    <cellStyle name="20% - Accent5 2 3 5 2 2 3" xfId="25218" xr:uid="{9CD344CE-0EF8-4655-AE8C-AF1559135C9E}"/>
    <cellStyle name="20% - Accent5 2 3 5 2 3" xfId="12563" xr:uid="{D6C4B274-5848-4FD6-87A0-CA17B9163D76}"/>
    <cellStyle name="20% - Accent5 2 3 5 2 4" xfId="21001" xr:uid="{D4FD09F2-B598-4BB3-8AC4-1B14D92E1B32}"/>
    <cellStyle name="20% - Accent5 2 3 5 3" xfId="6194" xr:uid="{00000000-0005-0000-0000-0000BB020000}"/>
    <cellStyle name="20% - Accent5 2 3 5 3 2" xfId="14636" xr:uid="{1DCC6C8B-29FA-4241-9C1E-568AEDD18276}"/>
    <cellStyle name="20% - Accent5 2 3 5 3 3" xfId="23073" xr:uid="{2AD45DDB-DD42-42A2-878E-A15E16D6750C}"/>
    <cellStyle name="20% - Accent5 2 3 5 4" xfId="10418" xr:uid="{52ED1225-7B70-4A8F-98D5-1FDA252E4B3D}"/>
    <cellStyle name="20% - Accent5 2 3 5 5" xfId="18856" xr:uid="{01AF27E7-7C8C-408E-BA91-44B390311715}"/>
    <cellStyle name="20% - Accent5 2 3 6" xfId="2300" xr:uid="{00000000-0005-0000-0000-0000BC020000}"/>
    <cellStyle name="20% - Accent5 2 3 6 2" xfId="6607" xr:uid="{00000000-0005-0000-0000-0000BD020000}"/>
    <cellStyle name="20% - Accent5 2 3 6 2 2" xfId="15049" xr:uid="{7BDD4615-4453-412D-983D-C9E9AA3A8917}"/>
    <cellStyle name="20% - Accent5 2 3 6 2 3" xfId="23486" xr:uid="{0E1A310A-7DED-4D88-B3B1-E33F8FD128B4}"/>
    <cellStyle name="20% - Accent5 2 3 6 3" xfId="10831" xr:uid="{8338AB2C-548D-44B7-8A7C-9BC860E78368}"/>
    <cellStyle name="20% - Accent5 2 3 6 4" xfId="19269" xr:uid="{2ED6231A-9203-40C8-A612-6DBE9D22A8B1}"/>
    <cellStyle name="20% - Accent5 2 3 7" xfId="4541" xr:uid="{00000000-0005-0000-0000-0000BE020000}"/>
    <cellStyle name="20% - Accent5 2 3 7 2" xfId="12983" xr:uid="{AC8D47C3-89F2-4E7B-A06C-0A0FE955433E}"/>
    <cellStyle name="20% - Accent5 2 3 7 3" xfId="21420" xr:uid="{0311DF25-C9A0-4EA1-926D-34CC057B0D05}"/>
    <cellStyle name="20% - Accent5 2 3 8" xfId="8765" xr:uid="{8E6DD570-8565-4214-9F69-C433E0BB94F7}"/>
    <cellStyle name="20% - Accent5 2 3 9" xfId="17203" xr:uid="{AD5C2689-98B9-4A62-98A2-8E52860A4CB2}"/>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05332B17-52E0-472F-BF85-A94D18C496F9}"/>
    <cellStyle name="20% - Accent5 2 4 2 2 3" xfId="23976" xr:uid="{A9AF71CA-24C6-4990-9436-E9F4D17C6580}"/>
    <cellStyle name="20% - Accent5 2 4 2 3" xfId="11321" xr:uid="{45B9F172-9C69-44F3-93D1-BC4EA7C16967}"/>
    <cellStyle name="20% - Accent5 2 4 2 4" xfId="19759" xr:uid="{31709D00-EAE5-4236-921E-EA6BF69510DB}"/>
    <cellStyle name="20% - Accent5 2 4 3" xfId="4952" xr:uid="{00000000-0005-0000-0000-0000C2020000}"/>
    <cellStyle name="20% - Accent5 2 4 3 2" xfId="13394" xr:uid="{0152E4B1-0A19-4C59-91FA-2FD856467321}"/>
    <cellStyle name="20% - Accent5 2 4 3 3" xfId="21831" xr:uid="{2B000505-4E87-4979-809C-17FF05E0B88A}"/>
    <cellStyle name="20% - Accent5 2 4 4" xfId="9176" xr:uid="{EEF75362-0F28-4401-ACA4-9DC5A999BCC1}"/>
    <cellStyle name="20% - Accent5 2 4 5" xfId="17614" xr:uid="{FDBAAE16-B045-4D0E-81A6-B4910A8DE9B6}"/>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CD2BB4F2-2A4B-4F57-9B19-D6C61D3F95FF}"/>
    <cellStyle name="20% - Accent5 2 5 2 2 3" xfId="24389" xr:uid="{67E2CF13-3DD6-4141-BA3F-7EE204A156EB}"/>
    <cellStyle name="20% - Accent5 2 5 2 3" xfId="11734" xr:uid="{6F5CDC51-9146-4BC7-A304-38B4E3AD22DF}"/>
    <cellStyle name="20% - Accent5 2 5 2 4" xfId="20172" xr:uid="{1E81F6F2-476B-4B2D-81A3-BB5D2B80171A}"/>
    <cellStyle name="20% - Accent5 2 5 3" xfId="5365" xr:uid="{00000000-0005-0000-0000-0000C6020000}"/>
    <cellStyle name="20% - Accent5 2 5 3 2" xfId="13807" xr:uid="{C3254FC3-2B29-42A8-8649-23A07931AB0C}"/>
    <cellStyle name="20% - Accent5 2 5 3 3" xfId="22244" xr:uid="{7FB41A5D-1D81-4B7A-9B08-C9D089E08FD7}"/>
    <cellStyle name="20% - Accent5 2 5 4" xfId="9589" xr:uid="{71F5C966-6B18-4380-9A42-B57B251968F0}"/>
    <cellStyle name="20% - Accent5 2 5 5" xfId="18027" xr:uid="{9478E525-6355-4D9C-9FA3-E3B86C653809}"/>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80DEC257-1599-461B-BFC0-8FBF2F7DA1A2}"/>
    <cellStyle name="20% - Accent5 2 6 2 2 3" xfId="24802" xr:uid="{3A70716C-22FC-4DFD-A255-400068956211}"/>
    <cellStyle name="20% - Accent5 2 6 2 3" xfId="12147" xr:uid="{4C826C34-F194-45AE-9749-0492F302D8EB}"/>
    <cellStyle name="20% - Accent5 2 6 2 4" xfId="20585" xr:uid="{0F442C08-D452-4F05-B18E-EB2E7418458A}"/>
    <cellStyle name="20% - Accent5 2 6 3" xfId="5778" xr:uid="{00000000-0005-0000-0000-0000CA020000}"/>
    <cellStyle name="20% - Accent5 2 6 3 2" xfId="14220" xr:uid="{CB0BB0CA-F2DC-4366-A9A9-2D2662FD5738}"/>
    <cellStyle name="20% - Accent5 2 6 3 3" xfId="22657" xr:uid="{E0AC60D4-695A-46C6-984E-81503EBFF2B7}"/>
    <cellStyle name="20% - Accent5 2 6 4" xfId="10002" xr:uid="{87E37EC2-3F26-4F9C-AB1F-489F74B69E8B}"/>
    <cellStyle name="20% - Accent5 2 6 5" xfId="18440" xr:uid="{950F914B-1985-4F41-99CA-0B48BAC315F1}"/>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0990B83A-A39D-4D58-A02C-09943172C8A0}"/>
    <cellStyle name="20% - Accent5 2 7 2 2 3" xfId="25215" xr:uid="{17FD898E-C7C9-40C1-8639-BCF0070428FB}"/>
    <cellStyle name="20% - Accent5 2 7 2 3" xfId="12560" xr:uid="{CE00D054-6490-42B0-8606-40E5B4E82105}"/>
    <cellStyle name="20% - Accent5 2 7 2 4" xfId="20998" xr:uid="{6FB524E1-96A3-461A-A059-E28F4C7496A1}"/>
    <cellStyle name="20% - Accent5 2 7 3" xfId="6191" xr:uid="{00000000-0005-0000-0000-0000CE020000}"/>
    <cellStyle name="20% - Accent5 2 7 3 2" xfId="14633" xr:uid="{5F924643-24F5-428C-A263-3E2794A56FE9}"/>
    <cellStyle name="20% - Accent5 2 7 3 3" xfId="23070" xr:uid="{CDFEDB28-480A-441D-921F-F5EADCB563AE}"/>
    <cellStyle name="20% - Accent5 2 7 4" xfId="10415" xr:uid="{B9579818-2B64-4A7A-88ED-742371E31EC2}"/>
    <cellStyle name="20% - Accent5 2 7 5" xfId="18853" xr:uid="{3B56E27B-7065-4996-B34B-B401E9508FBC}"/>
    <cellStyle name="20% - Accent5 2 8" xfId="2297" xr:uid="{00000000-0005-0000-0000-0000CF020000}"/>
    <cellStyle name="20% - Accent5 2 8 2" xfId="6604" xr:uid="{00000000-0005-0000-0000-0000D0020000}"/>
    <cellStyle name="20% - Accent5 2 8 2 2" xfId="15046" xr:uid="{57AECB13-AC8B-4CF7-9487-28EFA9620AFF}"/>
    <cellStyle name="20% - Accent5 2 8 2 3" xfId="23483" xr:uid="{23B9AD6F-DC5C-4B89-97CE-DBF50854AF9C}"/>
    <cellStyle name="20% - Accent5 2 8 3" xfId="10828" xr:uid="{F819EEB1-C2A0-4CE1-9D97-382B0F4E4D6A}"/>
    <cellStyle name="20% - Accent5 2 8 4" xfId="19266" xr:uid="{42937F6C-6D2B-4A40-B262-FB19C5A8FE86}"/>
    <cellStyle name="20% - Accent5 2 9" xfId="4538" xr:uid="{00000000-0005-0000-0000-0000D1020000}"/>
    <cellStyle name="20% - Accent5 2 9 2" xfId="12980" xr:uid="{2FFA1F10-EC9C-447B-9684-2BFCCC9A1E1E}"/>
    <cellStyle name="20% - Accent5 2 9 3" xfId="21417" xr:uid="{BDA0718B-FF1D-412C-8459-A06CD850B204}"/>
    <cellStyle name="20% - Accent5 3" xfId="38" xr:uid="{00000000-0005-0000-0000-0000D2020000}"/>
    <cellStyle name="20% - Accent5 3 10" xfId="17204" xr:uid="{4F8FF904-6F54-46F4-86D0-80CDFF57263E}"/>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5F8C6711-8896-4BB5-A0FB-2D21493E29C7}"/>
    <cellStyle name="20% - Accent5 3 2 2 2 2 3" xfId="23981" xr:uid="{EF34E45F-B5EE-4BE6-93FF-9C50A358AE3D}"/>
    <cellStyle name="20% - Accent5 3 2 2 2 3" xfId="11326" xr:uid="{44C710BA-FE82-45FD-A53B-2D03EBA8CF67}"/>
    <cellStyle name="20% - Accent5 3 2 2 2 4" xfId="19764" xr:uid="{F33A8784-F6BA-4B98-93E8-BCDEE3CD317F}"/>
    <cellStyle name="20% - Accent5 3 2 2 3" xfId="4957" xr:uid="{00000000-0005-0000-0000-0000D7020000}"/>
    <cellStyle name="20% - Accent5 3 2 2 3 2" xfId="13399" xr:uid="{8DEE4FA1-9680-41B0-B082-1C3A5800B558}"/>
    <cellStyle name="20% - Accent5 3 2 2 3 3" xfId="21836" xr:uid="{E4A340AB-EFD7-45E9-ABFA-752D5217D94C}"/>
    <cellStyle name="20% - Accent5 3 2 2 4" xfId="9181" xr:uid="{C3428347-26E5-4476-BBB1-831187D666C3}"/>
    <cellStyle name="20% - Accent5 3 2 2 5" xfId="17619" xr:uid="{F6A5A317-A8B4-4689-BB6E-16CA87D754B6}"/>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FDBE4D47-87FA-415E-B713-F48E32FAC031}"/>
    <cellStyle name="20% - Accent5 3 2 3 2 2 3" xfId="24394" xr:uid="{90E34D10-19A0-406D-B075-0371F3813F80}"/>
    <cellStyle name="20% - Accent5 3 2 3 2 3" xfId="11739" xr:uid="{E7704532-9C41-4AD6-88B4-179E0B80493A}"/>
    <cellStyle name="20% - Accent5 3 2 3 2 4" xfId="20177" xr:uid="{B8BAB5B0-BB9F-4641-89F2-D6C6D4A80B13}"/>
    <cellStyle name="20% - Accent5 3 2 3 3" xfId="5370" xr:uid="{00000000-0005-0000-0000-0000DB020000}"/>
    <cellStyle name="20% - Accent5 3 2 3 3 2" xfId="13812" xr:uid="{9E88E66C-F671-4A06-BE01-76B3F7B22C6E}"/>
    <cellStyle name="20% - Accent5 3 2 3 3 3" xfId="22249" xr:uid="{ED661EEC-5643-4538-A858-10EE11ED5587}"/>
    <cellStyle name="20% - Accent5 3 2 3 4" xfId="9594" xr:uid="{432E0D8B-D6DD-4B69-B34C-600CB2A7C3A1}"/>
    <cellStyle name="20% - Accent5 3 2 3 5" xfId="18032" xr:uid="{4D2A7CE7-733B-47B5-AF8D-2CCDAEB87236}"/>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9690C1D8-1058-4C26-A186-B5349FDBBCA7}"/>
    <cellStyle name="20% - Accent5 3 2 4 2 2 3" xfId="24807" xr:uid="{4CA86845-FF44-479A-9434-87797B10D10B}"/>
    <cellStyle name="20% - Accent5 3 2 4 2 3" xfId="12152" xr:uid="{A2C5A1B2-DAC2-4540-8BB4-4722B9BDD5F6}"/>
    <cellStyle name="20% - Accent5 3 2 4 2 4" xfId="20590" xr:uid="{1B6019BA-A6EF-4981-8A22-98A7F8A5CC2C}"/>
    <cellStyle name="20% - Accent5 3 2 4 3" xfId="5783" xr:uid="{00000000-0005-0000-0000-0000DF020000}"/>
    <cellStyle name="20% - Accent5 3 2 4 3 2" xfId="14225" xr:uid="{C9C6CA0A-A7C0-4065-8260-17328744401D}"/>
    <cellStyle name="20% - Accent5 3 2 4 3 3" xfId="22662" xr:uid="{754626EE-E454-491E-B123-C17127963529}"/>
    <cellStyle name="20% - Accent5 3 2 4 4" xfId="10007" xr:uid="{30232F49-55CB-4350-8096-D71E03E92334}"/>
    <cellStyle name="20% - Accent5 3 2 4 5" xfId="18445" xr:uid="{D8D5AD27-0560-4534-B329-C730BFD21F4A}"/>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4DA5C189-BD26-4EBF-A328-8F98E8E6C2B4}"/>
    <cellStyle name="20% - Accent5 3 2 5 2 2 3" xfId="25220" xr:uid="{B595008B-1374-4211-B72F-86803C6FE5C3}"/>
    <cellStyle name="20% - Accent5 3 2 5 2 3" xfId="12565" xr:uid="{BD6CFEFC-0EA7-4A06-A9EC-62A94A579154}"/>
    <cellStyle name="20% - Accent5 3 2 5 2 4" xfId="21003" xr:uid="{F22F0346-8855-4135-A9EF-80B656DC5402}"/>
    <cellStyle name="20% - Accent5 3 2 5 3" xfId="6196" xr:uid="{00000000-0005-0000-0000-0000E3020000}"/>
    <cellStyle name="20% - Accent5 3 2 5 3 2" xfId="14638" xr:uid="{964C6EEC-9B04-4245-8E46-C3CC138760D4}"/>
    <cellStyle name="20% - Accent5 3 2 5 3 3" xfId="23075" xr:uid="{C95547FC-A640-4807-857A-A044487ADAE9}"/>
    <cellStyle name="20% - Accent5 3 2 5 4" xfId="10420" xr:uid="{9FF033C3-2F2F-41B5-BB1F-C97D3069542E}"/>
    <cellStyle name="20% - Accent5 3 2 5 5" xfId="18858" xr:uid="{C5A3AEC5-F170-4530-8F7F-9A7C493D0112}"/>
    <cellStyle name="20% - Accent5 3 2 6" xfId="2302" xr:uid="{00000000-0005-0000-0000-0000E4020000}"/>
    <cellStyle name="20% - Accent5 3 2 6 2" xfId="6609" xr:uid="{00000000-0005-0000-0000-0000E5020000}"/>
    <cellStyle name="20% - Accent5 3 2 6 2 2" xfId="15051" xr:uid="{3DBF1AA3-8DFE-4B6F-B15B-11F2DBEA15D6}"/>
    <cellStyle name="20% - Accent5 3 2 6 2 3" xfId="23488" xr:uid="{857E83FB-0805-4243-8E08-9DAF7F519F67}"/>
    <cellStyle name="20% - Accent5 3 2 6 3" xfId="10833" xr:uid="{CF72B882-F773-42C2-AA47-C055E764C805}"/>
    <cellStyle name="20% - Accent5 3 2 6 4" xfId="19271" xr:uid="{A9242B1C-1FEC-40D8-B4DB-ECFA1DA9032F}"/>
    <cellStyle name="20% - Accent5 3 2 7" xfId="4543" xr:uid="{00000000-0005-0000-0000-0000E6020000}"/>
    <cellStyle name="20% - Accent5 3 2 7 2" xfId="12985" xr:uid="{8DFA4474-A595-4A15-AF12-DBE372D2CB1F}"/>
    <cellStyle name="20% - Accent5 3 2 7 3" xfId="21422" xr:uid="{0CC8FBCA-B672-4AD3-81AF-95635163F7E2}"/>
    <cellStyle name="20% - Accent5 3 2 8" xfId="8767" xr:uid="{AB10AC17-1EBA-4AC0-9E8D-FB35167CD67F}"/>
    <cellStyle name="20% - Accent5 3 2 9" xfId="17205" xr:uid="{50A56065-A631-4626-9253-2E6DE9A9F4AC}"/>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4324A1AB-9D62-49B4-83ED-0074DABAD266}"/>
    <cellStyle name="20% - Accent5 3 3 2 2 3" xfId="23980" xr:uid="{2B71911F-9174-4AB8-B6E9-B98974F4BB9B}"/>
    <cellStyle name="20% - Accent5 3 3 2 3" xfId="11325" xr:uid="{8737E77C-E01E-4CB4-87C5-DA1B94EB183D}"/>
    <cellStyle name="20% - Accent5 3 3 2 4" xfId="19763" xr:uid="{1AB2AA07-1F2C-4051-8EA3-029EE4BC86D8}"/>
    <cellStyle name="20% - Accent5 3 3 3" xfId="4956" xr:uid="{00000000-0005-0000-0000-0000EA020000}"/>
    <cellStyle name="20% - Accent5 3 3 3 2" xfId="13398" xr:uid="{57582A85-42B0-4960-8939-4F757C8B81C4}"/>
    <cellStyle name="20% - Accent5 3 3 3 3" xfId="21835" xr:uid="{FCECBC21-10B4-4F03-862B-38F344918584}"/>
    <cellStyle name="20% - Accent5 3 3 4" xfId="9180" xr:uid="{87536ADD-54ED-47B0-87AA-41066E888969}"/>
    <cellStyle name="20% - Accent5 3 3 5" xfId="17618" xr:uid="{66740720-A58D-41B3-B1B0-88C86477D7BA}"/>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4894C8D9-8F57-46A0-8440-F81DE14FA4AB}"/>
    <cellStyle name="20% - Accent5 3 4 2 2 3" xfId="24393" xr:uid="{40DC8341-BD6B-4A81-94A4-4931CCED9C77}"/>
    <cellStyle name="20% - Accent5 3 4 2 3" xfId="11738" xr:uid="{79AB2942-A061-4575-84B7-3DD6A23F7893}"/>
    <cellStyle name="20% - Accent5 3 4 2 4" xfId="20176" xr:uid="{D8706AF1-4F10-4852-9D6D-357FB767AFB6}"/>
    <cellStyle name="20% - Accent5 3 4 3" xfId="5369" xr:uid="{00000000-0005-0000-0000-0000EE020000}"/>
    <cellStyle name="20% - Accent5 3 4 3 2" xfId="13811" xr:uid="{CE2CA328-80BB-44C5-A270-6B3DD46EE838}"/>
    <cellStyle name="20% - Accent5 3 4 3 3" xfId="22248" xr:uid="{0449AC38-8DEA-4E5B-B7DA-CAA8C8CA8B28}"/>
    <cellStyle name="20% - Accent5 3 4 4" xfId="9593" xr:uid="{1401C404-5C34-47FD-B68D-B4B277244D31}"/>
    <cellStyle name="20% - Accent5 3 4 5" xfId="18031" xr:uid="{54B11068-3B16-4285-8C4E-B664486979C2}"/>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8814EA76-E819-4498-BB8C-0C7EC53FB6B0}"/>
    <cellStyle name="20% - Accent5 3 5 2 2 3" xfId="24806" xr:uid="{37E7BB00-1A82-4E69-BC6D-1A35D955E3C1}"/>
    <cellStyle name="20% - Accent5 3 5 2 3" xfId="12151" xr:uid="{249D773C-464A-48EF-A739-E2850CA9BDD4}"/>
    <cellStyle name="20% - Accent5 3 5 2 4" xfId="20589" xr:uid="{7E25F59B-2FF2-4A7F-976C-AE82FF7173F8}"/>
    <cellStyle name="20% - Accent5 3 5 3" xfId="5782" xr:uid="{00000000-0005-0000-0000-0000F2020000}"/>
    <cellStyle name="20% - Accent5 3 5 3 2" xfId="14224" xr:uid="{9A97583B-0848-4317-B825-D1C5FF375A3D}"/>
    <cellStyle name="20% - Accent5 3 5 3 3" xfId="22661" xr:uid="{946FF611-01EE-4BFD-9FBD-B3E7801CB2DB}"/>
    <cellStyle name="20% - Accent5 3 5 4" xfId="10006" xr:uid="{D92D6C38-A32D-49CF-8124-096908F189D0}"/>
    <cellStyle name="20% - Accent5 3 5 5" xfId="18444" xr:uid="{A2CF595C-7EB6-4B30-AAD5-F9423F8FCBBC}"/>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54F5A374-4EDC-498B-B161-D79EA24FC973}"/>
    <cellStyle name="20% - Accent5 3 6 2 2 3" xfId="25219" xr:uid="{B660EF6A-BDE7-4941-97EE-0A8051622FBA}"/>
    <cellStyle name="20% - Accent5 3 6 2 3" xfId="12564" xr:uid="{636F72B2-2641-4171-ABC5-5C9EF08A808E}"/>
    <cellStyle name="20% - Accent5 3 6 2 4" xfId="21002" xr:uid="{76E07A2F-F2DD-42BC-9EAC-E80D32F11F08}"/>
    <cellStyle name="20% - Accent5 3 6 3" xfId="6195" xr:uid="{00000000-0005-0000-0000-0000F6020000}"/>
    <cellStyle name="20% - Accent5 3 6 3 2" xfId="14637" xr:uid="{5639F065-93B2-4016-AD49-70E69C7E7F02}"/>
    <cellStyle name="20% - Accent5 3 6 3 3" xfId="23074" xr:uid="{2D6C3510-B861-4705-A33C-9456739EA0FE}"/>
    <cellStyle name="20% - Accent5 3 6 4" xfId="10419" xr:uid="{AE4742AA-042D-49C1-9A8F-48969378C5C2}"/>
    <cellStyle name="20% - Accent5 3 6 5" xfId="18857" xr:uid="{6CCFC0E6-96A8-4B8F-9E73-35586479309B}"/>
    <cellStyle name="20% - Accent5 3 7" xfId="2301" xr:uid="{00000000-0005-0000-0000-0000F7020000}"/>
    <cellStyle name="20% - Accent5 3 7 2" xfId="6608" xr:uid="{00000000-0005-0000-0000-0000F8020000}"/>
    <cellStyle name="20% - Accent5 3 7 2 2" xfId="15050" xr:uid="{CE8B161D-7FDE-4D25-98F6-101401E00EA1}"/>
    <cellStyle name="20% - Accent5 3 7 2 3" xfId="23487" xr:uid="{BBC234B0-44FD-47D3-9A47-8E2BD329429B}"/>
    <cellStyle name="20% - Accent5 3 7 3" xfId="10832" xr:uid="{138B0B13-CD3B-4223-B544-CF225EE90B0D}"/>
    <cellStyle name="20% - Accent5 3 7 4" xfId="19270" xr:uid="{C461C1A1-1661-4D31-B128-068AD31003E3}"/>
    <cellStyle name="20% - Accent5 3 8" xfId="4542" xr:uid="{00000000-0005-0000-0000-0000F9020000}"/>
    <cellStyle name="20% - Accent5 3 8 2" xfId="12984" xr:uid="{81F20030-8CD1-49CE-BAD1-0F4D63FC6E15}"/>
    <cellStyle name="20% - Accent5 3 8 3" xfId="21421" xr:uid="{581192EB-4F69-4E2B-8FC4-369618D7037A}"/>
    <cellStyle name="20% - Accent5 3 9" xfId="8766" xr:uid="{B2CB1F48-DA6C-409B-A5EE-7C3B1AFB8B0E}"/>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8035E531-D251-41F2-B9D3-911E7118B09E}"/>
    <cellStyle name="20% - Accent5 4 2 2 2 3" xfId="23982" xr:uid="{ADCDDFBA-81DA-4649-92C4-C57A5911FEDE}"/>
    <cellStyle name="20% - Accent5 4 2 2 3" xfId="11327" xr:uid="{080B9614-D896-4CD3-80F5-BDB0D7D7BE3B}"/>
    <cellStyle name="20% - Accent5 4 2 2 4" xfId="19765" xr:uid="{FE02F8BF-7952-4FE6-A006-03781B300BFB}"/>
    <cellStyle name="20% - Accent5 4 2 3" xfId="4958" xr:uid="{00000000-0005-0000-0000-0000FE020000}"/>
    <cellStyle name="20% - Accent5 4 2 3 2" xfId="13400" xr:uid="{790EC606-E1DD-426C-BC50-ED317B36E1BC}"/>
    <cellStyle name="20% - Accent5 4 2 3 3" xfId="21837" xr:uid="{D352ADBB-C616-4F85-9712-F6516D0A87E9}"/>
    <cellStyle name="20% - Accent5 4 2 4" xfId="9182" xr:uid="{1F6021E7-1BFB-4369-A2A4-01C46DF0BCB7}"/>
    <cellStyle name="20% - Accent5 4 2 5" xfId="17620" xr:uid="{310B8D3E-1B22-4142-8266-4B43A1039DE8}"/>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92CC2E2D-A6BC-4A89-AB3D-40027B4EEB2F}"/>
    <cellStyle name="20% - Accent5 4 3 2 2 3" xfId="24395" xr:uid="{E5B8AE0A-4FC5-4CED-9D65-F80C1E191B0D}"/>
    <cellStyle name="20% - Accent5 4 3 2 3" xfId="11740" xr:uid="{1FEB568F-0766-49EA-932F-B4388B478511}"/>
    <cellStyle name="20% - Accent5 4 3 2 4" xfId="20178" xr:uid="{AE6CBC8C-2888-459D-B2BC-99191F2B13A5}"/>
    <cellStyle name="20% - Accent5 4 3 3" xfId="5371" xr:uid="{00000000-0005-0000-0000-000002030000}"/>
    <cellStyle name="20% - Accent5 4 3 3 2" xfId="13813" xr:uid="{D56FB4E3-34D2-499A-AED0-E9D758C4C8E3}"/>
    <cellStyle name="20% - Accent5 4 3 3 3" xfId="22250" xr:uid="{9E096C9B-6BF7-4D9C-A8FA-39E43476A4E7}"/>
    <cellStyle name="20% - Accent5 4 3 4" xfId="9595" xr:uid="{64389B78-9AB6-4C2A-BBCE-D19D2188F93D}"/>
    <cellStyle name="20% - Accent5 4 3 5" xfId="18033" xr:uid="{9989E69A-A362-4EE6-B14B-D7283EF32B41}"/>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D1AC0A71-64C9-4F58-B9AF-B1F9565AF373}"/>
    <cellStyle name="20% - Accent5 4 4 2 2 3" xfId="24808" xr:uid="{ABD623AF-ABF0-4E2A-A69E-FF49E1BAED6F}"/>
    <cellStyle name="20% - Accent5 4 4 2 3" xfId="12153" xr:uid="{844CB0AB-20FA-453E-A9A1-864B1037726D}"/>
    <cellStyle name="20% - Accent5 4 4 2 4" xfId="20591" xr:uid="{434D3C16-9622-4B7D-8EEA-936BF8105C85}"/>
    <cellStyle name="20% - Accent5 4 4 3" xfId="5784" xr:uid="{00000000-0005-0000-0000-000006030000}"/>
    <cellStyle name="20% - Accent5 4 4 3 2" xfId="14226" xr:uid="{73C5444F-9591-477A-BE97-3A6B4623C367}"/>
    <cellStyle name="20% - Accent5 4 4 3 3" xfId="22663" xr:uid="{314F7A1C-B783-49CC-BC26-222EE19EE041}"/>
    <cellStyle name="20% - Accent5 4 4 4" xfId="10008" xr:uid="{945CD06D-1A39-4847-85C2-FA29E842AACB}"/>
    <cellStyle name="20% - Accent5 4 4 5" xfId="18446" xr:uid="{82927A27-5908-4D39-90E2-AD1083BDB881}"/>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7F216C29-4B4C-41EB-A7B8-12EFBB3C6339}"/>
    <cellStyle name="20% - Accent5 4 5 2 2 3" xfId="25221" xr:uid="{20408CAF-5182-4975-9571-4F1C0ECF3E1E}"/>
    <cellStyle name="20% - Accent5 4 5 2 3" xfId="12566" xr:uid="{4F47508A-E821-4EA8-8434-813DB40CA2A4}"/>
    <cellStyle name="20% - Accent5 4 5 2 4" xfId="21004" xr:uid="{AF751BE8-56DE-4989-AD5E-DDA1ACB0DED0}"/>
    <cellStyle name="20% - Accent5 4 5 3" xfId="6197" xr:uid="{00000000-0005-0000-0000-00000A030000}"/>
    <cellStyle name="20% - Accent5 4 5 3 2" xfId="14639" xr:uid="{9453E1E5-DC61-47E8-8894-9FCE7DFE243A}"/>
    <cellStyle name="20% - Accent5 4 5 3 3" xfId="23076" xr:uid="{FE8017CD-AFF3-4A60-8AC6-9BCFB9129864}"/>
    <cellStyle name="20% - Accent5 4 5 4" xfId="10421" xr:uid="{F1672A8A-34DA-460F-A523-449DA54DE49E}"/>
    <cellStyle name="20% - Accent5 4 5 5" xfId="18859" xr:uid="{BA36F8C1-A0F6-4FB9-87D5-CD7915824693}"/>
    <cellStyle name="20% - Accent5 4 6" xfId="2303" xr:uid="{00000000-0005-0000-0000-00000B030000}"/>
    <cellStyle name="20% - Accent5 4 6 2" xfId="6610" xr:uid="{00000000-0005-0000-0000-00000C030000}"/>
    <cellStyle name="20% - Accent5 4 6 2 2" xfId="15052" xr:uid="{D5132485-3224-4590-8213-2ED52AE80347}"/>
    <cellStyle name="20% - Accent5 4 6 2 3" xfId="23489" xr:uid="{B6CDABF7-050D-4DFE-BF7B-F01B88E35A2F}"/>
    <cellStyle name="20% - Accent5 4 6 3" xfId="10834" xr:uid="{ADA6B5CE-A313-4D1E-AF04-E5E79D287885}"/>
    <cellStyle name="20% - Accent5 4 6 4" xfId="19272" xr:uid="{FDD4EB80-0F78-4B22-A3A4-DA16472AD03B}"/>
    <cellStyle name="20% - Accent5 4 7" xfId="4544" xr:uid="{00000000-0005-0000-0000-00000D030000}"/>
    <cellStyle name="20% - Accent5 4 7 2" xfId="12986" xr:uid="{AAB9F79A-F9AF-431A-927F-80F4CC0F902D}"/>
    <cellStyle name="20% - Accent5 4 7 3" xfId="21423" xr:uid="{5201D304-ADD6-4E95-A98D-010785336591}"/>
    <cellStyle name="20% - Accent5 4 8" xfId="8768" xr:uid="{0040D0AE-FE56-455D-879D-60158A26D7CC}"/>
    <cellStyle name="20% - Accent5 4 9" xfId="17206" xr:uid="{5AE05165-70E3-458B-A873-33B402CD4C7F}"/>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0AF2A00F-28C5-4115-9AC8-F0CF910216DF}"/>
    <cellStyle name="20% - Accent5 5 2 2 3" xfId="23975" xr:uid="{5D89845E-ED86-418C-89E5-FEF70ECCB451}"/>
    <cellStyle name="20% - Accent5 5 2 3" xfId="11320" xr:uid="{88ED734B-8A99-4237-B41F-0B8D254B0F98}"/>
    <cellStyle name="20% - Accent5 5 2 4" xfId="19758" xr:uid="{8F06FD67-9FF0-46F6-889E-AB646CCDE214}"/>
    <cellStyle name="20% - Accent5 5 3" xfId="4951" xr:uid="{00000000-0005-0000-0000-000011030000}"/>
    <cellStyle name="20% - Accent5 5 3 2" xfId="13393" xr:uid="{332F517F-4B8F-4612-A8DB-3D8B5725CDC8}"/>
    <cellStyle name="20% - Accent5 5 3 3" xfId="21830" xr:uid="{D2660541-F4C0-47BF-9AE1-7C320C1D4ECF}"/>
    <cellStyle name="20% - Accent5 5 4" xfId="9175" xr:uid="{3BDCFC57-398E-48DD-92C6-E8206AD91460}"/>
    <cellStyle name="20% - Accent5 5 5" xfId="17613" xr:uid="{0410CA1E-7CDF-48DA-87A4-72A0CC8A9743}"/>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8393AB67-7B77-4664-B0DB-D5C9D6640CDE}"/>
    <cellStyle name="20% - Accent5 6 2 2 3" xfId="24388" xr:uid="{80C1A3D3-8A5E-44B3-B077-BAEED8545860}"/>
    <cellStyle name="20% - Accent5 6 2 3" xfId="11733" xr:uid="{A95E27DA-00A8-45AD-AA50-04BB4BEAA20A}"/>
    <cellStyle name="20% - Accent5 6 2 4" xfId="20171" xr:uid="{1FC6268D-D726-4107-B155-F73913E33AFE}"/>
    <cellStyle name="20% - Accent5 6 3" xfId="5364" xr:uid="{00000000-0005-0000-0000-000015030000}"/>
    <cellStyle name="20% - Accent5 6 3 2" xfId="13806" xr:uid="{AE2792BF-A0C0-4B5D-9BCA-E391125C8841}"/>
    <cellStyle name="20% - Accent5 6 3 3" xfId="22243" xr:uid="{8BB3E005-9EA6-41E8-B27C-2B0BDB39AC4E}"/>
    <cellStyle name="20% - Accent5 6 4" xfId="9588" xr:uid="{3032D36C-EF37-4459-BD6B-0D89D98EACB5}"/>
    <cellStyle name="20% - Accent5 6 5" xfId="18026" xr:uid="{E0CEAABC-134F-487E-A176-25BD6F6213C8}"/>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D1667AE5-6A46-4458-BC44-4D56C8F8AC89}"/>
    <cellStyle name="20% - Accent5 7 2 2 3" xfId="24801" xr:uid="{C2B5EB47-484E-4E43-BB29-6669A28CC471}"/>
    <cellStyle name="20% - Accent5 7 2 3" xfId="12146" xr:uid="{2D607E07-0D86-4C66-8A7B-1CA7378007A8}"/>
    <cellStyle name="20% - Accent5 7 2 4" xfId="20584" xr:uid="{61D53ADF-7F7C-4B59-ADE6-95C6E8AA48D1}"/>
    <cellStyle name="20% - Accent5 7 3" xfId="5777" xr:uid="{00000000-0005-0000-0000-000019030000}"/>
    <cellStyle name="20% - Accent5 7 3 2" xfId="14219" xr:uid="{E3C96019-4387-40E9-96A1-62BC12E9AAF8}"/>
    <cellStyle name="20% - Accent5 7 3 3" xfId="22656" xr:uid="{FD0C8417-8369-4EF3-AD1F-4323CDC337A6}"/>
    <cellStyle name="20% - Accent5 7 4" xfId="10001" xr:uid="{A973A14A-2598-4ACB-BD3E-77CD3069688F}"/>
    <cellStyle name="20% - Accent5 7 5" xfId="18439" xr:uid="{5F789D37-393D-404D-AD61-9784E0180367}"/>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7E7030EB-1536-467D-8019-64BDD0BB92BB}"/>
    <cellStyle name="20% - Accent5 8 2 2 3" xfId="25214" xr:uid="{1C4B8F27-DEEB-433F-B47A-62A78D40360A}"/>
    <cellStyle name="20% - Accent5 8 2 3" xfId="12559" xr:uid="{2296F84D-8C2D-4F9B-8CB8-D3B4B4EBECC9}"/>
    <cellStyle name="20% - Accent5 8 2 4" xfId="20997" xr:uid="{F759D224-BAFA-4DC4-B1A4-2BA962278C78}"/>
    <cellStyle name="20% - Accent5 8 3" xfId="6190" xr:uid="{00000000-0005-0000-0000-00001D030000}"/>
    <cellStyle name="20% - Accent5 8 3 2" xfId="14632" xr:uid="{68FA156E-768C-47EA-ADDD-D8B57D01E833}"/>
    <cellStyle name="20% - Accent5 8 3 3" xfId="23069" xr:uid="{43605CC7-6FC9-4E14-A29B-7B11DE7600DC}"/>
    <cellStyle name="20% - Accent5 8 4" xfId="10414" xr:uid="{ED4FCF8E-C99A-4736-9810-CE3E4ADA2750}"/>
    <cellStyle name="20% - Accent5 8 5" xfId="18852" xr:uid="{6651B593-8CDE-4ABC-8F29-C690B415BE0B}"/>
    <cellStyle name="20% - Accent5 9" xfId="2296" xr:uid="{00000000-0005-0000-0000-00001E030000}"/>
    <cellStyle name="20% - Accent5 9 2" xfId="6603" xr:uid="{00000000-0005-0000-0000-00001F030000}"/>
    <cellStyle name="20% - Accent5 9 2 2" xfId="15045" xr:uid="{3AD5946B-9849-4E44-AD16-B816FFBEB880}"/>
    <cellStyle name="20% - Accent5 9 2 3" xfId="23482" xr:uid="{890E6794-4A28-4BE7-A27E-4DE9D87C0A5E}"/>
    <cellStyle name="20% - Accent5 9 3" xfId="10827" xr:uid="{A587E322-92B9-4D9E-943C-706003D729C0}"/>
    <cellStyle name="20% - Accent5 9 4" xfId="19265" xr:uid="{ECE67ABC-0E06-4747-89FA-82FAACB1DE57}"/>
    <cellStyle name="20% - Accent6" xfId="41" builtinId="50" customBuiltin="1"/>
    <cellStyle name="20% - Accent6 10" xfId="4545" xr:uid="{00000000-0005-0000-0000-000021030000}"/>
    <cellStyle name="20% - Accent6 10 2" xfId="12987" xr:uid="{7B03ED68-B1DD-4EAE-AC5D-A6B4975D6684}"/>
    <cellStyle name="20% - Accent6 10 3" xfId="21424" xr:uid="{909B2502-E6D2-459D-9F39-CDBFBD7042DF}"/>
    <cellStyle name="20% - Accent6 11" xfId="8769" xr:uid="{263FCC5F-D6AC-4497-92C4-A136F308E538}"/>
    <cellStyle name="20% - Accent6 12" xfId="17207" xr:uid="{8FBF2542-10B3-4CBD-97B3-6A8EA95E3C7E}"/>
    <cellStyle name="20% - Accent6 2" xfId="42" xr:uid="{00000000-0005-0000-0000-000022030000}"/>
    <cellStyle name="20% - Accent6 2 10" xfId="8770" xr:uid="{8DD4C165-0680-4364-8B5F-CED220A59784}"/>
    <cellStyle name="20% - Accent6 2 11" xfId="17208" xr:uid="{FBE5E7A1-AE24-4145-A8F1-0E8A901CA9B7}"/>
    <cellStyle name="20% - Accent6 2 2" xfId="43" xr:uid="{00000000-0005-0000-0000-000023030000}"/>
    <cellStyle name="20% - Accent6 2 2 10" xfId="17209" xr:uid="{8DAD2E59-002E-4F6A-AF8F-C639FC5284C6}"/>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9049D56F-5CDA-4EA1-930F-74DCA492E4E1}"/>
    <cellStyle name="20% - Accent6 2 2 2 2 2 2 3" xfId="23986" xr:uid="{BC11EB80-5D55-4DFA-B5C1-0E8A13994B6A}"/>
    <cellStyle name="20% - Accent6 2 2 2 2 2 3" xfId="11331" xr:uid="{E689736C-23F9-49B5-A8A4-F3069FB63A7D}"/>
    <cellStyle name="20% - Accent6 2 2 2 2 2 4" xfId="19769" xr:uid="{D6C712DB-8E28-49EB-985F-CE0A8B6EAB05}"/>
    <cellStyle name="20% - Accent6 2 2 2 2 3" xfId="4962" xr:uid="{00000000-0005-0000-0000-000028030000}"/>
    <cellStyle name="20% - Accent6 2 2 2 2 3 2" xfId="13404" xr:uid="{94750C34-F6B1-4827-9C39-C0A11E27389C}"/>
    <cellStyle name="20% - Accent6 2 2 2 2 3 3" xfId="21841" xr:uid="{C2C614C4-1A7F-4018-86E0-0C7C856B803C}"/>
    <cellStyle name="20% - Accent6 2 2 2 2 4" xfId="9186" xr:uid="{09CF7FDB-A517-4ABB-8545-F91DC931EAA0}"/>
    <cellStyle name="20% - Accent6 2 2 2 2 5" xfId="17624" xr:uid="{C6F2EE97-E256-4AF8-A077-0B39314FB72F}"/>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35976C39-34F3-4B0C-B381-4C28E7A262A9}"/>
    <cellStyle name="20% - Accent6 2 2 2 3 2 2 3" xfId="24399" xr:uid="{EA390C26-B1A7-426E-88A7-E17A5B369C0A}"/>
    <cellStyle name="20% - Accent6 2 2 2 3 2 3" xfId="11744" xr:uid="{10F42DA1-CFED-4433-9732-523BFB8BA57A}"/>
    <cellStyle name="20% - Accent6 2 2 2 3 2 4" xfId="20182" xr:uid="{8F23E7CB-4E12-4043-8978-0163B8F4182A}"/>
    <cellStyle name="20% - Accent6 2 2 2 3 3" xfId="5375" xr:uid="{00000000-0005-0000-0000-00002C030000}"/>
    <cellStyle name="20% - Accent6 2 2 2 3 3 2" xfId="13817" xr:uid="{88854003-BA24-47EA-B3DB-A003B4DEDF4D}"/>
    <cellStyle name="20% - Accent6 2 2 2 3 3 3" xfId="22254" xr:uid="{398B6DCC-8773-4FDC-97EE-B50390FE67AD}"/>
    <cellStyle name="20% - Accent6 2 2 2 3 4" xfId="9599" xr:uid="{99816AEE-155E-45A0-A1F2-4E9AE32C9BEC}"/>
    <cellStyle name="20% - Accent6 2 2 2 3 5" xfId="18037" xr:uid="{74AF3BAB-D5BA-4FEF-B6BF-B27B38160CEF}"/>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D0EB5283-6C37-40BB-B7FE-92A10978371F}"/>
    <cellStyle name="20% - Accent6 2 2 2 4 2 2 3" xfId="24812" xr:uid="{D850883E-99C8-466F-A565-1EA0C32465F6}"/>
    <cellStyle name="20% - Accent6 2 2 2 4 2 3" xfId="12157" xr:uid="{33D377F2-BA6A-411A-86C0-0C5DDE4A8A72}"/>
    <cellStyle name="20% - Accent6 2 2 2 4 2 4" xfId="20595" xr:uid="{55E0519A-CB8F-4856-A817-E6C45FFEF50B}"/>
    <cellStyle name="20% - Accent6 2 2 2 4 3" xfId="5788" xr:uid="{00000000-0005-0000-0000-000030030000}"/>
    <cellStyle name="20% - Accent6 2 2 2 4 3 2" xfId="14230" xr:uid="{B8D00265-ADE1-498E-9454-64D3E48B5BB6}"/>
    <cellStyle name="20% - Accent6 2 2 2 4 3 3" xfId="22667" xr:uid="{09E0D8A7-7891-430C-ABC1-8A5F2BC2F577}"/>
    <cellStyle name="20% - Accent6 2 2 2 4 4" xfId="10012" xr:uid="{6298CE1B-5A03-45DA-B4BF-669EC6836047}"/>
    <cellStyle name="20% - Accent6 2 2 2 4 5" xfId="18450" xr:uid="{FF503615-A58F-4627-9AA6-69739B6C9CB4}"/>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A4720CF0-EF53-49BD-A2B0-20494E2857CD}"/>
    <cellStyle name="20% - Accent6 2 2 2 5 2 2 3" xfId="25225" xr:uid="{92A0FF74-BFF8-4724-AF9D-A33E01CE8F16}"/>
    <cellStyle name="20% - Accent6 2 2 2 5 2 3" xfId="12570" xr:uid="{AAE81099-F1AF-48D1-8F4C-994130B84163}"/>
    <cellStyle name="20% - Accent6 2 2 2 5 2 4" xfId="21008" xr:uid="{0F351A8C-F218-4F2B-8546-78B9B53D1B02}"/>
    <cellStyle name="20% - Accent6 2 2 2 5 3" xfId="6201" xr:uid="{00000000-0005-0000-0000-000034030000}"/>
    <cellStyle name="20% - Accent6 2 2 2 5 3 2" xfId="14643" xr:uid="{BFE8938E-4B1F-4F3F-A779-613BF4A2383B}"/>
    <cellStyle name="20% - Accent6 2 2 2 5 3 3" xfId="23080" xr:uid="{6543B819-DE2B-4AA3-862F-12AB7C4BB6C8}"/>
    <cellStyle name="20% - Accent6 2 2 2 5 4" xfId="10425" xr:uid="{34C890F3-2532-4A49-B4B2-DE8C288C70AF}"/>
    <cellStyle name="20% - Accent6 2 2 2 5 5" xfId="18863" xr:uid="{B9BDC2ED-501C-4A7B-A153-BC62E844D624}"/>
    <cellStyle name="20% - Accent6 2 2 2 6" xfId="2307" xr:uid="{00000000-0005-0000-0000-000035030000}"/>
    <cellStyle name="20% - Accent6 2 2 2 6 2" xfId="6614" xr:uid="{00000000-0005-0000-0000-000036030000}"/>
    <cellStyle name="20% - Accent6 2 2 2 6 2 2" xfId="15056" xr:uid="{B4F9CF88-1659-434D-AFD7-F03BF49C2E25}"/>
    <cellStyle name="20% - Accent6 2 2 2 6 2 3" xfId="23493" xr:uid="{AFACAD44-A681-4BE7-ADA8-A3B3AF654174}"/>
    <cellStyle name="20% - Accent6 2 2 2 6 3" xfId="10838" xr:uid="{6EA1AC1E-667B-47A7-8AC9-FD40B4675117}"/>
    <cellStyle name="20% - Accent6 2 2 2 6 4" xfId="19276" xr:uid="{4AC55F0C-D9CC-4136-82FC-ABFF51FE4956}"/>
    <cellStyle name="20% - Accent6 2 2 2 7" xfId="4548" xr:uid="{00000000-0005-0000-0000-000037030000}"/>
    <cellStyle name="20% - Accent6 2 2 2 7 2" xfId="12990" xr:uid="{DD7D83CA-4622-4B81-849F-F2941BA4C58D}"/>
    <cellStyle name="20% - Accent6 2 2 2 7 3" xfId="21427" xr:uid="{1F72E7AB-A374-445E-8DD8-2707CA9B1B86}"/>
    <cellStyle name="20% - Accent6 2 2 2 8" xfId="8772" xr:uid="{4201D587-E8A9-4D80-9115-9AC7140809EC}"/>
    <cellStyle name="20% - Accent6 2 2 2 9" xfId="17210" xr:uid="{6202E30C-F6F7-4A57-8B75-A3EAA309F0C3}"/>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08CA59B8-4E0C-41EE-AE69-28A0797DFCBC}"/>
    <cellStyle name="20% - Accent6 2 2 3 2 2 3" xfId="23985" xr:uid="{68962144-D5DD-4FA9-BC18-2F7F561D2211}"/>
    <cellStyle name="20% - Accent6 2 2 3 2 3" xfId="11330" xr:uid="{903D38CF-EBEA-4CB4-AF45-7D987135F5C0}"/>
    <cellStyle name="20% - Accent6 2 2 3 2 4" xfId="19768" xr:uid="{68FA27B7-47F3-4B2F-89D6-5A29B022E909}"/>
    <cellStyle name="20% - Accent6 2 2 3 3" xfId="4961" xr:uid="{00000000-0005-0000-0000-00003B030000}"/>
    <cellStyle name="20% - Accent6 2 2 3 3 2" xfId="13403" xr:uid="{4CCC7D91-EEFC-40AC-A8D4-9F994C5BB253}"/>
    <cellStyle name="20% - Accent6 2 2 3 3 3" xfId="21840" xr:uid="{BCA16DD3-FCDF-48BF-8B4D-36756B6A8542}"/>
    <cellStyle name="20% - Accent6 2 2 3 4" xfId="9185" xr:uid="{C73245F1-3105-4FB3-A927-E89DA88A0DC6}"/>
    <cellStyle name="20% - Accent6 2 2 3 5" xfId="17623" xr:uid="{C6CA3C24-82A5-400D-8CFD-750F2B08EFFF}"/>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630C8D84-51E6-47A0-8272-2CD1688C3052}"/>
    <cellStyle name="20% - Accent6 2 2 4 2 2 3" xfId="24398" xr:uid="{2E149419-5485-4F72-90D2-B7FCAF5D2B1E}"/>
    <cellStyle name="20% - Accent6 2 2 4 2 3" xfId="11743" xr:uid="{C5503FF8-CB82-419C-A597-A2A68AA56C4E}"/>
    <cellStyle name="20% - Accent6 2 2 4 2 4" xfId="20181" xr:uid="{60403F3A-6FA1-4F8E-BDCC-8C955D282225}"/>
    <cellStyle name="20% - Accent6 2 2 4 3" xfId="5374" xr:uid="{00000000-0005-0000-0000-00003F030000}"/>
    <cellStyle name="20% - Accent6 2 2 4 3 2" xfId="13816" xr:uid="{12F5738F-2978-45E2-BF40-4529FCBFDED5}"/>
    <cellStyle name="20% - Accent6 2 2 4 3 3" xfId="22253" xr:uid="{6D5FA32E-15D1-4BB0-B639-4D5EFDD93E27}"/>
    <cellStyle name="20% - Accent6 2 2 4 4" xfId="9598" xr:uid="{47EE4F32-5C37-4E3E-9A06-DAFEFA32FAE7}"/>
    <cellStyle name="20% - Accent6 2 2 4 5" xfId="18036" xr:uid="{48181204-0F3C-48E2-B064-7D9509EEB2F3}"/>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E4FA57CA-73DA-4D03-9193-6387A05A6468}"/>
    <cellStyle name="20% - Accent6 2 2 5 2 2 3" xfId="24811" xr:uid="{BBAAC960-3FB9-440F-A696-FA261AAF774D}"/>
    <cellStyle name="20% - Accent6 2 2 5 2 3" xfId="12156" xr:uid="{24EEBD4D-6917-483D-A5A2-C93F4B1FB9D5}"/>
    <cellStyle name="20% - Accent6 2 2 5 2 4" xfId="20594" xr:uid="{D01354E9-105B-4583-A96F-F5973B12AF37}"/>
    <cellStyle name="20% - Accent6 2 2 5 3" xfId="5787" xr:uid="{00000000-0005-0000-0000-000043030000}"/>
    <cellStyle name="20% - Accent6 2 2 5 3 2" xfId="14229" xr:uid="{8D630A49-2149-4750-913A-573C78A2A941}"/>
    <cellStyle name="20% - Accent6 2 2 5 3 3" xfId="22666" xr:uid="{F7A3B1E0-ABA8-46A4-AB16-E5ACAC6FA652}"/>
    <cellStyle name="20% - Accent6 2 2 5 4" xfId="10011" xr:uid="{852B8508-0189-4020-8610-4FE80D632973}"/>
    <cellStyle name="20% - Accent6 2 2 5 5" xfId="18449" xr:uid="{DFA5FA77-C15F-427F-A67D-A7E271A6259D}"/>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D561B0A9-E564-45D2-9348-440F9DDB1553}"/>
    <cellStyle name="20% - Accent6 2 2 6 2 2 3" xfId="25224" xr:uid="{AFAB488F-2C3C-447D-8912-ADF7B9F937CF}"/>
    <cellStyle name="20% - Accent6 2 2 6 2 3" xfId="12569" xr:uid="{889C8819-066E-431A-9191-B21A57A50B7D}"/>
    <cellStyle name="20% - Accent6 2 2 6 2 4" xfId="21007" xr:uid="{F6CD91F7-53A7-474A-A7CF-90156AF12C86}"/>
    <cellStyle name="20% - Accent6 2 2 6 3" xfId="6200" xr:uid="{00000000-0005-0000-0000-000047030000}"/>
    <cellStyle name="20% - Accent6 2 2 6 3 2" xfId="14642" xr:uid="{11716FD0-6759-468E-9580-C13071C8AE77}"/>
    <cellStyle name="20% - Accent6 2 2 6 3 3" xfId="23079" xr:uid="{E9566077-EF34-4FB9-95F2-72903C096225}"/>
    <cellStyle name="20% - Accent6 2 2 6 4" xfId="10424" xr:uid="{792242F7-73A2-4064-B23A-37FE266C79B1}"/>
    <cellStyle name="20% - Accent6 2 2 6 5" xfId="18862" xr:uid="{34994A1B-C45E-4C93-8F4A-08227AFD38C4}"/>
    <cellStyle name="20% - Accent6 2 2 7" xfId="2306" xr:uid="{00000000-0005-0000-0000-000048030000}"/>
    <cellStyle name="20% - Accent6 2 2 7 2" xfId="6613" xr:uid="{00000000-0005-0000-0000-000049030000}"/>
    <cellStyle name="20% - Accent6 2 2 7 2 2" xfId="15055" xr:uid="{A0804DC0-7F6E-4783-8F44-7F08889D2BD3}"/>
    <cellStyle name="20% - Accent6 2 2 7 2 3" xfId="23492" xr:uid="{D75E3D99-4780-420C-AB01-9A9D0334ADBF}"/>
    <cellStyle name="20% - Accent6 2 2 7 3" xfId="10837" xr:uid="{BDB23703-20C8-43EE-8B3F-D332DF172858}"/>
    <cellStyle name="20% - Accent6 2 2 7 4" xfId="19275" xr:uid="{78C7ABD9-99D6-41A6-BF44-79A0813D1A1D}"/>
    <cellStyle name="20% - Accent6 2 2 8" xfId="4547" xr:uid="{00000000-0005-0000-0000-00004A030000}"/>
    <cellStyle name="20% - Accent6 2 2 8 2" xfId="12989" xr:uid="{5BC7EC6D-6CA6-4468-A26D-18B856E31E6A}"/>
    <cellStyle name="20% - Accent6 2 2 8 3" xfId="21426" xr:uid="{9D425ED9-2E24-4878-A42D-553141719D6B}"/>
    <cellStyle name="20% - Accent6 2 2 9" xfId="8771" xr:uid="{4730CC7F-68A3-4A5C-B0D6-8F5CF1E34ACD}"/>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DF34C848-4EE9-4986-9ACF-6E023C3EE31B}"/>
    <cellStyle name="20% - Accent6 2 3 2 2 2 3" xfId="23987" xr:uid="{B6D245D0-7EEC-4C21-815C-215542641A59}"/>
    <cellStyle name="20% - Accent6 2 3 2 2 3" xfId="11332" xr:uid="{AF08430B-AA7C-468B-BAFE-05F85BAEB0B7}"/>
    <cellStyle name="20% - Accent6 2 3 2 2 4" xfId="19770" xr:uid="{45AA87B7-1B5D-4A8B-A558-2DD69AC99B2E}"/>
    <cellStyle name="20% - Accent6 2 3 2 3" xfId="4963" xr:uid="{00000000-0005-0000-0000-00004F030000}"/>
    <cellStyle name="20% - Accent6 2 3 2 3 2" xfId="13405" xr:uid="{D1C300C1-B28E-44D2-A59B-E74AEDA3577E}"/>
    <cellStyle name="20% - Accent6 2 3 2 3 3" xfId="21842" xr:uid="{DC0A73AD-9AA5-4618-8C70-21EE3F55BCC6}"/>
    <cellStyle name="20% - Accent6 2 3 2 4" xfId="9187" xr:uid="{392B7D78-E6C3-46D7-9A1C-68D829A89075}"/>
    <cellStyle name="20% - Accent6 2 3 2 5" xfId="17625" xr:uid="{44BCCD7A-6F33-4B95-B2D3-0A2D9929D7D0}"/>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FDABF5BA-64D5-4D59-A04A-686D0846F206}"/>
    <cellStyle name="20% - Accent6 2 3 3 2 2 3" xfId="24400" xr:uid="{CB79C8BD-A342-4A38-9B1C-81941819CD7A}"/>
    <cellStyle name="20% - Accent6 2 3 3 2 3" xfId="11745" xr:uid="{6290EE19-BCF9-4444-91AE-FEB259EF18F0}"/>
    <cellStyle name="20% - Accent6 2 3 3 2 4" xfId="20183" xr:uid="{A5E02D29-EAEA-476E-B874-E0B8025A7F4B}"/>
    <cellStyle name="20% - Accent6 2 3 3 3" xfId="5376" xr:uid="{00000000-0005-0000-0000-000053030000}"/>
    <cellStyle name="20% - Accent6 2 3 3 3 2" xfId="13818" xr:uid="{0020426D-7F8B-4DF2-BB13-1C6551CAD1B1}"/>
    <cellStyle name="20% - Accent6 2 3 3 3 3" xfId="22255" xr:uid="{CEBA1E66-A86D-4F23-A4E9-1F3883EF64EF}"/>
    <cellStyle name="20% - Accent6 2 3 3 4" xfId="9600" xr:uid="{74B29220-DF85-451B-94C2-70BAB0FA5887}"/>
    <cellStyle name="20% - Accent6 2 3 3 5" xfId="18038" xr:uid="{2F4FF71C-3729-454E-8065-D5635679D97E}"/>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0A7F7347-E530-49E1-8FF0-8204FBE7D0F1}"/>
    <cellStyle name="20% - Accent6 2 3 4 2 2 3" xfId="24813" xr:uid="{5EA907A7-9DB1-447D-AD3C-887E462FD91D}"/>
    <cellStyle name="20% - Accent6 2 3 4 2 3" xfId="12158" xr:uid="{EE375B45-236A-4112-8E38-3CB92FA60DC9}"/>
    <cellStyle name="20% - Accent6 2 3 4 2 4" xfId="20596" xr:uid="{3E94964E-494E-41D0-B247-3618848B47D0}"/>
    <cellStyle name="20% - Accent6 2 3 4 3" xfId="5789" xr:uid="{00000000-0005-0000-0000-000057030000}"/>
    <cellStyle name="20% - Accent6 2 3 4 3 2" xfId="14231" xr:uid="{CE7EEF95-FD9A-45FB-9F46-114177BAE504}"/>
    <cellStyle name="20% - Accent6 2 3 4 3 3" xfId="22668" xr:uid="{32830BFE-1D4A-49E3-8A33-070728F0F5A7}"/>
    <cellStyle name="20% - Accent6 2 3 4 4" xfId="10013" xr:uid="{2E872EE1-D4B3-4FAA-AB68-F59B9B2C2391}"/>
    <cellStyle name="20% - Accent6 2 3 4 5" xfId="18451" xr:uid="{4D31E338-71CA-461B-85EB-13ED3F5C404E}"/>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167A51D2-38BD-47D6-83E9-EC79800C18C6}"/>
    <cellStyle name="20% - Accent6 2 3 5 2 2 3" xfId="25226" xr:uid="{08D5B65C-4E26-4B30-B37B-795714BFADD7}"/>
    <cellStyle name="20% - Accent6 2 3 5 2 3" xfId="12571" xr:uid="{B9E8DF01-6B57-4164-B4DD-805F66C7AC36}"/>
    <cellStyle name="20% - Accent6 2 3 5 2 4" xfId="21009" xr:uid="{47B57C62-A74E-490C-A949-CCA7C95EDFB8}"/>
    <cellStyle name="20% - Accent6 2 3 5 3" xfId="6202" xr:uid="{00000000-0005-0000-0000-00005B030000}"/>
    <cellStyle name="20% - Accent6 2 3 5 3 2" xfId="14644" xr:uid="{90DCFA91-CFBB-4394-9548-40E06225B569}"/>
    <cellStyle name="20% - Accent6 2 3 5 3 3" xfId="23081" xr:uid="{A5976214-E9FD-4B5C-AFEE-E16DDE50D290}"/>
    <cellStyle name="20% - Accent6 2 3 5 4" xfId="10426" xr:uid="{C0D0238C-2B1C-42B5-B33D-3FD3583DE52A}"/>
    <cellStyle name="20% - Accent6 2 3 5 5" xfId="18864" xr:uid="{931A6B44-4956-4503-8927-04D28D8F4607}"/>
    <cellStyle name="20% - Accent6 2 3 6" xfId="2308" xr:uid="{00000000-0005-0000-0000-00005C030000}"/>
    <cellStyle name="20% - Accent6 2 3 6 2" xfId="6615" xr:uid="{00000000-0005-0000-0000-00005D030000}"/>
    <cellStyle name="20% - Accent6 2 3 6 2 2" xfId="15057" xr:uid="{A69520BE-ADDD-4122-94C0-EE9A97159645}"/>
    <cellStyle name="20% - Accent6 2 3 6 2 3" xfId="23494" xr:uid="{12A049D0-BF85-4917-9422-256B4C67F1E1}"/>
    <cellStyle name="20% - Accent6 2 3 6 3" xfId="10839" xr:uid="{A03C4932-41DC-440B-80AA-0966A4565114}"/>
    <cellStyle name="20% - Accent6 2 3 6 4" xfId="19277" xr:uid="{FB9B3C15-2F35-41BB-92C5-37C3BB43B584}"/>
    <cellStyle name="20% - Accent6 2 3 7" xfId="4549" xr:uid="{00000000-0005-0000-0000-00005E030000}"/>
    <cellStyle name="20% - Accent6 2 3 7 2" xfId="12991" xr:uid="{B2FA8060-2C85-4F3A-A0F2-42147FBAEF7D}"/>
    <cellStyle name="20% - Accent6 2 3 7 3" xfId="21428" xr:uid="{CDAF1C5A-1F23-4394-AA1D-7EE329B96C9A}"/>
    <cellStyle name="20% - Accent6 2 3 8" xfId="8773" xr:uid="{A98CFE7F-FA77-4D90-8D55-7BF52B0A8574}"/>
    <cellStyle name="20% - Accent6 2 3 9" xfId="17211" xr:uid="{78F71C35-DBD8-4D28-B18C-8414F813507C}"/>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A91B68C6-223D-4A9C-AF4E-DB5B0CB9AAA8}"/>
    <cellStyle name="20% - Accent6 2 4 2 2 3" xfId="23984" xr:uid="{839DAE85-CF03-4BD2-92C7-88808E9A482D}"/>
    <cellStyle name="20% - Accent6 2 4 2 3" xfId="11329" xr:uid="{39228CD5-7CF9-4F19-AD33-1868D390B6BF}"/>
    <cellStyle name="20% - Accent6 2 4 2 4" xfId="19767" xr:uid="{27CB2F99-1587-4F24-91BF-055C849AA3FB}"/>
    <cellStyle name="20% - Accent6 2 4 3" xfId="4960" xr:uid="{00000000-0005-0000-0000-000062030000}"/>
    <cellStyle name="20% - Accent6 2 4 3 2" xfId="13402" xr:uid="{774DF0C9-C552-4B75-BAD3-DF633E651B6D}"/>
    <cellStyle name="20% - Accent6 2 4 3 3" xfId="21839" xr:uid="{2F68561E-E70C-458F-9154-CFA6819F7C72}"/>
    <cellStyle name="20% - Accent6 2 4 4" xfId="9184" xr:uid="{8E05AC60-9A89-46D1-AED6-47D283E2F4F0}"/>
    <cellStyle name="20% - Accent6 2 4 5" xfId="17622" xr:uid="{2802ABC9-39C5-4D59-B45F-D5C2E3FD55C8}"/>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529877E4-9AC2-494D-A1DF-20665EBED8E4}"/>
    <cellStyle name="20% - Accent6 2 5 2 2 3" xfId="24397" xr:uid="{F0E0605D-737C-494A-94A2-BE32C7A04115}"/>
    <cellStyle name="20% - Accent6 2 5 2 3" xfId="11742" xr:uid="{092B60CB-A499-4F65-9346-7E56078B1986}"/>
    <cellStyle name="20% - Accent6 2 5 2 4" xfId="20180" xr:uid="{F7F66E6D-13D4-46FE-ADCB-4F8664274D2B}"/>
    <cellStyle name="20% - Accent6 2 5 3" xfId="5373" xr:uid="{00000000-0005-0000-0000-000066030000}"/>
    <cellStyle name="20% - Accent6 2 5 3 2" xfId="13815" xr:uid="{D559C34E-E95B-4B36-A3DF-612AFEAC341D}"/>
    <cellStyle name="20% - Accent6 2 5 3 3" xfId="22252" xr:uid="{A80C19E9-047C-47D0-8011-D427BD3B6A33}"/>
    <cellStyle name="20% - Accent6 2 5 4" xfId="9597" xr:uid="{ECD3BD5B-CFDF-4709-AE21-52B76B54D990}"/>
    <cellStyle name="20% - Accent6 2 5 5" xfId="18035" xr:uid="{F2A04C8B-B39D-4C9A-970E-35B89E9470F9}"/>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8F5F0F8E-EB3E-47EC-BBF0-2DB672C53CBD}"/>
    <cellStyle name="20% - Accent6 2 6 2 2 3" xfId="24810" xr:uid="{801B19B7-D806-421A-A359-7363EAB34EDE}"/>
    <cellStyle name="20% - Accent6 2 6 2 3" xfId="12155" xr:uid="{00F79135-755F-4C15-AC82-A1D0AD081DF2}"/>
    <cellStyle name="20% - Accent6 2 6 2 4" xfId="20593" xr:uid="{D9D3C029-75C7-46D0-9E4B-C3ECB05ED885}"/>
    <cellStyle name="20% - Accent6 2 6 3" xfId="5786" xr:uid="{00000000-0005-0000-0000-00006A030000}"/>
    <cellStyle name="20% - Accent6 2 6 3 2" xfId="14228" xr:uid="{01637742-8FEB-4424-B502-91B77B2F6B2B}"/>
    <cellStyle name="20% - Accent6 2 6 3 3" xfId="22665" xr:uid="{6CC55285-2012-4AFF-9641-53E6ABC025D3}"/>
    <cellStyle name="20% - Accent6 2 6 4" xfId="10010" xr:uid="{5F2078D6-90D1-484C-A00C-AF106D3D14DC}"/>
    <cellStyle name="20% - Accent6 2 6 5" xfId="18448" xr:uid="{10246685-F87E-4E0B-A193-A4D18EF5D6B9}"/>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1953F03C-2CE2-4F1C-B4DD-302F43872AD5}"/>
    <cellStyle name="20% - Accent6 2 7 2 2 3" xfId="25223" xr:uid="{79EF76AA-C3E6-47FE-B2A9-A17984937782}"/>
    <cellStyle name="20% - Accent6 2 7 2 3" xfId="12568" xr:uid="{11356145-B0E6-48F4-9B01-6E76872DB885}"/>
    <cellStyle name="20% - Accent6 2 7 2 4" xfId="21006" xr:uid="{CA95026B-95DE-4C12-A232-66DB44EE3C71}"/>
    <cellStyle name="20% - Accent6 2 7 3" xfId="6199" xr:uid="{00000000-0005-0000-0000-00006E030000}"/>
    <cellStyle name="20% - Accent6 2 7 3 2" xfId="14641" xr:uid="{88644255-E32B-4B3F-B623-1BEC224D8DB2}"/>
    <cellStyle name="20% - Accent6 2 7 3 3" xfId="23078" xr:uid="{963F0407-F065-4519-B329-BBD2927766E0}"/>
    <cellStyle name="20% - Accent6 2 7 4" xfId="10423" xr:uid="{1606A20B-3D5C-4E2D-A7D3-AE9215FD0EE7}"/>
    <cellStyle name="20% - Accent6 2 7 5" xfId="18861" xr:uid="{D9EDE79B-F5FA-4962-8430-BA299907266B}"/>
    <cellStyle name="20% - Accent6 2 8" xfId="2305" xr:uid="{00000000-0005-0000-0000-00006F030000}"/>
    <cellStyle name="20% - Accent6 2 8 2" xfId="6612" xr:uid="{00000000-0005-0000-0000-000070030000}"/>
    <cellStyle name="20% - Accent6 2 8 2 2" xfId="15054" xr:uid="{9D5A7399-98C3-42B1-970E-D3D3C178AEC7}"/>
    <cellStyle name="20% - Accent6 2 8 2 3" xfId="23491" xr:uid="{3F9C3A0D-D80E-4D7A-9CD2-FD68359E3574}"/>
    <cellStyle name="20% - Accent6 2 8 3" xfId="10836" xr:uid="{38EED672-543A-44B3-9A27-0C13DE97FBCA}"/>
    <cellStyle name="20% - Accent6 2 8 4" xfId="19274" xr:uid="{C8AEF51A-D3D7-4886-92E4-BC3284948DC8}"/>
    <cellStyle name="20% - Accent6 2 9" xfId="4546" xr:uid="{00000000-0005-0000-0000-000071030000}"/>
    <cellStyle name="20% - Accent6 2 9 2" xfId="12988" xr:uid="{56CD92C0-CDAE-44A9-9F25-CC0A17496515}"/>
    <cellStyle name="20% - Accent6 2 9 3" xfId="21425" xr:uid="{32B2EEF4-AA16-466D-B325-2AC01A769FAB}"/>
    <cellStyle name="20% - Accent6 3" xfId="46" xr:uid="{00000000-0005-0000-0000-000072030000}"/>
    <cellStyle name="20% - Accent6 3 10" xfId="17212" xr:uid="{D24A2095-32F5-4DED-A585-07B858459362}"/>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477C401D-69EA-4363-BEFA-211775A180D9}"/>
    <cellStyle name="20% - Accent6 3 2 2 2 2 3" xfId="23989" xr:uid="{58A3C8F6-527A-45DD-B0BE-19B40561A93F}"/>
    <cellStyle name="20% - Accent6 3 2 2 2 3" xfId="11334" xr:uid="{42F6A2E8-2B23-4312-92E4-132CB1823CD8}"/>
    <cellStyle name="20% - Accent6 3 2 2 2 4" xfId="19772" xr:uid="{9CE79F2B-B255-4888-B2A6-E6966BE1290A}"/>
    <cellStyle name="20% - Accent6 3 2 2 3" xfId="4965" xr:uid="{00000000-0005-0000-0000-000077030000}"/>
    <cellStyle name="20% - Accent6 3 2 2 3 2" xfId="13407" xr:uid="{B2B97885-BB98-4251-95D4-C1BFBC8424D0}"/>
    <cellStyle name="20% - Accent6 3 2 2 3 3" xfId="21844" xr:uid="{48E2717F-2AD2-45B1-A36A-794FE7439F52}"/>
    <cellStyle name="20% - Accent6 3 2 2 4" xfId="9189" xr:uid="{DC461FDC-2EE8-43B7-8EC7-1838EA75C0A4}"/>
    <cellStyle name="20% - Accent6 3 2 2 5" xfId="17627" xr:uid="{E27431F9-31FB-45AD-9B7D-07C0A367CEC5}"/>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9E938FD7-9838-427A-A273-376BCD58C09F}"/>
    <cellStyle name="20% - Accent6 3 2 3 2 2 3" xfId="24402" xr:uid="{C8503B8B-A89E-442E-BB56-3943C8446D1D}"/>
    <cellStyle name="20% - Accent6 3 2 3 2 3" xfId="11747" xr:uid="{F46BAB16-A01A-428B-A3A3-89E3916115A3}"/>
    <cellStyle name="20% - Accent6 3 2 3 2 4" xfId="20185" xr:uid="{B47AA20A-4918-49A6-987A-654939E07538}"/>
    <cellStyle name="20% - Accent6 3 2 3 3" xfId="5378" xr:uid="{00000000-0005-0000-0000-00007B030000}"/>
    <cellStyle name="20% - Accent6 3 2 3 3 2" xfId="13820" xr:uid="{9208986E-F249-4E58-8C56-C9942E104FB7}"/>
    <cellStyle name="20% - Accent6 3 2 3 3 3" xfId="22257" xr:uid="{28FB3BFA-937A-4224-BFEB-AB457A2CB26A}"/>
    <cellStyle name="20% - Accent6 3 2 3 4" xfId="9602" xr:uid="{AC4A6FF1-33BA-4B3C-A926-F5B3C2716B26}"/>
    <cellStyle name="20% - Accent6 3 2 3 5" xfId="18040" xr:uid="{EABCF2D3-BBBD-4F56-BEA9-AB6D04EC58EB}"/>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D5D43F2A-8368-44D4-8E30-76DFB54EE8EF}"/>
    <cellStyle name="20% - Accent6 3 2 4 2 2 3" xfId="24815" xr:uid="{79C594C5-8D87-46EB-81D8-3552C3638379}"/>
    <cellStyle name="20% - Accent6 3 2 4 2 3" xfId="12160" xr:uid="{BC610658-910B-4C0A-8BD2-3E46E1B1F986}"/>
    <cellStyle name="20% - Accent6 3 2 4 2 4" xfId="20598" xr:uid="{7C0E5DDD-1402-41E9-BA2F-FE57174074D8}"/>
    <cellStyle name="20% - Accent6 3 2 4 3" xfId="5791" xr:uid="{00000000-0005-0000-0000-00007F030000}"/>
    <cellStyle name="20% - Accent6 3 2 4 3 2" xfId="14233" xr:uid="{3E6EA223-F2F4-47CF-9D6B-057AE71DB80A}"/>
    <cellStyle name="20% - Accent6 3 2 4 3 3" xfId="22670" xr:uid="{7FAE9099-0014-4247-A835-8DFA5B26225D}"/>
    <cellStyle name="20% - Accent6 3 2 4 4" xfId="10015" xr:uid="{0CE381DA-3571-4EC3-B1D6-463E298803AD}"/>
    <cellStyle name="20% - Accent6 3 2 4 5" xfId="18453" xr:uid="{8808A623-916C-4D8E-87B2-2F3B2F6E3CF4}"/>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40271E58-B120-4130-A086-A1A8C9A4C65E}"/>
    <cellStyle name="20% - Accent6 3 2 5 2 2 3" xfId="25228" xr:uid="{A6ACF636-0EAE-494A-9D37-8A2F00B38960}"/>
    <cellStyle name="20% - Accent6 3 2 5 2 3" xfId="12573" xr:uid="{2F82F689-C850-4B64-BDAC-0B6DF58505F2}"/>
    <cellStyle name="20% - Accent6 3 2 5 2 4" xfId="21011" xr:uid="{E80FED2F-8A0F-43F8-846E-510CF282357A}"/>
    <cellStyle name="20% - Accent6 3 2 5 3" xfId="6204" xr:uid="{00000000-0005-0000-0000-000083030000}"/>
    <cellStyle name="20% - Accent6 3 2 5 3 2" xfId="14646" xr:uid="{03664954-5273-477C-ABAA-467B1E198B7F}"/>
    <cellStyle name="20% - Accent6 3 2 5 3 3" xfId="23083" xr:uid="{EF890185-3596-4032-8873-ABF8A9BA29E6}"/>
    <cellStyle name="20% - Accent6 3 2 5 4" xfId="10428" xr:uid="{FBC169FC-F471-4312-AC21-6362D731788A}"/>
    <cellStyle name="20% - Accent6 3 2 5 5" xfId="18866" xr:uid="{9DDF344B-F7C8-43C6-8E2E-4E9E79681408}"/>
    <cellStyle name="20% - Accent6 3 2 6" xfId="2310" xr:uid="{00000000-0005-0000-0000-000084030000}"/>
    <cellStyle name="20% - Accent6 3 2 6 2" xfId="6617" xr:uid="{00000000-0005-0000-0000-000085030000}"/>
    <cellStyle name="20% - Accent6 3 2 6 2 2" xfId="15059" xr:uid="{40DBF068-AA80-4F4F-9C26-0340761C8245}"/>
    <cellStyle name="20% - Accent6 3 2 6 2 3" xfId="23496" xr:uid="{5C951F82-8C72-4A75-B7C0-6391912D9F36}"/>
    <cellStyle name="20% - Accent6 3 2 6 3" xfId="10841" xr:uid="{1D36D441-85A8-4F8C-A7B3-F45845C408BB}"/>
    <cellStyle name="20% - Accent6 3 2 6 4" xfId="19279" xr:uid="{C89BC34E-E48F-4065-AB8D-25AD9DFD5CB6}"/>
    <cellStyle name="20% - Accent6 3 2 7" xfId="4551" xr:uid="{00000000-0005-0000-0000-000086030000}"/>
    <cellStyle name="20% - Accent6 3 2 7 2" xfId="12993" xr:uid="{AC0EB78B-5F7A-4F29-A2FA-5D8BED517BA5}"/>
    <cellStyle name="20% - Accent6 3 2 7 3" xfId="21430" xr:uid="{318D3F15-D970-43F7-A0F6-B8B400D5BFC7}"/>
    <cellStyle name="20% - Accent6 3 2 8" xfId="8775" xr:uid="{5D07ADBF-4746-4D36-8348-C4ADEECB1BED}"/>
    <cellStyle name="20% - Accent6 3 2 9" xfId="17213" xr:uid="{B7124A00-CD21-486B-A3E5-89473679C505}"/>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D4CCF8BD-F4C8-465B-B0D5-F3E641158D45}"/>
    <cellStyle name="20% - Accent6 3 3 2 2 3" xfId="23988" xr:uid="{75C97815-4C1A-4507-9F4F-7946AF3C3398}"/>
    <cellStyle name="20% - Accent6 3 3 2 3" xfId="11333" xr:uid="{CB4E8E78-6EB1-4EE7-841D-A6A56D78891D}"/>
    <cellStyle name="20% - Accent6 3 3 2 4" xfId="19771" xr:uid="{04FE5D61-466F-4E45-BCB1-457CAE615C41}"/>
    <cellStyle name="20% - Accent6 3 3 3" xfId="4964" xr:uid="{00000000-0005-0000-0000-00008A030000}"/>
    <cellStyle name="20% - Accent6 3 3 3 2" xfId="13406" xr:uid="{2F5F9384-0E57-4BE7-8681-CCEDB921F05F}"/>
    <cellStyle name="20% - Accent6 3 3 3 3" xfId="21843" xr:uid="{5BE8953C-20B0-44AB-89B2-FDE207BEAC10}"/>
    <cellStyle name="20% - Accent6 3 3 4" xfId="9188" xr:uid="{A5D36D10-D4E7-49F2-B9F4-D1FD8C125446}"/>
    <cellStyle name="20% - Accent6 3 3 5" xfId="17626" xr:uid="{0F3D85C5-7778-485F-B12C-33CD4FB00F4A}"/>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D29EA202-D5F3-469E-BE79-9CDFDBEC9D0D}"/>
    <cellStyle name="20% - Accent6 3 4 2 2 3" xfId="24401" xr:uid="{EAAFE819-4CFE-4799-81D8-E94015C890E0}"/>
    <cellStyle name="20% - Accent6 3 4 2 3" xfId="11746" xr:uid="{65ACAD3C-3906-4D2B-A0C5-A342AA03CE99}"/>
    <cellStyle name="20% - Accent6 3 4 2 4" xfId="20184" xr:uid="{A2C1D2BB-188B-47A4-BD02-4EAD6AEFD0D7}"/>
    <cellStyle name="20% - Accent6 3 4 3" xfId="5377" xr:uid="{00000000-0005-0000-0000-00008E030000}"/>
    <cellStyle name="20% - Accent6 3 4 3 2" xfId="13819" xr:uid="{6C7C756A-895B-47EB-96BE-BCC804399F5F}"/>
    <cellStyle name="20% - Accent6 3 4 3 3" xfId="22256" xr:uid="{8892C7C3-DF7D-4FD3-B2FB-771F00E84708}"/>
    <cellStyle name="20% - Accent6 3 4 4" xfId="9601" xr:uid="{480612B2-EBF3-48F6-970F-2D719C885C2B}"/>
    <cellStyle name="20% - Accent6 3 4 5" xfId="18039" xr:uid="{A419126B-9DC9-442E-B8EE-31D284EE6FB5}"/>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C8AFB746-61EB-46A7-AA07-1875F5AAAD5D}"/>
    <cellStyle name="20% - Accent6 3 5 2 2 3" xfId="24814" xr:uid="{4B7A1555-F12B-4E77-88A8-09AD5EAF198B}"/>
    <cellStyle name="20% - Accent6 3 5 2 3" xfId="12159" xr:uid="{2FE96F86-801D-43F1-BDD6-F49CE31EE1D0}"/>
    <cellStyle name="20% - Accent6 3 5 2 4" xfId="20597" xr:uid="{ABD8A157-AEF8-4570-8914-252A883BF327}"/>
    <cellStyle name="20% - Accent6 3 5 3" xfId="5790" xr:uid="{00000000-0005-0000-0000-000092030000}"/>
    <cellStyle name="20% - Accent6 3 5 3 2" xfId="14232" xr:uid="{C418BCB0-D003-4033-AC0B-231C0288E1B5}"/>
    <cellStyle name="20% - Accent6 3 5 3 3" xfId="22669" xr:uid="{2B84413D-AF3B-4AEA-8658-3C69F3480CE4}"/>
    <cellStyle name="20% - Accent6 3 5 4" xfId="10014" xr:uid="{AC95D210-8838-47DD-B5A6-7DA4898B38B4}"/>
    <cellStyle name="20% - Accent6 3 5 5" xfId="18452" xr:uid="{DD12B5AF-D199-4809-A7C4-57D3E1904E97}"/>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E5856CEE-2C13-45B3-903E-41D5785B1E42}"/>
    <cellStyle name="20% - Accent6 3 6 2 2 3" xfId="25227" xr:uid="{EEF62E15-C6B8-4091-821F-1CCECF79CD55}"/>
    <cellStyle name="20% - Accent6 3 6 2 3" xfId="12572" xr:uid="{43222984-4F5E-4AA8-9961-A47161B8F603}"/>
    <cellStyle name="20% - Accent6 3 6 2 4" xfId="21010" xr:uid="{EF4AC066-5B01-4890-8E28-E9C1403B6680}"/>
    <cellStyle name="20% - Accent6 3 6 3" xfId="6203" xr:uid="{00000000-0005-0000-0000-000096030000}"/>
    <cellStyle name="20% - Accent6 3 6 3 2" xfId="14645" xr:uid="{F9D5D0D9-174A-478A-BD62-57F8941E4179}"/>
    <cellStyle name="20% - Accent6 3 6 3 3" xfId="23082" xr:uid="{BD4C86DC-2C3A-44A6-9B94-149241F9FC6C}"/>
    <cellStyle name="20% - Accent6 3 6 4" xfId="10427" xr:uid="{653AA99C-0DE7-4219-8151-42EDBA3D0AEB}"/>
    <cellStyle name="20% - Accent6 3 6 5" xfId="18865" xr:uid="{03590F67-9372-41E2-89A5-54D87384CCFD}"/>
    <cellStyle name="20% - Accent6 3 7" xfId="2309" xr:uid="{00000000-0005-0000-0000-000097030000}"/>
    <cellStyle name="20% - Accent6 3 7 2" xfId="6616" xr:uid="{00000000-0005-0000-0000-000098030000}"/>
    <cellStyle name="20% - Accent6 3 7 2 2" xfId="15058" xr:uid="{2B8F3877-BDA0-426E-8C91-A57989B4386F}"/>
    <cellStyle name="20% - Accent6 3 7 2 3" xfId="23495" xr:uid="{DB6612F5-FEE9-424C-A3D0-9935832A532E}"/>
    <cellStyle name="20% - Accent6 3 7 3" xfId="10840" xr:uid="{79252058-A186-46EE-9403-6A87113A30B4}"/>
    <cellStyle name="20% - Accent6 3 7 4" xfId="19278" xr:uid="{1EA577C0-69C3-4023-B460-853BE53FF5F7}"/>
    <cellStyle name="20% - Accent6 3 8" xfId="4550" xr:uid="{00000000-0005-0000-0000-000099030000}"/>
    <cellStyle name="20% - Accent6 3 8 2" xfId="12992" xr:uid="{0ED7A453-CE08-4434-AF51-A0670BB7181F}"/>
    <cellStyle name="20% - Accent6 3 8 3" xfId="21429" xr:uid="{1CA6CBA2-30C0-4D31-ACD9-4BF85BE50540}"/>
    <cellStyle name="20% - Accent6 3 9" xfId="8774" xr:uid="{8C1D74EB-E2B6-44BE-8BEB-B47EAEF40E89}"/>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2A7C7DE7-7A9D-4C90-B3C3-95C615E7BEC4}"/>
    <cellStyle name="20% - Accent6 4 2 2 2 3" xfId="23990" xr:uid="{E39E1F49-250F-4AD5-A409-CD5F08A2F2EB}"/>
    <cellStyle name="20% - Accent6 4 2 2 3" xfId="11335" xr:uid="{9D1D867A-060C-4DB9-A499-8C7E21D1C9E5}"/>
    <cellStyle name="20% - Accent6 4 2 2 4" xfId="19773" xr:uid="{B74C91FD-4793-4355-B646-470FAE97EB3F}"/>
    <cellStyle name="20% - Accent6 4 2 3" xfId="4966" xr:uid="{00000000-0005-0000-0000-00009E030000}"/>
    <cellStyle name="20% - Accent6 4 2 3 2" xfId="13408" xr:uid="{D5531100-D0C2-4D0E-858A-61A551186119}"/>
    <cellStyle name="20% - Accent6 4 2 3 3" xfId="21845" xr:uid="{4ED68722-359E-433F-A5FF-99182D028880}"/>
    <cellStyle name="20% - Accent6 4 2 4" xfId="9190" xr:uid="{4ED6374C-681C-4D5B-BD93-11E441E5B3A3}"/>
    <cellStyle name="20% - Accent6 4 2 5" xfId="17628" xr:uid="{E118E122-359E-4A8E-88EB-6C3EB7E23D35}"/>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B7763FA4-901D-4EBA-AD0F-E91487335F2A}"/>
    <cellStyle name="20% - Accent6 4 3 2 2 3" xfId="24403" xr:uid="{CF8AC7DF-3B75-41E2-97BF-F5C41D31C5C3}"/>
    <cellStyle name="20% - Accent6 4 3 2 3" xfId="11748" xr:uid="{3281F522-6FA1-49CB-9581-73D74C86CE71}"/>
    <cellStyle name="20% - Accent6 4 3 2 4" xfId="20186" xr:uid="{B21A3EB9-21E3-4BFF-8DEC-764B9F6DEADF}"/>
    <cellStyle name="20% - Accent6 4 3 3" xfId="5379" xr:uid="{00000000-0005-0000-0000-0000A2030000}"/>
    <cellStyle name="20% - Accent6 4 3 3 2" xfId="13821" xr:uid="{E41063CE-2839-4FAF-B752-431BC3A80548}"/>
    <cellStyle name="20% - Accent6 4 3 3 3" xfId="22258" xr:uid="{2F39894D-AA52-472F-8BC8-A57500CC0AE0}"/>
    <cellStyle name="20% - Accent6 4 3 4" xfId="9603" xr:uid="{F14637A6-4D60-4AD1-BA19-318CA3B4FEC1}"/>
    <cellStyle name="20% - Accent6 4 3 5" xfId="18041" xr:uid="{FE5FF7BB-B686-414A-8AB2-3F5C260D2A44}"/>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21B85CCD-A5D5-4E79-A007-2344A5191460}"/>
    <cellStyle name="20% - Accent6 4 4 2 2 3" xfId="24816" xr:uid="{90CFDAF6-E17C-4F9C-8B2B-8A800BF2D59E}"/>
    <cellStyle name="20% - Accent6 4 4 2 3" xfId="12161" xr:uid="{A3FE00D5-484B-4D0D-BCA3-CE23FBC37409}"/>
    <cellStyle name="20% - Accent6 4 4 2 4" xfId="20599" xr:uid="{3FB01F1C-95C5-48FF-BAB8-8715F4046E60}"/>
    <cellStyle name="20% - Accent6 4 4 3" xfId="5792" xr:uid="{00000000-0005-0000-0000-0000A6030000}"/>
    <cellStyle name="20% - Accent6 4 4 3 2" xfId="14234" xr:uid="{B870CD73-71A0-4B23-A111-6B570BE8378B}"/>
    <cellStyle name="20% - Accent6 4 4 3 3" xfId="22671" xr:uid="{09BBAC25-D537-46C0-B60C-655C80EC77D2}"/>
    <cellStyle name="20% - Accent6 4 4 4" xfId="10016" xr:uid="{34D04F34-AC78-4E73-8360-F381448424F0}"/>
    <cellStyle name="20% - Accent6 4 4 5" xfId="18454" xr:uid="{01F56379-7DB8-4935-ABAD-37E037B0AB7E}"/>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C7A3AE16-D8A5-497B-AA92-FA2796D21DE0}"/>
    <cellStyle name="20% - Accent6 4 5 2 2 3" xfId="25229" xr:uid="{236AE71B-CEBD-417F-9EB6-8E0C68463F93}"/>
    <cellStyle name="20% - Accent6 4 5 2 3" xfId="12574" xr:uid="{B63EBFE0-7A5C-4075-8105-DE066B6FEAEB}"/>
    <cellStyle name="20% - Accent6 4 5 2 4" xfId="21012" xr:uid="{2C65CD5E-C5FC-4E05-8B37-511B59D12890}"/>
    <cellStyle name="20% - Accent6 4 5 3" xfId="6205" xr:uid="{00000000-0005-0000-0000-0000AA030000}"/>
    <cellStyle name="20% - Accent6 4 5 3 2" xfId="14647" xr:uid="{4E620E66-0315-482A-9E75-18B9FC1F755F}"/>
    <cellStyle name="20% - Accent6 4 5 3 3" xfId="23084" xr:uid="{71B69507-DA7F-405A-96C7-1B21C31F8175}"/>
    <cellStyle name="20% - Accent6 4 5 4" xfId="10429" xr:uid="{7BC02A93-D480-4F81-8EC3-A30A2FBB56C6}"/>
    <cellStyle name="20% - Accent6 4 5 5" xfId="18867" xr:uid="{D438F429-143D-4D2B-A8F2-222A793E9257}"/>
    <cellStyle name="20% - Accent6 4 6" xfId="2311" xr:uid="{00000000-0005-0000-0000-0000AB030000}"/>
    <cellStyle name="20% - Accent6 4 6 2" xfId="6618" xr:uid="{00000000-0005-0000-0000-0000AC030000}"/>
    <cellStyle name="20% - Accent6 4 6 2 2" xfId="15060" xr:uid="{445F70C7-C2C6-490A-9FC6-0E3F20446DB0}"/>
    <cellStyle name="20% - Accent6 4 6 2 3" xfId="23497" xr:uid="{EF9C4C17-3863-445F-9DE6-1DC067648425}"/>
    <cellStyle name="20% - Accent6 4 6 3" xfId="10842" xr:uid="{DC7146F9-9095-4E24-B428-19857E9D09DD}"/>
    <cellStyle name="20% - Accent6 4 6 4" xfId="19280" xr:uid="{225A3DD4-356E-40C4-949D-1195CB7B1553}"/>
    <cellStyle name="20% - Accent6 4 7" xfId="4552" xr:uid="{00000000-0005-0000-0000-0000AD030000}"/>
    <cellStyle name="20% - Accent6 4 7 2" xfId="12994" xr:uid="{A450CEE4-2E27-4CDE-91AB-529919751209}"/>
    <cellStyle name="20% - Accent6 4 7 3" xfId="21431" xr:uid="{5FDF4B9B-CE61-4CF9-BE7E-6BF5905EBA46}"/>
    <cellStyle name="20% - Accent6 4 8" xfId="8776" xr:uid="{18D8D688-E799-435D-8277-6593FA39D106}"/>
    <cellStyle name="20% - Accent6 4 9" xfId="17214" xr:uid="{D714CB56-8735-4478-B6A1-3B1DB3C01A90}"/>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D27CA720-6635-4F76-8E1A-0328E45711FC}"/>
    <cellStyle name="20% - Accent6 5 2 2 3" xfId="23983" xr:uid="{F7AF5D6A-F091-47B6-BEE5-CE626A33ABE6}"/>
    <cellStyle name="20% - Accent6 5 2 3" xfId="11328" xr:uid="{C042DC4A-BFC9-42C2-B9FA-DD5C45DE3B11}"/>
    <cellStyle name="20% - Accent6 5 2 4" xfId="19766" xr:uid="{1B6977CD-BDFC-4A25-A178-804A66588BAB}"/>
    <cellStyle name="20% - Accent6 5 3" xfId="4959" xr:uid="{00000000-0005-0000-0000-0000B1030000}"/>
    <cellStyle name="20% - Accent6 5 3 2" xfId="13401" xr:uid="{193C27A4-71C4-4EB4-B9D8-1A917C7C6FEF}"/>
    <cellStyle name="20% - Accent6 5 3 3" xfId="21838" xr:uid="{A9371975-6A32-4C32-8483-63B450351868}"/>
    <cellStyle name="20% - Accent6 5 4" xfId="9183" xr:uid="{F6BB4951-0249-49D0-8D79-3B44B41DC03C}"/>
    <cellStyle name="20% - Accent6 5 5" xfId="17621" xr:uid="{5F0E0670-EBDE-48B5-9249-638C57EBF63C}"/>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3885C5DC-1236-49E4-B5D5-5FA05902F358}"/>
    <cellStyle name="20% - Accent6 6 2 2 3" xfId="24396" xr:uid="{D2FBAF23-0654-4131-A19F-666F83C6892C}"/>
    <cellStyle name="20% - Accent6 6 2 3" xfId="11741" xr:uid="{3BC63537-ABB0-4974-AA44-BCC2D7C3C024}"/>
    <cellStyle name="20% - Accent6 6 2 4" xfId="20179" xr:uid="{83DFE1FA-E955-4263-B459-FBE914646375}"/>
    <cellStyle name="20% - Accent6 6 3" xfId="5372" xr:uid="{00000000-0005-0000-0000-0000B5030000}"/>
    <cellStyle name="20% - Accent6 6 3 2" xfId="13814" xr:uid="{55A688B3-4CCF-48C0-A632-09348CD6CF51}"/>
    <cellStyle name="20% - Accent6 6 3 3" xfId="22251" xr:uid="{6A43E837-F143-4BC7-B104-58358E22E4C9}"/>
    <cellStyle name="20% - Accent6 6 4" xfId="9596" xr:uid="{19FDACEC-54CD-4AC8-8A6D-AE725E7A3C21}"/>
    <cellStyle name="20% - Accent6 6 5" xfId="18034" xr:uid="{B2FB761E-ECB8-4425-B695-DFC776EA4BFD}"/>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A71DF03B-FF50-4224-AE0A-0129E395D652}"/>
    <cellStyle name="20% - Accent6 7 2 2 3" xfId="24809" xr:uid="{94D6F602-5398-4BA5-B838-88FC27B5CA95}"/>
    <cellStyle name="20% - Accent6 7 2 3" xfId="12154" xr:uid="{73D75004-F7FC-497B-A669-2A5AB34CB08C}"/>
    <cellStyle name="20% - Accent6 7 2 4" xfId="20592" xr:uid="{5145453A-EB5D-484C-B073-188266C480F5}"/>
    <cellStyle name="20% - Accent6 7 3" xfId="5785" xr:uid="{00000000-0005-0000-0000-0000B9030000}"/>
    <cellStyle name="20% - Accent6 7 3 2" xfId="14227" xr:uid="{03567E98-2749-4C34-8D50-D0356F501EEC}"/>
    <cellStyle name="20% - Accent6 7 3 3" xfId="22664" xr:uid="{E8089520-56A3-4237-94EF-AB01A81AACA7}"/>
    <cellStyle name="20% - Accent6 7 4" xfId="10009" xr:uid="{FA47D45B-2BF6-4491-A343-DD3C6418B84D}"/>
    <cellStyle name="20% - Accent6 7 5" xfId="18447" xr:uid="{ED2CAF7E-EDEE-42AF-B556-00CEF8A4DDA3}"/>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8D1C6527-859C-406D-B155-1F967B49F858}"/>
    <cellStyle name="20% - Accent6 8 2 2 3" xfId="25222" xr:uid="{1584BEAB-EAA7-46F6-BF98-28B280801357}"/>
    <cellStyle name="20% - Accent6 8 2 3" xfId="12567" xr:uid="{568516E1-9E29-478E-9D85-23BBDDBF1FB8}"/>
    <cellStyle name="20% - Accent6 8 2 4" xfId="21005" xr:uid="{EA967F8A-133A-49D7-AC8C-3DF58EC1767D}"/>
    <cellStyle name="20% - Accent6 8 3" xfId="6198" xr:uid="{00000000-0005-0000-0000-0000BD030000}"/>
    <cellStyle name="20% - Accent6 8 3 2" xfId="14640" xr:uid="{2AED7755-80F3-457C-A78D-5BA2FD7A1C9A}"/>
    <cellStyle name="20% - Accent6 8 3 3" xfId="23077" xr:uid="{8A2280EE-191C-472C-96DF-6738E4FD04DC}"/>
    <cellStyle name="20% - Accent6 8 4" xfId="10422" xr:uid="{8846B8D0-DA59-4AB5-B186-E8482C899A87}"/>
    <cellStyle name="20% - Accent6 8 5" xfId="18860" xr:uid="{46927B72-E363-425E-B42A-05182102CEA0}"/>
    <cellStyle name="20% - Accent6 9" xfId="2304" xr:uid="{00000000-0005-0000-0000-0000BE030000}"/>
    <cellStyle name="20% - Accent6 9 2" xfId="6611" xr:uid="{00000000-0005-0000-0000-0000BF030000}"/>
    <cellStyle name="20% - Accent6 9 2 2" xfId="15053" xr:uid="{841EAE3B-B2D2-42EF-8379-D2D8A40ADA7F}"/>
    <cellStyle name="20% - Accent6 9 2 3" xfId="23490" xr:uid="{839159EF-06C4-405D-A388-9D770750172C}"/>
    <cellStyle name="20% - Accent6 9 3" xfId="10835" xr:uid="{45F55C6D-9CCD-46D9-91B0-AD08C1E1F254}"/>
    <cellStyle name="20% - Accent6 9 4" xfId="19273" xr:uid="{D30E5E92-DF36-491E-877A-BF53A7B91A73}"/>
    <cellStyle name="40% - Accent1" xfId="49" builtinId="31" customBuiltin="1"/>
    <cellStyle name="40% - Accent1 10" xfId="4553" xr:uid="{00000000-0005-0000-0000-0000C1030000}"/>
    <cellStyle name="40% - Accent1 10 2" xfId="12995" xr:uid="{3F22CE6F-28DB-4FE9-AE80-E12F4493D7CA}"/>
    <cellStyle name="40% - Accent1 10 3" xfId="21432" xr:uid="{1FF9B1E8-D16A-427D-949F-F8BCB661382D}"/>
    <cellStyle name="40% - Accent1 11" xfId="8777" xr:uid="{4677F2DA-B8A4-4CD7-B244-2AF52457A71D}"/>
    <cellStyle name="40% - Accent1 12" xfId="17215" xr:uid="{DE5F31E3-4868-4F70-9264-6F574C036542}"/>
    <cellStyle name="40% - Accent1 2" xfId="50" xr:uid="{00000000-0005-0000-0000-0000C2030000}"/>
    <cellStyle name="40% - Accent1 2 10" xfId="8778" xr:uid="{04494DF4-5882-4E1B-9912-9E55453E00BC}"/>
    <cellStyle name="40% - Accent1 2 11" xfId="17216" xr:uid="{FF97D9D5-D3CA-470C-ADC0-9F7E556B2398}"/>
    <cellStyle name="40% - Accent1 2 2" xfId="51" xr:uid="{00000000-0005-0000-0000-0000C3030000}"/>
    <cellStyle name="40% - Accent1 2 2 10" xfId="17217" xr:uid="{7AFA9E52-D09D-4412-A616-B393DA006F4D}"/>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102515AF-D3A7-4A1F-A17A-124BB8F06B55}"/>
    <cellStyle name="40% - Accent1 2 2 2 2 2 2 3" xfId="23994" xr:uid="{EE9D9DA6-B957-4E9C-A7D6-2109D4A60D79}"/>
    <cellStyle name="40% - Accent1 2 2 2 2 2 3" xfId="11339" xr:uid="{C5001573-E089-471D-93BB-6CFFF0E8A6E6}"/>
    <cellStyle name="40% - Accent1 2 2 2 2 2 4" xfId="19777" xr:uid="{BD27F253-58A9-437D-9BBD-3A524EB7F7D5}"/>
    <cellStyle name="40% - Accent1 2 2 2 2 3" xfId="4970" xr:uid="{00000000-0005-0000-0000-0000C8030000}"/>
    <cellStyle name="40% - Accent1 2 2 2 2 3 2" xfId="13412" xr:uid="{C9E00B8B-B7D9-4407-9858-F5A12C6F7F12}"/>
    <cellStyle name="40% - Accent1 2 2 2 2 3 3" xfId="21849" xr:uid="{4B4C48EF-F83E-4369-8899-6DB1DB480DFB}"/>
    <cellStyle name="40% - Accent1 2 2 2 2 4" xfId="9194" xr:uid="{1C0379C6-072F-4E49-A7ED-C92081773E54}"/>
    <cellStyle name="40% - Accent1 2 2 2 2 5" xfId="17632" xr:uid="{EE6B1A38-56F2-4B36-8340-717401D78BC9}"/>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599BF2B4-12DF-4D8D-B27D-B08959B12701}"/>
    <cellStyle name="40% - Accent1 2 2 2 3 2 2 3" xfId="24407" xr:uid="{C63B81B1-9C33-428C-989E-8745145ABEC1}"/>
    <cellStyle name="40% - Accent1 2 2 2 3 2 3" xfId="11752" xr:uid="{47BCB21C-7BE2-4B9A-ACFD-C867237C6183}"/>
    <cellStyle name="40% - Accent1 2 2 2 3 2 4" xfId="20190" xr:uid="{656E3AB3-384E-415B-BAAB-2E068230BE43}"/>
    <cellStyle name="40% - Accent1 2 2 2 3 3" xfId="5383" xr:uid="{00000000-0005-0000-0000-0000CC030000}"/>
    <cellStyle name="40% - Accent1 2 2 2 3 3 2" xfId="13825" xr:uid="{5F8B760B-C300-4B39-9674-EB1F471F3A8C}"/>
    <cellStyle name="40% - Accent1 2 2 2 3 3 3" xfId="22262" xr:uid="{09032071-EDFE-4B53-891E-22C2F46E054C}"/>
    <cellStyle name="40% - Accent1 2 2 2 3 4" xfId="9607" xr:uid="{FC790830-8264-4217-A06D-24BF4CBC95FD}"/>
    <cellStyle name="40% - Accent1 2 2 2 3 5" xfId="18045" xr:uid="{2BBDD8E0-DBEE-4D6A-A448-5F753B7FBA88}"/>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68E71420-B6AE-4D0B-A646-366FE4019690}"/>
    <cellStyle name="40% - Accent1 2 2 2 4 2 2 3" xfId="24820" xr:uid="{92F040CA-D7C9-409D-9216-824AAA7E9659}"/>
    <cellStyle name="40% - Accent1 2 2 2 4 2 3" xfId="12165" xr:uid="{9D8E75B5-A192-44B7-BEC8-2CC502F4A016}"/>
    <cellStyle name="40% - Accent1 2 2 2 4 2 4" xfId="20603" xr:uid="{762F48FF-0B89-4551-B2FA-5F16A7C5DE0C}"/>
    <cellStyle name="40% - Accent1 2 2 2 4 3" xfId="5796" xr:uid="{00000000-0005-0000-0000-0000D0030000}"/>
    <cellStyle name="40% - Accent1 2 2 2 4 3 2" xfId="14238" xr:uid="{A26EEF17-3055-4833-B5ED-0B91A6C8C362}"/>
    <cellStyle name="40% - Accent1 2 2 2 4 3 3" xfId="22675" xr:uid="{969D9C03-67A5-42D9-BA05-4A819D20F930}"/>
    <cellStyle name="40% - Accent1 2 2 2 4 4" xfId="10020" xr:uid="{40FE543B-386D-4E5F-B786-55B87220F8D3}"/>
    <cellStyle name="40% - Accent1 2 2 2 4 5" xfId="18458" xr:uid="{E01079F0-6C50-4AEF-BA95-3ED5D904A25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4D60E1A3-F327-4D55-B96B-1E7CC61CC0FA}"/>
    <cellStyle name="40% - Accent1 2 2 2 5 2 2 3" xfId="25233" xr:uid="{35333BB4-32FA-411D-96B4-D03268FAC010}"/>
    <cellStyle name="40% - Accent1 2 2 2 5 2 3" xfId="12578" xr:uid="{0F363C87-6EEE-41E3-BA64-266AEE7AC445}"/>
    <cellStyle name="40% - Accent1 2 2 2 5 2 4" xfId="21016" xr:uid="{D72B616A-50FC-4025-9E69-F0F565507A5C}"/>
    <cellStyle name="40% - Accent1 2 2 2 5 3" xfId="6209" xr:uid="{00000000-0005-0000-0000-0000D4030000}"/>
    <cellStyle name="40% - Accent1 2 2 2 5 3 2" xfId="14651" xr:uid="{77450BB7-92E9-4D97-B75E-8E3E0F704901}"/>
    <cellStyle name="40% - Accent1 2 2 2 5 3 3" xfId="23088" xr:uid="{2067CD4E-140F-46E7-A82C-7ACB0B088616}"/>
    <cellStyle name="40% - Accent1 2 2 2 5 4" xfId="10433" xr:uid="{8C16312D-49F2-49CB-9CAD-95DBB95623FB}"/>
    <cellStyle name="40% - Accent1 2 2 2 5 5" xfId="18871" xr:uid="{5A319B97-7D6D-4E0F-AFA6-F3F0D84A9D97}"/>
    <cellStyle name="40% - Accent1 2 2 2 6" xfId="2315" xr:uid="{00000000-0005-0000-0000-0000D5030000}"/>
    <cellStyle name="40% - Accent1 2 2 2 6 2" xfId="6622" xr:uid="{00000000-0005-0000-0000-0000D6030000}"/>
    <cellStyle name="40% - Accent1 2 2 2 6 2 2" xfId="15064" xr:uid="{3A9AEFA3-8382-4A19-8623-4620536A1BBF}"/>
    <cellStyle name="40% - Accent1 2 2 2 6 2 3" xfId="23501" xr:uid="{87E541B3-0D00-4CF1-B8E9-7A5B5F69B9C3}"/>
    <cellStyle name="40% - Accent1 2 2 2 6 3" xfId="10846" xr:uid="{07A54DE2-383A-4298-9876-F71EA70307A5}"/>
    <cellStyle name="40% - Accent1 2 2 2 6 4" xfId="19284" xr:uid="{2BF3D74A-3A23-445E-8EBF-7E526751F17B}"/>
    <cellStyle name="40% - Accent1 2 2 2 7" xfId="4556" xr:uid="{00000000-0005-0000-0000-0000D7030000}"/>
    <cellStyle name="40% - Accent1 2 2 2 7 2" xfId="12998" xr:uid="{9E77E121-8976-4982-AE47-BD5A07591792}"/>
    <cellStyle name="40% - Accent1 2 2 2 7 3" xfId="21435" xr:uid="{35EFA9B0-AC67-493B-88E2-E19F61833D6A}"/>
    <cellStyle name="40% - Accent1 2 2 2 8" xfId="8780" xr:uid="{AB55D352-3256-4431-8910-B06B4D0B5B6D}"/>
    <cellStyle name="40% - Accent1 2 2 2 9" xfId="17218" xr:uid="{9F963C05-9E63-4283-B739-41280809B6DC}"/>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C38DF970-6114-40F3-875B-5B2F61A3786B}"/>
    <cellStyle name="40% - Accent1 2 2 3 2 2 3" xfId="23993" xr:uid="{52849CC9-1106-4FD3-A3CF-A7FBAF41E285}"/>
    <cellStyle name="40% - Accent1 2 2 3 2 3" xfId="11338" xr:uid="{8B5CFCD0-119F-4639-ABDA-53B2AFC5DF77}"/>
    <cellStyle name="40% - Accent1 2 2 3 2 4" xfId="19776" xr:uid="{786603A0-D783-49CC-B10B-F3F9F03E612F}"/>
    <cellStyle name="40% - Accent1 2 2 3 3" xfId="4969" xr:uid="{00000000-0005-0000-0000-0000DB030000}"/>
    <cellStyle name="40% - Accent1 2 2 3 3 2" xfId="13411" xr:uid="{2F11A18E-A9CE-4897-9100-6EBCEF2FF87F}"/>
    <cellStyle name="40% - Accent1 2 2 3 3 3" xfId="21848" xr:uid="{53A01F39-A8AC-4DA6-B965-4DEAB20D9D7C}"/>
    <cellStyle name="40% - Accent1 2 2 3 4" xfId="9193" xr:uid="{69D9C573-14B1-4ADC-9A7F-992913239E56}"/>
    <cellStyle name="40% - Accent1 2 2 3 5" xfId="17631" xr:uid="{31F3883A-69EC-4D93-81C4-EAFDD3715E7A}"/>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FB1741E1-4620-4C56-98C2-4B6504A5D20D}"/>
    <cellStyle name="40% - Accent1 2 2 4 2 2 3" xfId="24406" xr:uid="{9332699C-004E-4BDF-93E2-F2D7BFB921D4}"/>
    <cellStyle name="40% - Accent1 2 2 4 2 3" xfId="11751" xr:uid="{95A2B894-468E-4BCE-8AE8-8D50ED98E309}"/>
    <cellStyle name="40% - Accent1 2 2 4 2 4" xfId="20189" xr:uid="{28CB5DB1-4A55-4464-8808-8DCBD494B31A}"/>
    <cellStyle name="40% - Accent1 2 2 4 3" xfId="5382" xr:uid="{00000000-0005-0000-0000-0000DF030000}"/>
    <cellStyle name="40% - Accent1 2 2 4 3 2" xfId="13824" xr:uid="{6547917F-67A8-4719-B960-AA3A8BEF8CCA}"/>
    <cellStyle name="40% - Accent1 2 2 4 3 3" xfId="22261" xr:uid="{964C9468-B932-4620-8C99-5B181D56CE94}"/>
    <cellStyle name="40% - Accent1 2 2 4 4" xfId="9606" xr:uid="{F7836E7B-1C8C-4A56-A0DA-A1C85D0FFDB6}"/>
    <cellStyle name="40% - Accent1 2 2 4 5" xfId="18044" xr:uid="{0E567BEB-415B-46D9-9289-9DDC80DC5255}"/>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DDFEA3BD-CA04-4D43-B939-474AA20E22EB}"/>
    <cellStyle name="40% - Accent1 2 2 5 2 2 3" xfId="24819" xr:uid="{4BD4506D-5F26-449A-BC90-D018FEFDAAA6}"/>
    <cellStyle name="40% - Accent1 2 2 5 2 3" xfId="12164" xr:uid="{35F2C826-68DB-46EB-96BC-BEF604295502}"/>
    <cellStyle name="40% - Accent1 2 2 5 2 4" xfId="20602" xr:uid="{4B55C4A9-60CD-4EFC-99A5-29B5A963D908}"/>
    <cellStyle name="40% - Accent1 2 2 5 3" xfId="5795" xr:uid="{00000000-0005-0000-0000-0000E3030000}"/>
    <cellStyle name="40% - Accent1 2 2 5 3 2" xfId="14237" xr:uid="{327F502F-028A-477E-9571-F47D4C59883F}"/>
    <cellStyle name="40% - Accent1 2 2 5 3 3" xfId="22674" xr:uid="{BFCB2623-A465-4981-84BE-AC6F5E031A78}"/>
    <cellStyle name="40% - Accent1 2 2 5 4" xfId="10019" xr:uid="{5080C442-86B9-4831-BD98-1F86C278AC9B}"/>
    <cellStyle name="40% - Accent1 2 2 5 5" xfId="18457" xr:uid="{21659BA1-AF65-43AE-835C-596210DF8CA3}"/>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5229E969-987B-4751-BA25-9F0860230A5A}"/>
    <cellStyle name="40% - Accent1 2 2 6 2 2 3" xfId="25232" xr:uid="{AD4276DB-14EC-45C7-A1F8-F05A0E46BE59}"/>
    <cellStyle name="40% - Accent1 2 2 6 2 3" xfId="12577" xr:uid="{7C470142-098B-4B59-985A-ACC34774A915}"/>
    <cellStyle name="40% - Accent1 2 2 6 2 4" xfId="21015" xr:uid="{13BB4038-5224-48B0-9FAB-BDE3F932267E}"/>
    <cellStyle name="40% - Accent1 2 2 6 3" xfId="6208" xr:uid="{00000000-0005-0000-0000-0000E7030000}"/>
    <cellStyle name="40% - Accent1 2 2 6 3 2" xfId="14650" xr:uid="{B8675042-BD31-4A4F-B864-4E9968573603}"/>
    <cellStyle name="40% - Accent1 2 2 6 3 3" xfId="23087" xr:uid="{592AA1F4-B146-4B5D-B204-D0FBFAC9756E}"/>
    <cellStyle name="40% - Accent1 2 2 6 4" xfId="10432" xr:uid="{93184418-E211-4CDB-AEFE-6070EB789712}"/>
    <cellStyle name="40% - Accent1 2 2 6 5" xfId="18870" xr:uid="{708F19E7-C276-464D-9A03-05B5054F462E}"/>
    <cellStyle name="40% - Accent1 2 2 7" xfId="2314" xr:uid="{00000000-0005-0000-0000-0000E8030000}"/>
    <cellStyle name="40% - Accent1 2 2 7 2" xfId="6621" xr:uid="{00000000-0005-0000-0000-0000E9030000}"/>
    <cellStyle name="40% - Accent1 2 2 7 2 2" xfId="15063" xr:uid="{67A8D8E4-7E15-4790-AD2E-1A4F01B1D8A6}"/>
    <cellStyle name="40% - Accent1 2 2 7 2 3" xfId="23500" xr:uid="{9AA142DB-B70F-4BBB-B229-9C49295F5ECC}"/>
    <cellStyle name="40% - Accent1 2 2 7 3" xfId="10845" xr:uid="{3F58A62F-EBF0-4B7F-89D0-2B0EB118AE61}"/>
    <cellStyle name="40% - Accent1 2 2 7 4" xfId="19283" xr:uid="{FAAE7A2F-72EA-4B24-A4B1-844DA69F47B1}"/>
    <cellStyle name="40% - Accent1 2 2 8" xfId="4555" xr:uid="{00000000-0005-0000-0000-0000EA030000}"/>
    <cellStyle name="40% - Accent1 2 2 8 2" xfId="12997" xr:uid="{6F792BE1-D23F-4C52-B49A-6D739085432D}"/>
    <cellStyle name="40% - Accent1 2 2 8 3" xfId="21434" xr:uid="{B21C4314-EB97-4AF4-8F0A-F5E1B1F3669F}"/>
    <cellStyle name="40% - Accent1 2 2 9" xfId="8779" xr:uid="{27A02C5F-BCE8-4CF2-9D31-2131E3F93AC8}"/>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92189D5E-1E17-4125-9F6D-7CC8D6D3E347}"/>
    <cellStyle name="40% - Accent1 2 3 2 2 2 3" xfId="23995" xr:uid="{F99228E5-A029-4205-88FB-90330A9BE9BC}"/>
    <cellStyle name="40% - Accent1 2 3 2 2 3" xfId="11340" xr:uid="{C29A0989-11F1-4644-88E4-0A1844DDAC0A}"/>
    <cellStyle name="40% - Accent1 2 3 2 2 4" xfId="19778" xr:uid="{96AC3324-07C7-4B4D-9962-F54050C61909}"/>
    <cellStyle name="40% - Accent1 2 3 2 3" xfId="4971" xr:uid="{00000000-0005-0000-0000-0000EF030000}"/>
    <cellStyle name="40% - Accent1 2 3 2 3 2" xfId="13413" xr:uid="{9ABEEFF0-90BC-48EA-8954-6598EA7384D8}"/>
    <cellStyle name="40% - Accent1 2 3 2 3 3" xfId="21850" xr:uid="{48CC1726-2D98-4654-9B27-3CCEF31C0F94}"/>
    <cellStyle name="40% - Accent1 2 3 2 4" xfId="9195" xr:uid="{3673FA49-98E5-4864-8C42-CAAF64CFF0F7}"/>
    <cellStyle name="40% - Accent1 2 3 2 5" xfId="17633" xr:uid="{B416A275-7431-4AC0-86A1-C06623FFE9B0}"/>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1A360B82-A833-4DB7-85F6-CF97FB65DD71}"/>
    <cellStyle name="40% - Accent1 2 3 3 2 2 3" xfId="24408" xr:uid="{F43F3B38-2115-4E06-B2BD-69A5B6EC1B1F}"/>
    <cellStyle name="40% - Accent1 2 3 3 2 3" xfId="11753" xr:uid="{C8DEBB63-6145-4328-AE43-1DC90B1C569B}"/>
    <cellStyle name="40% - Accent1 2 3 3 2 4" xfId="20191" xr:uid="{16819AFD-CE71-47B1-8075-94D137782C07}"/>
    <cellStyle name="40% - Accent1 2 3 3 3" xfId="5384" xr:uid="{00000000-0005-0000-0000-0000F3030000}"/>
    <cellStyle name="40% - Accent1 2 3 3 3 2" xfId="13826" xr:uid="{A43803AF-1A5E-4E49-A982-E99EF1F62345}"/>
    <cellStyle name="40% - Accent1 2 3 3 3 3" xfId="22263" xr:uid="{36B7C762-610D-4F47-A98C-FDA880228124}"/>
    <cellStyle name="40% - Accent1 2 3 3 4" xfId="9608" xr:uid="{70305BC4-BC73-4241-AA92-780390832720}"/>
    <cellStyle name="40% - Accent1 2 3 3 5" xfId="18046" xr:uid="{E59CDAF0-9B67-43DB-AA9C-BE8F1BC92449}"/>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914D8CF7-755B-4F65-8D31-C1B83BAE09F6}"/>
    <cellStyle name="40% - Accent1 2 3 4 2 2 3" xfId="24821" xr:uid="{1E7CBFAC-4189-4C16-8367-09980310D219}"/>
    <cellStyle name="40% - Accent1 2 3 4 2 3" xfId="12166" xr:uid="{EE847BBB-939C-45F1-9512-46C2F5D232C9}"/>
    <cellStyle name="40% - Accent1 2 3 4 2 4" xfId="20604" xr:uid="{6318E150-B218-4378-A1EF-172D2E0A8E81}"/>
    <cellStyle name="40% - Accent1 2 3 4 3" xfId="5797" xr:uid="{00000000-0005-0000-0000-0000F7030000}"/>
    <cellStyle name="40% - Accent1 2 3 4 3 2" xfId="14239" xr:uid="{DB0827F8-D252-4F7A-B650-518222AE5733}"/>
    <cellStyle name="40% - Accent1 2 3 4 3 3" xfId="22676" xr:uid="{F1F23721-93C9-4C31-90A5-38509CDA14BB}"/>
    <cellStyle name="40% - Accent1 2 3 4 4" xfId="10021" xr:uid="{121F4160-CC1B-48C4-BBE0-AFB42F209878}"/>
    <cellStyle name="40% - Accent1 2 3 4 5" xfId="18459" xr:uid="{E9023114-5F7B-44F6-91D5-5FE7D1758BBA}"/>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651AC29F-7A3E-4945-8B4D-40666228D1E8}"/>
    <cellStyle name="40% - Accent1 2 3 5 2 2 3" xfId="25234" xr:uid="{0530B5B5-4166-4F0F-97CB-00ADF12E88F4}"/>
    <cellStyle name="40% - Accent1 2 3 5 2 3" xfId="12579" xr:uid="{88156865-B47C-4926-A4F1-65508A8A1638}"/>
    <cellStyle name="40% - Accent1 2 3 5 2 4" xfId="21017" xr:uid="{48B87D74-852A-403E-8808-382FD37EF8CE}"/>
    <cellStyle name="40% - Accent1 2 3 5 3" xfId="6210" xr:uid="{00000000-0005-0000-0000-0000FB030000}"/>
    <cellStyle name="40% - Accent1 2 3 5 3 2" xfId="14652" xr:uid="{AA77C478-EFBF-4E0F-A05B-6244F5EFEA74}"/>
    <cellStyle name="40% - Accent1 2 3 5 3 3" xfId="23089" xr:uid="{C65F6A8D-ED7D-42F6-9850-545D22368C85}"/>
    <cellStyle name="40% - Accent1 2 3 5 4" xfId="10434" xr:uid="{5F026C9A-6124-4768-BB04-03020CA9CE3D}"/>
    <cellStyle name="40% - Accent1 2 3 5 5" xfId="18872" xr:uid="{B7430E5B-2EE4-4BD7-98B0-0D0E6FD11807}"/>
    <cellStyle name="40% - Accent1 2 3 6" xfId="2316" xr:uid="{00000000-0005-0000-0000-0000FC030000}"/>
    <cellStyle name="40% - Accent1 2 3 6 2" xfId="6623" xr:uid="{00000000-0005-0000-0000-0000FD030000}"/>
    <cellStyle name="40% - Accent1 2 3 6 2 2" xfId="15065" xr:uid="{8700B9EC-D438-4981-BCBB-1ACDF0D2380D}"/>
    <cellStyle name="40% - Accent1 2 3 6 2 3" xfId="23502" xr:uid="{376E248D-0838-47EB-A8B0-88E7222B59BA}"/>
    <cellStyle name="40% - Accent1 2 3 6 3" xfId="10847" xr:uid="{1D246A2E-C5FF-45C8-B853-BE437EEB2A0A}"/>
    <cellStyle name="40% - Accent1 2 3 6 4" xfId="19285" xr:uid="{91F8EF7D-366A-4A0B-BC85-A0A46F942A18}"/>
    <cellStyle name="40% - Accent1 2 3 7" xfId="4557" xr:uid="{00000000-0005-0000-0000-0000FE030000}"/>
    <cellStyle name="40% - Accent1 2 3 7 2" xfId="12999" xr:uid="{F6FB8523-B88F-442A-8501-107D9EAD22FF}"/>
    <cellStyle name="40% - Accent1 2 3 7 3" xfId="21436" xr:uid="{C931E6F5-FE40-4CF7-AE6D-E076F1C6FB65}"/>
    <cellStyle name="40% - Accent1 2 3 8" xfId="8781" xr:uid="{8640680A-E707-4FD3-8E89-73C3F943EFB2}"/>
    <cellStyle name="40% - Accent1 2 3 9" xfId="17219" xr:uid="{4CD81F6C-715F-4C23-8536-71C3C6E95E2A}"/>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D7110377-4862-4D77-82A1-9C764F9E742A}"/>
    <cellStyle name="40% - Accent1 2 4 2 2 3" xfId="23992" xr:uid="{53448B65-0DBE-4AE5-B21A-81A2FEE8D792}"/>
    <cellStyle name="40% - Accent1 2 4 2 3" xfId="11337" xr:uid="{B9A5AFCC-A7C0-4AEA-93CE-3FAFDAAC686E}"/>
    <cellStyle name="40% - Accent1 2 4 2 4" xfId="19775" xr:uid="{EDB277FE-99DA-4812-AA63-7D4A6C5549BF}"/>
    <cellStyle name="40% - Accent1 2 4 3" xfId="4968" xr:uid="{00000000-0005-0000-0000-000002040000}"/>
    <cellStyle name="40% - Accent1 2 4 3 2" xfId="13410" xr:uid="{EEF425E0-2D5D-43F8-9AB8-7B994062A28E}"/>
    <cellStyle name="40% - Accent1 2 4 3 3" xfId="21847" xr:uid="{982174A0-B16A-4F9C-85F1-AF06FDD07D47}"/>
    <cellStyle name="40% - Accent1 2 4 4" xfId="9192" xr:uid="{F11CC5E7-1CEF-49BB-92CB-4B1C6E7A33AE}"/>
    <cellStyle name="40% - Accent1 2 4 5" xfId="17630" xr:uid="{339C34B0-5051-41F8-9D11-364059D5002C}"/>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00FF4D25-E615-47D6-B1B2-A7A5DDFA21A8}"/>
    <cellStyle name="40% - Accent1 2 5 2 2 3" xfId="24405" xr:uid="{38917AB2-9DF0-4142-90D4-F23F5D2CC8E2}"/>
    <cellStyle name="40% - Accent1 2 5 2 3" xfId="11750" xr:uid="{4ADCE16B-A566-45F3-BD6B-8140151170BB}"/>
    <cellStyle name="40% - Accent1 2 5 2 4" xfId="20188" xr:uid="{225DED93-F4F5-4F59-8CA7-0412EFBAF034}"/>
    <cellStyle name="40% - Accent1 2 5 3" xfId="5381" xr:uid="{00000000-0005-0000-0000-000006040000}"/>
    <cellStyle name="40% - Accent1 2 5 3 2" xfId="13823" xr:uid="{9AAF3B3A-46A2-45FD-866B-023679959063}"/>
    <cellStyle name="40% - Accent1 2 5 3 3" xfId="22260" xr:uid="{2EF17E33-3DB3-4A85-A2ED-8D516CA949D5}"/>
    <cellStyle name="40% - Accent1 2 5 4" xfId="9605" xr:uid="{A83BE1DC-0CA0-4884-99E8-D74D8145DEE1}"/>
    <cellStyle name="40% - Accent1 2 5 5" xfId="18043" xr:uid="{D9553A26-A973-4780-B709-48B437489E0F}"/>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07CF23C7-91CE-4C35-A73C-51C6364D454F}"/>
    <cellStyle name="40% - Accent1 2 6 2 2 3" xfId="24818" xr:uid="{7FD18ACF-E776-4048-9590-5B9A86C6F7BC}"/>
    <cellStyle name="40% - Accent1 2 6 2 3" xfId="12163" xr:uid="{C61226C5-C522-4E64-99C1-EE9E2026A851}"/>
    <cellStyle name="40% - Accent1 2 6 2 4" xfId="20601" xr:uid="{1441F534-10E4-4792-BCDA-138CEDAEAC89}"/>
    <cellStyle name="40% - Accent1 2 6 3" xfId="5794" xr:uid="{00000000-0005-0000-0000-00000A040000}"/>
    <cellStyle name="40% - Accent1 2 6 3 2" xfId="14236" xr:uid="{4CC49BBA-03E6-438F-95B3-B7CED4A631DD}"/>
    <cellStyle name="40% - Accent1 2 6 3 3" xfId="22673" xr:uid="{AD666572-8F09-473F-AC95-6845896174D6}"/>
    <cellStyle name="40% - Accent1 2 6 4" xfId="10018" xr:uid="{65ED218E-52DF-4399-8180-812B6F180536}"/>
    <cellStyle name="40% - Accent1 2 6 5" xfId="18456" xr:uid="{382CC7AF-0347-4F4A-995B-A4B3E0F5F914}"/>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843B8310-E1F9-44F6-A601-F749DB99E939}"/>
    <cellStyle name="40% - Accent1 2 7 2 2 3" xfId="25231" xr:uid="{3C989E84-7BD6-4C5A-8550-F6D31AAB1DC6}"/>
    <cellStyle name="40% - Accent1 2 7 2 3" xfId="12576" xr:uid="{FED7DEFB-2200-47E5-ADF2-27DAAF668CC7}"/>
    <cellStyle name="40% - Accent1 2 7 2 4" xfId="21014" xr:uid="{4F73A260-F959-4024-9B70-F526281D0AC9}"/>
    <cellStyle name="40% - Accent1 2 7 3" xfId="6207" xr:uid="{00000000-0005-0000-0000-00000E040000}"/>
    <cellStyle name="40% - Accent1 2 7 3 2" xfId="14649" xr:uid="{9AE4CFBB-A367-45E6-BC12-8F71F9101DFE}"/>
    <cellStyle name="40% - Accent1 2 7 3 3" xfId="23086" xr:uid="{022AC86D-DB5E-4007-8575-93C923D434B4}"/>
    <cellStyle name="40% - Accent1 2 7 4" xfId="10431" xr:uid="{D72716AB-964F-4749-9725-31E6C616E847}"/>
    <cellStyle name="40% - Accent1 2 7 5" xfId="18869" xr:uid="{10F29C23-2F27-4D0B-85E6-CBD9F5308542}"/>
    <cellStyle name="40% - Accent1 2 8" xfId="2313" xr:uid="{00000000-0005-0000-0000-00000F040000}"/>
    <cellStyle name="40% - Accent1 2 8 2" xfId="6620" xr:uid="{00000000-0005-0000-0000-000010040000}"/>
    <cellStyle name="40% - Accent1 2 8 2 2" xfId="15062" xr:uid="{ED277979-FDD7-406C-AF68-5C5994C4C0AE}"/>
    <cellStyle name="40% - Accent1 2 8 2 3" xfId="23499" xr:uid="{AF940B4B-1E87-4777-850B-C4EBF0670485}"/>
    <cellStyle name="40% - Accent1 2 8 3" xfId="10844" xr:uid="{A24B64CB-B941-45DB-A5EA-6513E4542289}"/>
    <cellStyle name="40% - Accent1 2 8 4" xfId="19282" xr:uid="{ACD1245D-B6BA-4772-AA82-942F2815ECBA}"/>
    <cellStyle name="40% - Accent1 2 9" xfId="4554" xr:uid="{00000000-0005-0000-0000-000011040000}"/>
    <cellStyle name="40% - Accent1 2 9 2" xfId="12996" xr:uid="{E7148CD2-390F-466C-B894-65B04FC99468}"/>
    <cellStyle name="40% - Accent1 2 9 3" xfId="21433" xr:uid="{5A5DFD85-FA18-4AC7-A79F-5ACBBD55373B}"/>
    <cellStyle name="40% - Accent1 3" xfId="54" xr:uid="{00000000-0005-0000-0000-000012040000}"/>
    <cellStyle name="40% - Accent1 3 10" xfId="17220" xr:uid="{CAE23704-8F40-45A8-B0F4-852B5348B011}"/>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1286D77C-56A6-4890-B918-156731D02390}"/>
    <cellStyle name="40% - Accent1 3 2 2 2 2 3" xfId="23997" xr:uid="{9886060D-8972-4E34-940F-685891B5F722}"/>
    <cellStyle name="40% - Accent1 3 2 2 2 3" xfId="11342" xr:uid="{B6E22E43-6AAB-4F4E-B87F-C785915FF87B}"/>
    <cellStyle name="40% - Accent1 3 2 2 2 4" xfId="19780" xr:uid="{72DC4A0D-A5D7-4532-A7A4-A2EC2C1A6CEC}"/>
    <cellStyle name="40% - Accent1 3 2 2 3" xfId="4973" xr:uid="{00000000-0005-0000-0000-000017040000}"/>
    <cellStyle name="40% - Accent1 3 2 2 3 2" xfId="13415" xr:uid="{216C5CA9-DDE0-4516-B9CB-81D0704684CD}"/>
    <cellStyle name="40% - Accent1 3 2 2 3 3" xfId="21852" xr:uid="{5BA2CE7A-568C-4458-8BE3-B31FD34C85B2}"/>
    <cellStyle name="40% - Accent1 3 2 2 4" xfId="9197" xr:uid="{95AD56C0-06FE-48CD-BD18-DABBC85F2E0B}"/>
    <cellStyle name="40% - Accent1 3 2 2 5" xfId="17635" xr:uid="{374B06D1-FD45-44C9-B136-48D3BB2AAD49}"/>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CC308E7C-D712-44B7-96F7-BD8E2806505E}"/>
    <cellStyle name="40% - Accent1 3 2 3 2 2 3" xfId="24410" xr:uid="{4D1C9DF2-C07F-46F0-8316-73BD66401994}"/>
    <cellStyle name="40% - Accent1 3 2 3 2 3" xfId="11755" xr:uid="{770CBB30-283C-4946-B92E-B238E7149A9F}"/>
    <cellStyle name="40% - Accent1 3 2 3 2 4" xfId="20193" xr:uid="{98B746F2-EDEB-4FF4-ADFF-960B7F64A2EB}"/>
    <cellStyle name="40% - Accent1 3 2 3 3" xfId="5386" xr:uid="{00000000-0005-0000-0000-00001B040000}"/>
    <cellStyle name="40% - Accent1 3 2 3 3 2" xfId="13828" xr:uid="{72BD28CD-C1F9-4184-993E-A0819BAC1666}"/>
    <cellStyle name="40% - Accent1 3 2 3 3 3" xfId="22265" xr:uid="{4805E950-E9CA-4633-9CF5-F39D3F436E5F}"/>
    <cellStyle name="40% - Accent1 3 2 3 4" xfId="9610" xr:uid="{DC67B7BC-11B9-4E33-9E8C-ADE7E77BBB07}"/>
    <cellStyle name="40% - Accent1 3 2 3 5" xfId="18048" xr:uid="{7BA16B62-BF6D-43A4-B6DC-632EA4B5C1B0}"/>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FB9B77F2-851A-47E0-A0A0-F6A3428A3571}"/>
    <cellStyle name="40% - Accent1 3 2 4 2 2 3" xfId="24823" xr:uid="{559138E6-34F2-4A2C-BE24-0907E63ADC67}"/>
    <cellStyle name="40% - Accent1 3 2 4 2 3" xfId="12168" xr:uid="{7F99EC28-75D4-4D70-97EF-8EB2A48F77D5}"/>
    <cellStyle name="40% - Accent1 3 2 4 2 4" xfId="20606" xr:uid="{9E8E7257-9CBB-4EA6-A396-C0D83FB7D1BA}"/>
    <cellStyle name="40% - Accent1 3 2 4 3" xfId="5799" xr:uid="{00000000-0005-0000-0000-00001F040000}"/>
    <cellStyle name="40% - Accent1 3 2 4 3 2" xfId="14241" xr:uid="{E8569003-E188-4E14-9CA1-A3464002307D}"/>
    <cellStyle name="40% - Accent1 3 2 4 3 3" xfId="22678" xr:uid="{BB66D0CB-25EF-4128-A68F-5691CEE6DFF8}"/>
    <cellStyle name="40% - Accent1 3 2 4 4" xfId="10023" xr:uid="{65585AA5-C1C3-4362-AA7E-A28A219923E1}"/>
    <cellStyle name="40% - Accent1 3 2 4 5" xfId="18461" xr:uid="{29420EA4-BA41-436C-9F3D-5600846D413A}"/>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5ECC4F63-DE83-4DA6-8E20-0558FFEE4180}"/>
    <cellStyle name="40% - Accent1 3 2 5 2 2 3" xfId="25236" xr:uid="{65E4DD3E-FC20-4BD9-9FC5-DCF41C73564F}"/>
    <cellStyle name="40% - Accent1 3 2 5 2 3" xfId="12581" xr:uid="{C729A40C-C792-4D3E-BDF4-14A4228B8A35}"/>
    <cellStyle name="40% - Accent1 3 2 5 2 4" xfId="21019" xr:uid="{D092E571-07ED-47B4-A97B-149717BEFD6E}"/>
    <cellStyle name="40% - Accent1 3 2 5 3" xfId="6212" xr:uid="{00000000-0005-0000-0000-000023040000}"/>
    <cellStyle name="40% - Accent1 3 2 5 3 2" xfId="14654" xr:uid="{A4C3BBB0-8376-4F94-8D4E-F5D106CBC0D6}"/>
    <cellStyle name="40% - Accent1 3 2 5 3 3" xfId="23091" xr:uid="{21098DFE-EB3E-46BC-B0D2-6558BBB56C7F}"/>
    <cellStyle name="40% - Accent1 3 2 5 4" xfId="10436" xr:uid="{CCB31253-9FA7-41F3-8115-A5C388E31886}"/>
    <cellStyle name="40% - Accent1 3 2 5 5" xfId="18874" xr:uid="{82515527-8A51-43CA-BEBF-F6796D1FE77E}"/>
    <cellStyle name="40% - Accent1 3 2 6" xfId="2318" xr:uid="{00000000-0005-0000-0000-000024040000}"/>
    <cellStyle name="40% - Accent1 3 2 6 2" xfId="6625" xr:uid="{00000000-0005-0000-0000-000025040000}"/>
    <cellStyle name="40% - Accent1 3 2 6 2 2" xfId="15067" xr:uid="{734B5C20-C806-4A2F-8669-3AE2CE7CEF3E}"/>
    <cellStyle name="40% - Accent1 3 2 6 2 3" xfId="23504" xr:uid="{2AABBC72-2E76-4F72-AA3B-67F0ED3E5731}"/>
    <cellStyle name="40% - Accent1 3 2 6 3" xfId="10849" xr:uid="{EF06066C-73C6-4079-A8B9-6E14DB336455}"/>
    <cellStyle name="40% - Accent1 3 2 6 4" xfId="19287" xr:uid="{48CBB5B4-64DE-4ADF-BC1C-D3AA02058AE3}"/>
    <cellStyle name="40% - Accent1 3 2 7" xfId="4559" xr:uid="{00000000-0005-0000-0000-000026040000}"/>
    <cellStyle name="40% - Accent1 3 2 7 2" xfId="13001" xr:uid="{43764522-FB7D-42F5-B557-763B27D76869}"/>
    <cellStyle name="40% - Accent1 3 2 7 3" xfId="21438" xr:uid="{52E67F0F-B6C1-4781-A64E-68B30997484E}"/>
    <cellStyle name="40% - Accent1 3 2 8" xfId="8783" xr:uid="{834EFF43-380B-46D7-B551-00CEC8BC579E}"/>
    <cellStyle name="40% - Accent1 3 2 9" xfId="17221" xr:uid="{2704AA00-AAFF-4DB4-9824-185D05518CF6}"/>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28D77B0A-50E8-49D9-AF8B-27DFDD840D7C}"/>
    <cellStyle name="40% - Accent1 3 3 2 2 3" xfId="23996" xr:uid="{7C32DFE8-00C0-40EF-8F14-797620D458D7}"/>
    <cellStyle name="40% - Accent1 3 3 2 3" xfId="11341" xr:uid="{449E8AF6-51B4-4FA0-A167-8618CC9E6B9B}"/>
    <cellStyle name="40% - Accent1 3 3 2 4" xfId="19779" xr:uid="{D21236D6-4EC4-4A6B-81FD-0B98B0CEDEA6}"/>
    <cellStyle name="40% - Accent1 3 3 3" xfId="4972" xr:uid="{00000000-0005-0000-0000-00002A040000}"/>
    <cellStyle name="40% - Accent1 3 3 3 2" xfId="13414" xr:uid="{6619C437-D371-4583-8D99-98130CAA4675}"/>
    <cellStyle name="40% - Accent1 3 3 3 3" xfId="21851" xr:uid="{8B6FA2F2-D858-445B-AD38-F4F27B0E7DF7}"/>
    <cellStyle name="40% - Accent1 3 3 4" xfId="9196" xr:uid="{6749CB85-619C-44D0-8B86-A8EEBF0234CE}"/>
    <cellStyle name="40% - Accent1 3 3 5" xfId="17634" xr:uid="{6EC6237C-FF6D-4379-9F4C-4A257501B11A}"/>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2BE26765-6342-4DDA-8ECB-B02D2760FA04}"/>
    <cellStyle name="40% - Accent1 3 4 2 2 3" xfId="24409" xr:uid="{245367E2-48BE-46DE-89B1-42EC35087238}"/>
    <cellStyle name="40% - Accent1 3 4 2 3" xfId="11754" xr:uid="{940C6A15-8F4B-4084-8EF8-D752956DB693}"/>
    <cellStyle name="40% - Accent1 3 4 2 4" xfId="20192" xr:uid="{C5B715D4-1ED8-46E4-BF0C-0529992B21B5}"/>
    <cellStyle name="40% - Accent1 3 4 3" xfId="5385" xr:uid="{00000000-0005-0000-0000-00002E040000}"/>
    <cellStyle name="40% - Accent1 3 4 3 2" xfId="13827" xr:uid="{DF1E525C-F27E-4EF7-98AB-B2FDD849CEE0}"/>
    <cellStyle name="40% - Accent1 3 4 3 3" xfId="22264" xr:uid="{905A67A4-EB96-4FEB-9912-A84713A60E19}"/>
    <cellStyle name="40% - Accent1 3 4 4" xfId="9609" xr:uid="{FC4DD263-13F3-4475-9A48-A1F0547C9F6A}"/>
    <cellStyle name="40% - Accent1 3 4 5" xfId="18047" xr:uid="{84581B72-5875-4521-8B7D-0F8EAC8F6397}"/>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F8501305-6B4B-4AD4-B10A-9850C79FDF4C}"/>
    <cellStyle name="40% - Accent1 3 5 2 2 3" xfId="24822" xr:uid="{5B86D57E-A262-4E6F-9ECF-72CCF46F81F9}"/>
    <cellStyle name="40% - Accent1 3 5 2 3" xfId="12167" xr:uid="{F9E8988B-67D1-4E98-BF06-B6B28DD07159}"/>
    <cellStyle name="40% - Accent1 3 5 2 4" xfId="20605" xr:uid="{B073501D-CC89-4262-8BB7-6D6B3F011CC9}"/>
    <cellStyle name="40% - Accent1 3 5 3" xfId="5798" xr:uid="{00000000-0005-0000-0000-000032040000}"/>
    <cellStyle name="40% - Accent1 3 5 3 2" xfId="14240" xr:uid="{2BFAFABB-8057-48E8-A739-56619F5CC40F}"/>
    <cellStyle name="40% - Accent1 3 5 3 3" xfId="22677" xr:uid="{8A3DDDE5-3617-46A8-9F75-323BEFF34705}"/>
    <cellStyle name="40% - Accent1 3 5 4" xfId="10022" xr:uid="{49365078-125B-40E6-A9B0-23FBD8261D4C}"/>
    <cellStyle name="40% - Accent1 3 5 5" xfId="18460" xr:uid="{B1FA757E-E8FB-4561-99DA-5675B573E9EB}"/>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BDC67B94-3A9D-445C-A50D-CA4189193369}"/>
    <cellStyle name="40% - Accent1 3 6 2 2 3" xfId="25235" xr:uid="{258C87B6-B6EF-4D58-8933-51133E158348}"/>
    <cellStyle name="40% - Accent1 3 6 2 3" xfId="12580" xr:uid="{A697E03F-C041-4960-A7DD-11425AC7FE82}"/>
    <cellStyle name="40% - Accent1 3 6 2 4" xfId="21018" xr:uid="{E59E2C62-9F6C-4B78-94AA-387F32F204AC}"/>
    <cellStyle name="40% - Accent1 3 6 3" xfId="6211" xr:uid="{00000000-0005-0000-0000-000036040000}"/>
    <cellStyle name="40% - Accent1 3 6 3 2" xfId="14653" xr:uid="{8357DF4C-9412-488E-8AB3-5A0ED3B9F999}"/>
    <cellStyle name="40% - Accent1 3 6 3 3" xfId="23090" xr:uid="{7FB09A97-5E43-40ED-9C06-CB34331A1D54}"/>
    <cellStyle name="40% - Accent1 3 6 4" xfId="10435" xr:uid="{102D58B4-5D8F-449C-B289-454356958595}"/>
    <cellStyle name="40% - Accent1 3 6 5" xfId="18873" xr:uid="{2001D828-6EB2-4910-BEEC-15C0BC7E5ABF}"/>
    <cellStyle name="40% - Accent1 3 7" xfId="2317" xr:uid="{00000000-0005-0000-0000-000037040000}"/>
    <cellStyle name="40% - Accent1 3 7 2" xfId="6624" xr:uid="{00000000-0005-0000-0000-000038040000}"/>
    <cellStyle name="40% - Accent1 3 7 2 2" xfId="15066" xr:uid="{85F4E0CE-544E-4939-B500-107E65B551C5}"/>
    <cellStyle name="40% - Accent1 3 7 2 3" xfId="23503" xr:uid="{984E584E-5736-42C0-B356-CA51426E8469}"/>
    <cellStyle name="40% - Accent1 3 7 3" xfId="10848" xr:uid="{72FC3558-E23F-4AA6-85F1-32D16617B743}"/>
    <cellStyle name="40% - Accent1 3 7 4" xfId="19286" xr:uid="{DB2702B1-9581-42F5-8EA2-29A58E8A71F1}"/>
    <cellStyle name="40% - Accent1 3 8" xfId="4558" xr:uid="{00000000-0005-0000-0000-000039040000}"/>
    <cellStyle name="40% - Accent1 3 8 2" xfId="13000" xr:uid="{AB2E43F5-C108-4BF7-847E-D5DACE0FEF8F}"/>
    <cellStyle name="40% - Accent1 3 8 3" xfId="21437" xr:uid="{A87D6070-BCEC-4EAF-9BC3-A05AE88BA812}"/>
    <cellStyle name="40% - Accent1 3 9" xfId="8782" xr:uid="{C49526DD-5279-4C81-9BE0-B2119C98266F}"/>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C02800EE-2DDA-4CCC-85A6-CE2FC3CB7EE3}"/>
    <cellStyle name="40% - Accent1 4 2 2 2 3" xfId="23998" xr:uid="{A6AAA28E-6114-4E80-97D6-C58367A41671}"/>
    <cellStyle name="40% - Accent1 4 2 2 3" xfId="11343" xr:uid="{D7BD9D54-0DE4-4ECE-A9F8-9496AA5FAE23}"/>
    <cellStyle name="40% - Accent1 4 2 2 4" xfId="19781" xr:uid="{7D3ADFD3-3AEF-4DD5-987C-7FD8D5CC4016}"/>
    <cellStyle name="40% - Accent1 4 2 3" xfId="4974" xr:uid="{00000000-0005-0000-0000-00003E040000}"/>
    <cellStyle name="40% - Accent1 4 2 3 2" xfId="13416" xr:uid="{CB335307-9CE2-4C7A-9089-62EBB81ECB2A}"/>
    <cellStyle name="40% - Accent1 4 2 3 3" xfId="21853" xr:uid="{063D5FB9-7F75-4769-AA0D-4E8DE1DB9692}"/>
    <cellStyle name="40% - Accent1 4 2 4" xfId="9198" xr:uid="{11E150C3-5016-4690-A56D-0A1AB6409D48}"/>
    <cellStyle name="40% - Accent1 4 2 5" xfId="17636" xr:uid="{F4432A24-BBE9-4A2D-B498-264FC077D160}"/>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ADEFBD90-BCBE-4B66-93A8-7C80BF749A31}"/>
    <cellStyle name="40% - Accent1 4 3 2 2 3" xfId="24411" xr:uid="{B15EF7DF-1AE3-4DC8-B8C1-90F94E225019}"/>
    <cellStyle name="40% - Accent1 4 3 2 3" xfId="11756" xr:uid="{9A220314-9574-4538-AFCA-B30DEF8549A4}"/>
    <cellStyle name="40% - Accent1 4 3 2 4" xfId="20194" xr:uid="{25057203-D325-47C2-A2CB-2CA53BE1366E}"/>
    <cellStyle name="40% - Accent1 4 3 3" xfId="5387" xr:uid="{00000000-0005-0000-0000-000042040000}"/>
    <cellStyle name="40% - Accent1 4 3 3 2" xfId="13829" xr:uid="{49192875-3528-4521-B53C-526E154BE80F}"/>
    <cellStyle name="40% - Accent1 4 3 3 3" xfId="22266" xr:uid="{09F0ADAA-BC17-4974-8D03-6AE50FC5655D}"/>
    <cellStyle name="40% - Accent1 4 3 4" xfId="9611" xr:uid="{CF8977EC-AC1D-4C44-9B5A-C85D734B5F73}"/>
    <cellStyle name="40% - Accent1 4 3 5" xfId="18049" xr:uid="{3C61FF4C-FA18-4310-A4AF-F8CEFF478B3A}"/>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5F5805A7-5BC2-487F-81ED-52DC3C43CCB7}"/>
    <cellStyle name="40% - Accent1 4 4 2 2 3" xfId="24824" xr:uid="{D804540F-F64B-4559-AAE9-1502472E9242}"/>
    <cellStyle name="40% - Accent1 4 4 2 3" xfId="12169" xr:uid="{31C0EA99-551E-4DD7-B211-F65E75CFDE02}"/>
    <cellStyle name="40% - Accent1 4 4 2 4" xfId="20607" xr:uid="{04D136BB-F748-4686-8FFA-9A1377D713B4}"/>
    <cellStyle name="40% - Accent1 4 4 3" xfId="5800" xr:uid="{00000000-0005-0000-0000-000046040000}"/>
    <cellStyle name="40% - Accent1 4 4 3 2" xfId="14242" xr:uid="{192D6CB2-14FC-45BD-90EE-1E0492236B21}"/>
    <cellStyle name="40% - Accent1 4 4 3 3" xfId="22679" xr:uid="{57F774E1-23D3-4CA8-B18E-A73BF041F5A8}"/>
    <cellStyle name="40% - Accent1 4 4 4" xfId="10024" xr:uid="{82D52ED6-E30C-422B-8734-C9CD68CBC054}"/>
    <cellStyle name="40% - Accent1 4 4 5" xfId="18462" xr:uid="{D05AAA22-CE6F-409D-928A-445D1ADF480D}"/>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A60DF476-9347-4E88-9907-17CC82AF93D2}"/>
    <cellStyle name="40% - Accent1 4 5 2 2 3" xfId="25237" xr:uid="{C611C8A6-FBD3-4866-BC42-832AD6B0D3F1}"/>
    <cellStyle name="40% - Accent1 4 5 2 3" xfId="12582" xr:uid="{6351238A-42BB-484D-9BB2-7DCCF7761E70}"/>
    <cellStyle name="40% - Accent1 4 5 2 4" xfId="21020" xr:uid="{1E535A27-CAED-4F46-B03F-C55711550EDE}"/>
    <cellStyle name="40% - Accent1 4 5 3" xfId="6213" xr:uid="{00000000-0005-0000-0000-00004A040000}"/>
    <cellStyle name="40% - Accent1 4 5 3 2" xfId="14655" xr:uid="{BE5AC984-575A-4B70-8EA5-9D10BAD046A2}"/>
    <cellStyle name="40% - Accent1 4 5 3 3" xfId="23092" xr:uid="{0765AD34-921B-4A87-BC86-8AFB58538A33}"/>
    <cellStyle name="40% - Accent1 4 5 4" xfId="10437" xr:uid="{ED1E5B7F-6683-49CB-8D47-52724FA83688}"/>
    <cellStyle name="40% - Accent1 4 5 5" xfId="18875" xr:uid="{35A82483-553E-4ABE-BC1D-DD82A4083474}"/>
    <cellStyle name="40% - Accent1 4 6" xfId="2319" xr:uid="{00000000-0005-0000-0000-00004B040000}"/>
    <cellStyle name="40% - Accent1 4 6 2" xfId="6626" xr:uid="{00000000-0005-0000-0000-00004C040000}"/>
    <cellStyle name="40% - Accent1 4 6 2 2" xfId="15068" xr:uid="{124E04F2-9A8C-4876-BE3F-5508784823A7}"/>
    <cellStyle name="40% - Accent1 4 6 2 3" xfId="23505" xr:uid="{C4D3645A-F318-4BBB-84C2-0CA9DBC06938}"/>
    <cellStyle name="40% - Accent1 4 6 3" xfId="10850" xr:uid="{D26987C5-A6B0-4554-A3B2-5923C6534D03}"/>
    <cellStyle name="40% - Accent1 4 6 4" xfId="19288" xr:uid="{0A83FF5C-4708-4216-ACA9-1F28AF4DF8B8}"/>
    <cellStyle name="40% - Accent1 4 7" xfId="4560" xr:uid="{00000000-0005-0000-0000-00004D040000}"/>
    <cellStyle name="40% - Accent1 4 7 2" xfId="13002" xr:uid="{5F7DDB4B-18ED-4DDB-B6AF-470B64F3B1A4}"/>
    <cellStyle name="40% - Accent1 4 7 3" xfId="21439" xr:uid="{7CA5CA3D-DF38-4539-AFA1-AE8117C9D09A}"/>
    <cellStyle name="40% - Accent1 4 8" xfId="8784" xr:uid="{9C0AB596-651C-41C4-9967-F286F1DEC62A}"/>
    <cellStyle name="40% - Accent1 4 9" xfId="17222" xr:uid="{ED50CB51-C828-4D0A-BC98-4015149553BE}"/>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C16E7FB1-5BFF-4910-B9EC-81320E69A5DA}"/>
    <cellStyle name="40% - Accent1 5 2 2 3" xfId="23991" xr:uid="{1CE4A5CE-89F7-437D-BA17-CCEDE057A090}"/>
    <cellStyle name="40% - Accent1 5 2 3" xfId="11336" xr:uid="{AA5C4BC0-A174-4A16-9712-37AA5D4D0E76}"/>
    <cellStyle name="40% - Accent1 5 2 4" xfId="19774" xr:uid="{828ED640-FB2F-46A2-9BBA-9D3F110BEA52}"/>
    <cellStyle name="40% - Accent1 5 3" xfId="4967" xr:uid="{00000000-0005-0000-0000-000051040000}"/>
    <cellStyle name="40% - Accent1 5 3 2" xfId="13409" xr:uid="{4E3FE92E-36A8-4E13-8849-8BCAC22DD4F3}"/>
    <cellStyle name="40% - Accent1 5 3 3" xfId="21846" xr:uid="{BE9881D9-199E-449F-9B42-73B5B6E95D33}"/>
    <cellStyle name="40% - Accent1 5 4" xfId="9191" xr:uid="{8DE2B9A8-4306-48D0-9CFD-0A874E40000B}"/>
    <cellStyle name="40% - Accent1 5 5" xfId="17629" xr:uid="{894ABF2D-7A8D-47B7-8282-8EABD1CF18B3}"/>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2EEF9AFC-0419-4F71-B4E9-243DF35B7CE8}"/>
    <cellStyle name="40% - Accent1 6 2 2 3" xfId="24404" xr:uid="{CCE4B9EF-DAEC-4A7C-888C-DD2E97899F41}"/>
    <cellStyle name="40% - Accent1 6 2 3" xfId="11749" xr:uid="{F8C96311-11F3-47EA-B0B0-F8597AD95FB8}"/>
    <cellStyle name="40% - Accent1 6 2 4" xfId="20187" xr:uid="{BD61DB3A-B945-411E-9152-219684137A78}"/>
    <cellStyle name="40% - Accent1 6 3" xfId="5380" xr:uid="{00000000-0005-0000-0000-000055040000}"/>
    <cellStyle name="40% - Accent1 6 3 2" xfId="13822" xr:uid="{388FD388-4C4B-42DC-BDE4-3F062212EC66}"/>
    <cellStyle name="40% - Accent1 6 3 3" xfId="22259" xr:uid="{05F8AEF9-8AFE-4CB5-A799-3426A6E28888}"/>
    <cellStyle name="40% - Accent1 6 4" xfId="9604" xr:uid="{4F4FD340-F922-4C49-98D0-640482D7D9C8}"/>
    <cellStyle name="40% - Accent1 6 5" xfId="18042" xr:uid="{4E14E4B8-0724-42F5-840D-E2F48A673A22}"/>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5B4FF4BA-7088-42AB-ACE1-2A2006C651DD}"/>
    <cellStyle name="40% - Accent1 7 2 2 3" xfId="24817" xr:uid="{4F99B0FF-3C57-4BBB-8243-07DAC7C9C57E}"/>
    <cellStyle name="40% - Accent1 7 2 3" xfId="12162" xr:uid="{80A1EF37-1F06-44F5-919D-C6F860AB0288}"/>
    <cellStyle name="40% - Accent1 7 2 4" xfId="20600" xr:uid="{DE22A101-4502-44E9-8875-A9ED15774E62}"/>
    <cellStyle name="40% - Accent1 7 3" xfId="5793" xr:uid="{00000000-0005-0000-0000-000059040000}"/>
    <cellStyle name="40% - Accent1 7 3 2" xfId="14235" xr:uid="{B1571D02-0255-4ACE-8191-840E2F771CD1}"/>
    <cellStyle name="40% - Accent1 7 3 3" xfId="22672" xr:uid="{A552B2AA-93AA-46A8-BE2A-83BEAABD69CB}"/>
    <cellStyle name="40% - Accent1 7 4" xfId="10017" xr:uid="{2E87CC60-E6C6-4CCF-B7D8-8A42DF4781E8}"/>
    <cellStyle name="40% - Accent1 7 5" xfId="18455" xr:uid="{5082E1F2-4D42-4ED8-B7DC-6B856B40ABB1}"/>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88071748-A334-4965-AC4F-FDF99E2428D9}"/>
    <cellStyle name="40% - Accent1 8 2 2 3" xfId="25230" xr:uid="{1ADD86AE-669A-4706-8246-2D650F810BED}"/>
    <cellStyle name="40% - Accent1 8 2 3" xfId="12575" xr:uid="{14D6C9A2-A47C-48F8-91DF-9C90ECFD9C6F}"/>
    <cellStyle name="40% - Accent1 8 2 4" xfId="21013" xr:uid="{81E5A913-F258-4C67-814A-05FD271EFE79}"/>
    <cellStyle name="40% - Accent1 8 3" xfId="6206" xr:uid="{00000000-0005-0000-0000-00005D040000}"/>
    <cellStyle name="40% - Accent1 8 3 2" xfId="14648" xr:uid="{2E768B44-B1BF-4F69-9145-415817E2905D}"/>
    <cellStyle name="40% - Accent1 8 3 3" xfId="23085" xr:uid="{7A2EA6CA-7A02-4B07-B698-411ABE3CB6B2}"/>
    <cellStyle name="40% - Accent1 8 4" xfId="10430" xr:uid="{ED62E6B3-BE7A-4661-87AF-25CEF08E6133}"/>
    <cellStyle name="40% - Accent1 8 5" xfId="18868" xr:uid="{2866C0A7-AD9C-467B-9A2F-4CABFEA883A0}"/>
    <cellStyle name="40% - Accent1 9" xfId="2312" xr:uid="{00000000-0005-0000-0000-00005E040000}"/>
    <cellStyle name="40% - Accent1 9 2" xfId="6619" xr:uid="{00000000-0005-0000-0000-00005F040000}"/>
    <cellStyle name="40% - Accent1 9 2 2" xfId="15061" xr:uid="{0EF08E13-888A-418C-8D68-0FDEEF6A9419}"/>
    <cellStyle name="40% - Accent1 9 2 3" xfId="23498" xr:uid="{29026833-2540-47CC-A0BD-190E712FF739}"/>
    <cellStyle name="40% - Accent1 9 3" xfId="10843" xr:uid="{DE8DA098-41D3-4173-8F06-CB04D688860A}"/>
    <cellStyle name="40% - Accent1 9 4" xfId="19281" xr:uid="{E2737CC5-9EE1-44D0-BBD7-89F0C5B10CC1}"/>
    <cellStyle name="40% - Accent2" xfId="57" builtinId="35" customBuiltin="1"/>
    <cellStyle name="40% - Accent2 10" xfId="4561" xr:uid="{00000000-0005-0000-0000-000061040000}"/>
    <cellStyle name="40% - Accent2 10 2" xfId="13003" xr:uid="{2A1B9945-742D-4AE8-B491-5DF8B48BFABE}"/>
    <cellStyle name="40% - Accent2 10 3" xfId="21440" xr:uid="{2C8B4DD5-DB2D-42F5-A7D9-80AFA483A59F}"/>
    <cellStyle name="40% - Accent2 11" xfId="8785" xr:uid="{D72A1C3A-E5EF-42D1-8014-FF8EA2D0F500}"/>
    <cellStyle name="40% - Accent2 12" xfId="17223" xr:uid="{2764C362-E20C-4B3A-BC0B-6DEBFB173F55}"/>
    <cellStyle name="40% - Accent2 2" xfId="58" xr:uid="{00000000-0005-0000-0000-000062040000}"/>
    <cellStyle name="40% - Accent2 2 10" xfId="8786" xr:uid="{B122D6FA-66FD-4085-BCF6-576C6B7443FA}"/>
    <cellStyle name="40% - Accent2 2 11" xfId="17224" xr:uid="{29F0AF38-715D-4197-BE6E-264090F22110}"/>
    <cellStyle name="40% - Accent2 2 2" xfId="59" xr:uid="{00000000-0005-0000-0000-000063040000}"/>
    <cellStyle name="40% - Accent2 2 2 10" xfId="17225" xr:uid="{C1F3F6A7-CDD1-4D7C-8ACE-D1E022E5DD8B}"/>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433A38A0-0F94-433A-94B9-5CCA4A79F19E}"/>
    <cellStyle name="40% - Accent2 2 2 2 2 2 2 3" xfId="24002" xr:uid="{182BCF19-0E8B-486B-9260-56AC77866295}"/>
    <cellStyle name="40% - Accent2 2 2 2 2 2 3" xfId="11347" xr:uid="{7F1C9C7B-A7A7-47B3-A1BB-CB4A564E7BBA}"/>
    <cellStyle name="40% - Accent2 2 2 2 2 2 4" xfId="19785" xr:uid="{6A81CBCF-94E0-4AFF-8D87-F419876E3523}"/>
    <cellStyle name="40% - Accent2 2 2 2 2 3" xfId="4978" xr:uid="{00000000-0005-0000-0000-000068040000}"/>
    <cellStyle name="40% - Accent2 2 2 2 2 3 2" xfId="13420" xr:uid="{8DA90B5D-5F87-40B4-A214-7957B0AFCE1A}"/>
    <cellStyle name="40% - Accent2 2 2 2 2 3 3" xfId="21857" xr:uid="{D095AA29-78CA-4BA9-9DDB-E99CDD4D7C40}"/>
    <cellStyle name="40% - Accent2 2 2 2 2 4" xfId="9202" xr:uid="{118B1F6B-13A2-45C9-AA16-FC07BA665E7E}"/>
    <cellStyle name="40% - Accent2 2 2 2 2 5" xfId="17640" xr:uid="{AF1956B9-A654-4EB3-AD17-3901E00CA527}"/>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6F6C9029-DB15-457D-BBDF-AC895BA18CCD}"/>
    <cellStyle name="40% - Accent2 2 2 2 3 2 2 3" xfId="24415" xr:uid="{2182B1DC-CA38-40C3-8556-C2A784394CF3}"/>
    <cellStyle name="40% - Accent2 2 2 2 3 2 3" xfId="11760" xr:uid="{70D8B5FE-190A-4D71-8AE4-F6A5FA0F35E5}"/>
    <cellStyle name="40% - Accent2 2 2 2 3 2 4" xfId="20198" xr:uid="{119408C1-741A-4E1B-898E-562415DF14F2}"/>
    <cellStyle name="40% - Accent2 2 2 2 3 3" xfId="5391" xr:uid="{00000000-0005-0000-0000-00006C040000}"/>
    <cellStyle name="40% - Accent2 2 2 2 3 3 2" xfId="13833" xr:uid="{19C29356-85C9-491E-98FE-F5FD6880FECB}"/>
    <cellStyle name="40% - Accent2 2 2 2 3 3 3" xfId="22270" xr:uid="{2FB489B4-308A-4311-9C19-452779904E88}"/>
    <cellStyle name="40% - Accent2 2 2 2 3 4" xfId="9615" xr:uid="{DC1C7D0B-E46B-4F42-818D-08AF1E061306}"/>
    <cellStyle name="40% - Accent2 2 2 2 3 5" xfId="18053" xr:uid="{591F4B62-193B-4114-B47D-0CC0F841DE7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733A866B-70EB-4F40-BEAA-D1C5ABFBDC2D}"/>
    <cellStyle name="40% - Accent2 2 2 2 4 2 2 3" xfId="24828" xr:uid="{601E5A02-0553-4E66-94E2-7DDA453B7DC9}"/>
    <cellStyle name="40% - Accent2 2 2 2 4 2 3" xfId="12173" xr:uid="{CDE1DE2E-8B69-40B8-8AAE-303F43C46237}"/>
    <cellStyle name="40% - Accent2 2 2 2 4 2 4" xfId="20611" xr:uid="{C70B068A-4CE5-41A2-8C2F-78B7CDA8B8D0}"/>
    <cellStyle name="40% - Accent2 2 2 2 4 3" xfId="5804" xr:uid="{00000000-0005-0000-0000-000070040000}"/>
    <cellStyle name="40% - Accent2 2 2 2 4 3 2" xfId="14246" xr:uid="{B9090753-3C34-4D08-B851-A58F247844B2}"/>
    <cellStyle name="40% - Accent2 2 2 2 4 3 3" xfId="22683" xr:uid="{09FBA6DF-343B-4B25-A882-BE369808EDEB}"/>
    <cellStyle name="40% - Accent2 2 2 2 4 4" xfId="10028" xr:uid="{29A077A9-E84F-4FD8-AE39-182813FE48BF}"/>
    <cellStyle name="40% - Accent2 2 2 2 4 5" xfId="18466" xr:uid="{11C093B5-9A7E-41AB-9B34-182AE80BF14D}"/>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AE31817D-62FE-42F0-86EE-EA8CD7DE6003}"/>
    <cellStyle name="40% - Accent2 2 2 2 5 2 2 3" xfId="25241" xr:uid="{3CC74CE5-646C-4C86-B624-2F9F49A02E63}"/>
    <cellStyle name="40% - Accent2 2 2 2 5 2 3" xfId="12586" xr:uid="{202A124B-050B-4D5D-BA82-C5D560CE1887}"/>
    <cellStyle name="40% - Accent2 2 2 2 5 2 4" xfId="21024" xr:uid="{8E4C219E-3688-419B-8ED3-FA220C68A0AE}"/>
    <cellStyle name="40% - Accent2 2 2 2 5 3" xfId="6217" xr:uid="{00000000-0005-0000-0000-000074040000}"/>
    <cellStyle name="40% - Accent2 2 2 2 5 3 2" xfId="14659" xr:uid="{221C92F3-23B8-4C33-B667-1659802D5501}"/>
    <cellStyle name="40% - Accent2 2 2 2 5 3 3" xfId="23096" xr:uid="{6C73F68B-D2A0-4490-B9DD-0D49FC85E83E}"/>
    <cellStyle name="40% - Accent2 2 2 2 5 4" xfId="10441" xr:uid="{1E56DDB2-3A26-4E7F-B042-577561995C88}"/>
    <cellStyle name="40% - Accent2 2 2 2 5 5" xfId="18879" xr:uid="{44AB977A-C1F1-4305-8904-C5410F5C25C5}"/>
    <cellStyle name="40% - Accent2 2 2 2 6" xfId="2323" xr:uid="{00000000-0005-0000-0000-000075040000}"/>
    <cellStyle name="40% - Accent2 2 2 2 6 2" xfId="6630" xr:uid="{00000000-0005-0000-0000-000076040000}"/>
    <cellStyle name="40% - Accent2 2 2 2 6 2 2" xfId="15072" xr:uid="{5DA7E5F8-616F-41DA-AD6D-198A9E9843D2}"/>
    <cellStyle name="40% - Accent2 2 2 2 6 2 3" xfId="23509" xr:uid="{800895E6-CDDD-4571-B7EA-5AA6C195A35F}"/>
    <cellStyle name="40% - Accent2 2 2 2 6 3" xfId="10854" xr:uid="{82E09116-3EDB-43C1-83AE-89255B9475A9}"/>
    <cellStyle name="40% - Accent2 2 2 2 6 4" xfId="19292" xr:uid="{586DAD4B-80ED-4F1D-B1BE-712B03A6216D}"/>
    <cellStyle name="40% - Accent2 2 2 2 7" xfId="4564" xr:uid="{00000000-0005-0000-0000-000077040000}"/>
    <cellStyle name="40% - Accent2 2 2 2 7 2" xfId="13006" xr:uid="{5CEAE081-FDF6-4852-829C-B3C7A3D748D5}"/>
    <cellStyle name="40% - Accent2 2 2 2 7 3" xfId="21443" xr:uid="{B7C94ADF-CFA0-4B62-9A5A-D986FF9C781A}"/>
    <cellStyle name="40% - Accent2 2 2 2 8" xfId="8788" xr:uid="{285F3DD2-AF50-4356-887F-FE741A3AA03A}"/>
    <cellStyle name="40% - Accent2 2 2 2 9" xfId="17226" xr:uid="{2EB14BFB-BB06-45FE-8139-BE1425BB45AB}"/>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8CEBE493-EEDE-45EC-BB0A-B4C8ECFB1756}"/>
    <cellStyle name="40% - Accent2 2 2 3 2 2 3" xfId="24001" xr:uid="{0D537137-7031-4EC4-8823-D03058B83946}"/>
    <cellStyle name="40% - Accent2 2 2 3 2 3" xfId="11346" xr:uid="{2CAC1B86-6ECF-4EE9-A2E8-5FCB55E3B31F}"/>
    <cellStyle name="40% - Accent2 2 2 3 2 4" xfId="19784" xr:uid="{5E6BFF6C-59FE-46FA-9BE6-1E2725CBAC62}"/>
    <cellStyle name="40% - Accent2 2 2 3 3" xfId="4977" xr:uid="{00000000-0005-0000-0000-00007B040000}"/>
    <cellStyle name="40% - Accent2 2 2 3 3 2" xfId="13419" xr:uid="{94B7891E-B73E-424B-9D69-310AA440B320}"/>
    <cellStyle name="40% - Accent2 2 2 3 3 3" xfId="21856" xr:uid="{237120C8-BBC6-4C7C-B234-0FEBA377259F}"/>
    <cellStyle name="40% - Accent2 2 2 3 4" xfId="9201" xr:uid="{03837070-F5AB-4B50-AAAB-58F899FA7D8C}"/>
    <cellStyle name="40% - Accent2 2 2 3 5" xfId="17639" xr:uid="{B5DA44BC-9789-488E-ACAB-730B6F14BCAE}"/>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499CEB0B-87A3-4B03-934E-46C8ACD5FC16}"/>
    <cellStyle name="40% - Accent2 2 2 4 2 2 3" xfId="24414" xr:uid="{3D466739-3AA7-4FB5-B33C-505104732577}"/>
    <cellStyle name="40% - Accent2 2 2 4 2 3" xfId="11759" xr:uid="{DC4E8712-D0AC-48FF-9441-4A616A811F97}"/>
    <cellStyle name="40% - Accent2 2 2 4 2 4" xfId="20197" xr:uid="{3D217D66-54DB-440A-9FB3-57BC07230098}"/>
    <cellStyle name="40% - Accent2 2 2 4 3" xfId="5390" xr:uid="{00000000-0005-0000-0000-00007F040000}"/>
    <cellStyle name="40% - Accent2 2 2 4 3 2" xfId="13832" xr:uid="{08D7827E-084E-4BB0-9C45-4215DBA8F43A}"/>
    <cellStyle name="40% - Accent2 2 2 4 3 3" xfId="22269" xr:uid="{79C270A4-2DB2-4D8E-8378-DB0DC040DA2C}"/>
    <cellStyle name="40% - Accent2 2 2 4 4" xfId="9614" xr:uid="{BBE72624-8700-43D8-BF26-5025EB2F47DF}"/>
    <cellStyle name="40% - Accent2 2 2 4 5" xfId="18052" xr:uid="{C818FEA1-EBCB-450D-9A8D-55C0FA833344}"/>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ABD299AD-3519-44B5-969E-83CE546AB314}"/>
    <cellStyle name="40% - Accent2 2 2 5 2 2 3" xfId="24827" xr:uid="{9056DAFB-6D77-4496-B5D0-753DF7BEA726}"/>
    <cellStyle name="40% - Accent2 2 2 5 2 3" xfId="12172" xr:uid="{E2436EEC-4F17-49CB-8037-559D5AF4FFBC}"/>
    <cellStyle name="40% - Accent2 2 2 5 2 4" xfId="20610" xr:uid="{FF0B82DD-E289-4D19-9BEE-FCD613A993B8}"/>
    <cellStyle name="40% - Accent2 2 2 5 3" xfId="5803" xr:uid="{00000000-0005-0000-0000-000083040000}"/>
    <cellStyle name="40% - Accent2 2 2 5 3 2" xfId="14245" xr:uid="{BAD87D2A-79FA-4ADD-A20C-EE893C08D25C}"/>
    <cellStyle name="40% - Accent2 2 2 5 3 3" xfId="22682" xr:uid="{C63BA1DD-A6FA-4FA8-8B2E-34F0F66F3B39}"/>
    <cellStyle name="40% - Accent2 2 2 5 4" xfId="10027" xr:uid="{6CE32BAB-D76D-42BC-A22F-A7B8E06BE3EB}"/>
    <cellStyle name="40% - Accent2 2 2 5 5" xfId="18465" xr:uid="{E206C31B-32AD-4A8F-9D5B-565CD5679635}"/>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39A6391C-8188-4980-AAE1-A46925AAF01C}"/>
    <cellStyle name="40% - Accent2 2 2 6 2 2 3" xfId="25240" xr:uid="{4C94EFAB-C6A2-45AD-B6C2-AE4C8A3DBC28}"/>
    <cellStyle name="40% - Accent2 2 2 6 2 3" xfId="12585" xr:uid="{29048295-0604-4FA9-AA7C-E48E70B50F35}"/>
    <cellStyle name="40% - Accent2 2 2 6 2 4" xfId="21023" xr:uid="{32135CE8-9914-491C-A4EF-CA4040B6DE9E}"/>
    <cellStyle name="40% - Accent2 2 2 6 3" xfId="6216" xr:uid="{00000000-0005-0000-0000-000087040000}"/>
    <cellStyle name="40% - Accent2 2 2 6 3 2" xfId="14658" xr:uid="{1B4C715F-28AC-4ABD-8154-C5653DED2782}"/>
    <cellStyle name="40% - Accent2 2 2 6 3 3" xfId="23095" xr:uid="{C155C7CF-10B3-41AF-A3AC-F8629AABA710}"/>
    <cellStyle name="40% - Accent2 2 2 6 4" xfId="10440" xr:uid="{2C7E60A5-AF6B-4996-A435-FEE57C97043F}"/>
    <cellStyle name="40% - Accent2 2 2 6 5" xfId="18878" xr:uid="{CE56C61F-AEA5-43A9-A75E-D88D733DC29F}"/>
    <cellStyle name="40% - Accent2 2 2 7" xfId="2322" xr:uid="{00000000-0005-0000-0000-000088040000}"/>
    <cellStyle name="40% - Accent2 2 2 7 2" xfId="6629" xr:uid="{00000000-0005-0000-0000-000089040000}"/>
    <cellStyle name="40% - Accent2 2 2 7 2 2" xfId="15071" xr:uid="{A0777492-B215-4B7C-9B9D-BCBF9D44206C}"/>
    <cellStyle name="40% - Accent2 2 2 7 2 3" xfId="23508" xr:uid="{D09D6B8E-5939-4BF7-98D2-A0C6D5D4483E}"/>
    <cellStyle name="40% - Accent2 2 2 7 3" xfId="10853" xr:uid="{E0B0C394-AA3A-44ED-9137-107E568A8493}"/>
    <cellStyle name="40% - Accent2 2 2 7 4" xfId="19291" xr:uid="{11538D09-7FA1-4094-A9BF-5FB70617E580}"/>
    <cellStyle name="40% - Accent2 2 2 8" xfId="4563" xr:uid="{00000000-0005-0000-0000-00008A040000}"/>
    <cellStyle name="40% - Accent2 2 2 8 2" xfId="13005" xr:uid="{A732F2AA-F5BA-46AD-911A-BAA0709BD892}"/>
    <cellStyle name="40% - Accent2 2 2 8 3" xfId="21442" xr:uid="{D643706A-3DB0-44CD-B9F5-72FBE9D3F378}"/>
    <cellStyle name="40% - Accent2 2 2 9" xfId="8787" xr:uid="{81E0720E-A935-40CB-98CC-0DC59D02B5EC}"/>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A09EC18F-37A6-4E70-AB41-D32578DA3E7A}"/>
    <cellStyle name="40% - Accent2 2 3 2 2 2 3" xfId="24003" xr:uid="{0A7C9653-C1AE-47A6-8514-E37B11C8ECA7}"/>
    <cellStyle name="40% - Accent2 2 3 2 2 3" xfId="11348" xr:uid="{77C13967-B60B-4A1C-AF0B-EA1B8B5974A4}"/>
    <cellStyle name="40% - Accent2 2 3 2 2 4" xfId="19786" xr:uid="{DAE3209A-1893-4ED0-939C-CD500F67EED3}"/>
    <cellStyle name="40% - Accent2 2 3 2 3" xfId="4979" xr:uid="{00000000-0005-0000-0000-00008F040000}"/>
    <cellStyle name="40% - Accent2 2 3 2 3 2" xfId="13421" xr:uid="{7C82C662-3840-4EB5-BFD9-AC97B17C3993}"/>
    <cellStyle name="40% - Accent2 2 3 2 3 3" xfId="21858" xr:uid="{CA0BC0D9-2092-4552-BE47-B614895F0D8B}"/>
    <cellStyle name="40% - Accent2 2 3 2 4" xfId="9203" xr:uid="{8BA4FBBA-FDFD-4D2A-B2A0-ACECB1175448}"/>
    <cellStyle name="40% - Accent2 2 3 2 5" xfId="17641" xr:uid="{D91D72E1-8B8B-473F-BA5C-66780F12665E}"/>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AA798F7E-DAD6-4906-A81C-7437DA4126E2}"/>
    <cellStyle name="40% - Accent2 2 3 3 2 2 3" xfId="24416" xr:uid="{0FB501F4-76B1-4059-A439-CD109CCFC3FF}"/>
    <cellStyle name="40% - Accent2 2 3 3 2 3" xfId="11761" xr:uid="{EE1E43C8-7A08-423C-B2D8-B17D4FCA972E}"/>
    <cellStyle name="40% - Accent2 2 3 3 2 4" xfId="20199" xr:uid="{34A5DDE5-84FC-440A-A818-EFB1D033B31E}"/>
    <cellStyle name="40% - Accent2 2 3 3 3" xfId="5392" xr:uid="{00000000-0005-0000-0000-000093040000}"/>
    <cellStyle name="40% - Accent2 2 3 3 3 2" xfId="13834" xr:uid="{5835DA04-4793-4D35-92B3-F66D2217B6F5}"/>
    <cellStyle name="40% - Accent2 2 3 3 3 3" xfId="22271" xr:uid="{7DF99265-D8EB-48AD-A998-DE663B033CEC}"/>
    <cellStyle name="40% - Accent2 2 3 3 4" xfId="9616" xr:uid="{5F08BCF2-9370-4750-95CD-5C34CB733103}"/>
    <cellStyle name="40% - Accent2 2 3 3 5" xfId="18054" xr:uid="{BA7C64F1-4DAF-4ED5-9665-E9BE074A1DF3}"/>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00E82995-913C-44E5-A18F-9EAFAD23C999}"/>
    <cellStyle name="40% - Accent2 2 3 4 2 2 3" xfId="24829" xr:uid="{602A8679-7115-4C46-9450-FB52376C6FEF}"/>
    <cellStyle name="40% - Accent2 2 3 4 2 3" xfId="12174" xr:uid="{A7FF8F75-23D8-4ADF-A4F1-DE30914E5166}"/>
    <cellStyle name="40% - Accent2 2 3 4 2 4" xfId="20612" xr:uid="{3F9EA40F-6440-48BA-9C5A-C8F79DDD1039}"/>
    <cellStyle name="40% - Accent2 2 3 4 3" xfId="5805" xr:uid="{00000000-0005-0000-0000-000097040000}"/>
    <cellStyle name="40% - Accent2 2 3 4 3 2" xfId="14247" xr:uid="{0F7FEE5A-20BE-496F-A34B-65FC47DF31CD}"/>
    <cellStyle name="40% - Accent2 2 3 4 3 3" xfId="22684" xr:uid="{4ABF06DF-9534-40C4-9AA5-C6E20EC6D7AC}"/>
    <cellStyle name="40% - Accent2 2 3 4 4" xfId="10029" xr:uid="{782CBBBF-DBC9-4615-99A4-25D5DB26E83F}"/>
    <cellStyle name="40% - Accent2 2 3 4 5" xfId="18467" xr:uid="{B8482B4D-ADCB-4260-826A-09AB8CBCA144}"/>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85721608-0905-4BDE-90DF-7FA415F232F2}"/>
    <cellStyle name="40% - Accent2 2 3 5 2 2 3" xfId="25242" xr:uid="{3747FDC4-457B-4D1F-9B3E-6C4B9943A1E6}"/>
    <cellStyle name="40% - Accent2 2 3 5 2 3" xfId="12587" xr:uid="{82AF0B4B-7433-4908-982F-7F35228B3002}"/>
    <cellStyle name="40% - Accent2 2 3 5 2 4" xfId="21025" xr:uid="{419F9CB5-9E24-4133-8EA6-F01CECC2126B}"/>
    <cellStyle name="40% - Accent2 2 3 5 3" xfId="6218" xr:uid="{00000000-0005-0000-0000-00009B040000}"/>
    <cellStyle name="40% - Accent2 2 3 5 3 2" xfId="14660" xr:uid="{0DC00761-922B-4C2A-94EC-5F75A9C59000}"/>
    <cellStyle name="40% - Accent2 2 3 5 3 3" xfId="23097" xr:uid="{F757CB25-44BB-40D4-B57D-52D6A5933A64}"/>
    <cellStyle name="40% - Accent2 2 3 5 4" xfId="10442" xr:uid="{3AC8568F-74D6-45DB-87CD-3E6183BBF917}"/>
    <cellStyle name="40% - Accent2 2 3 5 5" xfId="18880" xr:uid="{FE2557BC-E687-4570-BE39-485BF8ECA207}"/>
    <cellStyle name="40% - Accent2 2 3 6" xfId="2324" xr:uid="{00000000-0005-0000-0000-00009C040000}"/>
    <cellStyle name="40% - Accent2 2 3 6 2" xfId="6631" xr:uid="{00000000-0005-0000-0000-00009D040000}"/>
    <cellStyle name="40% - Accent2 2 3 6 2 2" xfId="15073" xr:uid="{ADA0F199-BDDC-4639-A05E-4CC9DF86305A}"/>
    <cellStyle name="40% - Accent2 2 3 6 2 3" xfId="23510" xr:uid="{9C128644-2940-456A-8D7D-B24E782A52F7}"/>
    <cellStyle name="40% - Accent2 2 3 6 3" xfId="10855" xr:uid="{CD9758A1-A5F9-4428-87DD-39BF84CC7116}"/>
    <cellStyle name="40% - Accent2 2 3 6 4" xfId="19293" xr:uid="{7C5C84DA-FF12-47B0-83F2-B3C78FD09EC5}"/>
    <cellStyle name="40% - Accent2 2 3 7" xfId="4565" xr:uid="{00000000-0005-0000-0000-00009E040000}"/>
    <cellStyle name="40% - Accent2 2 3 7 2" xfId="13007" xr:uid="{B427BC3E-ECC9-4C0B-AA20-7CB195A02364}"/>
    <cellStyle name="40% - Accent2 2 3 7 3" xfId="21444" xr:uid="{598FEC05-E1B6-4E16-8DE0-404BFBC67060}"/>
    <cellStyle name="40% - Accent2 2 3 8" xfId="8789" xr:uid="{8F55519C-CED3-4512-9AD0-DA11DA640F4E}"/>
    <cellStyle name="40% - Accent2 2 3 9" xfId="17227" xr:uid="{5D64BC57-95DF-4B85-A4F5-C4F9B991327E}"/>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BD342849-938E-4813-8173-0728627B2D11}"/>
    <cellStyle name="40% - Accent2 2 4 2 2 3" xfId="24000" xr:uid="{45B75037-3B72-4681-A7FF-821232095EC5}"/>
    <cellStyle name="40% - Accent2 2 4 2 3" xfId="11345" xr:uid="{A1EA9C05-D2B6-4450-A092-CCA4A613816D}"/>
    <cellStyle name="40% - Accent2 2 4 2 4" xfId="19783" xr:uid="{B927CE31-488E-4D22-B2C0-610EBCAAA8F6}"/>
    <cellStyle name="40% - Accent2 2 4 3" xfId="4976" xr:uid="{00000000-0005-0000-0000-0000A2040000}"/>
    <cellStyle name="40% - Accent2 2 4 3 2" xfId="13418" xr:uid="{9AF2AF1E-E5C1-4C10-8F13-E3C6AFFDE776}"/>
    <cellStyle name="40% - Accent2 2 4 3 3" xfId="21855" xr:uid="{1364E667-0676-497D-BC51-9925C5B3D81C}"/>
    <cellStyle name="40% - Accent2 2 4 4" xfId="9200" xr:uid="{2153B041-27C8-4C60-BCE7-11DAA1752C6C}"/>
    <cellStyle name="40% - Accent2 2 4 5" xfId="17638" xr:uid="{41AA4B6E-229B-451B-A199-5DDE1423A01B}"/>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B93DE490-A771-49A8-9AC8-BE634952763E}"/>
    <cellStyle name="40% - Accent2 2 5 2 2 3" xfId="24413" xr:uid="{72EE72FA-E790-4B61-B33A-3C0610832D90}"/>
    <cellStyle name="40% - Accent2 2 5 2 3" xfId="11758" xr:uid="{653993F7-88D9-4313-878C-3C8E20E41FF3}"/>
    <cellStyle name="40% - Accent2 2 5 2 4" xfId="20196" xr:uid="{9408BB06-EFE2-4F2F-B66A-1564C6B194DB}"/>
    <cellStyle name="40% - Accent2 2 5 3" xfId="5389" xr:uid="{00000000-0005-0000-0000-0000A6040000}"/>
    <cellStyle name="40% - Accent2 2 5 3 2" xfId="13831" xr:uid="{BEEAD196-FCC0-443F-AE3F-F72D736A665D}"/>
    <cellStyle name="40% - Accent2 2 5 3 3" xfId="22268" xr:uid="{BF442E84-6335-4657-B158-A4A51D223159}"/>
    <cellStyle name="40% - Accent2 2 5 4" xfId="9613" xr:uid="{08491253-B9D8-434C-8F11-EA409A1D337E}"/>
    <cellStyle name="40% - Accent2 2 5 5" xfId="18051" xr:uid="{E37E7E98-B291-462A-933E-6D73F3AFFF17}"/>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B480DBC1-519D-4D1F-8564-41F02E56900D}"/>
    <cellStyle name="40% - Accent2 2 6 2 2 3" xfId="24826" xr:uid="{146123B1-0AD0-4630-8E74-2B23D9EA2CA2}"/>
    <cellStyle name="40% - Accent2 2 6 2 3" xfId="12171" xr:uid="{FF8BEB90-8A34-46E7-8286-703C4993E62B}"/>
    <cellStyle name="40% - Accent2 2 6 2 4" xfId="20609" xr:uid="{D319E218-8922-4D63-97FD-5A75457C7569}"/>
    <cellStyle name="40% - Accent2 2 6 3" xfId="5802" xr:uid="{00000000-0005-0000-0000-0000AA040000}"/>
    <cellStyle name="40% - Accent2 2 6 3 2" xfId="14244" xr:uid="{9DD363E6-15D7-4936-943D-F8098ACA1532}"/>
    <cellStyle name="40% - Accent2 2 6 3 3" xfId="22681" xr:uid="{79589E3F-A071-4D0B-AC49-AF1BD8608DB0}"/>
    <cellStyle name="40% - Accent2 2 6 4" xfId="10026" xr:uid="{47C88477-DF93-427B-9522-F8E1DD05789A}"/>
    <cellStyle name="40% - Accent2 2 6 5" xfId="18464" xr:uid="{8C3A4846-8704-4224-93B9-424AE5691DBD}"/>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C77DC419-CD51-4E1C-A983-34F8DC67122C}"/>
    <cellStyle name="40% - Accent2 2 7 2 2 3" xfId="25239" xr:uid="{8EAE4FB2-E7CA-433E-A0ED-6431991421B2}"/>
    <cellStyle name="40% - Accent2 2 7 2 3" xfId="12584" xr:uid="{9BE61419-8FCA-40B2-BA7B-8CBC713D187F}"/>
    <cellStyle name="40% - Accent2 2 7 2 4" xfId="21022" xr:uid="{ABE39EC4-F756-4DF5-B77F-3D27C6A587FC}"/>
    <cellStyle name="40% - Accent2 2 7 3" xfId="6215" xr:uid="{00000000-0005-0000-0000-0000AE040000}"/>
    <cellStyle name="40% - Accent2 2 7 3 2" xfId="14657" xr:uid="{47576AEB-0FCD-4AF5-8F45-FF1F01928090}"/>
    <cellStyle name="40% - Accent2 2 7 3 3" xfId="23094" xr:uid="{FC79D5D1-BC03-44BC-9718-8F0544BDF0EE}"/>
    <cellStyle name="40% - Accent2 2 7 4" xfId="10439" xr:uid="{6AA98826-39B9-418A-924C-035A575EACD4}"/>
    <cellStyle name="40% - Accent2 2 7 5" xfId="18877" xr:uid="{48F67485-0D67-43F2-B00B-D9B23F27CCE3}"/>
    <cellStyle name="40% - Accent2 2 8" xfId="2321" xr:uid="{00000000-0005-0000-0000-0000AF040000}"/>
    <cellStyle name="40% - Accent2 2 8 2" xfId="6628" xr:uid="{00000000-0005-0000-0000-0000B0040000}"/>
    <cellStyle name="40% - Accent2 2 8 2 2" xfId="15070" xr:uid="{DC9EEED2-C185-48E8-A133-5D09EFD148A6}"/>
    <cellStyle name="40% - Accent2 2 8 2 3" xfId="23507" xr:uid="{8AF75289-8D1B-472A-9A79-254446C46AAE}"/>
    <cellStyle name="40% - Accent2 2 8 3" xfId="10852" xr:uid="{162E8A23-64BE-4319-9C02-E327FDE8C050}"/>
    <cellStyle name="40% - Accent2 2 8 4" xfId="19290" xr:uid="{65238062-34D4-41F7-8ACC-34FD7D9487E7}"/>
    <cellStyle name="40% - Accent2 2 9" xfId="4562" xr:uid="{00000000-0005-0000-0000-0000B1040000}"/>
    <cellStyle name="40% - Accent2 2 9 2" xfId="13004" xr:uid="{5BF71F2E-7CB6-4A17-B123-152B6AAE5FA7}"/>
    <cellStyle name="40% - Accent2 2 9 3" xfId="21441" xr:uid="{35CC7BA4-1108-48D8-93B9-D6A3BEEB13B6}"/>
    <cellStyle name="40% - Accent2 3" xfId="62" xr:uid="{00000000-0005-0000-0000-0000B2040000}"/>
    <cellStyle name="40% - Accent2 3 10" xfId="17228" xr:uid="{31C452B1-0555-4BF9-9D91-CAD7EE21BA89}"/>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331C953F-F00B-4E96-9559-8DE276743F7B}"/>
    <cellStyle name="40% - Accent2 3 2 2 2 2 3" xfId="24005" xr:uid="{3154DA6C-56F2-4990-9725-4DE4C4092D3A}"/>
    <cellStyle name="40% - Accent2 3 2 2 2 3" xfId="11350" xr:uid="{A359D648-30F7-4BBA-8455-8EFDE4DA5434}"/>
    <cellStyle name="40% - Accent2 3 2 2 2 4" xfId="19788" xr:uid="{877E3AE4-7CD3-4AFA-B5F6-B73E1D50FE13}"/>
    <cellStyle name="40% - Accent2 3 2 2 3" xfId="4981" xr:uid="{00000000-0005-0000-0000-0000B7040000}"/>
    <cellStyle name="40% - Accent2 3 2 2 3 2" xfId="13423" xr:uid="{C6D5EBAE-732A-4BF4-A8AE-1F6E36A5D109}"/>
    <cellStyle name="40% - Accent2 3 2 2 3 3" xfId="21860" xr:uid="{6B47831D-BED9-4662-AB41-43CA18E1436F}"/>
    <cellStyle name="40% - Accent2 3 2 2 4" xfId="9205" xr:uid="{4E20BEE6-9ED6-45DA-A0BE-E7D65333DC9F}"/>
    <cellStyle name="40% - Accent2 3 2 2 5" xfId="17643" xr:uid="{6D33A23B-4BC6-4FB6-8FE8-1F559AA1C7F1}"/>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9D8C8A36-5A04-4DCD-95F6-F8A0226D97CE}"/>
    <cellStyle name="40% - Accent2 3 2 3 2 2 3" xfId="24418" xr:uid="{1339EDB5-68AD-4E4A-A650-5FA760B9D8D4}"/>
    <cellStyle name="40% - Accent2 3 2 3 2 3" xfId="11763" xr:uid="{241E7EFF-3623-4F2B-AE75-B4C57C5C1EF3}"/>
    <cellStyle name="40% - Accent2 3 2 3 2 4" xfId="20201" xr:uid="{CFF2DA65-BB43-487E-93D2-25F0A901EDDB}"/>
    <cellStyle name="40% - Accent2 3 2 3 3" xfId="5394" xr:uid="{00000000-0005-0000-0000-0000BB040000}"/>
    <cellStyle name="40% - Accent2 3 2 3 3 2" xfId="13836" xr:uid="{E933C0A2-6EBA-4FE7-A2D4-96499DC5EB92}"/>
    <cellStyle name="40% - Accent2 3 2 3 3 3" xfId="22273" xr:uid="{DE171F97-DD92-474D-B091-330ECDB09CEE}"/>
    <cellStyle name="40% - Accent2 3 2 3 4" xfId="9618" xr:uid="{0EEE217A-1308-4441-9C96-6B27C3CBA3E2}"/>
    <cellStyle name="40% - Accent2 3 2 3 5" xfId="18056" xr:uid="{30832A1A-4DB1-42EB-A5CD-7C8C4AB0C73D}"/>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CB85B93A-F461-40D7-9525-D32F9EB5ADC9}"/>
    <cellStyle name="40% - Accent2 3 2 4 2 2 3" xfId="24831" xr:uid="{707F58E7-E707-4701-87AB-CF4803D420B0}"/>
    <cellStyle name="40% - Accent2 3 2 4 2 3" xfId="12176" xr:uid="{963E3F6D-77AB-4C1F-A1E5-E6B4D592C4AE}"/>
    <cellStyle name="40% - Accent2 3 2 4 2 4" xfId="20614" xr:uid="{6F229884-F4D0-4271-ADA8-D5E8C1A5E955}"/>
    <cellStyle name="40% - Accent2 3 2 4 3" xfId="5807" xr:uid="{00000000-0005-0000-0000-0000BF040000}"/>
    <cellStyle name="40% - Accent2 3 2 4 3 2" xfId="14249" xr:uid="{A7EB03ED-A733-41CD-BAA6-6E11F51276CB}"/>
    <cellStyle name="40% - Accent2 3 2 4 3 3" xfId="22686" xr:uid="{3412E739-0DA5-4655-B03E-B81B554146E4}"/>
    <cellStyle name="40% - Accent2 3 2 4 4" xfId="10031" xr:uid="{43B56D35-3CE3-4A7B-B90E-24FCD40759E9}"/>
    <cellStyle name="40% - Accent2 3 2 4 5" xfId="18469" xr:uid="{8D86B071-AA42-4A26-8118-95C052020A7D}"/>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882A53AD-827F-4A7C-AA98-B9847C4374E7}"/>
    <cellStyle name="40% - Accent2 3 2 5 2 2 3" xfId="25244" xr:uid="{E870EC45-8E13-42B6-B9B8-8A831D5D6C52}"/>
    <cellStyle name="40% - Accent2 3 2 5 2 3" xfId="12589" xr:uid="{C5F01826-4829-429C-B6A3-2DDB86FB6EEE}"/>
    <cellStyle name="40% - Accent2 3 2 5 2 4" xfId="21027" xr:uid="{53252178-9092-4F5F-B429-8D0978C31E36}"/>
    <cellStyle name="40% - Accent2 3 2 5 3" xfId="6220" xr:uid="{00000000-0005-0000-0000-0000C3040000}"/>
    <cellStyle name="40% - Accent2 3 2 5 3 2" xfId="14662" xr:uid="{BD8472BB-73FE-4BB5-8F1A-389551F08F87}"/>
    <cellStyle name="40% - Accent2 3 2 5 3 3" xfId="23099" xr:uid="{27B35C68-62E8-4BC4-97C2-5B9C21287BA5}"/>
    <cellStyle name="40% - Accent2 3 2 5 4" xfId="10444" xr:uid="{2E750BBD-95F5-46BC-B532-BF55FA5E51FF}"/>
    <cellStyle name="40% - Accent2 3 2 5 5" xfId="18882" xr:uid="{F4F44E2F-107D-44C4-AD07-EBDA8E59FB8C}"/>
    <cellStyle name="40% - Accent2 3 2 6" xfId="2326" xr:uid="{00000000-0005-0000-0000-0000C4040000}"/>
    <cellStyle name="40% - Accent2 3 2 6 2" xfId="6633" xr:uid="{00000000-0005-0000-0000-0000C5040000}"/>
    <cellStyle name="40% - Accent2 3 2 6 2 2" xfId="15075" xr:uid="{63F42D4B-E463-4F20-B2BA-315EEF855ECB}"/>
    <cellStyle name="40% - Accent2 3 2 6 2 3" xfId="23512" xr:uid="{FEEFA08B-F5CE-4AAF-8190-413D810D0340}"/>
    <cellStyle name="40% - Accent2 3 2 6 3" xfId="10857" xr:uid="{DC3308FB-73C0-49BA-A35A-CF3000ADA0DD}"/>
    <cellStyle name="40% - Accent2 3 2 6 4" xfId="19295" xr:uid="{20725A73-B799-4BD2-8906-3925E7B348F0}"/>
    <cellStyle name="40% - Accent2 3 2 7" xfId="4567" xr:uid="{00000000-0005-0000-0000-0000C6040000}"/>
    <cellStyle name="40% - Accent2 3 2 7 2" xfId="13009" xr:uid="{3A73C9C9-E898-4B4D-99C5-0431DE19882B}"/>
    <cellStyle name="40% - Accent2 3 2 7 3" xfId="21446" xr:uid="{EF9446FB-5B2C-4217-A440-E9F9230A2020}"/>
    <cellStyle name="40% - Accent2 3 2 8" xfId="8791" xr:uid="{B037AAB3-DB39-41AD-9C65-A8670A7BF162}"/>
    <cellStyle name="40% - Accent2 3 2 9" xfId="17229" xr:uid="{620970FF-CC07-427E-B8C8-D63E24F97ED9}"/>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579CBE7D-ED2E-4EBC-820A-190B03FBEF31}"/>
    <cellStyle name="40% - Accent2 3 3 2 2 3" xfId="24004" xr:uid="{25A4D92D-188C-4CF0-AA4D-B2720B49C686}"/>
    <cellStyle name="40% - Accent2 3 3 2 3" xfId="11349" xr:uid="{98722473-B710-480F-9D3D-EB9B5B2FEC53}"/>
    <cellStyle name="40% - Accent2 3 3 2 4" xfId="19787" xr:uid="{C884E7AA-B544-4E07-AF67-D996ED0EDE8E}"/>
    <cellStyle name="40% - Accent2 3 3 3" xfId="4980" xr:uid="{00000000-0005-0000-0000-0000CA040000}"/>
    <cellStyle name="40% - Accent2 3 3 3 2" xfId="13422" xr:uid="{84927AD7-8428-4530-9A9B-11B2BC75FCFB}"/>
    <cellStyle name="40% - Accent2 3 3 3 3" xfId="21859" xr:uid="{A5E27BEF-4227-4072-8966-D4350E764935}"/>
    <cellStyle name="40% - Accent2 3 3 4" xfId="9204" xr:uid="{33AA546E-ADBB-4076-8EF3-41C034CE0539}"/>
    <cellStyle name="40% - Accent2 3 3 5" xfId="17642" xr:uid="{02D8FAF7-0C9E-4B86-82DC-0153318FCAFF}"/>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67BB69E2-EC51-4674-BF8A-F3A624A508CA}"/>
    <cellStyle name="40% - Accent2 3 4 2 2 3" xfId="24417" xr:uid="{B6CD0989-7696-4C49-A96B-11DC91B7014E}"/>
    <cellStyle name="40% - Accent2 3 4 2 3" xfId="11762" xr:uid="{2FEAC59E-170D-4DA1-9C1D-E0C99062E9DA}"/>
    <cellStyle name="40% - Accent2 3 4 2 4" xfId="20200" xr:uid="{C7B4874A-AEC6-4983-BFEB-713E82EFA9CF}"/>
    <cellStyle name="40% - Accent2 3 4 3" xfId="5393" xr:uid="{00000000-0005-0000-0000-0000CE040000}"/>
    <cellStyle name="40% - Accent2 3 4 3 2" xfId="13835" xr:uid="{1EEFBEE0-8C89-4A01-B79D-F6500B762E9D}"/>
    <cellStyle name="40% - Accent2 3 4 3 3" xfId="22272" xr:uid="{9844867B-34A9-4DA8-B221-3637A637D625}"/>
    <cellStyle name="40% - Accent2 3 4 4" xfId="9617" xr:uid="{F18E9A4C-A1D3-4755-8501-9E8CC5AB16EA}"/>
    <cellStyle name="40% - Accent2 3 4 5" xfId="18055" xr:uid="{2583EF80-BD53-47C8-9AA3-19F5942706F6}"/>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AF1ED137-F34E-4AF4-9704-40FCE45A8FA6}"/>
    <cellStyle name="40% - Accent2 3 5 2 2 3" xfId="24830" xr:uid="{1E122807-184E-469A-9327-82E57077B804}"/>
    <cellStyle name="40% - Accent2 3 5 2 3" xfId="12175" xr:uid="{BC7BEE86-2CEB-48DF-8B54-294983FA07AC}"/>
    <cellStyle name="40% - Accent2 3 5 2 4" xfId="20613" xr:uid="{9D88FE7B-F670-43FD-B2A5-DD63C280A691}"/>
    <cellStyle name="40% - Accent2 3 5 3" xfId="5806" xr:uid="{00000000-0005-0000-0000-0000D2040000}"/>
    <cellStyle name="40% - Accent2 3 5 3 2" xfId="14248" xr:uid="{C1AA6387-9EAA-495C-B390-44CC5E27324C}"/>
    <cellStyle name="40% - Accent2 3 5 3 3" xfId="22685" xr:uid="{09C34C74-6263-4ECC-8B3B-860DCFEDC0BA}"/>
    <cellStyle name="40% - Accent2 3 5 4" xfId="10030" xr:uid="{B47C6A21-38E6-492B-BDA3-3ECE06DA8014}"/>
    <cellStyle name="40% - Accent2 3 5 5" xfId="18468" xr:uid="{1DD2C543-C69C-40C1-B18A-EAC41FCF20B4}"/>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8D5FAE5D-15E3-4290-A989-E78B446C0000}"/>
    <cellStyle name="40% - Accent2 3 6 2 2 3" xfId="25243" xr:uid="{8E190447-9236-4A73-8C6F-D1C47C96D45C}"/>
    <cellStyle name="40% - Accent2 3 6 2 3" xfId="12588" xr:uid="{CBCC3C8B-8F0A-4D4C-82B8-FF47A68ECF28}"/>
    <cellStyle name="40% - Accent2 3 6 2 4" xfId="21026" xr:uid="{25BD007F-FC94-43C6-B184-34874F622604}"/>
    <cellStyle name="40% - Accent2 3 6 3" xfId="6219" xr:uid="{00000000-0005-0000-0000-0000D6040000}"/>
    <cellStyle name="40% - Accent2 3 6 3 2" xfId="14661" xr:uid="{D6A38A58-D55A-418B-944B-F6F32CB8F3C0}"/>
    <cellStyle name="40% - Accent2 3 6 3 3" xfId="23098" xr:uid="{0081B36B-05C6-429C-BBE0-BAF72B71C1F1}"/>
    <cellStyle name="40% - Accent2 3 6 4" xfId="10443" xr:uid="{CD7BD5BF-A5AC-4FA9-BA66-67DB10A77547}"/>
    <cellStyle name="40% - Accent2 3 6 5" xfId="18881" xr:uid="{C1651241-3BAC-43EC-BEFF-A3AEE72D9F9B}"/>
    <cellStyle name="40% - Accent2 3 7" xfId="2325" xr:uid="{00000000-0005-0000-0000-0000D7040000}"/>
    <cellStyle name="40% - Accent2 3 7 2" xfId="6632" xr:uid="{00000000-0005-0000-0000-0000D8040000}"/>
    <cellStyle name="40% - Accent2 3 7 2 2" xfId="15074" xr:uid="{24947599-726A-413D-A81C-2E1F4D661120}"/>
    <cellStyle name="40% - Accent2 3 7 2 3" xfId="23511" xr:uid="{0204FF8E-3F21-45F3-A8AB-B5A5B7BD2F20}"/>
    <cellStyle name="40% - Accent2 3 7 3" xfId="10856" xr:uid="{E31C6295-577C-4711-9FD3-0AA731E839E9}"/>
    <cellStyle name="40% - Accent2 3 7 4" xfId="19294" xr:uid="{5F977238-B6F6-4970-A6BE-75E6DD271096}"/>
    <cellStyle name="40% - Accent2 3 8" xfId="4566" xr:uid="{00000000-0005-0000-0000-0000D9040000}"/>
    <cellStyle name="40% - Accent2 3 8 2" xfId="13008" xr:uid="{0F83C60A-0A08-4066-889D-D49F16EED0C4}"/>
    <cellStyle name="40% - Accent2 3 8 3" xfId="21445" xr:uid="{A0A576FD-AC25-4F02-860E-B94812D5CB5E}"/>
    <cellStyle name="40% - Accent2 3 9" xfId="8790" xr:uid="{950A5B8B-2EB1-428F-B7B6-715DA13144A5}"/>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A56707B2-EB08-4BAB-BAA4-C206E5836302}"/>
    <cellStyle name="40% - Accent2 4 2 2 2 3" xfId="24006" xr:uid="{E13271E3-AF85-47BD-BC35-55BA00DB8DB9}"/>
    <cellStyle name="40% - Accent2 4 2 2 3" xfId="11351" xr:uid="{E3534F5D-0074-4FE2-8C5A-BFF7707E1AA0}"/>
    <cellStyle name="40% - Accent2 4 2 2 4" xfId="19789" xr:uid="{8B0340B8-74A7-4FEF-BD90-C3CD15C7CB23}"/>
    <cellStyle name="40% - Accent2 4 2 3" xfId="4982" xr:uid="{00000000-0005-0000-0000-0000DE040000}"/>
    <cellStyle name="40% - Accent2 4 2 3 2" xfId="13424" xr:uid="{12A8F7C2-F5D1-4CA7-9EC3-FF14B39E4EC7}"/>
    <cellStyle name="40% - Accent2 4 2 3 3" xfId="21861" xr:uid="{52454411-A992-44F8-ADD0-FF2282F1FFDF}"/>
    <cellStyle name="40% - Accent2 4 2 4" xfId="9206" xr:uid="{EA0DFD41-853A-48CD-BCBC-371744AF84FE}"/>
    <cellStyle name="40% - Accent2 4 2 5" xfId="17644" xr:uid="{F3BCEC19-1D95-45D6-B82A-4A7657031C75}"/>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9129D7A6-F356-41FE-B9FE-5E57047E4D69}"/>
    <cellStyle name="40% - Accent2 4 3 2 2 3" xfId="24419" xr:uid="{97D7A221-E379-443D-97FC-69D2781EC70C}"/>
    <cellStyle name="40% - Accent2 4 3 2 3" xfId="11764" xr:uid="{D6C0AA2A-0273-4D25-8C93-A54E29765E46}"/>
    <cellStyle name="40% - Accent2 4 3 2 4" xfId="20202" xr:uid="{57B18D24-856F-4965-A648-94450B591865}"/>
    <cellStyle name="40% - Accent2 4 3 3" xfId="5395" xr:uid="{00000000-0005-0000-0000-0000E2040000}"/>
    <cellStyle name="40% - Accent2 4 3 3 2" xfId="13837" xr:uid="{D90F965F-1929-47B3-B701-5875358AF622}"/>
    <cellStyle name="40% - Accent2 4 3 3 3" xfId="22274" xr:uid="{66295B88-8D4F-409C-B9E3-2A3E38252A8D}"/>
    <cellStyle name="40% - Accent2 4 3 4" xfId="9619" xr:uid="{2652E4BB-E84C-4FF1-9321-3C08C0F86A37}"/>
    <cellStyle name="40% - Accent2 4 3 5" xfId="18057" xr:uid="{AF362B93-0AC5-4F12-A2BB-810FF0E95E83}"/>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4A75AC17-CD38-4CE8-828B-C849609571C4}"/>
    <cellStyle name="40% - Accent2 4 4 2 2 3" xfId="24832" xr:uid="{EACA303C-DCF7-4FC5-B200-BCD364360FDB}"/>
    <cellStyle name="40% - Accent2 4 4 2 3" xfId="12177" xr:uid="{68ED0DE0-5D04-4B29-9849-303BD374403E}"/>
    <cellStyle name="40% - Accent2 4 4 2 4" xfId="20615" xr:uid="{B091AE70-C84F-4887-913B-FC3C0939F725}"/>
    <cellStyle name="40% - Accent2 4 4 3" xfId="5808" xr:uid="{00000000-0005-0000-0000-0000E6040000}"/>
    <cellStyle name="40% - Accent2 4 4 3 2" xfId="14250" xr:uid="{1F51A623-F310-4B43-8842-3A2C56C51DBF}"/>
    <cellStyle name="40% - Accent2 4 4 3 3" xfId="22687" xr:uid="{8317CD86-7F2C-453E-8343-A5B63E33EF60}"/>
    <cellStyle name="40% - Accent2 4 4 4" xfId="10032" xr:uid="{119ED9D6-9346-4763-AC60-62E50E52DF83}"/>
    <cellStyle name="40% - Accent2 4 4 5" xfId="18470" xr:uid="{DE714E77-BBE7-4D77-B1DC-AD1E99505A52}"/>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B0031D65-A1B8-417B-9973-0C5EAE847D7E}"/>
    <cellStyle name="40% - Accent2 4 5 2 2 3" xfId="25245" xr:uid="{3358079D-5A90-4332-863C-8CD0815C89D3}"/>
    <cellStyle name="40% - Accent2 4 5 2 3" xfId="12590" xr:uid="{FDEF1F56-6EEC-415B-B96B-688AFAC8A67A}"/>
    <cellStyle name="40% - Accent2 4 5 2 4" xfId="21028" xr:uid="{935B63B8-6E57-4A20-A979-A9E312CFFB69}"/>
    <cellStyle name="40% - Accent2 4 5 3" xfId="6221" xr:uid="{00000000-0005-0000-0000-0000EA040000}"/>
    <cellStyle name="40% - Accent2 4 5 3 2" xfId="14663" xr:uid="{7A6CACE8-64F7-43EC-98B0-94F3ED26E001}"/>
    <cellStyle name="40% - Accent2 4 5 3 3" xfId="23100" xr:uid="{EF09362C-58AF-40E5-BE50-FD7A7962B236}"/>
    <cellStyle name="40% - Accent2 4 5 4" xfId="10445" xr:uid="{BEAB58C8-6DF4-44E2-AE27-3FCF14972122}"/>
    <cellStyle name="40% - Accent2 4 5 5" xfId="18883" xr:uid="{1E1E2A95-087D-4C0A-B0AE-8A443A72F268}"/>
    <cellStyle name="40% - Accent2 4 6" xfId="2327" xr:uid="{00000000-0005-0000-0000-0000EB040000}"/>
    <cellStyle name="40% - Accent2 4 6 2" xfId="6634" xr:uid="{00000000-0005-0000-0000-0000EC040000}"/>
    <cellStyle name="40% - Accent2 4 6 2 2" xfId="15076" xr:uid="{634250FE-6CB0-44FB-96E1-EFCB5A23E2C9}"/>
    <cellStyle name="40% - Accent2 4 6 2 3" xfId="23513" xr:uid="{640DCA3E-4C8F-4CD0-B8B7-92DE7E0558B1}"/>
    <cellStyle name="40% - Accent2 4 6 3" xfId="10858" xr:uid="{6CE93C22-D3DD-4A91-B632-3A6AADE57550}"/>
    <cellStyle name="40% - Accent2 4 6 4" xfId="19296" xr:uid="{FFBF4031-4569-4E1A-9BD6-1CFFFDE7F72F}"/>
    <cellStyle name="40% - Accent2 4 7" xfId="4568" xr:uid="{00000000-0005-0000-0000-0000ED040000}"/>
    <cellStyle name="40% - Accent2 4 7 2" xfId="13010" xr:uid="{6EF369CD-12AF-4775-9084-57F210BD78AB}"/>
    <cellStyle name="40% - Accent2 4 7 3" xfId="21447" xr:uid="{6BAA0821-1038-4466-9F23-2F1895A8FCDB}"/>
    <cellStyle name="40% - Accent2 4 8" xfId="8792" xr:uid="{19EB0946-866A-47FE-9B8E-7D6D1748ACD6}"/>
    <cellStyle name="40% - Accent2 4 9" xfId="17230" xr:uid="{C8238956-4918-4A68-B0CB-6E474D17E25F}"/>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2998CEAF-E56B-4DA5-A3F8-55F003018E86}"/>
    <cellStyle name="40% - Accent2 5 2 2 3" xfId="23999" xr:uid="{70DA686C-8557-46A0-9FFF-2609D65B3EF6}"/>
    <cellStyle name="40% - Accent2 5 2 3" xfId="11344" xr:uid="{37D31AEB-BCDE-41F4-B574-08DD03BA27D3}"/>
    <cellStyle name="40% - Accent2 5 2 4" xfId="19782" xr:uid="{F9DE281B-DDE7-4FF1-BB32-215FA45E3AC4}"/>
    <cellStyle name="40% - Accent2 5 3" xfId="4975" xr:uid="{00000000-0005-0000-0000-0000F1040000}"/>
    <cellStyle name="40% - Accent2 5 3 2" xfId="13417" xr:uid="{2C9CAAD9-5654-4E95-9239-A62D71499BC0}"/>
    <cellStyle name="40% - Accent2 5 3 3" xfId="21854" xr:uid="{CB4B11AB-D165-4526-A0DB-A8D482884027}"/>
    <cellStyle name="40% - Accent2 5 4" xfId="9199" xr:uid="{F766CBE6-A540-4D09-A8AC-16425A68E01B}"/>
    <cellStyle name="40% - Accent2 5 5" xfId="17637" xr:uid="{E7596196-17D3-48B2-9F98-D1BC5F3C1827}"/>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31B976A1-5BB4-4172-A0D5-D8CD3935E57D}"/>
    <cellStyle name="40% - Accent2 6 2 2 3" xfId="24412" xr:uid="{3AF0D041-F650-485D-A4E0-2B3BA0A51BB1}"/>
    <cellStyle name="40% - Accent2 6 2 3" xfId="11757" xr:uid="{7B788E1E-4C1A-4992-9AB9-1A8C177D25D2}"/>
    <cellStyle name="40% - Accent2 6 2 4" xfId="20195" xr:uid="{8C8DE44B-E0C4-4105-B37C-BAF447D57E0D}"/>
    <cellStyle name="40% - Accent2 6 3" xfId="5388" xr:uid="{00000000-0005-0000-0000-0000F5040000}"/>
    <cellStyle name="40% - Accent2 6 3 2" xfId="13830" xr:uid="{80E3086B-EA8F-4177-8C3F-CF0308DA4FA6}"/>
    <cellStyle name="40% - Accent2 6 3 3" xfId="22267" xr:uid="{D8942423-6158-47B6-B168-143378C1E269}"/>
    <cellStyle name="40% - Accent2 6 4" xfId="9612" xr:uid="{2D6FB415-142F-4007-AF18-6AAE8D46F99D}"/>
    <cellStyle name="40% - Accent2 6 5" xfId="18050" xr:uid="{769FFE00-98C3-456C-82E5-13EDEB0FB16F}"/>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9AB06F9E-7986-4794-B9F4-54893676E8F9}"/>
    <cellStyle name="40% - Accent2 7 2 2 3" xfId="24825" xr:uid="{C36BAA87-FE57-42AD-8B56-FC82A84A4894}"/>
    <cellStyle name="40% - Accent2 7 2 3" xfId="12170" xr:uid="{93A71221-017D-486D-86D3-6A21F1A2D2DA}"/>
    <cellStyle name="40% - Accent2 7 2 4" xfId="20608" xr:uid="{CF05C03D-E4A2-4EF1-9EB9-FB0113B24B18}"/>
    <cellStyle name="40% - Accent2 7 3" xfId="5801" xr:uid="{00000000-0005-0000-0000-0000F9040000}"/>
    <cellStyle name="40% - Accent2 7 3 2" xfId="14243" xr:uid="{92F1296A-B0EF-4968-AED1-C40D88708475}"/>
    <cellStyle name="40% - Accent2 7 3 3" xfId="22680" xr:uid="{3B5DE9C2-6040-435D-99B2-E9A914AF0D2E}"/>
    <cellStyle name="40% - Accent2 7 4" xfId="10025" xr:uid="{2E0A83E9-C9DA-47A7-9418-388BF4EFCD19}"/>
    <cellStyle name="40% - Accent2 7 5" xfId="18463" xr:uid="{14BB3E69-ECD8-4EEA-9BFB-27478B30D505}"/>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FCC9A3C4-D93F-4271-8D83-FC1DB9EE050E}"/>
    <cellStyle name="40% - Accent2 8 2 2 3" xfId="25238" xr:uid="{0009404C-9204-4078-8386-2E25A891F486}"/>
    <cellStyle name="40% - Accent2 8 2 3" xfId="12583" xr:uid="{20D26AD2-6241-4499-8B1A-E6DA24174A29}"/>
    <cellStyle name="40% - Accent2 8 2 4" xfId="21021" xr:uid="{071BC0DF-D78C-470A-80AB-67CFF1AFF5CA}"/>
    <cellStyle name="40% - Accent2 8 3" xfId="6214" xr:uid="{00000000-0005-0000-0000-0000FD040000}"/>
    <cellStyle name="40% - Accent2 8 3 2" xfId="14656" xr:uid="{91B65156-AD23-4693-AEE4-90A5C9388DD4}"/>
    <cellStyle name="40% - Accent2 8 3 3" xfId="23093" xr:uid="{2F5BFEFB-6104-40B9-9D31-F7F9D758EE43}"/>
    <cellStyle name="40% - Accent2 8 4" xfId="10438" xr:uid="{3541F13F-AF91-4F7E-BFAB-21FF53699F06}"/>
    <cellStyle name="40% - Accent2 8 5" xfId="18876" xr:uid="{10137C06-F22C-468D-952D-7AAC12B6382A}"/>
    <cellStyle name="40% - Accent2 9" xfId="2320" xr:uid="{00000000-0005-0000-0000-0000FE040000}"/>
    <cellStyle name="40% - Accent2 9 2" xfId="6627" xr:uid="{00000000-0005-0000-0000-0000FF040000}"/>
    <cellStyle name="40% - Accent2 9 2 2" xfId="15069" xr:uid="{6A9BBFBA-920F-437D-A9C7-5FD3D1281B61}"/>
    <cellStyle name="40% - Accent2 9 2 3" xfId="23506" xr:uid="{614264FE-525E-4F94-B03F-B5176BC8AF57}"/>
    <cellStyle name="40% - Accent2 9 3" xfId="10851" xr:uid="{538482B8-413B-48AF-97C7-CA8ADEA67B8E}"/>
    <cellStyle name="40% - Accent2 9 4" xfId="19289" xr:uid="{03559B4B-A70C-4FC3-B557-710001DBC2CF}"/>
    <cellStyle name="40% - Accent3" xfId="65" builtinId="39" customBuiltin="1"/>
    <cellStyle name="40% - Accent3 10" xfId="4569" xr:uid="{00000000-0005-0000-0000-000001050000}"/>
    <cellStyle name="40% - Accent3 10 2" xfId="13011" xr:uid="{923272FC-F5AE-4496-89C6-54BCDA17EF56}"/>
    <cellStyle name="40% - Accent3 10 3" xfId="21448" xr:uid="{F7CBF5B4-1B41-44C5-BD87-D1585A43B1BD}"/>
    <cellStyle name="40% - Accent3 11" xfId="8793" xr:uid="{10D1AB7C-3BCA-48CD-8054-0CDEF2E7F7C2}"/>
    <cellStyle name="40% - Accent3 12" xfId="17231" xr:uid="{A257681B-DE82-4CCE-A64E-6D75D550488E}"/>
    <cellStyle name="40% - Accent3 2" xfId="66" xr:uid="{00000000-0005-0000-0000-000002050000}"/>
    <cellStyle name="40% - Accent3 2 10" xfId="8794" xr:uid="{54D1C8AD-D8B6-48DA-A724-C954130428F3}"/>
    <cellStyle name="40% - Accent3 2 11" xfId="17232" xr:uid="{257A73E8-D855-4E89-BB38-8B2B757681AC}"/>
    <cellStyle name="40% - Accent3 2 2" xfId="67" xr:uid="{00000000-0005-0000-0000-000003050000}"/>
    <cellStyle name="40% - Accent3 2 2 10" xfId="17233" xr:uid="{7E926B54-8CFB-4A03-B799-C27C50BBCAAC}"/>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7667E68C-DC56-478A-93AA-EDB09203E2CD}"/>
    <cellStyle name="40% - Accent3 2 2 2 2 2 2 3" xfId="24010" xr:uid="{A2A06732-9AC7-40A9-9B74-110638CEBCAE}"/>
    <cellStyle name="40% - Accent3 2 2 2 2 2 3" xfId="11355" xr:uid="{3CFA4880-41E9-4991-BF5C-1CD97872554D}"/>
    <cellStyle name="40% - Accent3 2 2 2 2 2 4" xfId="19793" xr:uid="{09A6ABA0-D156-4309-A913-7677ED60931B}"/>
    <cellStyle name="40% - Accent3 2 2 2 2 3" xfId="4986" xr:uid="{00000000-0005-0000-0000-000008050000}"/>
    <cellStyle name="40% - Accent3 2 2 2 2 3 2" xfId="13428" xr:uid="{A3AB89A3-F7DB-4F5E-B940-5C3499B2CCBF}"/>
    <cellStyle name="40% - Accent3 2 2 2 2 3 3" xfId="21865" xr:uid="{589C410E-FA25-40BD-A8D3-97A5971D5792}"/>
    <cellStyle name="40% - Accent3 2 2 2 2 4" xfId="9210" xr:uid="{C06B42A1-C1D2-4214-96F9-205C554EB920}"/>
    <cellStyle name="40% - Accent3 2 2 2 2 5" xfId="17648" xr:uid="{1A98FF94-B483-4B1F-818F-40CBD3E713FD}"/>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C305335C-1BDB-47AE-ABFD-0B67227B7CA5}"/>
    <cellStyle name="40% - Accent3 2 2 2 3 2 2 3" xfId="24423" xr:uid="{92259E83-E246-48B8-83EC-89C6DD4CE684}"/>
    <cellStyle name="40% - Accent3 2 2 2 3 2 3" xfId="11768" xr:uid="{B89BD78A-7717-49AB-B06E-07DEE33E3B5F}"/>
    <cellStyle name="40% - Accent3 2 2 2 3 2 4" xfId="20206" xr:uid="{EF6691B3-FCFA-41DC-8C1B-AE299E3CED8A}"/>
    <cellStyle name="40% - Accent3 2 2 2 3 3" xfId="5399" xr:uid="{00000000-0005-0000-0000-00000C050000}"/>
    <cellStyle name="40% - Accent3 2 2 2 3 3 2" xfId="13841" xr:uid="{DAA69328-25D6-414C-BB47-35D473C76A23}"/>
    <cellStyle name="40% - Accent3 2 2 2 3 3 3" xfId="22278" xr:uid="{7BD8F819-BD8F-4F0E-8878-75E5C1688FEC}"/>
    <cellStyle name="40% - Accent3 2 2 2 3 4" xfId="9623" xr:uid="{DFE873F7-DD5C-4796-AA65-3EA143664B9E}"/>
    <cellStyle name="40% - Accent3 2 2 2 3 5" xfId="18061" xr:uid="{35A5350E-A4FB-4112-9CCB-2A71A79FAF5A}"/>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2C6FBE1A-E7FB-44E2-9B5F-F4176C85F57F}"/>
    <cellStyle name="40% - Accent3 2 2 2 4 2 2 3" xfId="24836" xr:uid="{89342F77-A962-4B52-A8AB-584CCEBFCA1B}"/>
    <cellStyle name="40% - Accent3 2 2 2 4 2 3" xfId="12181" xr:uid="{A8875DFC-9D29-4196-95E0-4BB6CF035E0F}"/>
    <cellStyle name="40% - Accent3 2 2 2 4 2 4" xfId="20619" xr:uid="{43F2EDC3-1E7B-4D6E-AB7E-1926B62D833D}"/>
    <cellStyle name="40% - Accent3 2 2 2 4 3" xfId="5812" xr:uid="{00000000-0005-0000-0000-000010050000}"/>
    <cellStyle name="40% - Accent3 2 2 2 4 3 2" xfId="14254" xr:uid="{6486D07B-D7EF-4E18-9F57-EBDEF56347B7}"/>
    <cellStyle name="40% - Accent3 2 2 2 4 3 3" xfId="22691" xr:uid="{AD6E812B-0478-4ACD-BC3B-0442966F0137}"/>
    <cellStyle name="40% - Accent3 2 2 2 4 4" xfId="10036" xr:uid="{04D80B12-2E32-4FBD-834D-FDFD74EA0E52}"/>
    <cellStyle name="40% - Accent3 2 2 2 4 5" xfId="18474" xr:uid="{27550B71-86B9-453F-8DF9-DF8FC8E73F55}"/>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66A421D5-144C-40A3-B038-415AB18B2221}"/>
    <cellStyle name="40% - Accent3 2 2 2 5 2 2 3" xfId="25249" xr:uid="{5B88BC26-79E2-4FD6-A49D-E21F27509404}"/>
    <cellStyle name="40% - Accent3 2 2 2 5 2 3" xfId="12594" xr:uid="{05F67B85-1D25-41F3-8B8F-FB9D34FED0AA}"/>
    <cellStyle name="40% - Accent3 2 2 2 5 2 4" xfId="21032" xr:uid="{955ABC7C-A937-4298-8F44-28BE620EE7D0}"/>
    <cellStyle name="40% - Accent3 2 2 2 5 3" xfId="6225" xr:uid="{00000000-0005-0000-0000-000014050000}"/>
    <cellStyle name="40% - Accent3 2 2 2 5 3 2" xfId="14667" xr:uid="{F159630C-533B-4AB7-B995-5D0E9CEBCC2D}"/>
    <cellStyle name="40% - Accent3 2 2 2 5 3 3" xfId="23104" xr:uid="{C0DC1341-9BB6-4280-91B7-A2C655331DEE}"/>
    <cellStyle name="40% - Accent3 2 2 2 5 4" xfId="10449" xr:uid="{022FD9FB-499C-4EA8-9DF3-E51419C994E8}"/>
    <cellStyle name="40% - Accent3 2 2 2 5 5" xfId="18887" xr:uid="{D00C2548-E74B-44A2-A777-2FC3EFE63F2E}"/>
    <cellStyle name="40% - Accent3 2 2 2 6" xfId="2331" xr:uid="{00000000-0005-0000-0000-000015050000}"/>
    <cellStyle name="40% - Accent3 2 2 2 6 2" xfId="6638" xr:uid="{00000000-0005-0000-0000-000016050000}"/>
    <cellStyle name="40% - Accent3 2 2 2 6 2 2" xfId="15080" xr:uid="{717ED31E-1F87-4BB5-B94A-BAD00A71E0D8}"/>
    <cellStyle name="40% - Accent3 2 2 2 6 2 3" xfId="23517" xr:uid="{4DAA919F-C14A-4F73-BCAE-0C0650A52E41}"/>
    <cellStyle name="40% - Accent3 2 2 2 6 3" xfId="10862" xr:uid="{C383C1C1-169E-4ADD-94BF-BEC3A69CEA55}"/>
    <cellStyle name="40% - Accent3 2 2 2 6 4" xfId="19300" xr:uid="{6BBA7355-637A-4661-8488-0093DC885F64}"/>
    <cellStyle name="40% - Accent3 2 2 2 7" xfId="4572" xr:uid="{00000000-0005-0000-0000-000017050000}"/>
    <cellStyle name="40% - Accent3 2 2 2 7 2" xfId="13014" xr:uid="{E51389A0-324A-4070-85AC-38B3CFE9D7DE}"/>
    <cellStyle name="40% - Accent3 2 2 2 7 3" xfId="21451" xr:uid="{1EDE91CC-6DDA-476D-9BD5-CE201D53482C}"/>
    <cellStyle name="40% - Accent3 2 2 2 8" xfId="8796" xr:uid="{8953E1A0-F532-4729-ACBC-D2F0BD83E5FB}"/>
    <cellStyle name="40% - Accent3 2 2 2 9" xfId="17234" xr:uid="{92A1B6FB-88C7-45FC-B5E1-A6E0A631901C}"/>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94D77EB5-6E7B-4ACC-A778-E358647D3FCB}"/>
    <cellStyle name="40% - Accent3 2 2 3 2 2 3" xfId="24009" xr:uid="{FCF5EA80-ED67-4526-849D-52F94C76F5A7}"/>
    <cellStyle name="40% - Accent3 2 2 3 2 3" xfId="11354" xr:uid="{BB849AFA-E17C-4867-AD21-5402082C1942}"/>
    <cellStyle name="40% - Accent3 2 2 3 2 4" xfId="19792" xr:uid="{983B8F22-643B-4FC0-85B7-4655234533D7}"/>
    <cellStyle name="40% - Accent3 2 2 3 3" xfId="4985" xr:uid="{00000000-0005-0000-0000-00001B050000}"/>
    <cellStyle name="40% - Accent3 2 2 3 3 2" xfId="13427" xr:uid="{440A81E7-DB8A-47EF-ACEC-ED463440F1B1}"/>
    <cellStyle name="40% - Accent3 2 2 3 3 3" xfId="21864" xr:uid="{39C2B828-5E6E-49B8-8A48-8F2F224259CA}"/>
    <cellStyle name="40% - Accent3 2 2 3 4" xfId="9209" xr:uid="{9F843F48-7243-437D-9975-4CAB6A01246C}"/>
    <cellStyle name="40% - Accent3 2 2 3 5" xfId="17647" xr:uid="{3FAF62B7-07BF-4C35-9C2B-29D9E55FAABC}"/>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ED4E6020-40A2-4136-8F29-03DDD3445155}"/>
    <cellStyle name="40% - Accent3 2 2 4 2 2 3" xfId="24422" xr:uid="{B8DCD8F3-83C6-425D-BBE2-C00639AD1FC5}"/>
    <cellStyle name="40% - Accent3 2 2 4 2 3" xfId="11767" xr:uid="{08C721AA-CBFF-435F-A6D7-D5CD2A0971CE}"/>
    <cellStyle name="40% - Accent3 2 2 4 2 4" xfId="20205" xr:uid="{DB24E67C-1D67-4EC6-A02A-86EAB31AC1E2}"/>
    <cellStyle name="40% - Accent3 2 2 4 3" xfId="5398" xr:uid="{00000000-0005-0000-0000-00001F050000}"/>
    <cellStyle name="40% - Accent3 2 2 4 3 2" xfId="13840" xr:uid="{30F92C07-B404-40A1-A385-48B6E8425E11}"/>
    <cellStyle name="40% - Accent3 2 2 4 3 3" xfId="22277" xr:uid="{D0D71718-C9D0-4453-9641-F0824629A96D}"/>
    <cellStyle name="40% - Accent3 2 2 4 4" xfId="9622" xr:uid="{677B710C-6C72-4806-91FF-75F45E60522F}"/>
    <cellStyle name="40% - Accent3 2 2 4 5" xfId="18060" xr:uid="{B507BFBD-0EFC-4C1B-8D5E-809D72F4781D}"/>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9D98D9C7-E421-4E89-86C4-19067633343D}"/>
    <cellStyle name="40% - Accent3 2 2 5 2 2 3" xfId="24835" xr:uid="{D5436E37-2FC4-43D7-A167-159B89B6BE72}"/>
    <cellStyle name="40% - Accent3 2 2 5 2 3" xfId="12180" xr:uid="{046E5B5F-E79E-49B3-BCCC-1276751B174B}"/>
    <cellStyle name="40% - Accent3 2 2 5 2 4" xfId="20618" xr:uid="{6E85E472-D137-4C09-BDFD-5595EDFCFA91}"/>
    <cellStyle name="40% - Accent3 2 2 5 3" xfId="5811" xr:uid="{00000000-0005-0000-0000-000023050000}"/>
    <cellStyle name="40% - Accent3 2 2 5 3 2" xfId="14253" xr:uid="{9872D494-1F99-4FE2-B853-A12CEA8C81C4}"/>
    <cellStyle name="40% - Accent3 2 2 5 3 3" xfId="22690" xr:uid="{BE7B7727-156C-4D52-AFE0-1678D188ACC0}"/>
    <cellStyle name="40% - Accent3 2 2 5 4" xfId="10035" xr:uid="{F9A030EE-6F92-40CE-9EA2-D39C7B391074}"/>
    <cellStyle name="40% - Accent3 2 2 5 5" xfId="18473" xr:uid="{8B8AFD64-C917-4878-89E1-590F7B3BCD31}"/>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3FC5A0D0-D4E9-4CFE-91D6-8156019709B0}"/>
    <cellStyle name="40% - Accent3 2 2 6 2 2 3" xfId="25248" xr:uid="{2F837A79-C348-4F21-BCF5-28C477305C06}"/>
    <cellStyle name="40% - Accent3 2 2 6 2 3" xfId="12593" xr:uid="{4BF84FA1-4249-4815-BD1A-FE1D86951043}"/>
    <cellStyle name="40% - Accent3 2 2 6 2 4" xfId="21031" xr:uid="{2EF655D3-EED6-41E3-B9EE-5498BE4A3F7C}"/>
    <cellStyle name="40% - Accent3 2 2 6 3" xfId="6224" xr:uid="{00000000-0005-0000-0000-000027050000}"/>
    <cellStyle name="40% - Accent3 2 2 6 3 2" xfId="14666" xr:uid="{AB669D3C-9771-4B04-9FAB-0FC125225713}"/>
    <cellStyle name="40% - Accent3 2 2 6 3 3" xfId="23103" xr:uid="{7D72971C-72F8-4E64-BCEF-1E7F183DBC63}"/>
    <cellStyle name="40% - Accent3 2 2 6 4" xfId="10448" xr:uid="{2E5B58E2-7D15-492B-B7D1-A876FBB42CF6}"/>
    <cellStyle name="40% - Accent3 2 2 6 5" xfId="18886" xr:uid="{61422200-1AF0-460D-AED1-789D559DD64B}"/>
    <cellStyle name="40% - Accent3 2 2 7" xfId="2330" xr:uid="{00000000-0005-0000-0000-000028050000}"/>
    <cellStyle name="40% - Accent3 2 2 7 2" xfId="6637" xr:uid="{00000000-0005-0000-0000-000029050000}"/>
    <cellStyle name="40% - Accent3 2 2 7 2 2" xfId="15079" xr:uid="{7A23DEF8-FCAE-4914-BDBC-68C677165361}"/>
    <cellStyle name="40% - Accent3 2 2 7 2 3" xfId="23516" xr:uid="{9B0014E1-2C11-45E1-B472-AC52BC2BF3B6}"/>
    <cellStyle name="40% - Accent3 2 2 7 3" xfId="10861" xr:uid="{DAE61BA0-98EC-4D79-81A5-435CD5E55D33}"/>
    <cellStyle name="40% - Accent3 2 2 7 4" xfId="19299" xr:uid="{9AFDEE00-D534-4BBD-B468-B8AAFA1FFD20}"/>
    <cellStyle name="40% - Accent3 2 2 8" xfId="4571" xr:uid="{00000000-0005-0000-0000-00002A050000}"/>
    <cellStyle name="40% - Accent3 2 2 8 2" xfId="13013" xr:uid="{5D90DC9C-D19C-4A11-943B-01B7A79CA378}"/>
    <cellStyle name="40% - Accent3 2 2 8 3" xfId="21450" xr:uid="{84C8B5F2-7F16-4EB3-AC0F-10C32ED60D52}"/>
    <cellStyle name="40% - Accent3 2 2 9" xfId="8795" xr:uid="{50453BB8-F8E8-49F4-A85A-75E776CD24E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4D259A4E-CB7A-4108-81F2-FACDD8A25278}"/>
    <cellStyle name="40% - Accent3 2 3 2 2 2 3" xfId="24011" xr:uid="{E4D4287B-5741-4CE5-B845-10C707CD845D}"/>
    <cellStyle name="40% - Accent3 2 3 2 2 3" xfId="11356" xr:uid="{7DB1DC94-6247-4B35-B29A-8A665A3D3F16}"/>
    <cellStyle name="40% - Accent3 2 3 2 2 4" xfId="19794" xr:uid="{95EBF8FB-8C9A-4870-BFE9-AE35512EF3EE}"/>
    <cellStyle name="40% - Accent3 2 3 2 3" xfId="4987" xr:uid="{00000000-0005-0000-0000-00002F050000}"/>
    <cellStyle name="40% - Accent3 2 3 2 3 2" xfId="13429" xr:uid="{ADACD065-A4D0-444F-868A-68ACCDEBAB37}"/>
    <cellStyle name="40% - Accent3 2 3 2 3 3" xfId="21866" xr:uid="{304CF2FE-DC9B-49C8-9EAD-FA02D889F14E}"/>
    <cellStyle name="40% - Accent3 2 3 2 4" xfId="9211" xr:uid="{D0C487E0-48EB-40AB-836D-0E07804C79CB}"/>
    <cellStyle name="40% - Accent3 2 3 2 5" xfId="17649" xr:uid="{228F4C0E-B8F6-4003-B563-8AE27829D3E6}"/>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2FF1E2C9-2679-4893-B2D7-9CA938D373B5}"/>
    <cellStyle name="40% - Accent3 2 3 3 2 2 3" xfId="24424" xr:uid="{27474B47-532B-4DB7-8CA9-F0BA63CAADE6}"/>
    <cellStyle name="40% - Accent3 2 3 3 2 3" xfId="11769" xr:uid="{0119BB67-E9A3-4B97-A439-4C61FFE7E7EB}"/>
    <cellStyle name="40% - Accent3 2 3 3 2 4" xfId="20207" xr:uid="{AC33CAEE-669C-4EDA-A372-235C2FC02A8C}"/>
    <cellStyle name="40% - Accent3 2 3 3 3" xfId="5400" xr:uid="{00000000-0005-0000-0000-000033050000}"/>
    <cellStyle name="40% - Accent3 2 3 3 3 2" xfId="13842" xr:uid="{0B013DBE-12CE-4AC1-8308-59512EFD7769}"/>
    <cellStyle name="40% - Accent3 2 3 3 3 3" xfId="22279" xr:uid="{B1C7D7BD-CFF4-420B-9113-71E5DBA34BE7}"/>
    <cellStyle name="40% - Accent3 2 3 3 4" xfId="9624" xr:uid="{EDB6CB1D-8993-47DD-AD0C-89A68FA398F6}"/>
    <cellStyle name="40% - Accent3 2 3 3 5" xfId="18062" xr:uid="{3A27BEBF-380D-439A-AB6F-D187F90EBADF}"/>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7B0F62EC-31E7-433A-AFA1-2E6F97F2A726}"/>
    <cellStyle name="40% - Accent3 2 3 4 2 2 3" xfId="24837" xr:uid="{5A477B2A-ED86-4040-8D4F-4D38C2F354C9}"/>
    <cellStyle name="40% - Accent3 2 3 4 2 3" xfId="12182" xr:uid="{7A5C53C0-7ECC-41B0-970E-4A0AB48517CC}"/>
    <cellStyle name="40% - Accent3 2 3 4 2 4" xfId="20620" xr:uid="{7E3F21D3-FCE7-4421-A38F-A6B482AFD08A}"/>
    <cellStyle name="40% - Accent3 2 3 4 3" xfId="5813" xr:uid="{00000000-0005-0000-0000-000037050000}"/>
    <cellStyle name="40% - Accent3 2 3 4 3 2" xfId="14255" xr:uid="{82279D77-00B9-4102-AB5C-562F0D8BD998}"/>
    <cellStyle name="40% - Accent3 2 3 4 3 3" xfId="22692" xr:uid="{9766D1FA-F3FC-4C03-B2DB-A5A5DF917FF1}"/>
    <cellStyle name="40% - Accent3 2 3 4 4" xfId="10037" xr:uid="{4D9E88F7-7461-40D5-9C62-DDAF23564315}"/>
    <cellStyle name="40% - Accent3 2 3 4 5" xfId="18475" xr:uid="{9FC6FFB9-5269-4804-8F31-B6EEE88F391B}"/>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FBCCC2FD-F188-4A68-B4FE-524D6440B6A2}"/>
    <cellStyle name="40% - Accent3 2 3 5 2 2 3" xfId="25250" xr:uid="{060542C4-0271-4177-B9DA-C992B943C388}"/>
    <cellStyle name="40% - Accent3 2 3 5 2 3" xfId="12595" xr:uid="{AC62A5D5-27D2-49E7-A6ED-66AA1D443619}"/>
    <cellStyle name="40% - Accent3 2 3 5 2 4" xfId="21033" xr:uid="{D1112219-DB91-4E86-9B6A-33492D28BE7F}"/>
    <cellStyle name="40% - Accent3 2 3 5 3" xfId="6226" xr:uid="{00000000-0005-0000-0000-00003B050000}"/>
    <cellStyle name="40% - Accent3 2 3 5 3 2" xfId="14668" xr:uid="{13D07030-6E12-4298-9860-6786F4D66C0E}"/>
    <cellStyle name="40% - Accent3 2 3 5 3 3" xfId="23105" xr:uid="{CFC87C3E-72D4-4F4C-A7D7-D439ABCA3E16}"/>
    <cellStyle name="40% - Accent3 2 3 5 4" xfId="10450" xr:uid="{028D60E6-7D74-4FAA-B278-939CA8E5C29C}"/>
    <cellStyle name="40% - Accent3 2 3 5 5" xfId="18888" xr:uid="{BFD534A4-FBBE-4FE0-B007-3B2E2BF14421}"/>
    <cellStyle name="40% - Accent3 2 3 6" xfId="2332" xr:uid="{00000000-0005-0000-0000-00003C050000}"/>
    <cellStyle name="40% - Accent3 2 3 6 2" xfId="6639" xr:uid="{00000000-0005-0000-0000-00003D050000}"/>
    <cellStyle name="40% - Accent3 2 3 6 2 2" xfId="15081" xr:uid="{43CE1324-8C1A-4CD3-BEBC-0F640EDA061F}"/>
    <cellStyle name="40% - Accent3 2 3 6 2 3" xfId="23518" xr:uid="{E3E15365-C5CB-4FF5-8B19-93A7D6E60FA1}"/>
    <cellStyle name="40% - Accent3 2 3 6 3" xfId="10863" xr:uid="{F903C66A-7053-485D-9B6D-8575FAEBB1F9}"/>
    <cellStyle name="40% - Accent3 2 3 6 4" xfId="19301" xr:uid="{C7051257-520D-4230-9BDB-BB72D1E521FD}"/>
    <cellStyle name="40% - Accent3 2 3 7" xfId="4573" xr:uid="{00000000-0005-0000-0000-00003E050000}"/>
    <cellStyle name="40% - Accent3 2 3 7 2" xfId="13015" xr:uid="{6DDB7FBE-C0D0-4A0A-9725-CB9B8021A91E}"/>
    <cellStyle name="40% - Accent3 2 3 7 3" xfId="21452" xr:uid="{67538AFA-5500-4907-B0FF-BA0B73005E99}"/>
    <cellStyle name="40% - Accent3 2 3 8" xfId="8797" xr:uid="{8A161B5F-B4DB-484E-9ADA-5A57094FA044}"/>
    <cellStyle name="40% - Accent3 2 3 9" xfId="17235" xr:uid="{35BA3465-20C4-4F8B-ABE8-60E5E17A5FF2}"/>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34CC9585-3A49-40AE-993E-C157707DD2EA}"/>
    <cellStyle name="40% - Accent3 2 4 2 2 3" xfId="24008" xr:uid="{2791AB83-41B5-488E-B0A8-A05EC2847A81}"/>
    <cellStyle name="40% - Accent3 2 4 2 3" xfId="11353" xr:uid="{8B3006D6-951D-4D1F-AFFC-B786F760FF72}"/>
    <cellStyle name="40% - Accent3 2 4 2 4" xfId="19791" xr:uid="{9637BAD3-4C97-46C5-A19B-42E72B6AAE64}"/>
    <cellStyle name="40% - Accent3 2 4 3" xfId="4984" xr:uid="{00000000-0005-0000-0000-000042050000}"/>
    <cellStyle name="40% - Accent3 2 4 3 2" xfId="13426" xr:uid="{31D17E9B-80FD-457C-95F0-6A3ECA41503A}"/>
    <cellStyle name="40% - Accent3 2 4 3 3" xfId="21863" xr:uid="{DBFBFBD7-B31F-49A1-9F98-120B16D0C18C}"/>
    <cellStyle name="40% - Accent3 2 4 4" xfId="9208" xr:uid="{47F13CBA-690F-47B6-A4EF-C25EEBF74CC0}"/>
    <cellStyle name="40% - Accent3 2 4 5" xfId="17646" xr:uid="{D7B28188-0435-4F9B-89F7-58352A231295}"/>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EFB1A6A6-6D0B-4C95-B31D-76F879625027}"/>
    <cellStyle name="40% - Accent3 2 5 2 2 3" xfId="24421" xr:uid="{BE481B58-A62B-4852-99BB-676BE7CACBA5}"/>
    <cellStyle name="40% - Accent3 2 5 2 3" xfId="11766" xr:uid="{AE93EB63-39B6-4247-97C1-5BCB3BBF82E3}"/>
    <cellStyle name="40% - Accent3 2 5 2 4" xfId="20204" xr:uid="{0DF1EDF7-84FC-49CF-A535-295206FD0628}"/>
    <cellStyle name="40% - Accent3 2 5 3" xfId="5397" xr:uid="{00000000-0005-0000-0000-000046050000}"/>
    <cellStyle name="40% - Accent3 2 5 3 2" xfId="13839" xr:uid="{13E54D07-5B10-44BC-9AEE-CFC9B640B618}"/>
    <cellStyle name="40% - Accent3 2 5 3 3" xfId="22276" xr:uid="{19710E11-3387-4F49-A437-10AE21899CE5}"/>
    <cellStyle name="40% - Accent3 2 5 4" xfId="9621" xr:uid="{3C900A45-E2F8-40A0-BCD8-D8AE458B0FC5}"/>
    <cellStyle name="40% - Accent3 2 5 5" xfId="18059" xr:uid="{3C37EB3D-9A3D-40BB-98CF-8CDBD0445362}"/>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728E1C5D-528A-4422-8BBD-720375102CC3}"/>
    <cellStyle name="40% - Accent3 2 6 2 2 3" xfId="24834" xr:uid="{F679411E-9C5B-4D5D-8021-BD36C3EF7B15}"/>
    <cellStyle name="40% - Accent3 2 6 2 3" xfId="12179" xr:uid="{97DD16A5-ECBA-4EBE-B31C-8FBE0FCA35EC}"/>
    <cellStyle name="40% - Accent3 2 6 2 4" xfId="20617" xr:uid="{25B07400-8AE7-40B3-B2CE-2AB5171855FE}"/>
    <cellStyle name="40% - Accent3 2 6 3" xfId="5810" xr:uid="{00000000-0005-0000-0000-00004A050000}"/>
    <cellStyle name="40% - Accent3 2 6 3 2" xfId="14252" xr:uid="{3E4FBF25-2CF9-4A1D-8F23-ADCAEBFF1292}"/>
    <cellStyle name="40% - Accent3 2 6 3 3" xfId="22689" xr:uid="{B5A4EB6B-C9C5-4AE6-BED7-F45081F23A2E}"/>
    <cellStyle name="40% - Accent3 2 6 4" xfId="10034" xr:uid="{B335D504-4383-4098-8DBF-DC1B22E1EB78}"/>
    <cellStyle name="40% - Accent3 2 6 5" xfId="18472" xr:uid="{367DBA5F-D45B-46AA-BAFF-35838A597410}"/>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A9AB4156-72B0-4827-AA0F-49AE4DE46B98}"/>
    <cellStyle name="40% - Accent3 2 7 2 2 3" xfId="25247" xr:uid="{579D04EB-EB8D-480C-B045-8D0DD744B41A}"/>
    <cellStyle name="40% - Accent3 2 7 2 3" xfId="12592" xr:uid="{1FB41127-84FC-412F-9E95-D84E709F52C7}"/>
    <cellStyle name="40% - Accent3 2 7 2 4" xfId="21030" xr:uid="{6AD69304-17EF-4099-8C12-9F7C51C1E653}"/>
    <cellStyle name="40% - Accent3 2 7 3" xfId="6223" xr:uid="{00000000-0005-0000-0000-00004E050000}"/>
    <cellStyle name="40% - Accent3 2 7 3 2" xfId="14665" xr:uid="{8ABA297E-DDDE-49F0-84A9-A1A15DABC294}"/>
    <cellStyle name="40% - Accent3 2 7 3 3" xfId="23102" xr:uid="{C6577374-09A0-4438-9102-7AB0BDC30D70}"/>
    <cellStyle name="40% - Accent3 2 7 4" xfId="10447" xr:uid="{536AF6F7-BAEA-47ED-8274-94337E7B717C}"/>
    <cellStyle name="40% - Accent3 2 7 5" xfId="18885" xr:uid="{5835A941-99C9-4B23-AACD-B3F480D35112}"/>
    <cellStyle name="40% - Accent3 2 8" xfId="2329" xr:uid="{00000000-0005-0000-0000-00004F050000}"/>
    <cellStyle name="40% - Accent3 2 8 2" xfId="6636" xr:uid="{00000000-0005-0000-0000-000050050000}"/>
    <cellStyle name="40% - Accent3 2 8 2 2" xfId="15078" xr:uid="{607719FE-03D8-486C-A5BD-F6500F1B5D20}"/>
    <cellStyle name="40% - Accent3 2 8 2 3" xfId="23515" xr:uid="{9E238F6B-2941-4F27-BC2E-4E7BDFDCAE5B}"/>
    <cellStyle name="40% - Accent3 2 8 3" xfId="10860" xr:uid="{4B1F2631-046E-4A46-B939-16E113E8835D}"/>
    <cellStyle name="40% - Accent3 2 8 4" xfId="19298" xr:uid="{F25591BD-8D3F-496B-8145-6793052C1E60}"/>
    <cellStyle name="40% - Accent3 2 9" xfId="4570" xr:uid="{00000000-0005-0000-0000-000051050000}"/>
    <cellStyle name="40% - Accent3 2 9 2" xfId="13012" xr:uid="{6A15EDA1-8ED4-4889-9C1F-F8ED85B2CA85}"/>
    <cellStyle name="40% - Accent3 2 9 3" xfId="21449" xr:uid="{D11998E6-DC97-4300-BDA0-7C0FD7524FEB}"/>
    <cellStyle name="40% - Accent3 3" xfId="70" xr:uid="{00000000-0005-0000-0000-000052050000}"/>
    <cellStyle name="40% - Accent3 3 10" xfId="17236" xr:uid="{FB282053-338F-4D96-831D-5B797B194C48}"/>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A50DCB68-F1A6-4A1B-B6A9-B4C6FA2880BC}"/>
    <cellStyle name="40% - Accent3 3 2 2 2 2 3" xfId="24013" xr:uid="{3654C52C-9E45-41F5-82F9-0FE82E55CE63}"/>
    <cellStyle name="40% - Accent3 3 2 2 2 3" xfId="11358" xr:uid="{7D98209E-68FC-48B0-99D9-2E5EC2F4279F}"/>
    <cellStyle name="40% - Accent3 3 2 2 2 4" xfId="19796" xr:uid="{1C009EFF-D231-416C-BE2E-69B682D592B6}"/>
    <cellStyle name="40% - Accent3 3 2 2 3" xfId="4989" xr:uid="{00000000-0005-0000-0000-000057050000}"/>
    <cellStyle name="40% - Accent3 3 2 2 3 2" xfId="13431" xr:uid="{9E430298-3BAA-455E-B46D-A16AB4800505}"/>
    <cellStyle name="40% - Accent3 3 2 2 3 3" xfId="21868" xr:uid="{270CC9FC-24C5-4AF0-8F41-739B2A645AD1}"/>
    <cellStyle name="40% - Accent3 3 2 2 4" xfId="9213" xr:uid="{48645E6B-E0BD-4218-BE63-36CF03F57FA4}"/>
    <cellStyle name="40% - Accent3 3 2 2 5" xfId="17651" xr:uid="{E9330700-7D8C-417A-B84D-886E4175AAF9}"/>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7E1590AB-AD10-48ED-B3D8-FB2D423F9BE4}"/>
    <cellStyle name="40% - Accent3 3 2 3 2 2 3" xfId="24426" xr:uid="{F8B1B4A7-2BE4-4542-A5BE-A6B19BD7F24F}"/>
    <cellStyle name="40% - Accent3 3 2 3 2 3" xfId="11771" xr:uid="{4B6FA6BE-BCC4-415B-A2EA-555E0A529D26}"/>
    <cellStyle name="40% - Accent3 3 2 3 2 4" xfId="20209" xr:uid="{6470C721-97AF-4D44-8797-CB92250F128D}"/>
    <cellStyle name="40% - Accent3 3 2 3 3" xfId="5402" xr:uid="{00000000-0005-0000-0000-00005B050000}"/>
    <cellStyle name="40% - Accent3 3 2 3 3 2" xfId="13844" xr:uid="{D6EA3C72-2ADF-4D2F-BF19-A857B4A6B14A}"/>
    <cellStyle name="40% - Accent3 3 2 3 3 3" xfId="22281" xr:uid="{386C4A70-71B7-4E24-B2B4-D960DD45721B}"/>
    <cellStyle name="40% - Accent3 3 2 3 4" xfId="9626" xr:uid="{F9FBD8AC-3034-431B-B480-D7FC320AAD5C}"/>
    <cellStyle name="40% - Accent3 3 2 3 5" xfId="18064" xr:uid="{85ADAD89-33F5-4183-80AA-54BD661F77D2}"/>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FE9D46B5-5025-41DC-9255-282413A09829}"/>
    <cellStyle name="40% - Accent3 3 2 4 2 2 3" xfId="24839" xr:uid="{606F1199-BA57-40A2-8EE0-3C41F355D906}"/>
    <cellStyle name="40% - Accent3 3 2 4 2 3" xfId="12184" xr:uid="{34F68090-4743-4A52-B59F-8AB5FD399001}"/>
    <cellStyle name="40% - Accent3 3 2 4 2 4" xfId="20622" xr:uid="{4D3C035A-A8AD-494F-8043-3097D0EE2E83}"/>
    <cellStyle name="40% - Accent3 3 2 4 3" xfId="5815" xr:uid="{00000000-0005-0000-0000-00005F050000}"/>
    <cellStyle name="40% - Accent3 3 2 4 3 2" xfId="14257" xr:uid="{152DA4DE-E37C-41A4-B7B5-0B326BF5A55D}"/>
    <cellStyle name="40% - Accent3 3 2 4 3 3" xfId="22694" xr:uid="{D750BB36-D955-47C7-997C-A49FB278A01F}"/>
    <cellStyle name="40% - Accent3 3 2 4 4" xfId="10039" xr:uid="{46775618-43BE-4528-BE41-6EF22948DE5C}"/>
    <cellStyle name="40% - Accent3 3 2 4 5" xfId="18477" xr:uid="{315A16C5-B116-4998-BD91-136D366A48E3}"/>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9526A3BA-8C06-46E2-856B-A0C9AEF8CA25}"/>
    <cellStyle name="40% - Accent3 3 2 5 2 2 3" xfId="25252" xr:uid="{14900F3E-EDCA-454B-A6B0-51B67A0BDF1C}"/>
    <cellStyle name="40% - Accent3 3 2 5 2 3" xfId="12597" xr:uid="{6C660943-E2B6-467F-AB96-BCB8680D5E93}"/>
    <cellStyle name="40% - Accent3 3 2 5 2 4" xfId="21035" xr:uid="{6A005A95-F275-49F8-A6CD-50DD4ED16CE5}"/>
    <cellStyle name="40% - Accent3 3 2 5 3" xfId="6228" xr:uid="{00000000-0005-0000-0000-000063050000}"/>
    <cellStyle name="40% - Accent3 3 2 5 3 2" xfId="14670" xr:uid="{798CEE4D-C668-463C-9A97-39915AC2B8EC}"/>
    <cellStyle name="40% - Accent3 3 2 5 3 3" xfId="23107" xr:uid="{6487DFAC-A175-4A0C-8E77-B290168DABE3}"/>
    <cellStyle name="40% - Accent3 3 2 5 4" xfId="10452" xr:uid="{A1D1D0A8-F88C-4F4E-A0B3-EF40D6327349}"/>
    <cellStyle name="40% - Accent3 3 2 5 5" xfId="18890" xr:uid="{AC244666-9DAC-4EC2-863C-CC6D9FC36936}"/>
    <cellStyle name="40% - Accent3 3 2 6" xfId="2334" xr:uid="{00000000-0005-0000-0000-000064050000}"/>
    <cellStyle name="40% - Accent3 3 2 6 2" xfId="6641" xr:uid="{00000000-0005-0000-0000-000065050000}"/>
    <cellStyle name="40% - Accent3 3 2 6 2 2" xfId="15083" xr:uid="{37F0D5C4-D297-4AD0-B2B9-BBE3A5A94513}"/>
    <cellStyle name="40% - Accent3 3 2 6 2 3" xfId="23520" xr:uid="{4DEB5411-C458-4440-8461-C116D1CD4020}"/>
    <cellStyle name="40% - Accent3 3 2 6 3" xfId="10865" xr:uid="{017301BB-60F2-49D5-B3E7-CB9328C19BC2}"/>
    <cellStyle name="40% - Accent3 3 2 6 4" xfId="19303" xr:uid="{98F03526-15C4-4630-94E5-F438F4153032}"/>
    <cellStyle name="40% - Accent3 3 2 7" xfId="4575" xr:uid="{00000000-0005-0000-0000-000066050000}"/>
    <cellStyle name="40% - Accent3 3 2 7 2" xfId="13017" xr:uid="{8177E43B-D16B-4E7F-A4EB-4BFCC19CB5B1}"/>
    <cellStyle name="40% - Accent3 3 2 7 3" xfId="21454" xr:uid="{2A0A22A0-907A-49CD-9D22-AA2EF60568F9}"/>
    <cellStyle name="40% - Accent3 3 2 8" xfId="8799" xr:uid="{FF5C5901-DBAA-48A4-A31D-43617DA06BFB}"/>
    <cellStyle name="40% - Accent3 3 2 9" xfId="17237" xr:uid="{CA82C4AA-1266-4487-8C01-C72D1EA38025}"/>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AD043CDC-49D2-423F-9EA5-0F0FB10FF350}"/>
    <cellStyle name="40% - Accent3 3 3 2 2 3" xfId="24012" xr:uid="{8CC35A23-D073-4BF5-BF29-17726E8107B9}"/>
    <cellStyle name="40% - Accent3 3 3 2 3" xfId="11357" xr:uid="{7509492B-6F8F-4862-A366-0D9F83E809E1}"/>
    <cellStyle name="40% - Accent3 3 3 2 4" xfId="19795" xr:uid="{CE4157D0-E537-4BA4-B558-879A8118EB98}"/>
    <cellStyle name="40% - Accent3 3 3 3" xfId="4988" xr:uid="{00000000-0005-0000-0000-00006A050000}"/>
    <cellStyle name="40% - Accent3 3 3 3 2" xfId="13430" xr:uid="{29A43D60-550C-48B6-AEA4-67A2ACC8E4FB}"/>
    <cellStyle name="40% - Accent3 3 3 3 3" xfId="21867" xr:uid="{DD8B4503-6D96-4E05-B671-347DAEF288BA}"/>
    <cellStyle name="40% - Accent3 3 3 4" xfId="9212" xr:uid="{9DE21048-8680-446E-989B-C74124A4B834}"/>
    <cellStyle name="40% - Accent3 3 3 5" xfId="17650" xr:uid="{5C9DDD45-3BE4-4705-9899-E2E14270127D}"/>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D3920587-5849-4BC7-AE16-F3D3C75A347D}"/>
    <cellStyle name="40% - Accent3 3 4 2 2 3" xfId="24425" xr:uid="{DBF6E9C4-7AAF-4D7D-B7C8-2204B6075124}"/>
    <cellStyle name="40% - Accent3 3 4 2 3" xfId="11770" xr:uid="{A073C4CA-4901-4EF9-93C2-D7595B841AE3}"/>
    <cellStyle name="40% - Accent3 3 4 2 4" xfId="20208" xr:uid="{48A284B4-111D-4071-AA4F-3AF9AB807686}"/>
    <cellStyle name="40% - Accent3 3 4 3" xfId="5401" xr:uid="{00000000-0005-0000-0000-00006E050000}"/>
    <cellStyle name="40% - Accent3 3 4 3 2" xfId="13843" xr:uid="{D8E0AF4B-A9D2-4C56-983D-06C95E488CE8}"/>
    <cellStyle name="40% - Accent3 3 4 3 3" xfId="22280" xr:uid="{E3388BC3-42FC-4A3C-B616-74920398E862}"/>
    <cellStyle name="40% - Accent3 3 4 4" xfId="9625" xr:uid="{C7D41474-4D5F-47B9-B3F3-BF806C718DAD}"/>
    <cellStyle name="40% - Accent3 3 4 5" xfId="18063" xr:uid="{B9280E04-547F-45D9-BCA8-E11403210307}"/>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7446706C-3297-48D4-A1FE-C00BB7D4B073}"/>
    <cellStyle name="40% - Accent3 3 5 2 2 3" xfId="24838" xr:uid="{99611C9A-B48D-4481-9F7F-E9B1E31DA1F7}"/>
    <cellStyle name="40% - Accent3 3 5 2 3" xfId="12183" xr:uid="{0F888FC5-0540-4F2A-BDE9-43F107237676}"/>
    <cellStyle name="40% - Accent3 3 5 2 4" xfId="20621" xr:uid="{6F4F8A5C-3847-441C-B13D-794C2713EEC9}"/>
    <cellStyle name="40% - Accent3 3 5 3" xfId="5814" xr:uid="{00000000-0005-0000-0000-000072050000}"/>
    <cellStyle name="40% - Accent3 3 5 3 2" xfId="14256" xr:uid="{DD8A68A2-2ECB-41A6-9A17-060508A53933}"/>
    <cellStyle name="40% - Accent3 3 5 3 3" xfId="22693" xr:uid="{4DC6ED84-6E03-4D81-B883-BDA3632140C1}"/>
    <cellStyle name="40% - Accent3 3 5 4" xfId="10038" xr:uid="{2579879A-CAD7-48EC-998D-89CE5D94C87A}"/>
    <cellStyle name="40% - Accent3 3 5 5" xfId="18476" xr:uid="{C523D6E0-C0F2-4AB5-A3B9-7B493338FBDC}"/>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ED49008B-CB00-4084-B3FB-912CF289561F}"/>
    <cellStyle name="40% - Accent3 3 6 2 2 3" xfId="25251" xr:uid="{D0155016-82A2-44E0-BE0B-FA7929393009}"/>
    <cellStyle name="40% - Accent3 3 6 2 3" xfId="12596" xr:uid="{37409E20-0A82-4D87-B897-7F24C1F1FA95}"/>
    <cellStyle name="40% - Accent3 3 6 2 4" xfId="21034" xr:uid="{10EA49A8-D991-4B4D-BC9A-BA8D09265104}"/>
    <cellStyle name="40% - Accent3 3 6 3" xfId="6227" xr:uid="{00000000-0005-0000-0000-000076050000}"/>
    <cellStyle name="40% - Accent3 3 6 3 2" xfId="14669" xr:uid="{D6DD1581-B9EB-4677-8B8A-010556F382C5}"/>
    <cellStyle name="40% - Accent3 3 6 3 3" xfId="23106" xr:uid="{B9029859-BA0E-4DAA-9EF7-AB37601B66DC}"/>
    <cellStyle name="40% - Accent3 3 6 4" xfId="10451" xr:uid="{7BA59448-8242-4212-9A72-8E7409605755}"/>
    <cellStyle name="40% - Accent3 3 6 5" xfId="18889" xr:uid="{33D38532-6E1C-4C0F-85E6-7D8C82546ADB}"/>
    <cellStyle name="40% - Accent3 3 7" xfId="2333" xr:uid="{00000000-0005-0000-0000-000077050000}"/>
    <cellStyle name="40% - Accent3 3 7 2" xfId="6640" xr:uid="{00000000-0005-0000-0000-000078050000}"/>
    <cellStyle name="40% - Accent3 3 7 2 2" xfId="15082" xr:uid="{C18236EB-A70A-432B-8B22-756D92092219}"/>
    <cellStyle name="40% - Accent3 3 7 2 3" xfId="23519" xr:uid="{B57F5FF9-325D-40EA-97D6-97235C495600}"/>
    <cellStyle name="40% - Accent3 3 7 3" xfId="10864" xr:uid="{F3BA62C9-4441-4B0F-A359-39024D28B6AC}"/>
    <cellStyle name="40% - Accent3 3 7 4" xfId="19302" xr:uid="{E9E9D12B-1220-4649-8137-54AADCA6DEAE}"/>
    <cellStyle name="40% - Accent3 3 8" xfId="4574" xr:uid="{00000000-0005-0000-0000-000079050000}"/>
    <cellStyle name="40% - Accent3 3 8 2" xfId="13016" xr:uid="{91BF6652-E391-4DB1-A643-B109AFD93E04}"/>
    <cellStyle name="40% - Accent3 3 8 3" xfId="21453" xr:uid="{F4B1F5D1-DE21-4745-9F64-0051B9D720A8}"/>
    <cellStyle name="40% - Accent3 3 9" xfId="8798" xr:uid="{1A8184D9-2286-4115-82D0-991DF04CD963}"/>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C1F86B1A-4FD4-4C31-AB42-0B68630C004F}"/>
    <cellStyle name="40% - Accent3 4 2 2 2 3" xfId="24014" xr:uid="{FDC9EF01-B615-4172-A422-A551F999CCFE}"/>
    <cellStyle name="40% - Accent3 4 2 2 3" xfId="11359" xr:uid="{B4E6CFE1-A9D1-4193-B19C-FA9A8829B8B2}"/>
    <cellStyle name="40% - Accent3 4 2 2 4" xfId="19797" xr:uid="{83B1063C-E6EC-4D1A-961C-938A2B82240B}"/>
    <cellStyle name="40% - Accent3 4 2 3" xfId="4990" xr:uid="{00000000-0005-0000-0000-00007E050000}"/>
    <cellStyle name="40% - Accent3 4 2 3 2" xfId="13432" xr:uid="{0DD530EB-E33E-4619-949C-47FBC08CA316}"/>
    <cellStyle name="40% - Accent3 4 2 3 3" xfId="21869" xr:uid="{1CEB58A1-27A8-4333-9985-ACEFD08D4C6E}"/>
    <cellStyle name="40% - Accent3 4 2 4" xfId="9214" xr:uid="{0CFD4F23-D51B-4097-A703-F5E8CB2E268B}"/>
    <cellStyle name="40% - Accent3 4 2 5" xfId="17652" xr:uid="{6D9CCDA6-1AED-427D-9D59-1C70DE7D1860}"/>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AF949AE9-DB19-4C18-8514-CE937EE71E3F}"/>
    <cellStyle name="40% - Accent3 4 3 2 2 3" xfId="24427" xr:uid="{9A050FA0-BA39-4357-BB22-02709B9136FB}"/>
    <cellStyle name="40% - Accent3 4 3 2 3" xfId="11772" xr:uid="{38ECE48D-1810-48BA-AE1E-C8B85989EBFD}"/>
    <cellStyle name="40% - Accent3 4 3 2 4" xfId="20210" xr:uid="{66F71D40-0993-4597-804D-E566C365041E}"/>
    <cellStyle name="40% - Accent3 4 3 3" xfId="5403" xr:uid="{00000000-0005-0000-0000-000082050000}"/>
    <cellStyle name="40% - Accent3 4 3 3 2" xfId="13845" xr:uid="{1239B1E6-009E-4BFD-84C5-E086C9598F57}"/>
    <cellStyle name="40% - Accent3 4 3 3 3" xfId="22282" xr:uid="{06BE3A6B-74BA-4F63-BC5B-B341B9F3161A}"/>
    <cellStyle name="40% - Accent3 4 3 4" xfId="9627" xr:uid="{F691A5DF-DD26-411D-B5F6-8A1160E9AA5A}"/>
    <cellStyle name="40% - Accent3 4 3 5" xfId="18065" xr:uid="{FA992A7E-DE9D-432B-ADD3-747D46260BDB}"/>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9A4DD101-6075-4CBC-91DE-B6773AA91986}"/>
    <cellStyle name="40% - Accent3 4 4 2 2 3" xfId="24840" xr:uid="{DDC7BE35-6583-476F-87C4-E4B36F2B046A}"/>
    <cellStyle name="40% - Accent3 4 4 2 3" xfId="12185" xr:uid="{6DDEBCB8-A89D-4CA7-97C7-2553D898D227}"/>
    <cellStyle name="40% - Accent3 4 4 2 4" xfId="20623" xr:uid="{46536156-F277-4DC6-96DC-7D28EEBCFD78}"/>
    <cellStyle name="40% - Accent3 4 4 3" xfId="5816" xr:uid="{00000000-0005-0000-0000-000086050000}"/>
    <cellStyle name="40% - Accent3 4 4 3 2" xfId="14258" xr:uid="{476226C8-5A24-4A92-B942-34F1D8DCE913}"/>
    <cellStyle name="40% - Accent3 4 4 3 3" xfId="22695" xr:uid="{2D2BBBDC-F0E1-4CCC-B567-F1DE32370133}"/>
    <cellStyle name="40% - Accent3 4 4 4" xfId="10040" xr:uid="{E92B8B51-34EF-43F2-9831-CA7628326118}"/>
    <cellStyle name="40% - Accent3 4 4 5" xfId="18478" xr:uid="{79274EDF-6253-4B9C-9609-F4F78FB9BC73}"/>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7F414177-EA10-4F8B-8049-700299E78457}"/>
    <cellStyle name="40% - Accent3 4 5 2 2 3" xfId="25253" xr:uid="{41038012-7FEB-4166-9788-07774F9D75C0}"/>
    <cellStyle name="40% - Accent3 4 5 2 3" xfId="12598" xr:uid="{3B992DD5-DD6F-40BB-8AF1-1F75AA311073}"/>
    <cellStyle name="40% - Accent3 4 5 2 4" xfId="21036" xr:uid="{39CCC815-D9AA-41F7-9D48-5C8DAE0638E9}"/>
    <cellStyle name="40% - Accent3 4 5 3" xfId="6229" xr:uid="{00000000-0005-0000-0000-00008A050000}"/>
    <cellStyle name="40% - Accent3 4 5 3 2" xfId="14671" xr:uid="{2DCE1817-72E3-47E3-9C92-EC1A6C19741B}"/>
    <cellStyle name="40% - Accent3 4 5 3 3" xfId="23108" xr:uid="{296364DB-4DAF-4160-8647-F3A0451C5099}"/>
    <cellStyle name="40% - Accent3 4 5 4" xfId="10453" xr:uid="{C7601092-7714-4B8F-895B-3A66284B4D1E}"/>
    <cellStyle name="40% - Accent3 4 5 5" xfId="18891" xr:uid="{07084914-9B63-4B59-A70A-FC126203B583}"/>
    <cellStyle name="40% - Accent3 4 6" xfId="2335" xr:uid="{00000000-0005-0000-0000-00008B050000}"/>
    <cellStyle name="40% - Accent3 4 6 2" xfId="6642" xr:uid="{00000000-0005-0000-0000-00008C050000}"/>
    <cellStyle name="40% - Accent3 4 6 2 2" xfId="15084" xr:uid="{11C34206-CDC3-4426-A4B3-082B2E485A34}"/>
    <cellStyle name="40% - Accent3 4 6 2 3" xfId="23521" xr:uid="{86963263-E65C-4B0B-AD9B-1AD6E6692A8F}"/>
    <cellStyle name="40% - Accent3 4 6 3" xfId="10866" xr:uid="{E3FBCDED-1788-44CD-A4B2-F2B910BF481D}"/>
    <cellStyle name="40% - Accent3 4 6 4" xfId="19304" xr:uid="{7CBBE546-1A48-4522-B0F7-14EBF301EC04}"/>
    <cellStyle name="40% - Accent3 4 7" xfId="4576" xr:uid="{00000000-0005-0000-0000-00008D050000}"/>
    <cellStyle name="40% - Accent3 4 7 2" xfId="13018" xr:uid="{19BA059D-233C-45FD-80A6-60869E607B87}"/>
    <cellStyle name="40% - Accent3 4 7 3" xfId="21455" xr:uid="{38203147-FF7B-4083-AF59-EB61556D2C86}"/>
    <cellStyle name="40% - Accent3 4 8" xfId="8800" xr:uid="{4AE2F48A-AE3D-49AC-95A2-E2EF93B13395}"/>
    <cellStyle name="40% - Accent3 4 9" xfId="17238" xr:uid="{3CB636E4-5836-4960-8F57-1D7F2FAAE2F0}"/>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1794CCF9-3989-4842-97B0-A7D36230E2F1}"/>
    <cellStyle name="40% - Accent3 5 2 2 3" xfId="24007" xr:uid="{37777883-B222-4239-8F40-E6C8EE12C4DD}"/>
    <cellStyle name="40% - Accent3 5 2 3" xfId="11352" xr:uid="{14F8AE0B-960A-489C-B172-7BD5FD42F9FA}"/>
    <cellStyle name="40% - Accent3 5 2 4" xfId="19790" xr:uid="{D506582E-6D2C-457B-AE89-A519FD285C07}"/>
    <cellStyle name="40% - Accent3 5 3" xfId="4983" xr:uid="{00000000-0005-0000-0000-000091050000}"/>
    <cellStyle name="40% - Accent3 5 3 2" xfId="13425" xr:uid="{2326BE77-F773-47E6-A9BD-2D67933FCFDE}"/>
    <cellStyle name="40% - Accent3 5 3 3" xfId="21862" xr:uid="{02EE800A-AD43-47DF-86F2-5B0805DAC9DB}"/>
    <cellStyle name="40% - Accent3 5 4" xfId="9207" xr:uid="{8D1F0B3F-B071-455E-BAEB-7457F416B63B}"/>
    <cellStyle name="40% - Accent3 5 5" xfId="17645" xr:uid="{64C9C756-7141-4D8A-A21F-AAA856C82DF1}"/>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FCC7D0C8-DF13-4ADE-91B3-96BE2D9916E4}"/>
    <cellStyle name="40% - Accent3 6 2 2 3" xfId="24420" xr:uid="{999FBD6B-B2E5-4DE7-868B-E3771407F4D2}"/>
    <cellStyle name="40% - Accent3 6 2 3" xfId="11765" xr:uid="{2C2DD5E5-38A8-4A6C-B298-7AFFF77DB9B3}"/>
    <cellStyle name="40% - Accent3 6 2 4" xfId="20203" xr:uid="{723E27C7-B4F8-4ECA-B3B3-33FD796BBCEB}"/>
    <cellStyle name="40% - Accent3 6 3" xfId="5396" xr:uid="{00000000-0005-0000-0000-000095050000}"/>
    <cellStyle name="40% - Accent3 6 3 2" xfId="13838" xr:uid="{E012EFB3-1E60-4917-AA27-F8479D4655F0}"/>
    <cellStyle name="40% - Accent3 6 3 3" xfId="22275" xr:uid="{A78DA16A-6340-4EB1-B9C7-FB7568FEC2F4}"/>
    <cellStyle name="40% - Accent3 6 4" xfId="9620" xr:uid="{78FB58EE-0C9D-46B1-8227-59DBDEF430F6}"/>
    <cellStyle name="40% - Accent3 6 5" xfId="18058" xr:uid="{D1467637-C4CF-481E-B5AE-DE1B14BEF57D}"/>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BB9B09EE-B07F-4EC7-AE76-49DE91B5A7C5}"/>
    <cellStyle name="40% - Accent3 7 2 2 3" xfId="24833" xr:uid="{137C00D1-DC0E-4C5A-A585-2DD3EA7AF159}"/>
    <cellStyle name="40% - Accent3 7 2 3" xfId="12178" xr:uid="{CC92BA1D-9376-4906-9CDC-4B5F2218346B}"/>
    <cellStyle name="40% - Accent3 7 2 4" xfId="20616" xr:uid="{95560118-8536-44AB-9B4E-CD24875368E7}"/>
    <cellStyle name="40% - Accent3 7 3" xfId="5809" xr:uid="{00000000-0005-0000-0000-000099050000}"/>
    <cellStyle name="40% - Accent3 7 3 2" xfId="14251" xr:uid="{CAC8A008-8FFF-409F-8506-FAD0AED3ABE9}"/>
    <cellStyle name="40% - Accent3 7 3 3" xfId="22688" xr:uid="{478BAF7F-58BF-47B9-98EF-7736E1398E2B}"/>
    <cellStyle name="40% - Accent3 7 4" xfId="10033" xr:uid="{2A529021-7D46-4FEF-A587-FB33BE85A180}"/>
    <cellStyle name="40% - Accent3 7 5" xfId="18471" xr:uid="{C7A01F18-F45A-44E0-9E10-65C11F952A4E}"/>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8F6DF6B1-C89D-4099-BB1F-D063DDB9E681}"/>
    <cellStyle name="40% - Accent3 8 2 2 3" xfId="25246" xr:uid="{D67B557D-0254-4086-973D-D2421CE9994B}"/>
    <cellStyle name="40% - Accent3 8 2 3" xfId="12591" xr:uid="{7B115056-ECC5-45EC-91E8-1FBD3115AD94}"/>
    <cellStyle name="40% - Accent3 8 2 4" xfId="21029" xr:uid="{474E1894-A59E-4EF8-A408-493758CDADDE}"/>
    <cellStyle name="40% - Accent3 8 3" xfId="6222" xr:uid="{00000000-0005-0000-0000-00009D050000}"/>
    <cellStyle name="40% - Accent3 8 3 2" xfId="14664" xr:uid="{C2D4C505-7FDD-45B4-AF6A-2C3CC4F95E21}"/>
    <cellStyle name="40% - Accent3 8 3 3" xfId="23101" xr:uid="{8DE2EFE6-3C4B-4CD1-8395-80A98FE52BE5}"/>
    <cellStyle name="40% - Accent3 8 4" xfId="10446" xr:uid="{E39E54EC-8326-4DFB-8655-3C96530B5DFD}"/>
    <cellStyle name="40% - Accent3 8 5" xfId="18884" xr:uid="{98F497FA-FEA8-4A39-8420-9872FF01F4F3}"/>
    <cellStyle name="40% - Accent3 9" xfId="2328" xr:uid="{00000000-0005-0000-0000-00009E050000}"/>
    <cellStyle name="40% - Accent3 9 2" xfId="6635" xr:uid="{00000000-0005-0000-0000-00009F050000}"/>
    <cellStyle name="40% - Accent3 9 2 2" xfId="15077" xr:uid="{BD82A280-139E-475B-A893-7FD71FD803C1}"/>
    <cellStyle name="40% - Accent3 9 2 3" xfId="23514" xr:uid="{31EF5B44-6120-48EB-BE08-317BFF2B6DF0}"/>
    <cellStyle name="40% - Accent3 9 3" xfId="10859" xr:uid="{1C52DBAC-3197-4A80-B170-FFD75884B2FE}"/>
    <cellStyle name="40% - Accent3 9 4" xfId="19297" xr:uid="{D76C5C20-6C79-4F01-B7AB-BACAF4E6C1DB}"/>
    <cellStyle name="40% - Accent4" xfId="73" builtinId="43" customBuiltin="1"/>
    <cellStyle name="40% - Accent4 10" xfId="4577" xr:uid="{00000000-0005-0000-0000-0000A1050000}"/>
    <cellStyle name="40% - Accent4 10 2" xfId="13019" xr:uid="{73EB460F-4AF8-4FC7-ACDB-39BDB3CB4BC2}"/>
    <cellStyle name="40% - Accent4 10 3" xfId="21456" xr:uid="{35FD1BD4-41C8-4EA2-B353-E4435E803515}"/>
    <cellStyle name="40% - Accent4 11" xfId="8801" xr:uid="{E5090577-1F9B-4F36-A476-FAE90746878D}"/>
    <cellStyle name="40% - Accent4 12" xfId="17239" xr:uid="{8C72BB3A-3894-43F2-80FC-D892B10DAC43}"/>
    <cellStyle name="40% - Accent4 2" xfId="74" xr:uid="{00000000-0005-0000-0000-0000A2050000}"/>
    <cellStyle name="40% - Accent4 2 10" xfId="8802" xr:uid="{B550542D-E08C-44D5-B0EA-0C4A993FC2A6}"/>
    <cellStyle name="40% - Accent4 2 11" xfId="17240" xr:uid="{C00748A0-3B93-4D30-BA2C-9815DB95C1B3}"/>
    <cellStyle name="40% - Accent4 2 2" xfId="75" xr:uid="{00000000-0005-0000-0000-0000A3050000}"/>
    <cellStyle name="40% - Accent4 2 2 10" xfId="17241" xr:uid="{0EA8AB44-148C-4DF1-B409-6C4F2E93A07B}"/>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8488AE7E-FDA5-4605-AFFB-2035A9E9F3F3}"/>
    <cellStyle name="40% - Accent4 2 2 2 2 2 2 3" xfId="24018" xr:uid="{83452E75-8F52-47CC-AB61-94AB35F1E2BC}"/>
    <cellStyle name="40% - Accent4 2 2 2 2 2 3" xfId="11363" xr:uid="{BB223219-BF62-4B31-962A-6918A4E03688}"/>
    <cellStyle name="40% - Accent4 2 2 2 2 2 4" xfId="19801" xr:uid="{14020323-8C26-48CC-9ECC-420AFE2CD6DA}"/>
    <cellStyle name="40% - Accent4 2 2 2 2 3" xfId="4994" xr:uid="{00000000-0005-0000-0000-0000A8050000}"/>
    <cellStyle name="40% - Accent4 2 2 2 2 3 2" xfId="13436" xr:uid="{18E89678-BA79-4734-99C0-C6D777B58ACB}"/>
    <cellStyle name="40% - Accent4 2 2 2 2 3 3" xfId="21873" xr:uid="{18053766-A067-4327-A0BF-AFAB05EFA865}"/>
    <cellStyle name="40% - Accent4 2 2 2 2 4" xfId="9218" xr:uid="{A4A998F6-EED6-41D4-B090-0B4AC2299C52}"/>
    <cellStyle name="40% - Accent4 2 2 2 2 5" xfId="17656" xr:uid="{220F5EEA-B9D9-4E5E-A9ED-A181E8BE0559}"/>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17594E71-AE0A-49FE-BC20-37B78158A901}"/>
    <cellStyle name="40% - Accent4 2 2 2 3 2 2 3" xfId="24431" xr:uid="{1F606B4E-A5AF-4FEA-B3AF-A22DC3B30E9A}"/>
    <cellStyle name="40% - Accent4 2 2 2 3 2 3" xfId="11776" xr:uid="{5332FE7F-1999-43A2-AE8F-2174ABBF664C}"/>
    <cellStyle name="40% - Accent4 2 2 2 3 2 4" xfId="20214" xr:uid="{37997817-C1D7-4CF5-8647-E118E5E86BE2}"/>
    <cellStyle name="40% - Accent4 2 2 2 3 3" xfId="5407" xr:uid="{00000000-0005-0000-0000-0000AC050000}"/>
    <cellStyle name="40% - Accent4 2 2 2 3 3 2" xfId="13849" xr:uid="{82325C4C-2FD5-4D56-A15A-A6EF1ED08CC5}"/>
    <cellStyle name="40% - Accent4 2 2 2 3 3 3" xfId="22286" xr:uid="{79FF72F9-A68A-4910-8141-09E5C5C2389C}"/>
    <cellStyle name="40% - Accent4 2 2 2 3 4" xfId="9631" xr:uid="{A642AB1A-8AE6-4418-8409-F9B308421532}"/>
    <cellStyle name="40% - Accent4 2 2 2 3 5" xfId="18069" xr:uid="{8138BF00-67D9-4294-803C-7E797F0466FD}"/>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B88167E1-8D91-46F3-A3F9-A227F292DF5A}"/>
    <cellStyle name="40% - Accent4 2 2 2 4 2 2 3" xfId="24844" xr:uid="{24CAE730-9B29-4CCD-AF3E-D41FDA0423FA}"/>
    <cellStyle name="40% - Accent4 2 2 2 4 2 3" xfId="12189" xr:uid="{F466AC46-153F-477B-8DD8-CB6BD0EFBC26}"/>
    <cellStyle name="40% - Accent4 2 2 2 4 2 4" xfId="20627" xr:uid="{95F5C4D4-FACC-4437-AB7F-11C3A4DEAE3D}"/>
    <cellStyle name="40% - Accent4 2 2 2 4 3" xfId="5820" xr:uid="{00000000-0005-0000-0000-0000B0050000}"/>
    <cellStyle name="40% - Accent4 2 2 2 4 3 2" xfId="14262" xr:uid="{6061DB62-2E0D-49C0-99AB-08AF4AAFAF91}"/>
    <cellStyle name="40% - Accent4 2 2 2 4 3 3" xfId="22699" xr:uid="{1BC24BDA-90C9-4C5F-A9C3-AA6D58C58E92}"/>
    <cellStyle name="40% - Accent4 2 2 2 4 4" xfId="10044" xr:uid="{E8CAFE43-7077-4287-82B6-0A707CE9660B}"/>
    <cellStyle name="40% - Accent4 2 2 2 4 5" xfId="18482" xr:uid="{CD8B3BBE-0D15-4A0E-B810-A5C61C5FA75C}"/>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DF76529F-74AE-4245-8E21-27D6FDF9DEE6}"/>
    <cellStyle name="40% - Accent4 2 2 2 5 2 2 3" xfId="25257" xr:uid="{1E8D304E-7A3B-46B8-BED1-5CA7FA14D433}"/>
    <cellStyle name="40% - Accent4 2 2 2 5 2 3" xfId="12602" xr:uid="{E7D40407-24A5-4CDA-BED3-D6697A7D12D3}"/>
    <cellStyle name="40% - Accent4 2 2 2 5 2 4" xfId="21040" xr:uid="{362285D9-D29B-4950-A053-6A0DC1467485}"/>
    <cellStyle name="40% - Accent4 2 2 2 5 3" xfId="6233" xr:uid="{00000000-0005-0000-0000-0000B4050000}"/>
    <cellStyle name="40% - Accent4 2 2 2 5 3 2" xfId="14675" xr:uid="{31DA130D-6240-40E9-BBDC-ED672AFCD03A}"/>
    <cellStyle name="40% - Accent4 2 2 2 5 3 3" xfId="23112" xr:uid="{8631EB2F-3447-4D29-8A8E-D6EF08B707DD}"/>
    <cellStyle name="40% - Accent4 2 2 2 5 4" xfId="10457" xr:uid="{B4EEE39B-16DC-43BE-8562-1E28F353B2F4}"/>
    <cellStyle name="40% - Accent4 2 2 2 5 5" xfId="18895" xr:uid="{18F3FAF7-FA2D-4ECB-B9E4-141581554569}"/>
    <cellStyle name="40% - Accent4 2 2 2 6" xfId="2339" xr:uid="{00000000-0005-0000-0000-0000B5050000}"/>
    <cellStyle name="40% - Accent4 2 2 2 6 2" xfId="6646" xr:uid="{00000000-0005-0000-0000-0000B6050000}"/>
    <cellStyle name="40% - Accent4 2 2 2 6 2 2" xfId="15088" xr:uid="{2F2BDD90-ED3B-468C-9295-D633B19BADF7}"/>
    <cellStyle name="40% - Accent4 2 2 2 6 2 3" xfId="23525" xr:uid="{81354AF5-C941-4A11-8C47-7EDB4AD4B8A4}"/>
    <cellStyle name="40% - Accent4 2 2 2 6 3" xfId="10870" xr:uid="{00477E98-1121-478A-A9E4-4C6E7F06ABFD}"/>
    <cellStyle name="40% - Accent4 2 2 2 6 4" xfId="19308" xr:uid="{892D9686-8017-4D43-BC8C-4F602A7E21FB}"/>
    <cellStyle name="40% - Accent4 2 2 2 7" xfId="4580" xr:uid="{00000000-0005-0000-0000-0000B7050000}"/>
    <cellStyle name="40% - Accent4 2 2 2 7 2" xfId="13022" xr:uid="{BD67CAE8-A1FC-4842-89C2-733E97EB5931}"/>
    <cellStyle name="40% - Accent4 2 2 2 7 3" xfId="21459" xr:uid="{088076BF-7E3F-4048-8CFE-49199034AEC8}"/>
    <cellStyle name="40% - Accent4 2 2 2 8" xfId="8804" xr:uid="{F3FA32EF-5F7B-4289-98A4-055413591C4D}"/>
    <cellStyle name="40% - Accent4 2 2 2 9" xfId="17242" xr:uid="{DB95CB6C-A1D1-4337-9495-1E627EAD368D}"/>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2CFE8381-21C5-42E8-9E07-EAB485424372}"/>
    <cellStyle name="40% - Accent4 2 2 3 2 2 3" xfId="24017" xr:uid="{0355F652-2716-4CC4-82C9-23F2B836DDE3}"/>
    <cellStyle name="40% - Accent4 2 2 3 2 3" xfId="11362" xr:uid="{055817EA-F62A-4E7D-9AB2-82098574970B}"/>
    <cellStyle name="40% - Accent4 2 2 3 2 4" xfId="19800" xr:uid="{BFEE9077-6CB4-4101-83C6-590CEEB7BFB3}"/>
    <cellStyle name="40% - Accent4 2 2 3 3" xfId="4993" xr:uid="{00000000-0005-0000-0000-0000BB050000}"/>
    <cellStyle name="40% - Accent4 2 2 3 3 2" xfId="13435" xr:uid="{452D16E8-DBCC-4E0E-898E-F1061DD27707}"/>
    <cellStyle name="40% - Accent4 2 2 3 3 3" xfId="21872" xr:uid="{874F85EC-AC5C-4B2F-A326-950673A08274}"/>
    <cellStyle name="40% - Accent4 2 2 3 4" xfId="9217" xr:uid="{33DBF13D-A399-4B36-8EE1-51D161B54BDD}"/>
    <cellStyle name="40% - Accent4 2 2 3 5" xfId="17655" xr:uid="{0FD3B07E-5E19-4AA5-9A49-A7535E6705A4}"/>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E7FFF2B7-CEF5-4166-A217-DF8C361E4AFC}"/>
    <cellStyle name="40% - Accent4 2 2 4 2 2 3" xfId="24430" xr:uid="{9C7879C7-5A31-4DBA-88F1-7638B7DBD0A0}"/>
    <cellStyle name="40% - Accent4 2 2 4 2 3" xfId="11775" xr:uid="{FE545A71-80BB-4E17-8060-9F28AF3D0BCB}"/>
    <cellStyle name="40% - Accent4 2 2 4 2 4" xfId="20213" xr:uid="{CAAE4898-9E3C-48CE-90FD-CF88EEA03422}"/>
    <cellStyle name="40% - Accent4 2 2 4 3" xfId="5406" xr:uid="{00000000-0005-0000-0000-0000BF050000}"/>
    <cellStyle name="40% - Accent4 2 2 4 3 2" xfId="13848" xr:uid="{123AAB5B-1DA6-4071-A674-5E0001C98E59}"/>
    <cellStyle name="40% - Accent4 2 2 4 3 3" xfId="22285" xr:uid="{B8E2E242-5368-4CC2-8604-A598BEDA796B}"/>
    <cellStyle name="40% - Accent4 2 2 4 4" xfId="9630" xr:uid="{AD3967AF-3129-451C-823E-12C6F3EBC2B3}"/>
    <cellStyle name="40% - Accent4 2 2 4 5" xfId="18068" xr:uid="{DAB3C552-426B-40D6-ABA5-2EE080F6CBA1}"/>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F755D47F-226D-487E-81F5-4D71CC04345B}"/>
    <cellStyle name="40% - Accent4 2 2 5 2 2 3" xfId="24843" xr:uid="{6846BE5B-C383-4394-83A8-7E5B0A851DF9}"/>
    <cellStyle name="40% - Accent4 2 2 5 2 3" xfId="12188" xr:uid="{131B3489-AF74-466D-960D-6536B4046CFA}"/>
    <cellStyle name="40% - Accent4 2 2 5 2 4" xfId="20626" xr:uid="{4771BC5A-EBF0-4389-9A24-69465427192C}"/>
    <cellStyle name="40% - Accent4 2 2 5 3" xfId="5819" xr:uid="{00000000-0005-0000-0000-0000C3050000}"/>
    <cellStyle name="40% - Accent4 2 2 5 3 2" xfId="14261" xr:uid="{07A61B96-521D-487C-A346-6988197557FF}"/>
    <cellStyle name="40% - Accent4 2 2 5 3 3" xfId="22698" xr:uid="{8D3F2662-E559-45F5-8809-416DD8EE5662}"/>
    <cellStyle name="40% - Accent4 2 2 5 4" xfId="10043" xr:uid="{05F58F11-4CD0-4B51-ABEE-FF2E6A599DCF}"/>
    <cellStyle name="40% - Accent4 2 2 5 5" xfId="18481" xr:uid="{CC12DC9E-11E1-4525-BF56-462A0FC0D6DB}"/>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3C550F0A-9A0D-4E2A-AA35-96F76F7D9F51}"/>
    <cellStyle name="40% - Accent4 2 2 6 2 2 3" xfId="25256" xr:uid="{E64D7FB5-E424-440D-8BDF-E566AF71D23E}"/>
    <cellStyle name="40% - Accent4 2 2 6 2 3" xfId="12601" xr:uid="{12B7096B-DECB-491C-BB1C-6B39DD10F673}"/>
    <cellStyle name="40% - Accent4 2 2 6 2 4" xfId="21039" xr:uid="{AE14D4A8-9A39-43A1-9134-2497F5AD4958}"/>
    <cellStyle name="40% - Accent4 2 2 6 3" xfId="6232" xr:uid="{00000000-0005-0000-0000-0000C7050000}"/>
    <cellStyle name="40% - Accent4 2 2 6 3 2" xfId="14674" xr:uid="{7134C7B6-91E4-40F6-BF07-6B8AECEC3223}"/>
    <cellStyle name="40% - Accent4 2 2 6 3 3" xfId="23111" xr:uid="{A70F4599-42DE-4867-A025-35E3A683CBC8}"/>
    <cellStyle name="40% - Accent4 2 2 6 4" xfId="10456" xr:uid="{F61A2AA3-3F81-4162-8F0C-EFEBB48AC91F}"/>
    <cellStyle name="40% - Accent4 2 2 6 5" xfId="18894" xr:uid="{B80517E5-38D9-41D8-B725-EA854DE99B83}"/>
    <cellStyle name="40% - Accent4 2 2 7" xfId="2338" xr:uid="{00000000-0005-0000-0000-0000C8050000}"/>
    <cellStyle name="40% - Accent4 2 2 7 2" xfId="6645" xr:uid="{00000000-0005-0000-0000-0000C9050000}"/>
    <cellStyle name="40% - Accent4 2 2 7 2 2" xfId="15087" xr:uid="{42A1E7E0-EEA0-41C7-86BE-EAEC07C7F0A8}"/>
    <cellStyle name="40% - Accent4 2 2 7 2 3" xfId="23524" xr:uid="{A257D8DB-8625-49B1-9994-7EDEBB4ADD89}"/>
    <cellStyle name="40% - Accent4 2 2 7 3" xfId="10869" xr:uid="{4EEAC4FF-86F0-44F7-A6B6-404838DF385E}"/>
    <cellStyle name="40% - Accent4 2 2 7 4" xfId="19307" xr:uid="{CC7CB063-2870-4934-83A2-E9F7DAAD02A2}"/>
    <cellStyle name="40% - Accent4 2 2 8" xfId="4579" xr:uid="{00000000-0005-0000-0000-0000CA050000}"/>
    <cellStyle name="40% - Accent4 2 2 8 2" xfId="13021" xr:uid="{AA42AE94-CEFF-45DB-A0C7-92E59102555D}"/>
    <cellStyle name="40% - Accent4 2 2 8 3" xfId="21458" xr:uid="{2C718843-E149-4A29-9988-97941AB7343C}"/>
    <cellStyle name="40% - Accent4 2 2 9" xfId="8803" xr:uid="{E96DE8E3-0A93-4AE6-BA72-F03991272B15}"/>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04EF0ABC-917E-43BA-A038-260422574755}"/>
    <cellStyle name="40% - Accent4 2 3 2 2 2 3" xfId="24019" xr:uid="{35012E34-8C97-463C-9F4E-FBF5935795AA}"/>
    <cellStyle name="40% - Accent4 2 3 2 2 3" xfId="11364" xr:uid="{89BFCAB0-9426-414E-821D-A82721063497}"/>
    <cellStyle name="40% - Accent4 2 3 2 2 4" xfId="19802" xr:uid="{8BE4F622-57D5-48E0-8D92-24AF479A9A1A}"/>
    <cellStyle name="40% - Accent4 2 3 2 3" xfId="4995" xr:uid="{00000000-0005-0000-0000-0000CF050000}"/>
    <cellStyle name="40% - Accent4 2 3 2 3 2" xfId="13437" xr:uid="{CA39A5ED-74CE-4F45-9D3B-49D1AE1EEB3A}"/>
    <cellStyle name="40% - Accent4 2 3 2 3 3" xfId="21874" xr:uid="{A2810F6B-67C7-4349-A81D-F1238451590B}"/>
    <cellStyle name="40% - Accent4 2 3 2 4" xfId="9219" xr:uid="{FAC5922B-7C1D-4647-82B7-2AAB3FD46D36}"/>
    <cellStyle name="40% - Accent4 2 3 2 5" xfId="17657" xr:uid="{1EBDB556-C582-49B8-B0EA-A1A3271FB655}"/>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005B9E89-6A48-4BE8-B387-07307B1EFF7B}"/>
    <cellStyle name="40% - Accent4 2 3 3 2 2 3" xfId="24432" xr:uid="{60360CC1-4C1A-48E0-90F4-BC7A74817DDB}"/>
    <cellStyle name="40% - Accent4 2 3 3 2 3" xfId="11777" xr:uid="{63D204A2-A245-4697-82CB-F70E20ACF2C2}"/>
    <cellStyle name="40% - Accent4 2 3 3 2 4" xfId="20215" xr:uid="{05ED51DA-047B-49DE-B764-162B3694E83A}"/>
    <cellStyle name="40% - Accent4 2 3 3 3" xfId="5408" xr:uid="{00000000-0005-0000-0000-0000D3050000}"/>
    <cellStyle name="40% - Accent4 2 3 3 3 2" xfId="13850" xr:uid="{E5A8A644-3B01-4CEA-82F6-3662DA3EDA8A}"/>
    <cellStyle name="40% - Accent4 2 3 3 3 3" xfId="22287" xr:uid="{356210CA-29BF-4163-872E-10CEB7602BB6}"/>
    <cellStyle name="40% - Accent4 2 3 3 4" xfId="9632" xr:uid="{C747A61A-A0E8-4186-BB5F-32B9FD61CEEE}"/>
    <cellStyle name="40% - Accent4 2 3 3 5" xfId="18070" xr:uid="{DBA9A07C-42CD-4BB9-92CB-2D918E5A3627}"/>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26293545-0BEF-4168-983B-F9A33E828B11}"/>
    <cellStyle name="40% - Accent4 2 3 4 2 2 3" xfId="24845" xr:uid="{BB187E9B-A4FD-420D-9FF1-E2C50C416F0E}"/>
    <cellStyle name="40% - Accent4 2 3 4 2 3" xfId="12190" xr:uid="{A50BFA0B-26C2-4A33-86ED-B3ECDD23637B}"/>
    <cellStyle name="40% - Accent4 2 3 4 2 4" xfId="20628" xr:uid="{AAE08996-534A-4E1B-BB07-1A8FF04850FB}"/>
    <cellStyle name="40% - Accent4 2 3 4 3" xfId="5821" xr:uid="{00000000-0005-0000-0000-0000D7050000}"/>
    <cellStyle name="40% - Accent4 2 3 4 3 2" xfId="14263" xr:uid="{55B7DD10-608C-46A4-BC77-25E2B8178C70}"/>
    <cellStyle name="40% - Accent4 2 3 4 3 3" xfId="22700" xr:uid="{7A25F494-7858-4574-B735-40C6C2BEB399}"/>
    <cellStyle name="40% - Accent4 2 3 4 4" xfId="10045" xr:uid="{81EC4DD6-380A-497D-B41D-67F1559AD10D}"/>
    <cellStyle name="40% - Accent4 2 3 4 5" xfId="18483" xr:uid="{F72C03C7-A173-4260-88F0-AAEC07206728}"/>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BC8CC664-E387-4153-875E-1C1BC945D4B7}"/>
    <cellStyle name="40% - Accent4 2 3 5 2 2 3" xfId="25258" xr:uid="{12C2149A-E9CA-40D8-92C5-0759CBB2841D}"/>
    <cellStyle name="40% - Accent4 2 3 5 2 3" xfId="12603" xr:uid="{781CE1AF-F46C-4233-B827-7CFF886888A4}"/>
    <cellStyle name="40% - Accent4 2 3 5 2 4" xfId="21041" xr:uid="{A04C8B16-0255-4227-8F55-872703766F65}"/>
    <cellStyle name="40% - Accent4 2 3 5 3" xfId="6234" xr:uid="{00000000-0005-0000-0000-0000DB050000}"/>
    <cellStyle name="40% - Accent4 2 3 5 3 2" xfId="14676" xr:uid="{A1F8B1BC-0555-462A-B169-FDDE7A4B813B}"/>
    <cellStyle name="40% - Accent4 2 3 5 3 3" xfId="23113" xr:uid="{498C30B9-8978-4BBA-9D25-F44AC37B7DD5}"/>
    <cellStyle name="40% - Accent4 2 3 5 4" xfId="10458" xr:uid="{E2B04F23-9938-4902-BB0A-4222EEF0C19F}"/>
    <cellStyle name="40% - Accent4 2 3 5 5" xfId="18896" xr:uid="{AADCB451-96C8-4A8E-95A2-6C5C9CC72E5E}"/>
    <cellStyle name="40% - Accent4 2 3 6" xfId="2340" xr:uid="{00000000-0005-0000-0000-0000DC050000}"/>
    <cellStyle name="40% - Accent4 2 3 6 2" xfId="6647" xr:uid="{00000000-0005-0000-0000-0000DD050000}"/>
    <cellStyle name="40% - Accent4 2 3 6 2 2" xfId="15089" xr:uid="{1B54265F-8FE4-49F5-B9D7-E12248AE82AB}"/>
    <cellStyle name="40% - Accent4 2 3 6 2 3" xfId="23526" xr:uid="{E2E6F5EF-BC84-4F11-ABA0-27133CE8E443}"/>
    <cellStyle name="40% - Accent4 2 3 6 3" xfId="10871" xr:uid="{CDF25094-30E1-4B8B-98CF-C32B5197936D}"/>
    <cellStyle name="40% - Accent4 2 3 6 4" xfId="19309" xr:uid="{C3BAAFD4-85F3-4F29-976C-8C935634BB9B}"/>
    <cellStyle name="40% - Accent4 2 3 7" xfId="4581" xr:uid="{00000000-0005-0000-0000-0000DE050000}"/>
    <cellStyle name="40% - Accent4 2 3 7 2" xfId="13023" xr:uid="{BB2234B2-130B-40B2-925F-C7382E0F9909}"/>
    <cellStyle name="40% - Accent4 2 3 7 3" xfId="21460" xr:uid="{C4CF1AD0-CEC1-4042-BF9B-2DB54BCEA8DD}"/>
    <cellStyle name="40% - Accent4 2 3 8" xfId="8805" xr:uid="{FA621FC0-7133-4309-B17E-970DFB8D552C}"/>
    <cellStyle name="40% - Accent4 2 3 9" xfId="17243" xr:uid="{B15FBBC7-CB83-48C3-9DE8-C2CC9A37C5A4}"/>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1D39A866-8472-4D7B-BA44-C44C4F7CEE39}"/>
    <cellStyle name="40% - Accent4 2 4 2 2 3" xfId="24016" xr:uid="{0FEB6C77-AD3E-4F1A-A09D-A06F9ACF52FC}"/>
    <cellStyle name="40% - Accent4 2 4 2 3" xfId="11361" xr:uid="{DFAFBBDD-15C4-4A53-90C5-9ABCF8CEFAC4}"/>
    <cellStyle name="40% - Accent4 2 4 2 4" xfId="19799" xr:uid="{FD6FFD7D-F41F-4846-899F-549937495EB9}"/>
    <cellStyle name="40% - Accent4 2 4 3" xfId="4992" xr:uid="{00000000-0005-0000-0000-0000E2050000}"/>
    <cellStyle name="40% - Accent4 2 4 3 2" xfId="13434" xr:uid="{976890DD-192C-4E38-BD8D-3E8A5C5DF5FB}"/>
    <cellStyle name="40% - Accent4 2 4 3 3" xfId="21871" xr:uid="{0622EC4F-A573-4B90-956A-2FE5FF4FD140}"/>
    <cellStyle name="40% - Accent4 2 4 4" xfId="9216" xr:uid="{84D5820B-F87C-4C8F-AE5C-C3435D0453BA}"/>
    <cellStyle name="40% - Accent4 2 4 5" xfId="17654" xr:uid="{999F5272-83C6-4DC3-9E15-BAFCDA13A1AB}"/>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76B68DA7-117E-475C-AC28-8CDD33A60F85}"/>
    <cellStyle name="40% - Accent4 2 5 2 2 3" xfId="24429" xr:uid="{B298B484-EED2-4ADD-A073-ABECCEBA9944}"/>
    <cellStyle name="40% - Accent4 2 5 2 3" xfId="11774" xr:uid="{AEA64848-EA30-446F-B97D-B5D1B45A996D}"/>
    <cellStyle name="40% - Accent4 2 5 2 4" xfId="20212" xr:uid="{178FA71A-42C2-45C7-B1F2-8455106DEAFA}"/>
    <cellStyle name="40% - Accent4 2 5 3" xfId="5405" xr:uid="{00000000-0005-0000-0000-0000E6050000}"/>
    <cellStyle name="40% - Accent4 2 5 3 2" xfId="13847" xr:uid="{6E19A6FF-74F6-41C0-8BCB-24251911B786}"/>
    <cellStyle name="40% - Accent4 2 5 3 3" xfId="22284" xr:uid="{E76C9EB2-40AC-46F5-A9BB-840CE4A5A335}"/>
    <cellStyle name="40% - Accent4 2 5 4" xfId="9629" xr:uid="{E4F817C3-B94C-449D-AA4C-B9CAB40ABDBA}"/>
    <cellStyle name="40% - Accent4 2 5 5" xfId="18067" xr:uid="{633908F4-AA99-48DC-B3E2-C9E78EC261F9}"/>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F2292333-3CDB-45F5-BA3A-831F5F276051}"/>
    <cellStyle name="40% - Accent4 2 6 2 2 3" xfId="24842" xr:uid="{C8937304-9603-4817-A546-2FE5A73344FB}"/>
    <cellStyle name="40% - Accent4 2 6 2 3" xfId="12187" xr:uid="{13C25A6D-C3B0-43E5-9834-6B0835667D1F}"/>
    <cellStyle name="40% - Accent4 2 6 2 4" xfId="20625" xr:uid="{36FAA897-5F38-4CD4-881A-AA38DCEA608D}"/>
    <cellStyle name="40% - Accent4 2 6 3" xfId="5818" xr:uid="{00000000-0005-0000-0000-0000EA050000}"/>
    <cellStyle name="40% - Accent4 2 6 3 2" xfId="14260" xr:uid="{68360962-25B9-4C46-A21C-9405C43542EC}"/>
    <cellStyle name="40% - Accent4 2 6 3 3" xfId="22697" xr:uid="{7ED81F25-5591-4E44-937C-47A76E962065}"/>
    <cellStyle name="40% - Accent4 2 6 4" xfId="10042" xr:uid="{91858E66-634C-45AE-9854-7F04595859C2}"/>
    <cellStyle name="40% - Accent4 2 6 5" xfId="18480" xr:uid="{82002D4A-1630-422E-B3A3-A65C06ABF29E}"/>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3A96126E-E9DB-4AA9-B5E5-60A47BF09A29}"/>
    <cellStyle name="40% - Accent4 2 7 2 2 3" xfId="25255" xr:uid="{8D4CF0FC-D56C-489B-8654-CF71ED7327DC}"/>
    <cellStyle name="40% - Accent4 2 7 2 3" xfId="12600" xr:uid="{91994902-11D6-46E6-91B4-573CC59D43AE}"/>
    <cellStyle name="40% - Accent4 2 7 2 4" xfId="21038" xr:uid="{45927266-2D5F-4DF6-ABA5-99E3912A0F3D}"/>
    <cellStyle name="40% - Accent4 2 7 3" xfId="6231" xr:uid="{00000000-0005-0000-0000-0000EE050000}"/>
    <cellStyle name="40% - Accent4 2 7 3 2" xfId="14673" xr:uid="{DD06818D-51FE-4D11-91D6-81BE95972389}"/>
    <cellStyle name="40% - Accent4 2 7 3 3" xfId="23110" xr:uid="{76A39E52-B212-40C2-A981-B66870F07D59}"/>
    <cellStyle name="40% - Accent4 2 7 4" xfId="10455" xr:uid="{47063CF6-DC68-4184-86A4-651351C71632}"/>
    <cellStyle name="40% - Accent4 2 7 5" xfId="18893" xr:uid="{B8A96992-0CB6-484B-B8BB-7426D7D3BF84}"/>
    <cellStyle name="40% - Accent4 2 8" xfId="2337" xr:uid="{00000000-0005-0000-0000-0000EF050000}"/>
    <cellStyle name="40% - Accent4 2 8 2" xfId="6644" xr:uid="{00000000-0005-0000-0000-0000F0050000}"/>
    <cellStyle name="40% - Accent4 2 8 2 2" xfId="15086" xr:uid="{FB7386EB-41FA-4391-88CF-89A8352E42FA}"/>
    <cellStyle name="40% - Accent4 2 8 2 3" xfId="23523" xr:uid="{7DF4A86D-7698-412B-87EB-194EFB4979A2}"/>
    <cellStyle name="40% - Accent4 2 8 3" xfId="10868" xr:uid="{496CE4B9-9C06-41D9-99D2-8914ECE4F013}"/>
    <cellStyle name="40% - Accent4 2 8 4" xfId="19306" xr:uid="{EA2E58B2-E437-4E5C-8B8C-D7B95C8F4E39}"/>
    <cellStyle name="40% - Accent4 2 9" xfId="4578" xr:uid="{00000000-0005-0000-0000-0000F1050000}"/>
    <cellStyle name="40% - Accent4 2 9 2" xfId="13020" xr:uid="{C1DC237B-D7C4-4070-A2DF-757A5E57A0EC}"/>
    <cellStyle name="40% - Accent4 2 9 3" xfId="21457" xr:uid="{63697D3D-F3E0-49DE-B733-CE99AEFB6A7B}"/>
    <cellStyle name="40% - Accent4 3" xfId="78" xr:uid="{00000000-0005-0000-0000-0000F2050000}"/>
    <cellStyle name="40% - Accent4 3 10" xfId="17244" xr:uid="{A0469653-E1FF-400B-8797-6E79E0749864}"/>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BC2B4539-9808-40BC-A55E-2BB6CA5FAF6A}"/>
    <cellStyle name="40% - Accent4 3 2 2 2 2 3" xfId="24021" xr:uid="{346A06CC-EDC6-4E55-8C3B-DD31169B64B3}"/>
    <cellStyle name="40% - Accent4 3 2 2 2 3" xfId="11366" xr:uid="{25DB8C4E-D4B4-4683-B8B5-58B8B06265A6}"/>
    <cellStyle name="40% - Accent4 3 2 2 2 4" xfId="19804" xr:uid="{20C87A9E-43E7-44D7-9044-76509E508986}"/>
    <cellStyle name="40% - Accent4 3 2 2 3" xfId="4997" xr:uid="{00000000-0005-0000-0000-0000F7050000}"/>
    <cellStyle name="40% - Accent4 3 2 2 3 2" xfId="13439" xr:uid="{FEA81E65-B074-4C35-9914-2929BA9BD044}"/>
    <cellStyle name="40% - Accent4 3 2 2 3 3" xfId="21876" xr:uid="{64C06D45-E565-40DC-BDE2-BA33C4B039B3}"/>
    <cellStyle name="40% - Accent4 3 2 2 4" xfId="9221" xr:uid="{46633825-E9A8-4FC3-AD19-36A241A11507}"/>
    <cellStyle name="40% - Accent4 3 2 2 5" xfId="17659" xr:uid="{4D5B9291-AFAC-4B37-A8EF-66FC70679F37}"/>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1DA016FC-92F3-4BF7-8A7E-5C3C083D09FA}"/>
    <cellStyle name="40% - Accent4 3 2 3 2 2 3" xfId="24434" xr:uid="{9BA3FA12-FFE1-4C55-94DF-E67BC311455E}"/>
    <cellStyle name="40% - Accent4 3 2 3 2 3" xfId="11779" xr:uid="{3E653216-5BD7-403F-807D-89B8FFD85ADC}"/>
    <cellStyle name="40% - Accent4 3 2 3 2 4" xfId="20217" xr:uid="{49979D30-460D-4C3B-BF18-E5B31F66458F}"/>
    <cellStyle name="40% - Accent4 3 2 3 3" xfId="5410" xr:uid="{00000000-0005-0000-0000-0000FB050000}"/>
    <cellStyle name="40% - Accent4 3 2 3 3 2" xfId="13852" xr:uid="{8767A1C6-54E9-4C2F-935D-DC8F47A28ABD}"/>
    <cellStyle name="40% - Accent4 3 2 3 3 3" xfId="22289" xr:uid="{F945565D-6D77-44D4-A6B6-424DEC823B90}"/>
    <cellStyle name="40% - Accent4 3 2 3 4" xfId="9634" xr:uid="{EE54AC16-54E8-45B4-A4D1-F6A86F2A5675}"/>
    <cellStyle name="40% - Accent4 3 2 3 5" xfId="18072" xr:uid="{DD8A5CB6-355B-478D-88BF-66C209CC6C11}"/>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FA044BC5-6DE7-4354-AB44-246819A21EAD}"/>
    <cellStyle name="40% - Accent4 3 2 4 2 2 3" xfId="24847" xr:uid="{4F3E977F-A353-45AC-8E0D-0520DE646C23}"/>
    <cellStyle name="40% - Accent4 3 2 4 2 3" xfId="12192" xr:uid="{61B8347D-CB5B-4F87-9591-092622BE1B3B}"/>
    <cellStyle name="40% - Accent4 3 2 4 2 4" xfId="20630" xr:uid="{38DFD346-689A-4108-A50E-FAA2ED2CECFB}"/>
    <cellStyle name="40% - Accent4 3 2 4 3" xfId="5823" xr:uid="{00000000-0005-0000-0000-0000FF050000}"/>
    <cellStyle name="40% - Accent4 3 2 4 3 2" xfId="14265" xr:uid="{E55AD39C-A79B-4752-88EA-2358849C3508}"/>
    <cellStyle name="40% - Accent4 3 2 4 3 3" xfId="22702" xr:uid="{4E1766EB-A83D-4E5D-8AFC-D2FE32807168}"/>
    <cellStyle name="40% - Accent4 3 2 4 4" xfId="10047" xr:uid="{7A01A80E-8BCF-46DF-A2B3-F9E05823E47F}"/>
    <cellStyle name="40% - Accent4 3 2 4 5" xfId="18485" xr:uid="{3F31F15C-2FCB-49B3-ACEF-6DE3B646EE78}"/>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B0DAAFD8-E869-4644-BCB5-658B10B75442}"/>
    <cellStyle name="40% - Accent4 3 2 5 2 2 3" xfId="25260" xr:uid="{C61E9C4E-DC8A-46D4-92DD-23980DA2850A}"/>
    <cellStyle name="40% - Accent4 3 2 5 2 3" xfId="12605" xr:uid="{97472699-0AEF-4873-83A6-31F33F2E1DE2}"/>
    <cellStyle name="40% - Accent4 3 2 5 2 4" xfId="21043" xr:uid="{ACC3E49B-637E-43DC-9576-03C789EC5D65}"/>
    <cellStyle name="40% - Accent4 3 2 5 3" xfId="6236" xr:uid="{00000000-0005-0000-0000-000003060000}"/>
    <cellStyle name="40% - Accent4 3 2 5 3 2" xfId="14678" xr:uid="{11898314-662A-4C9F-A15C-839C3ED90DBF}"/>
    <cellStyle name="40% - Accent4 3 2 5 3 3" xfId="23115" xr:uid="{AFC6A61B-5845-4B90-9DC7-21DC7F69DDD0}"/>
    <cellStyle name="40% - Accent4 3 2 5 4" xfId="10460" xr:uid="{9C55654F-8128-4060-A7E8-04BB34E3F37F}"/>
    <cellStyle name="40% - Accent4 3 2 5 5" xfId="18898" xr:uid="{0BA6EC09-0C75-4340-A176-ABE6B8640680}"/>
    <cellStyle name="40% - Accent4 3 2 6" xfId="2342" xr:uid="{00000000-0005-0000-0000-000004060000}"/>
    <cellStyle name="40% - Accent4 3 2 6 2" xfId="6649" xr:uid="{00000000-0005-0000-0000-000005060000}"/>
    <cellStyle name="40% - Accent4 3 2 6 2 2" xfId="15091" xr:uid="{B162387B-EDF5-4A08-9700-9FE9CF0A8C75}"/>
    <cellStyle name="40% - Accent4 3 2 6 2 3" xfId="23528" xr:uid="{F521443B-BAC9-4517-BC5E-92EA0F0261B7}"/>
    <cellStyle name="40% - Accent4 3 2 6 3" xfId="10873" xr:uid="{5DC8C39B-9922-4298-A4C0-59B76889E435}"/>
    <cellStyle name="40% - Accent4 3 2 6 4" xfId="19311" xr:uid="{DA42EC75-69AE-44AE-A818-E05F04D351A4}"/>
    <cellStyle name="40% - Accent4 3 2 7" xfId="4583" xr:uid="{00000000-0005-0000-0000-000006060000}"/>
    <cellStyle name="40% - Accent4 3 2 7 2" xfId="13025" xr:uid="{99754909-FFCF-4D9D-A0AE-B9E6AC00CEDD}"/>
    <cellStyle name="40% - Accent4 3 2 7 3" xfId="21462" xr:uid="{4E324039-00A5-4C15-BF7E-9311EDAD578D}"/>
    <cellStyle name="40% - Accent4 3 2 8" xfId="8807" xr:uid="{8A365921-1425-44E6-9685-87587FFE82B0}"/>
    <cellStyle name="40% - Accent4 3 2 9" xfId="17245" xr:uid="{796E7667-8C32-400B-9686-5E116154BE1A}"/>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6EA15E83-7155-4B1F-B9D9-D5E68646BA3F}"/>
    <cellStyle name="40% - Accent4 3 3 2 2 3" xfId="24020" xr:uid="{1DB1EDCB-308E-4211-A816-CD9101C9827C}"/>
    <cellStyle name="40% - Accent4 3 3 2 3" xfId="11365" xr:uid="{AF666492-5B1A-4763-88C0-ED02361A242C}"/>
    <cellStyle name="40% - Accent4 3 3 2 4" xfId="19803" xr:uid="{C5931542-CD75-4159-8591-E38DFDB8B69E}"/>
    <cellStyle name="40% - Accent4 3 3 3" xfId="4996" xr:uid="{00000000-0005-0000-0000-00000A060000}"/>
    <cellStyle name="40% - Accent4 3 3 3 2" xfId="13438" xr:uid="{6C206925-1095-4673-9A98-85064AACB366}"/>
    <cellStyle name="40% - Accent4 3 3 3 3" xfId="21875" xr:uid="{2EBF931D-8E24-4106-BF06-A302B46EDCF9}"/>
    <cellStyle name="40% - Accent4 3 3 4" xfId="9220" xr:uid="{486751F1-5322-42B8-9593-9614BC470306}"/>
    <cellStyle name="40% - Accent4 3 3 5" xfId="17658" xr:uid="{8C591196-A125-4685-A9E0-6FFB0254559D}"/>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F64A4642-0394-427E-B2C9-4D6CF39C0599}"/>
    <cellStyle name="40% - Accent4 3 4 2 2 3" xfId="24433" xr:uid="{A562A701-672C-43B4-84B0-83FB09C2EB8F}"/>
    <cellStyle name="40% - Accent4 3 4 2 3" xfId="11778" xr:uid="{1F781BE2-2677-467B-9DBA-FF1577DAAB55}"/>
    <cellStyle name="40% - Accent4 3 4 2 4" xfId="20216" xr:uid="{5AFED3B0-6FFE-498C-B759-539905EFC290}"/>
    <cellStyle name="40% - Accent4 3 4 3" xfId="5409" xr:uid="{00000000-0005-0000-0000-00000E060000}"/>
    <cellStyle name="40% - Accent4 3 4 3 2" xfId="13851" xr:uid="{30E68182-5624-4FE8-A1C3-401F30D37EF3}"/>
    <cellStyle name="40% - Accent4 3 4 3 3" xfId="22288" xr:uid="{5E32DB6B-C67D-41AA-B051-856446F38E29}"/>
    <cellStyle name="40% - Accent4 3 4 4" xfId="9633" xr:uid="{17725D83-5EBE-4AF2-80BA-C05EF58F8F77}"/>
    <cellStyle name="40% - Accent4 3 4 5" xfId="18071" xr:uid="{2D9DE5DF-C400-43A2-82F8-7B342209E48C}"/>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D217B493-40D1-42BC-965A-D787B5C514B9}"/>
    <cellStyle name="40% - Accent4 3 5 2 2 3" xfId="24846" xr:uid="{CB4FA517-F37E-453A-AA4D-986DCC8190C7}"/>
    <cellStyle name="40% - Accent4 3 5 2 3" xfId="12191" xr:uid="{7DECE923-D7BE-45DB-A300-C970DC87709B}"/>
    <cellStyle name="40% - Accent4 3 5 2 4" xfId="20629" xr:uid="{1295F63C-019B-4657-9F13-85CFBA279AC9}"/>
    <cellStyle name="40% - Accent4 3 5 3" xfId="5822" xr:uid="{00000000-0005-0000-0000-000012060000}"/>
    <cellStyle name="40% - Accent4 3 5 3 2" xfId="14264" xr:uid="{D562A415-C684-4D3C-85A8-CFAA5687F2C5}"/>
    <cellStyle name="40% - Accent4 3 5 3 3" xfId="22701" xr:uid="{E73FBEAC-9F4E-41BC-9A10-B4D220A699BB}"/>
    <cellStyle name="40% - Accent4 3 5 4" xfId="10046" xr:uid="{8A9A3171-B0FB-4B31-90FB-70FE3C5A2D0E}"/>
    <cellStyle name="40% - Accent4 3 5 5" xfId="18484" xr:uid="{F27AEB95-5801-4CA9-BBFF-FF66B43276C4}"/>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F7A2C735-79E1-4E1D-96D8-A6AF999ABE0E}"/>
    <cellStyle name="40% - Accent4 3 6 2 2 3" xfId="25259" xr:uid="{D58BB76C-FEB2-4B89-9A17-FE62174E5D63}"/>
    <cellStyle name="40% - Accent4 3 6 2 3" xfId="12604" xr:uid="{D3CFFE82-3D75-4AB0-9F16-4CD95F641490}"/>
    <cellStyle name="40% - Accent4 3 6 2 4" xfId="21042" xr:uid="{B9748010-C0C0-46BD-8106-975F8B203DD9}"/>
    <cellStyle name="40% - Accent4 3 6 3" xfId="6235" xr:uid="{00000000-0005-0000-0000-000016060000}"/>
    <cellStyle name="40% - Accent4 3 6 3 2" xfId="14677" xr:uid="{FE9CD32D-6912-47D7-BAEF-06E8AB33B999}"/>
    <cellStyle name="40% - Accent4 3 6 3 3" xfId="23114" xr:uid="{BCA6D92A-829C-4B59-8658-7A05295B2A97}"/>
    <cellStyle name="40% - Accent4 3 6 4" xfId="10459" xr:uid="{B6D99A8C-2098-4B00-AB2D-1F3A3CD92183}"/>
    <cellStyle name="40% - Accent4 3 6 5" xfId="18897" xr:uid="{320E83C1-F763-4A01-B64A-0010850CAD3E}"/>
    <cellStyle name="40% - Accent4 3 7" xfId="2341" xr:uid="{00000000-0005-0000-0000-000017060000}"/>
    <cellStyle name="40% - Accent4 3 7 2" xfId="6648" xr:uid="{00000000-0005-0000-0000-000018060000}"/>
    <cellStyle name="40% - Accent4 3 7 2 2" xfId="15090" xr:uid="{871EA939-5B97-4561-9127-4EBCAB655EB9}"/>
    <cellStyle name="40% - Accent4 3 7 2 3" xfId="23527" xr:uid="{3021B39A-6993-4C14-A301-B5B06FBD2B8B}"/>
    <cellStyle name="40% - Accent4 3 7 3" xfId="10872" xr:uid="{E16CC97D-A98A-4250-B8A3-6348D6B2D540}"/>
    <cellStyle name="40% - Accent4 3 7 4" xfId="19310" xr:uid="{C10B87DC-8BF1-4008-A84E-F14590359FB5}"/>
    <cellStyle name="40% - Accent4 3 8" xfId="4582" xr:uid="{00000000-0005-0000-0000-000019060000}"/>
    <cellStyle name="40% - Accent4 3 8 2" xfId="13024" xr:uid="{25CBE9A6-5060-4F0C-8A23-320EE6228A25}"/>
    <cellStyle name="40% - Accent4 3 8 3" xfId="21461" xr:uid="{B67EA0AA-9BB1-4470-AC5D-B185D7A9DDB0}"/>
    <cellStyle name="40% - Accent4 3 9" xfId="8806" xr:uid="{9AADFD38-8D67-443B-AC0E-45E88BF656D5}"/>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7E12A355-6931-44F0-A695-6777D7D01923}"/>
    <cellStyle name="40% - Accent4 4 2 2 2 3" xfId="24022" xr:uid="{9E3BE225-F97D-43BF-8594-F072A75FA448}"/>
    <cellStyle name="40% - Accent4 4 2 2 3" xfId="11367" xr:uid="{53C45E62-901A-4B1D-AF96-7A5C28917E00}"/>
    <cellStyle name="40% - Accent4 4 2 2 4" xfId="19805" xr:uid="{32FF8FB5-3723-4C0B-AE17-74359E014EC8}"/>
    <cellStyle name="40% - Accent4 4 2 3" xfId="4998" xr:uid="{00000000-0005-0000-0000-00001E060000}"/>
    <cellStyle name="40% - Accent4 4 2 3 2" xfId="13440" xr:uid="{ADC259B5-A917-449C-809B-30A5D77BA126}"/>
    <cellStyle name="40% - Accent4 4 2 3 3" xfId="21877" xr:uid="{994955C6-8890-4EAD-B7C7-DBCAEFBB8BFE}"/>
    <cellStyle name="40% - Accent4 4 2 4" xfId="9222" xr:uid="{C3B50644-E5BD-4941-A5F1-492D9329BB46}"/>
    <cellStyle name="40% - Accent4 4 2 5" xfId="17660" xr:uid="{0573D9A2-62C0-451B-A94E-70816A7BE076}"/>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20B2B171-8951-4091-AD6E-0EE56546374D}"/>
    <cellStyle name="40% - Accent4 4 3 2 2 3" xfId="24435" xr:uid="{4F6519D9-550D-49A9-A11C-0C31F94FA8D1}"/>
    <cellStyle name="40% - Accent4 4 3 2 3" xfId="11780" xr:uid="{90EF50C0-AB8D-4B95-854C-8CC2698B8955}"/>
    <cellStyle name="40% - Accent4 4 3 2 4" xfId="20218" xr:uid="{77E952D3-6B71-4241-A8E8-FA8BBA82CA35}"/>
    <cellStyle name="40% - Accent4 4 3 3" xfId="5411" xr:uid="{00000000-0005-0000-0000-000022060000}"/>
    <cellStyle name="40% - Accent4 4 3 3 2" xfId="13853" xr:uid="{A71EF796-1AC8-41B3-A8BA-C82467FE0DCA}"/>
    <cellStyle name="40% - Accent4 4 3 3 3" xfId="22290" xr:uid="{EDD47EF5-7105-4292-8171-57074E3F6E04}"/>
    <cellStyle name="40% - Accent4 4 3 4" xfId="9635" xr:uid="{183800F0-ACB1-464D-9BFE-7E989C8EBF92}"/>
    <cellStyle name="40% - Accent4 4 3 5" xfId="18073" xr:uid="{D1278930-668F-4861-B3BF-40906FB05D44}"/>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046391DB-649B-479F-B7F7-CDD8FC83EFFF}"/>
    <cellStyle name="40% - Accent4 4 4 2 2 3" xfId="24848" xr:uid="{22AF154A-CB42-4FD8-B388-8AC00FC2840B}"/>
    <cellStyle name="40% - Accent4 4 4 2 3" xfId="12193" xr:uid="{5AA51474-8D6A-46B4-8948-F661A2D7605D}"/>
    <cellStyle name="40% - Accent4 4 4 2 4" xfId="20631" xr:uid="{1C56BA2D-6929-4496-9647-4A81423FE8AA}"/>
    <cellStyle name="40% - Accent4 4 4 3" xfId="5824" xr:uid="{00000000-0005-0000-0000-000026060000}"/>
    <cellStyle name="40% - Accent4 4 4 3 2" xfId="14266" xr:uid="{B9D6EC20-0137-465C-9516-3104FB43CF19}"/>
    <cellStyle name="40% - Accent4 4 4 3 3" xfId="22703" xr:uid="{DBB8315F-33BD-443A-8EF1-AF1A29924F07}"/>
    <cellStyle name="40% - Accent4 4 4 4" xfId="10048" xr:uid="{42E7EF7C-C06E-4019-826C-B00E9FE008A0}"/>
    <cellStyle name="40% - Accent4 4 4 5" xfId="18486" xr:uid="{C06016B9-797E-49C4-BFF2-898E209B3E75}"/>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0F4A1779-26A5-4D58-A5A1-73E5700E7115}"/>
    <cellStyle name="40% - Accent4 4 5 2 2 3" xfId="25261" xr:uid="{2C5A5723-7257-4128-9AD0-8CA5E5A9D3EF}"/>
    <cellStyle name="40% - Accent4 4 5 2 3" xfId="12606" xr:uid="{ABA95592-C22F-4A23-9695-E3939AD41EC8}"/>
    <cellStyle name="40% - Accent4 4 5 2 4" xfId="21044" xr:uid="{A2D86057-53A9-49F9-A0BA-7BFB9F794BE7}"/>
    <cellStyle name="40% - Accent4 4 5 3" xfId="6237" xr:uid="{00000000-0005-0000-0000-00002A060000}"/>
    <cellStyle name="40% - Accent4 4 5 3 2" xfId="14679" xr:uid="{5BE0F118-4F1B-4A4A-A3A8-3C222F2E33A9}"/>
    <cellStyle name="40% - Accent4 4 5 3 3" xfId="23116" xr:uid="{008E2606-57DD-445D-BAC7-B69F12F3448A}"/>
    <cellStyle name="40% - Accent4 4 5 4" xfId="10461" xr:uid="{482DE6BD-875C-4E08-9E10-2E0C1D6A978D}"/>
    <cellStyle name="40% - Accent4 4 5 5" xfId="18899" xr:uid="{15742F3C-50E9-492E-BCAA-1FB2A6A3BECD}"/>
    <cellStyle name="40% - Accent4 4 6" xfId="2343" xr:uid="{00000000-0005-0000-0000-00002B060000}"/>
    <cellStyle name="40% - Accent4 4 6 2" xfId="6650" xr:uid="{00000000-0005-0000-0000-00002C060000}"/>
    <cellStyle name="40% - Accent4 4 6 2 2" xfId="15092" xr:uid="{5C125D97-638D-4D4F-99C1-5C367668C05C}"/>
    <cellStyle name="40% - Accent4 4 6 2 3" xfId="23529" xr:uid="{609B33AA-36BC-4823-8EE6-356A09506714}"/>
    <cellStyle name="40% - Accent4 4 6 3" xfId="10874" xr:uid="{4E3FC2F6-BC38-4229-B31E-EAB358ADA06C}"/>
    <cellStyle name="40% - Accent4 4 6 4" xfId="19312" xr:uid="{2403790E-4DDB-41B1-A079-E12047A6C605}"/>
    <cellStyle name="40% - Accent4 4 7" xfId="4584" xr:uid="{00000000-0005-0000-0000-00002D060000}"/>
    <cellStyle name="40% - Accent4 4 7 2" xfId="13026" xr:uid="{AA5C2715-C6FA-4432-8AFE-F1C46DE6CA4E}"/>
    <cellStyle name="40% - Accent4 4 7 3" xfId="21463" xr:uid="{539C8164-698B-4F25-B6A8-C4425315CA2D}"/>
    <cellStyle name="40% - Accent4 4 8" xfId="8808" xr:uid="{5960FF9B-BF0D-4C84-B502-CEF66521CE4F}"/>
    <cellStyle name="40% - Accent4 4 9" xfId="17246" xr:uid="{028E397F-091C-46F2-81E0-168EB539ACC6}"/>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2826E1FE-311C-4377-9E6F-E5FE1E27BDF4}"/>
    <cellStyle name="40% - Accent4 5 2 2 3" xfId="24015" xr:uid="{9A0352E1-7769-40DC-9ED7-53C7CD308A3F}"/>
    <cellStyle name="40% - Accent4 5 2 3" xfId="11360" xr:uid="{F0A0CBCB-44C8-451B-93B0-0C8B38156879}"/>
    <cellStyle name="40% - Accent4 5 2 4" xfId="19798" xr:uid="{0CE904A9-0BDE-4A60-8468-A3D693B31F02}"/>
    <cellStyle name="40% - Accent4 5 3" xfId="4991" xr:uid="{00000000-0005-0000-0000-000031060000}"/>
    <cellStyle name="40% - Accent4 5 3 2" xfId="13433" xr:uid="{3F9F8E9B-3BDC-4CF3-84BA-8B24EB136CED}"/>
    <cellStyle name="40% - Accent4 5 3 3" xfId="21870" xr:uid="{7293E0F7-8CB7-431F-AE65-38E9AEB7A0D9}"/>
    <cellStyle name="40% - Accent4 5 4" xfId="9215" xr:uid="{125B720A-5970-48AF-9536-8202FFECC473}"/>
    <cellStyle name="40% - Accent4 5 5" xfId="17653" xr:uid="{E7E8075C-B4A2-4F9E-8DC8-19D50492C747}"/>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C1907986-F5A2-435B-90B7-78F247336634}"/>
    <cellStyle name="40% - Accent4 6 2 2 3" xfId="24428" xr:uid="{CDAE93E3-7B95-4A36-859D-CF9469F62818}"/>
    <cellStyle name="40% - Accent4 6 2 3" xfId="11773" xr:uid="{328BBDA0-ADA0-4644-9A3F-EC513B9EE1A7}"/>
    <cellStyle name="40% - Accent4 6 2 4" xfId="20211" xr:uid="{DBFC99B1-85E2-44CF-8EC9-5893A16C1C9E}"/>
    <cellStyle name="40% - Accent4 6 3" xfId="5404" xr:uid="{00000000-0005-0000-0000-000035060000}"/>
    <cellStyle name="40% - Accent4 6 3 2" xfId="13846" xr:uid="{909D1C9F-D13E-4AD7-8614-CE706FCF41DD}"/>
    <cellStyle name="40% - Accent4 6 3 3" xfId="22283" xr:uid="{36293FE7-C67B-4045-BAED-7C79F934889E}"/>
    <cellStyle name="40% - Accent4 6 4" xfId="9628" xr:uid="{D3F79DD0-AF81-450C-8212-E36C7C521275}"/>
    <cellStyle name="40% - Accent4 6 5" xfId="18066" xr:uid="{C05164BA-A600-4CB4-BE5C-EAD0796F540B}"/>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8B7E96DC-3F1A-4878-AC31-AF4BE931D131}"/>
    <cellStyle name="40% - Accent4 7 2 2 3" xfId="24841" xr:uid="{6286D7C7-674B-4E38-BEA8-67976B9449C7}"/>
    <cellStyle name="40% - Accent4 7 2 3" xfId="12186" xr:uid="{9365754B-CBC6-455C-8FF4-63E8B0709A59}"/>
    <cellStyle name="40% - Accent4 7 2 4" xfId="20624" xr:uid="{C205BD1C-9824-454E-947D-ACCD6DBB80FA}"/>
    <cellStyle name="40% - Accent4 7 3" xfId="5817" xr:uid="{00000000-0005-0000-0000-000039060000}"/>
    <cellStyle name="40% - Accent4 7 3 2" xfId="14259" xr:uid="{8948E971-2947-4E74-95B6-82A612495A33}"/>
    <cellStyle name="40% - Accent4 7 3 3" xfId="22696" xr:uid="{BAFCAE87-7BC0-4595-B983-50F006705A00}"/>
    <cellStyle name="40% - Accent4 7 4" xfId="10041" xr:uid="{10F6AFD9-21D5-43AE-A060-90FCBAA1B472}"/>
    <cellStyle name="40% - Accent4 7 5" xfId="18479" xr:uid="{93E192E6-BEF1-4948-A0DF-00DBCDEE047E}"/>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2859E3C4-BD96-467B-87C6-CE621832B3DE}"/>
    <cellStyle name="40% - Accent4 8 2 2 3" xfId="25254" xr:uid="{CB1DF3D7-D732-4897-9C1C-84B615394DF1}"/>
    <cellStyle name="40% - Accent4 8 2 3" xfId="12599" xr:uid="{5B354B34-C8CB-4AA2-B1F8-4002DA2EC2FC}"/>
    <cellStyle name="40% - Accent4 8 2 4" xfId="21037" xr:uid="{B260EAE7-C630-4945-92D8-4495DB4EF9B6}"/>
    <cellStyle name="40% - Accent4 8 3" xfId="6230" xr:uid="{00000000-0005-0000-0000-00003D060000}"/>
    <cellStyle name="40% - Accent4 8 3 2" xfId="14672" xr:uid="{5DB5378E-319D-45CF-B95B-4EB17298BBE5}"/>
    <cellStyle name="40% - Accent4 8 3 3" xfId="23109" xr:uid="{56DEEC40-2CD2-44C5-97DB-D977827B25ED}"/>
    <cellStyle name="40% - Accent4 8 4" xfId="10454" xr:uid="{974FDFD5-4805-4B2A-8FE3-A9FB40135E06}"/>
    <cellStyle name="40% - Accent4 8 5" xfId="18892" xr:uid="{4042F50C-1052-44BA-9A7D-B13526604592}"/>
    <cellStyle name="40% - Accent4 9" xfId="2336" xr:uid="{00000000-0005-0000-0000-00003E060000}"/>
    <cellStyle name="40% - Accent4 9 2" xfId="6643" xr:uid="{00000000-0005-0000-0000-00003F060000}"/>
    <cellStyle name="40% - Accent4 9 2 2" xfId="15085" xr:uid="{CDE66660-34E0-425F-8D29-CAE5EF18A92D}"/>
    <cellStyle name="40% - Accent4 9 2 3" xfId="23522" xr:uid="{76090D54-A62D-4912-85C1-DDDCD13B743F}"/>
    <cellStyle name="40% - Accent4 9 3" xfId="10867" xr:uid="{13FE2629-B396-48AA-A874-EE7E5F82204E}"/>
    <cellStyle name="40% - Accent4 9 4" xfId="19305" xr:uid="{C5A55A9F-6B38-4757-A355-6B58DD09BAD0}"/>
    <cellStyle name="40% - Accent5" xfId="81" builtinId="47" customBuiltin="1"/>
    <cellStyle name="40% - Accent5 10" xfId="4585" xr:uid="{00000000-0005-0000-0000-000041060000}"/>
    <cellStyle name="40% - Accent5 10 2" xfId="13027" xr:uid="{8346C30D-0F30-4DD8-A19B-571312398143}"/>
    <cellStyle name="40% - Accent5 10 3" xfId="21464" xr:uid="{330142EF-0641-4E54-B4BF-57DFD12864F9}"/>
    <cellStyle name="40% - Accent5 11" xfId="8809" xr:uid="{A398C60B-6DAE-4126-B3DF-DD42E5AD4F7A}"/>
    <cellStyle name="40% - Accent5 12" xfId="17247" xr:uid="{FC7CC478-8807-4F0A-8B41-018A8858A45C}"/>
    <cellStyle name="40% - Accent5 2" xfId="82" xr:uid="{00000000-0005-0000-0000-000042060000}"/>
    <cellStyle name="40% - Accent5 2 10" xfId="8810" xr:uid="{3F0047D4-587A-440B-B11A-CD0A10C77849}"/>
    <cellStyle name="40% - Accent5 2 11" xfId="17248" xr:uid="{6AA01CE8-0A87-45B4-8DAE-ECB4D9BCAE27}"/>
    <cellStyle name="40% - Accent5 2 2" xfId="83" xr:uid="{00000000-0005-0000-0000-000043060000}"/>
    <cellStyle name="40% - Accent5 2 2 10" xfId="17249" xr:uid="{0724E317-B9FC-40A3-898E-443F06C4833D}"/>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6DC9AAFB-1972-4A4E-AFC4-098D9C528393}"/>
    <cellStyle name="40% - Accent5 2 2 2 2 2 2 3" xfId="24026" xr:uid="{39E3F72A-DC95-4AB2-B6F0-7C48674FBF77}"/>
    <cellStyle name="40% - Accent5 2 2 2 2 2 3" xfId="11371" xr:uid="{C0FDFB88-8E23-4320-8D03-891E1428907F}"/>
    <cellStyle name="40% - Accent5 2 2 2 2 2 4" xfId="19809" xr:uid="{5905AE12-1C18-4CA7-9DB8-B5DDCF164085}"/>
    <cellStyle name="40% - Accent5 2 2 2 2 3" xfId="5002" xr:uid="{00000000-0005-0000-0000-000048060000}"/>
    <cellStyle name="40% - Accent5 2 2 2 2 3 2" xfId="13444" xr:uid="{24571228-4486-49FD-97D9-6C2DD9CFD394}"/>
    <cellStyle name="40% - Accent5 2 2 2 2 3 3" xfId="21881" xr:uid="{C1BA30FB-32D4-45F2-B601-75DF2FB1DAFA}"/>
    <cellStyle name="40% - Accent5 2 2 2 2 4" xfId="9226" xr:uid="{3B801103-85B8-4E7F-94E2-72C981BA3FDB}"/>
    <cellStyle name="40% - Accent5 2 2 2 2 5" xfId="17664" xr:uid="{4A09910B-FE73-43CA-943E-10B087A1BBC2}"/>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2AB8FD73-CD89-4A69-96D7-239602193259}"/>
    <cellStyle name="40% - Accent5 2 2 2 3 2 2 3" xfId="24439" xr:uid="{46CED6D0-5833-4036-9092-8936A1713D2E}"/>
    <cellStyle name="40% - Accent5 2 2 2 3 2 3" xfId="11784" xr:uid="{D66977B0-52FD-48C9-AD30-FEF8D38E95E2}"/>
    <cellStyle name="40% - Accent5 2 2 2 3 2 4" xfId="20222" xr:uid="{F3112627-33D0-4815-A808-9793E359E7E1}"/>
    <cellStyle name="40% - Accent5 2 2 2 3 3" xfId="5415" xr:uid="{00000000-0005-0000-0000-00004C060000}"/>
    <cellStyle name="40% - Accent5 2 2 2 3 3 2" xfId="13857" xr:uid="{8AB75C9B-67AF-4914-9D5B-D28D5A4A9E0B}"/>
    <cellStyle name="40% - Accent5 2 2 2 3 3 3" xfId="22294" xr:uid="{BE829DBB-8BF2-40BF-A9E7-3F041F3DB9DC}"/>
    <cellStyle name="40% - Accent5 2 2 2 3 4" xfId="9639" xr:uid="{1638F95B-6A05-46C1-9106-54CA733017F0}"/>
    <cellStyle name="40% - Accent5 2 2 2 3 5" xfId="18077" xr:uid="{B016724F-F96F-459F-8B06-4C59EA358D42}"/>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37F49CEE-E0FE-4E12-BA33-E030EBE554FE}"/>
    <cellStyle name="40% - Accent5 2 2 2 4 2 2 3" xfId="24852" xr:uid="{6218EF60-2E66-4EAA-A6A3-614010C30E69}"/>
    <cellStyle name="40% - Accent5 2 2 2 4 2 3" xfId="12197" xr:uid="{4228691C-955F-4DA9-AB29-5DD04098420B}"/>
    <cellStyle name="40% - Accent5 2 2 2 4 2 4" xfId="20635" xr:uid="{32492915-8D54-470D-B5E2-DE65305711E3}"/>
    <cellStyle name="40% - Accent5 2 2 2 4 3" xfId="5828" xr:uid="{00000000-0005-0000-0000-000050060000}"/>
    <cellStyle name="40% - Accent5 2 2 2 4 3 2" xfId="14270" xr:uid="{4F05C8CA-47EF-416F-B279-2DB3FF22131F}"/>
    <cellStyle name="40% - Accent5 2 2 2 4 3 3" xfId="22707" xr:uid="{F292FB95-6ABC-4383-A440-4E8F501CBD7F}"/>
    <cellStyle name="40% - Accent5 2 2 2 4 4" xfId="10052" xr:uid="{954AAF05-D9B1-42B3-9F64-1FCE662D1315}"/>
    <cellStyle name="40% - Accent5 2 2 2 4 5" xfId="18490" xr:uid="{F39D1E9A-9CE9-4ED9-902F-C2CA4FE8A6E8}"/>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83ACACDF-28BE-4BF2-BCB7-05A91A8E8D74}"/>
    <cellStyle name="40% - Accent5 2 2 2 5 2 2 3" xfId="25265" xr:uid="{A7BCD637-DEAE-4D7B-AD78-D972EFE1B0FC}"/>
    <cellStyle name="40% - Accent5 2 2 2 5 2 3" xfId="12610" xr:uid="{CF3E5183-AACA-4060-80DF-BBD8D0BA2CD8}"/>
    <cellStyle name="40% - Accent5 2 2 2 5 2 4" xfId="21048" xr:uid="{2CE3ACDB-3048-497E-B603-B26C5E799AB7}"/>
    <cellStyle name="40% - Accent5 2 2 2 5 3" xfId="6241" xr:uid="{00000000-0005-0000-0000-000054060000}"/>
    <cellStyle name="40% - Accent5 2 2 2 5 3 2" xfId="14683" xr:uid="{A2CCF6FA-830F-42B8-B2AC-1FB724B4B7BF}"/>
    <cellStyle name="40% - Accent5 2 2 2 5 3 3" xfId="23120" xr:uid="{27CD3FCC-D2A7-43C6-8EF6-FF13C111D318}"/>
    <cellStyle name="40% - Accent5 2 2 2 5 4" xfId="10465" xr:uid="{B133AEC5-1EC7-4BF5-92AE-387A3D507C7C}"/>
    <cellStyle name="40% - Accent5 2 2 2 5 5" xfId="18903" xr:uid="{65C5B4CE-B68D-4CAF-8AFA-6D98DB23BCFD}"/>
    <cellStyle name="40% - Accent5 2 2 2 6" xfId="2347" xr:uid="{00000000-0005-0000-0000-000055060000}"/>
    <cellStyle name="40% - Accent5 2 2 2 6 2" xfId="6654" xr:uid="{00000000-0005-0000-0000-000056060000}"/>
    <cellStyle name="40% - Accent5 2 2 2 6 2 2" xfId="15096" xr:uid="{CA70209E-0D2A-4BF0-B2E7-1F9AC36328B5}"/>
    <cellStyle name="40% - Accent5 2 2 2 6 2 3" xfId="23533" xr:uid="{1F72A358-16D4-40B5-A336-1E40E1762E93}"/>
    <cellStyle name="40% - Accent5 2 2 2 6 3" xfId="10878" xr:uid="{2BF318C6-CC51-4AF0-9E1D-8D8FDB15660E}"/>
    <cellStyle name="40% - Accent5 2 2 2 6 4" xfId="19316" xr:uid="{3574804D-AED1-48D2-97B4-8F9CCBCA88D2}"/>
    <cellStyle name="40% - Accent5 2 2 2 7" xfId="4588" xr:uid="{00000000-0005-0000-0000-000057060000}"/>
    <cellStyle name="40% - Accent5 2 2 2 7 2" xfId="13030" xr:uid="{513DF4B2-CE87-474B-A3CC-63C7DF7BBD7F}"/>
    <cellStyle name="40% - Accent5 2 2 2 7 3" xfId="21467" xr:uid="{3D51566C-EC22-47B8-BEAF-0C6298BCA460}"/>
    <cellStyle name="40% - Accent5 2 2 2 8" xfId="8812" xr:uid="{D82158D6-A64F-4828-90A2-939AAC233D06}"/>
    <cellStyle name="40% - Accent5 2 2 2 9" xfId="17250" xr:uid="{251463CC-7A83-4053-A89F-81587658A650}"/>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D61115E1-B61B-46EC-ABFA-D611C3AEF836}"/>
    <cellStyle name="40% - Accent5 2 2 3 2 2 3" xfId="24025" xr:uid="{095F6B9B-CC63-4086-84C1-30E9797E60FD}"/>
    <cellStyle name="40% - Accent5 2 2 3 2 3" xfId="11370" xr:uid="{456B47A0-6C35-41F5-9BAE-1A308DA8E2C0}"/>
    <cellStyle name="40% - Accent5 2 2 3 2 4" xfId="19808" xr:uid="{2E711DE5-D30E-4B32-AF76-FA9BE2BE1BF2}"/>
    <cellStyle name="40% - Accent5 2 2 3 3" xfId="5001" xr:uid="{00000000-0005-0000-0000-00005B060000}"/>
    <cellStyle name="40% - Accent5 2 2 3 3 2" xfId="13443" xr:uid="{605E5535-7A90-4101-93F0-C160AF155E7A}"/>
    <cellStyle name="40% - Accent5 2 2 3 3 3" xfId="21880" xr:uid="{010CF679-AD80-48EE-8006-85C9BCEC4F88}"/>
    <cellStyle name="40% - Accent5 2 2 3 4" xfId="9225" xr:uid="{9DECE71F-52E6-4A04-9431-6F13424B0507}"/>
    <cellStyle name="40% - Accent5 2 2 3 5" xfId="17663" xr:uid="{CE496A7F-AEC5-4788-9CC0-E3C6F724F615}"/>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8F8684EA-4BB2-40E2-97C3-714904A8A075}"/>
    <cellStyle name="40% - Accent5 2 2 4 2 2 3" xfId="24438" xr:uid="{A9741591-80B0-40B7-969F-923319CC2AB9}"/>
    <cellStyle name="40% - Accent5 2 2 4 2 3" xfId="11783" xr:uid="{149784D5-79F8-4129-A361-3CA02185B8D1}"/>
    <cellStyle name="40% - Accent5 2 2 4 2 4" xfId="20221" xr:uid="{D8DFB762-1F5B-421B-9D7F-E145CF81B68F}"/>
    <cellStyle name="40% - Accent5 2 2 4 3" xfId="5414" xr:uid="{00000000-0005-0000-0000-00005F060000}"/>
    <cellStyle name="40% - Accent5 2 2 4 3 2" xfId="13856" xr:uid="{07B10E18-37CD-461D-BF8D-BB57034DBE18}"/>
    <cellStyle name="40% - Accent5 2 2 4 3 3" xfId="22293" xr:uid="{C116D462-4790-424A-B90E-67FB7D5F6740}"/>
    <cellStyle name="40% - Accent5 2 2 4 4" xfId="9638" xr:uid="{FD389F56-5984-46A8-9DB1-C425BD29982E}"/>
    <cellStyle name="40% - Accent5 2 2 4 5" xfId="18076" xr:uid="{4B3D802B-DFBE-4830-B32E-FB4AB22D1D62}"/>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243674FB-F589-4B4C-AF1D-D736CC51C0D0}"/>
    <cellStyle name="40% - Accent5 2 2 5 2 2 3" xfId="24851" xr:uid="{9ED4F264-AD90-4A8F-B9EA-5F3767658DD0}"/>
    <cellStyle name="40% - Accent5 2 2 5 2 3" xfId="12196" xr:uid="{B0B52C66-EF8F-4B8E-B17C-2C63370D5C42}"/>
    <cellStyle name="40% - Accent5 2 2 5 2 4" xfId="20634" xr:uid="{A87619E0-A507-4F17-844F-A952C01FFE69}"/>
    <cellStyle name="40% - Accent5 2 2 5 3" xfId="5827" xr:uid="{00000000-0005-0000-0000-000063060000}"/>
    <cellStyle name="40% - Accent5 2 2 5 3 2" xfId="14269" xr:uid="{968FBE13-2C8F-4FF5-9169-37D56853B10A}"/>
    <cellStyle name="40% - Accent5 2 2 5 3 3" xfId="22706" xr:uid="{04FA60D2-95B6-475E-8210-0F8AC26DBCC7}"/>
    <cellStyle name="40% - Accent5 2 2 5 4" xfId="10051" xr:uid="{039963AE-818F-40E8-926D-57ADCC4473BF}"/>
    <cellStyle name="40% - Accent5 2 2 5 5" xfId="18489" xr:uid="{55A9E2F1-657B-4DE7-A718-D2AF91DF42E7}"/>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183A08E4-6790-4903-9493-DD102CC8D96C}"/>
    <cellStyle name="40% - Accent5 2 2 6 2 2 3" xfId="25264" xr:uid="{BEA7062B-A375-4E75-9749-7D37F730B9DE}"/>
    <cellStyle name="40% - Accent5 2 2 6 2 3" xfId="12609" xr:uid="{1EA34FA3-44CB-42B0-B2FD-8EEA7AEF142A}"/>
    <cellStyle name="40% - Accent5 2 2 6 2 4" xfId="21047" xr:uid="{DF253FEC-A95C-4922-9C50-6D16568F3307}"/>
    <cellStyle name="40% - Accent5 2 2 6 3" xfId="6240" xr:uid="{00000000-0005-0000-0000-000067060000}"/>
    <cellStyle name="40% - Accent5 2 2 6 3 2" xfId="14682" xr:uid="{31FE9DDD-3F3D-49B1-A6D1-0A0D6DD14D7F}"/>
    <cellStyle name="40% - Accent5 2 2 6 3 3" xfId="23119" xr:uid="{94A2DD9E-4932-4045-A27A-28E72F008508}"/>
    <cellStyle name="40% - Accent5 2 2 6 4" xfId="10464" xr:uid="{EED9A620-7BDE-4D6A-994E-8F0B55919AD6}"/>
    <cellStyle name="40% - Accent5 2 2 6 5" xfId="18902" xr:uid="{93E3A9AC-D0F5-4173-B4DA-6BA53211E9FC}"/>
    <cellStyle name="40% - Accent5 2 2 7" xfId="2346" xr:uid="{00000000-0005-0000-0000-000068060000}"/>
    <cellStyle name="40% - Accent5 2 2 7 2" xfId="6653" xr:uid="{00000000-0005-0000-0000-000069060000}"/>
    <cellStyle name="40% - Accent5 2 2 7 2 2" xfId="15095" xr:uid="{5978B5AF-0678-49CD-9C3F-100BDD5B11F4}"/>
    <cellStyle name="40% - Accent5 2 2 7 2 3" xfId="23532" xr:uid="{77E9814B-0E5F-4C49-9888-22606A892C44}"/>
    <cellStyle name="40% - Accent5 2 2 7 3" xfId="10877" xr:uid="{325A659C-A6F4-4931-BF09-98A52EE8C386}"/>
    <cellStyle name="40% - Accent5 2 2 7 4" xfId="19315" xr:uid="{45A52769-A52C-4D0D-A089-9EB3A876ED87}"/>
    <cellStyle name="40% - Accent5 2 2 8" xfId="4587" xr:uid="{00000000-0005-0000-0000-00006A060000}"/>
    <cellStyle name="40% - Accent5 2 2 8 2" xfId="13029" xr:uid="{9662ECBD-0F26-4057-BD53-3DC4AF322E04}"/>
    <cellStyle name="40% - Accent5 2 2 8 3" xfId="21466" xr:uid="{309FAB8A-C7AA-46CF-9478-E4FFD4B02602}"/>
    <cellStyle name="40% - Accent5 2 2 9" xfId="8811" xr:uid="{43208101-83E6-4141-B1D1-3EAB40B41E02}"/>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4E565FC4-BC79-4760-ABA8-331BBEB9007F}"/>
    <cellStyle name="40% - Accent5 2 3 2 2 2 3" xfId="24027" xr:uid="{DE13A283-25B9-4614-B9A7-DB313AEFF7D4}"/>
    <cellStyle name="40% - Accent5 2 3 2 2 3" xfId="11372" xr:uid="{14458ACF-4AF1-438D-B0B6-0A3EE248202B}"/>
    <cellStyle name="40% - Accent5 2 3 2 2 4" xfId="19810" xr:uid="{FD62F886-75C9-40D5-BA9A-3C8C66B0EBD9}"/>
    <cellStyle name="40% - Accent5 2 3 2 3" xfId="5003" xr:uid="{00000000-0005-0000-0000-00006F060000}"/>
    <cellStyle name="40% - Accent5 2 3 2 3 2" xfId="13445" xr:uid="{6A4D8756-8A7B-4684-8366-8BDF00B10925}"/>
    <cellStyle name="40% - Accent5 2 3 2 3 3" xfId="21882" xr:uid="{394C20A1-3AAD-465E-8296-93A972D426E5}"/>
    <cellStyle name="40% - Accent5 2 3 2 4" xfId="9227" xr:uid="{2AC67B6D-3C79-476D-85C0-3A34F4C63123}"/>
    <cellStyle name="40% - Accent5 2 3 2 5" xfId="17665" xr:uid="{A5BCDAC9-E286-47E7-8B26-CD315DF153D4}"/>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ECF4B8FE-2F2A-4D91-A2D6-42CFA7CD95AF}"/>
    <cellStyle name="40% - Accent5 2 3 3 2 2 3" xfId="24440" xr:uid="{7AF6AF3E-AE87-4E6C-8FD0-C30360573AB7}"/>
    <cellStyle name="40% - Accent5 2 3 3 2 3" xfId="11785" xr:uid="{93BFB915-F5E5-44DC-B6B4-F02A8ED6BB11}"/>
    <cellStyle name="40% - Accent5 2 3 3 2 4" xfId="20223" xr:uid="{06DE4374-0128-465C-BBA6-4F925C9CE40D}"/>
    <cellStyle name="40% - Accent5 2 3 3 3" xfId="5416" xr:uid="{00000000-0005-0000-0000-000073060000}"/>
    <cellStyle name="40% - Accent5 2 3 3 3 2" xfId="13858" xr:uid="{D961C117-5256-4687-9A95-02A0A459EE9B}"/>
    <cellStyle name="40% - Accent5 2 3 3 3 3" xfId="22295" xr:uid="{01EAD972-416F-4B48-AF3B-E5EAA36D3E10}"/>
    <cellStyle name="40% - Accent5 2 3 3 4" xfId="9640" xr:uid="{93A1A79B-CCDC-48D7-8AFF-B3FE87E542D3}"/>
    <cellStyle name="40% - Accent5 2 3 3 5" xfId="18078" xr:uid="{3F7E12CF-D1B1-4F2C-A3D2-3E7AA33CE496}"/>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A3C6F840-E5AF-44C7-BFC4-F78A260C27F8}"/>
    <cellStyle name="40% - Accent5 2 3 4 2 2 3" xfId="24853" xr:uid="{0C2BC700-BF1F-41E5-A7FD-F3FCA22EE2A6}"/>
    <cellStyle name="40% - Accent5 2 3 4 2 3" xfId="12198" xr:uid="{0754703F-E248-4F8C-B4E0-ACE4E81753F9}"/>
    <cellStyle name="40% - Accent5 2 3 4 2 4" xfId="20636" xr:uid="{41D246D4-66FE-48F2-ABE5-C50278B1A8B0}"/>
    <cellStyle name="40% - Accent5 2 3 4 3" xfId="5829" xr:uid="{00000000-0005-0000-0000-000077060000}"/>
    <cellStyle name="40% - Accent5 2 3 4 3 2" xfId="14271" xr:uid="{4171C10F-E192-4EAE-B20F-411F5BA70A73}"/>
    <cellStyle name="40% - Accent5 2 3 4 3 3" xfId="22708" xr:uid="{A21153EC-7BCE-44E5-B581-7899E9797D72}"/>
    <cellStyle name="40% - Accent5 2 3 4 4" xfId="10053" xr:uid="{A416A08B-BB67-442A-85EC-7EA2728345E7}"/>
    <cellStyle name="40% - Accent5 2 3 4 5" xfId="18491" xr:uid="{7F503426-C921-4B45-933C-10973B7A2CF6}"/>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54AA1D74-E7C7-4E58-945C-3A892D5267C1}"/>
    <cellStyle name="40% - Accent5 2 3 5 2 2 3" xfId="25266" xr:uid="{B8CA6050-07F7-4F9A-8055-6889E7DF50E6}"/>
    <cellStyle name="40% - Accent5 2 3 5 2 3" xfId="12611" xr:uid="{0EF599F5-613C-441D-AEC8-BF9F69B847CB}"/>
    <cellStyle name="40% - Accent5 2 3 5 2 4" xfId="21049" xr:uid="{921B6EBD-68F7-4081-9BD1-7B7CF2EE1279}"/>
    <cellStyle name="40% - Accent5 2 3 5 3" xfId="6242" xr:uid="{00000000-0005-0000-0000-00007B060000}"/>
    <cellStyle name="40% - Accent5 2 3 5 3 2" xfId="14684" xr:uid="{0170EF4A-4520-47C4-8E06-303B8625C133}"/>
    <cellStyle name="40% - Accent5 2 3 5 3 3" xfId="23121" xr:uid="{3DAB0E28-1AA9-458F-B5E4-AEDD6576BAFE}"/>
    <cellStyle name="40% - Accent5 2 3 5 4" xfId="10466" xr:uid="{1F344756-06D3-4A45-AD41-BA3652A30808}"/>
    <cellStyle name="40% - Accent5 2 3 5 5" xfId="18904" xr:uid="{B8AB6F57-AE4E-466E-BE39-12B7513DEDB4}"/>
    <cellStyle name="40% - Accent5 2 3 6" xfId="2348" xr:uid="{00000000-0005-0000-0000-00007C060000}"/>
    <cellStyle name="40% - Accent5 2 3 6 2" xfId="6655" xr:uid="{00000000-0005-0000-0000-00007D060000}"/>
    <cellStyle name="40% - Accent5 2 3 6 2 2" xfId="15097" xr:uid="{386A2721-25A5-4288-A9C8-88F2647060E4}"/>
    <cellStyle name="40% - Accent5 2 3 6 2 3" xfId="23534" xr:uid="{DE22A07B-B789-47E3-9A18-EB22EB1F10BC}"/>
    <cellStyle name="40% - Accent5 2 3 6 3" xfId="10879" xr:uid="{623A91AA-5F48-4957-9F51-8B2B50C0557C}"/>
    <cellStyle name="40% - Accent5 2 3 6 4" xfId="19317" xr:uid="{730DF8A0-04AA-451B-B351-0DF60259225D}"/>
    <cellStyle name="40% - Accent5 2 3 7" xfId="4589" xr:uid="{00000000-0005-0000-0000-00007E060000}"/>
    <cellStyle name="40% - Accent5 2 3 7 2" xfId="13031" xr:uid="{C6F8CB8D-0F90-4DF3-BC27-719EE96D0FED}"/>
    <cellStyle name="40% - Accent5 2 3 7 3" xfId="21468" xr:uid="{67D52FA5-FE73-4408-80FE-744E14296E8F}"/>
    <cellStyle name="40% - Accent5 2 3 8" xfId="8813" xr:uid="{035E20EC-50E6-4160-B6D6-56ADEEB85030}"/>
    <cellStyle name="40% - Accent5 2 3 9" xfId="17251" xr:uid="{B5E3ECC4-1CBF-4A4A-B7F0-88BB54A8EF75}"/>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F987E0AE-CBA6-4D01-9C54-D0F55A025165}"/>
    <cellStyle name="40% - Accent5 2 4 2 2 3" xfId="24024" xr:uid="{23314FE9-437E-4084-8796-052DCAF76DF9}"/>
    <cellStyle name="40% - Accent5 2 4 2 3" xfId="11369" xr:uid="{01F4B399-C678-4B50-96CE-62400E96C7A9}"/>
    <cellStyle name="40% - Accent5 2 4 2 4" xfId="19807" xr:uid="{701CCDD7-81CA-4FFD-9B47-236F2250922F}"/>
    <cellStyle name="40% - Accent5 2 4 3" xfId="5000" xr:uid="{00000000-0005-0000-0000-000082060000}"/>
    <cellStyle name="40% - Accent5 2 4 3 2" xfId="13442" xr:uid="{9CA9DF2D-045E-4585-BBDB-794AEFD42423}"/>
    <cellStyle name="40% - Accent5 2 4 3 3" xfId="21879" xr:uid="{22F1BC9F-F65E-4B88-AB93-AB2137692AD5}"/>
    <cellStyle name="40% - Accent5 2 4 4" xfId="9224" xr:uid="{AF72724B-4689-4926-8E21-F9B8B7F85DD8}"/>
    <cellStyle name="40% - Accent5 2 4 5" xfId="17662" xr:uid="{988672DC-1B0E-4398-87DC-C685A8BC945C}"/>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3B5EB989-42F1-4BC1-BF7F-5E4F5E6B4D59}"/>
    <cellStyle name="40% - Accent5 2 5 2 2 3" xfId="24437" xr:uid="{67EF35E1-DA40-42AB-B3F5-D61770D1AC60}"/>
    <cellStyle name="40% - Accent5 2 5 2 3" xfId="11782" xr:uid="{A3A62EE6-CAFA-44DD-AA17-DA1CE9699FBF}"/>
    <cellStyle name="40% - Accent5 2 5 2 4" xfId="20220" xr:uid="{84EC639C-7678-4479-BCB8-7956EFB816D1}"/>
    <cellStyle name="40% - Accent5 2 5 3" xfId="5413" xr:uid="{00000000-0005-0000-0000-000086060000}"/>
    <cellStyle name="40% - Accent5 2 5 3 2" xfId="13855" xr:uid="{C8F9A9E9-F15A-4F47-BE65-D2234DED85F2}"/>
    <cellStyle name="40% - Accent5 2 5 3 3" xfId="22292" xr:uid="{5F0763C6-A186-4907-9522-EE3DF9ED0062}"/>
    <cellStyle name="40% - Accent5 2 5 4" xfId="9637" xr:uid="{99553404-8280-4F51-8E14-DED9A7CF13B3}"/>
    <cellStyle name="40% - Accent5 2 5 5" xfId="18075" xr:uid="{0791B760-61CF-4A59-8C59-4241780EA898}"/>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8910F021-25CC-4F19-B099-40DA1F6A0B5C}"/>
    <cellStyle name="40% - Accent5 2 6 2 2 3" xfId="24850" xr:uid="{9B6B4575-079B-4ED2-A949-6EF8F0A0D835}"/>
    <cellStyle name="40% - Accent5 2 6 2 3" xfId="12195" xr:uid="{37EF014F-D013-4CB8-AFAC-5C15064FFEC3}"/>
    <cellStyle name="40% - Accent5 2 6 2 4" xfId="20633" xr:uid="{8EFA8BE5-5A8E-4F72-B540-E4F45FEF3937}"/>
    <cellStyle name="40% - Accent5 2 6 3" xfId="5826" xr:uid="{00000000-0005-0000-0000-00008A060000}"/>
    <cellStyle name="40% - Accent5 2 6 3 2" xfId="14268" xr:uid="{332E752F-9D8E-4D58-9601-6E301F5062D0}"/>
    <cellStyle name="40% - Accent5 2 6 3 3" xfId="22705" xr:uid="{04BE0353-BEA1-47A6-B75E-B5BCBF89FA96}"/>
    <cellStyle name="40% - Accent5 2 6 4" xfId="10050" xr:uid="{4909A987-10F2-4FE7-8338-04D947BB5D70}"/>
    <cellStyle name="40% - Accent5 2 6 5" xfId="18488" xr:uid="{47E5C3BC-0A14-4FFB-9F87-F70CDF20A490}"/>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718A061B-E455-4549-9904-B1A6DD0F8290}"/>
    <cellStyle name="40% - Accent5 2 7 2 2 3" xfId="25263" xr:uid="{7D999827-EEF6-4A51-88FA-1FDCE23513E5}"/>
    <cellStyle name="40% - Accent5 2 7 2 3" xfId="12608" xr:uid="{B5B73D11-EB12-4549-9998-0642D4C50804}"/>
    <cellStyle name="40% - Accent5 2 7 2 4" xfId="21046" xr:uid="{DC1C25F7-4D7D-4816-8C16-DC079E8FDA91}"/>
    <cellStyle name="40% - Accent5 2 7 3" xfId="6239" xr:uid="{00000000-0005-0000-0000-00008E060000}"/>
    <cellStyle name="40% - Accent5 2 7 3 2" xfId="14681" xr:uid="{E7F40EDF-D473-472E-908D-17ABA02F5628}"/>
    <cellStyle name="40% - Accent5 2 7 3 3" xfId="23118" xr:uid="{674C8CC2-DCE5-439B-A9B4-B87780BCDCF4}"/>
    <cellStyle name="40% - Accent5 2 7 4" xfId="10463" xr:uid="{1114025F-0E9E-4A0E-8144-B4CBF4F69A53}"/>
    <cellStyle name="40% - Accent5 2 7 5" xfId="18901" xr:uid="{49ED89B6-19AE-49D2-85FD-7CB867430445}"/>
    <cellStyle name="40% - Accent5 2 8" xfId="2345" xr:uid="{00000000-0005-0000-0000-00008F060000}"/>
    <cellStyle name="40% - Accent5 2 8 2" xfId="6652" xr:uid="{00000000-0005-0000-0000-000090060000}"/>
    <cellStyle name="40% - Accent5 2 8 2 2" xfId="15094" xr:uid="{E618E891-935A-4159-AC97-E10CD10F42D1}"/>
    <cellStyle name="40% - Accent5 2 8 2 3" xfId="23531" xr:uid="{90153A18-F0EC-4C31-91D8-F261C632854D}"/>
    <cellStyle name="40% - Accent5 2 8 3" xfId="10876" xr:uid="{840E9FA9-07AA-4A67-BBB0-0BA9BA447ACE}"/>
    <cellStyle name="40% - Accent5 2 8 4" xfId="19314" xr:uid="{23FEE27B-D471-414A-B6A5-8F770CB0989B}"/>
    <cellStyle name="40% - Accent5 2 9" xfId="4586" xr:uid="{00000000-0005-0000-0000-000091060000}"/>
    <cellStyle name="40% - Accent5 2 9 2" xfId="13028" xr:uid="{3EEC7E6B-B0FA-4862-9D8C-0A8AF0DB4810}"/>
    <cellStyle name="40% - Accent5 2 9 3" xfId="21465" xr:uid="{6B4DBCE6-0303-446E-AC53-42DB25506044}"/>
    <cellStyle name="40% - Accent5 3" xfId="86" xr:uid="{00000000-0005-0000-0000-000092060000}"/>
    <cellStyle name="40% - Accent5 3 10" xfId="17252" xr:uid="{ABA4CE55-04AD-4D56-9ABA-63F15865D323}"/>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E6B78CCC-1283-49D6-A4C9-FAAF8F0F88C6}"/>
    <cellStyle name="40% - Accent5 3 2 2 2 2 3" xfId="24029" xr:uid="{DF699C78-A930-41E9-8102-8A7886284C74}"/>
    <cellStyle name="40% - Accent5 3 2 2 2 3" xfId="11374" xr:uid="{9F4FBDCA-D6FF-4516-A342-1F968C996451}"/>
    <cellStyle name="40% - Accent5 3 2 2 2 4" xfId="19812" xr:uid="{B8F92124-CE0E-451F-8842-64D01D5BE095}"/>
    <cellStyle name="40% - Accent5 3 2 2 3" xfId="5005" xr:uid="{00000000-0005-0000-0000-000097060000}"/>
    <cellStyle name="40% - Accent5 3 2 2 3 2" xfId="13447" xr:uid="{6B01F685-ECDC-4DEA-A08A-2B073A41E53B}"/>
    <cellStyle name="40% - Accent5 3 2 2 3 3" xfId="21884" xr:uid="{C59FC3B2-B546-4D47-8C47-D8023CDAC43F}"/>
    <cellStyle name="40% - Accent5 3 2 2 4" xfId="9229" xr:uid="{CBDC2D8D-12E4-44AF-9D94-C1120BD8C58C}"/>
    <cellStyle name="40% - Accent5 3 2 2 5" xfId="17667" xr:uid="{FD3C93E0-D3AC-4501-94A3-693C7F5EA015}"/>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0A185E22-2311-459C-85BF-ABE654CF154D}"/>
    <cellStyle name="40% - Accent5 3 2 3 2 2 3" xfId="24442" xr:uid="{83A4150A-8649-4AD7-B049-8232DA8E2CC0}"/>
    <cellStyle name="40% - Accent5 3 2 3 2 3" xfId="11787" xr:uid="{4EBD61A8-29D6-478D-B218-AC128353033C}"/>
    <cellStyle name="40% - Accent5 3 2 3 2 4" xfId="20225" xr:uid="{2770D9F4-422E-41DE-8157-6A85B4028F03}"/>
    <cellStyle name="40% - Accent5 3 2 3 3" xfId="5418" xr:uid="{00000000-0005-0000-0000-00009B060000}"/>
    <cellStyle name="40% - Accent5 3 2 3 3 2" xfId="13860" xr:uid="{35808F5C-6918-45B1-9630-045F8818342F}"/>
    <cellStyle name="40% - Accent5 3 2 3 3 3" xfId="22297" xr:uid="{5A07D428-447E-41D7-BBC9-1923ECFF4739}"/>
    <cellStyle name="40% - Accent5 3 2 3 4" xfId="9642" xr:uid="{1E675AED-D522-4590-A476-1AEC6DDB7BC5}"/>
    <cellStyle name="40% - Accent5 3 2 3 5" xfId="18080" xr:uid="{F8F68DD7-FC54-4199-A1EC-A25711142976}"/>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FB290B0A-8968-401A-BD5B-47F37CDD7DE1}"/>
    <cellStyle name="40% - Accent5 3 2 4 2 2 3" xfId="24855" xr:uid="{8882F8C2-9554-42D2-8D79-05F98DE61553}"/>
    <cellStyle name="40% - Accent5 3 2 4 2 3" xfId="12200" xr:uid="{6EB4F3E2-9640-4A97-9439-B2698CD1E08D}"/>
    <cellStyle name="40% - Accent5 3 2 4 2 4" xfId="20638" xr:uid="{542F1BD8-286E-4EE1-AD59-B1C8547FA42D}"/>
    <cellStyle name="40% - Accent5 3 2 4 3" xfId="5831" xr:uid="{00000000-0005-0000-0000-00009F060000}"/>
    <cellStyle name="40% - Accent5 3 2 4 3 2" xfId="14273" xr:uid="{FFAC0F4F-64C4-456C-B987-A74EAB09846F}"/>
    <cellStyle name="40% - Accent5 3 2 4 3 3" xfId="22710" xr:uid="{7C8F7997-7389-47B4-BBDF-DC561DB2CF45}"/>
    <cellStyle name="40% - Accent5 3 2 4 4" xfId="10055" xr:uid="{465FE989-69E1-4C0A-BD66-E65ADD523796}"/>
    <cellStyle name="40% - Accent5 3 2 4 5" xfId="18493" xr:uid="{3C5AF60B-0BB4-4F7B-8ECC-0D441C2E1773}"/>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88D75455-F7C5-4F00-9E64-CE2F39F3F13D}"/>
    <cellStyle name="40% - Accent5 3 2 5 2 2 3" xfId="25268" xr:uid="{9308326E-C04D-489E-9A64-8BD932471202}"/>
    <cellStyle name="40% - Accent5 3 2 5 2 3" xfId="12613" xr:uid="{94328936-0D17-4E14-8CB7-E5383CADB6A1}"/>
    <cellStyle name="40% - Accent5 3 2 5 2 4" xfId="21051" xr:uid="{E7518796-ED37-401B-8668-D702D7826B33}"/>
    <cellStyle name="40% - Accent5 3 2 5 3" xfId="6244" xr:uid="{00000000-0005-0000-0000-0000A3060000}"/>
    <cellStyle name="40% - Accent5 3 2 5 3 2" xfId="14686" xr:uid="{02A05494-91BB-4372-B4F8-6A42E51B541B}"/>
    <cellStyle name="40% - Accent5 3 2 5 3 3" xfId="23123" xr:uid="{629674CF-25A5-4967-B11A-870B27CED5E1}"/>
    <cellStyle name="40% - Accent5 3 2 5 4" xfId="10468" xr:uid="{92112751-3921-444F-AA13-61B7C96F7C0F}"/>
    <cellStyle name="40% - Accent5 3 2 5 5" xfId="18906" xr:uid="{C95AE623-4850-4409-B346-2AADEA6247FD}"/>
    <cellStyle name="40% - Accent5 3 2 6" xfId="2350" xr:uid="{00000000-0005-0000-0000-0000A4060000}"/>
    <cellStyle name="40% - Accent5 3 2 6 2" xfId="6657" xr:uid="{00000000-0005-0000-0000-0000A5060000}"/>
    <cellStyle name="40% - Accent5 3 2 6 2 2" xfId="15099" xr:uid="{8AEC91EF-D86A-448C-A378-22DAAFB79388}"/>
    <cellStyle name="40% - Accent5 3 2 6 2 3" xfId="23536" xr:uid="{B06545FF-79E3-4781-B3E4-3C702D3A99B9}"/>
    <cellStyle name="40% - Accent5 3 2 6 3" xfId="10881" xr:uid="{36097BD9-3AD2-41DF-942A-6FAF6EF54C7E}"/>
    <cellStyle name="40% - Accent5 3 2 6 4" xfId="19319" xr:uid="{B6DC2B21-75F8-4EE8-B333-D45AF6CA2AEB}"/>
    <cellStyle name="40% - Accent5 3 2 7" xfId="4591" xr:uid="{00000000-0005-0000-0000-0000A6060000}"/>
    <cellStyle name="40% - Accent5 3 2 7 2" xfId="13033" xr:uid="{EF6002C2-982D-41F0-BEFB-150C3A3FA887}"/>
    <cellStyle name="40% - Accent5 3 2 7 3" xfId="21470" xr:uid="{1262DD3C-A60A-453A-A8EC-6FCD9D3D7419}"/>
    <cellStyle name="40% - Accent5 3 2 8" xfId="8815" xr:uid="{6ABBE28C-40DE-4414-AFCD-BD4F847AAC6D}"/>
    <cellStyle name="40% - Accent5 3 2 9" xfId="17253" xr:uid="{4E968A2C-64CE-4FC2-A87D-8953C9DB228F}"/>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94F0A831-54CD-4891-9C6E-4F202479BB0B}"/>
    <cellStyle name="40% - Accent5 3 3 2 2 3" xfId="24028" xr:uid="{52FA3A86-8F79-4BF6-8F8A-F6CB9D0792C8}"/>
    <cellStyle name="40% - Accent5 3 3 2 3" xfId="11373" xr:uid="{E54E376C-35FA-472B-9EAA-C883C36F0DAD}"/>
    <cellStyle name="40% - Accent5 3 3 2 4" xfId="19811" xr:uid="{CDAC351E-5B40-4D6A-9A34-8271C2AFD29B}"/>
    <cellStyle name="40% - Accent5 3 3 3" xfId="5004" xr:uid="{00000000-0005-0000-0000-0000AA060000}"/>
    <cellStyle name="40% - Accent5 3 3 3 2" xfId="13446" xr:uid="{4D4F51E5-4236-45F9-949F-7DD85C11C254}"/>
    <cellStyle name="40% - Accent5 3 3 3 3" xfId="21883" xr:uid="{293130AC-72CD-4C3F-B4F9-CD114056D1DD}"/>
    <cellStyle name="40% - Accent5 3 3 4" xfId="9228" xr:uid="{AF1F1625-4769-4E26-B1EA-9C90FA6F0DF9}"/>
    <cellStyle name="40% - Accent5 3 3 5" xfId="17666" xr:uid="{95E50AE9-E48C-4346-9ACD-2AB7CD87CE22}"/>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E4FDDF29-677E-4EAC-9028-DE21A441FFDA}"/>
    <cellStyle name="40% - Accent5 3 4 2 2 3" xfId="24441" xr:uid="{65967477-02CC-4995-BA02-78B4F720670F}"/>
    <cellStyle name="40% - Accent5 3 4 2 3" xfId="11786" xr:uid="{2E69AFC0-4115-4502-A7BA-6C592858FCA0}"/>
    <cellStyle name="40% - Accent5 3 4 2 4" xfId="20224" xr:uid="{B70F17B4-5877-4236-A903-2134CA992DFF}"/>
    <cellStyle name="40% - Accent5 3 4 3" xfId="5417" xr:uid="{00000000-0005-0000-0000-0000AE060000}"/>
    <cellStyle name="40% - Accent5 3 4 3 2" xfId="13859" xr:uid="{470750F4-817C-4F8B-9BC3-A0CEF75F2172}"/>
    <cellStyle name="40% - Accent5 3 4 3 3" xfId="22296" xr:uid="{C1632BB4-0A92-4F77-98D8-4F66C6658101}"/>
    <cellStyle name="40% - Accent5 3 4 4" xfId="9641" xr:uid="{516BB648-4038-4905-B1A1-D612D963B24B}"/>
    <cellStyle name="40% - Accent5 3 4 5" xfId="18079" xr:uid="{5614CC32-C19D-40FF-89AB-06FCFF989DD4}"/>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53473614-AAF2-4D6A-953B-CA9849073764}"/>
    <cellStyle name="40% - Accent5 3 5 2 2 3" xfId="24854" xr:uid="{4CEB5C9F-9DCD-408C-B638-0AFD89B44B1B}"/>
    <cellStyle name="40% - Accent5 3 5 2 3" xfId="12199" xr:uid="{84DC490F-A884-40A0-912E-EC50DAB65AB8}"/>
    <cellStyle name="40% - Accent5 3 5 2 4" xfId="20637" xr:uid="{58C57D89-9441-4F49-9B4A-743501FC3C45}"/>
    <cellStyle name="40% - Accent5 3 5 3" xfId="5830" xr:uid="{00000000-0005-0000-0000-0000B2060000}"/>
    <cellStyle name="40% - Accent5 3 5 3 2" xfId="14272" xr:uid="{06C876A2-9117-4231-B263-1B17B5C9B08A}"/>
    <cellStyle name="40% - Accent5 3 5 3 3" xfId="22709" xr:uid="{A3550019-B7E0-474E-B4ED-97806768A1D8}"/>
    <cellStyle name="40% - Accent5 3 5 4" xfId="10054" xr:uid="{9132FD9D-5CA6-46CE-9495-2346344CD74C}"/>
    <cellStyle name="40% - Accent5 3 5 5" xfId="18492" xr:uid="{82A5DB7E-282B-48DC-B67D-21D7511CC90D}"/>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33647565-7F70-413D-ABC8-C8418E4434F7}"/>
    <cellStyle name="40% - Accent5 3 6 2 2 3" xfId="25267" xr:uid="{36A82631-84A0-4860-A089-03BD603CA0E9}"/>
    <cellStyle name="40% - Accent5 3 6 2 3" xfId="12612" xr:uid="{379AE19F-0752-4F0D-9677-F06AB5E7EA89}"/>
    <cellStyle name="40% - Accent5 3 6 2 4" xfId="21050" xr:uid="{F625E24E-0B26-4213-B4D0-A373AFA8F68F}"/>
    <cellStyle name="40% - Accent5 3 6 3" xfId="6243" xr:uid="{00000000-0005-0000-0000-0000B6060000}"/>
    <cellStyle name="40% - Accent5 3 6 3 2" xfId="14685" xr:uid="{381EC4DB-5EAC-4CEA-BC0D-E40AF66255BA}"/>
    <cellStyle name="40% - Accent5 3 6 3 3" xfId="23122" xr:uid="{B1BFD2C0-1BB0-453B-AFBC-DA58065F4BFE}"/>
    <cellStyle name="40% - Accent5 3 6 4" xfId="10467" xr:uid="{8C245208-DDB7-4BBC-880C-D8923C8E1638}"/>
    <cellStyle name="40% - Accent5 3 6 5" xfId="18905" xr:uid="{894BEE16-6EC5-4982-A8A1-453075CD8B29}"/>
    <cellStyle name="40% - Accent5 3 7" xfId="2349" xr:uid="{00000000-0005-0000-0000-0000B7060000}"/>
    <cellStyle name="40% - Accent5 3 7 2" xfId="6656" xr:uid="{00000000-0005-0000-0000-0000B8060000}"/>
    <cellStyle name="40% - Accent5 3 7 2 2" xfId="15098" xr:uid="{011F5EFD-0687-4A13-BD05-D8BA2F46D3A8}"/>
    <cellStyle name="40% - Accent5 3 7 2 3" xfId="23535" xr:uid="{4EA5CDAB-CA23-44BD-B866-6FF562A9AE51}"/>
    <cellStyle name="40% - Accent5 3 7 3" xfId="10880" xr:uid="{945A2ECD-4B4D-4632-8D7F-C420010B93B5}"/>
    <cellStyle name="40% - Accent5 3 7 4" xfId="19318" xr:uid="{1DFCCBEA-E857-4FD7-BAEA-9BADBE8C5CA2}"/>
    <cellStyle name="40% - Accent5 3 8" xfId="4590" xr:uid="{00000000-0005-0000-0000-0000B9060000}"/>
    <cellStyle name="40% - Accent5 3 8 2" xfId="13032" xr:uid="{73C615E5-A23C-46AF-9F59-7C33936C3394}"/>
    <cellStyle name="40% - Accent5 3 8 3" xfId="21469" xr:uid="{9B0A257B-9470-466E-9F7B-2585F08604BA}"/>
    <cellStyle name="40% - Accent5 3 9" xfId="8814" xr:uid="{F41FEAB8-ADBE-4A63-887B-453F34649157}"/>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EF0538F2-0B98-45F7-B3E6-ABB5EE509791}"/>
    <cellStyle name="40% - Accent5 4 2 2 2 3" xfId="24030" xr:uid="{5F78EE3C-7EC6-4F93-ADD3-A27622DD56D8}"/>
    <cellStyle name="40% - Accent5 4 2 2 3" xfId="11375" xr:uid="{20496565-3233-4B55-928F-7C6BD9215B05}"/>
    <cellStyle name="40% - Accent5 4 2 2 4" xfId="19813" xr:uid="{F12705B6-8299-4518-B959-EBD0EB94D2E6}"/>
    <cellStyle name="40% - Accent5 4 2 3" xfId="5006" xr:uid="{00000000-0005-0000-0000-0000BE060000}"/>
    <cellStyle name="40% - Accent5 4 2 3 2" xfId="13448" xr:uid="{D6F65279-0504-4D3C-B07E-0366A7CAD575}"/>
    <cellStyle name="40% - Accent5 4 2 3 3" xfId="21885" xr:uid="{6702A26E-4DD4-41B5-B35B-F261C5714878}"/>
    <cellStyle name="40% - Accent5 4 2 4" xfId="9230" xr:uid="{97D6F5F7-B956-4C25-937F-000D51BDC380}"/>
    <cellStyle name="40% - Accent5 4 2 5" xfId="17668" xr:uid="{E2CC3CE7-6E04-4C93-B1E5-836F5A176B3E}"/>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566F9D7F-2530-4226-8147-A8B03D9FB07E}"/>
    <cellStyle name="40% - Accent5 4 3 2 2 3" xfId="24443" xr:uid="{8D43406B-8364-4F83-BCE6-EB097DC3F695}"/>
    <cellStyle name="40% - Accent5 4 3 2 3" xfId="11788" xr:uid="{6855F25A-C2BE-4996-A78C-E8E08DB1CF49}"/>
    <cellStyle name="40% - Accent5 4 3 2 4" xfId="20226" xr:uid="{B3431D01-E576-493C-98C1-305CB27B695D}"/>
    <cellStyle name="40% - Accent5 4 3 3" xfId="5419" xr:uid="{00000000-0005-0000-0000-0000C2060000}"/>
    <cellStyle name="40% - Accent5 4 3 3 2" xfId="13861" xr:uid="{26CC375B-2FFA-4B6F-830D-BABF418DFEDC}"/>
    <cellStyle name="40% - Accent5 4 3 3 3" xfId="22298" xr:uid="{A23E51D8-5B9E-46C7-8492-4ED12620DAB9}"/>
    <cellStyle name="40% - Accent5 4 3 4" xfId="9643" xr:uid="{C66AE9A0-1EC4-4E51-9ABD-F567FBF18E7F}"/>
    <cellStyle name="40% - Accent5 4 3 5" xfId="18081" xr:uid="{F15B450E-7968-4CE4-ABF2-F04AEA029A64}"/>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473FCB8A-484A-4D33-90C9-BCE6433E1D7D}"/>
    <cellStyle name="40% - Accent5 4 4 2 2 3" xfId="24856" xr:uid="{96FB8539-78C2-42FA-8AEC-8A2F63DBF18D}"/>
    <cellStyle name="40% - Accent5 4 4 2 3" xfId="12201" xr:uid="{63FEC884-D6D9-4A83-8234-947DE8064458}"/>
    <cellStyle name="40% - Accent5 4 4 2 4" xfId="20639" xr:uid="{C792F678-0CDF-4D86-AA13-615F2F0C11CC}"/>
    <cellStyle name="40% - Accent5 4 4 3" xfId="5832" xr:uid="{00000000-0005-0000-0000-0000C6060000}"/>
    <cellStyle name="40% - Accent5 4 4 3 2" xfId="14274" xr:uid="{F54E079D-30D4-4BB9-9513-0FC1BB76751A}"/>
    <cellStyle name="40% - Accent5 4 4 3 3" xfId="22711" xr:uid="{06C43607-2F86-47E6-BF9C-36F6514388AD}"/>
    <cellStyle name="40% - Accent5 4 4 4" xfId="10056" xr:uid="{199872D1-7D37-4754-B4F5-F624E736B981}"/>
    <cellStyle name="40% - Accent5 4 4 5" xfId="18494" xr:uid="{A502AAB8-B15D-474D-80D3-843FC37E1D37}"/>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9A0A1CC8-5B04-4631-87F1-FD92AF6D455F}"/>
    <cellStyle name="40% - Accent5 4 5 2 2 3" xfId="25269" xr:uid="{E8F5BE3B-D951-472E-89C6-B686806B213F}"/>
    <cellStyle name="40% - Accent5 4 5 2 3" xfId="12614" xr:uid="{4A9FD7BF-2182-4B4A-B16C-F03E876A2AC5}"/>
    <cellStyle name="40% - Accent5 4 5 2 4" xfId="21052" xr:uid="{07EC5F86-0FBC-47FE-B74E-9B9AE4F820BD}"/>
    <cellStyle name="40% - Accent5 4 5 3" xfId="6245" xr:uid="{00000000-0005-0000-0000-0000CA060000}"/>
    <cellStyle name="40% - Accent5 4 5 3 2" xfId="14687" xr:uid="{05260B09-62A8-4BDA-A57C-9F9CCC6BA2EA}"/>
    <cellStyle name="40% - Accent5 4 5 3 3" xfId="23124" xr:uid="{F5631E1C-F470-494F-8999-6D9A88A34BEC}"/>
    <cellStyle name="40% - Accent5 4 5 4" xfId="10469" xr:uid="{DE481158-4741-4FBE-8860-BA7F02050745}"/>
    <cellStyle name="40% - Accent5 4 5 5" xfId="18907" xr:uid="{26F81BAB-2D29-4C62-B543-C77C49167AD5}"/>
    <cellStyle name="40% - Accent5 4 6" xfId="2351" xr:uid="{00000000-0005-0000-0000-0000CB060000}"/>
    <cellStyle name="40% - Accent5 4 6 2" xfId="6658" xr:uid="{00000000-0005-0000-0000-0000CC060000}"/>
    <cellStyle name="40% - Accent5 4 6 2 2" xfId="15100" xr:uid="{88A9D156-D2E7-4F5D-8A88-0A700042F2B0}"/>
    <cellStyle name="40% - Accent5 4 6 2 3" xfId="23537" xr:uid="{0D42753E-5A0E-4404-8446-43DF3306C16B}"/>
    <cellStyle name="40% - Accent5 4 6 3" xfId="10882" xr:uid="{0924B6CB-57FB-432A-8D87-37017D587753}"/>
    <cellStyle name="40% - Accent5 4 6 4" xfId="19320" xr:uid="{C3D7B51F-C98A-47D0-9062-19C19F69B414}"/>
    <cellStyle name="40% - Accent5 4 7" xfId="4592" xr:uid="{00000000-0005-0000-0000-0000CD060000}"/>
    <cellStyle name="40% - Accent5 4 7 2" xfId="13034" xr:uid="{10FE1E90-FAB1-4F9A-BA24-4246ABEE1F6C}"/>
    <cellStyle name="40% - Accent5 4 7 3" xfId="21471" xr:uid="{479BCFFA-6928-4751-98D4-D8A844894F4E}"/>
    <cellStyle name="40% - Accent5 4 8" xfId="8816" xr:uid="{F0FF911C-98B4-4E40-8C76-4BD1A15FA90E}"/>
    <cellStyle name="40% - Accent5 4 9" xfId="17254" xr:uid="{12841C9A-A941-4CC1-855C-2D7F94019360}"/>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1DAD92E3-6784-44F1-80B6-0081A8975DF3}"/>
    <cellStyle name="40% - Accent5 5 2 2 3" xfId="24023" xr:uid="{C144D4B6-2262-4C3C-B7CB-81B0E93B65DA}"/>
    <cellStyle name="40% - Accent5 5 2 3" xfId="11368" xr:uid="{01A6633C-E41F-41EE-AC6F-455B1C61A312}"/>
    <cellStyle name="40% - Accent5 5 2 4" xfId="19806" xr:uid="{FA418645-229A-43DC-9804-A1686186094B}"/>
    <cellStyle name="40% - Accent5 5 3" xfId="4999" xr:uid="{00000000-0005-0000-0000-0000D1060000}"/>
    <cellStyle name="40% - Accent5 5 3 2" xfId="13441" xr:uid="{6D971945-E75C-486A-B6BB-1C84B421219D}"/>
    <cellStyle name="40% - Accent5 5 3 3" xfId="21878" xr:uid="{F8D35DBB-5CC9-4994-A985-C371D9A4DECF}"/>
    <cellStyle name="40% - Accent5 5 4" xfId="9223" xr:uid="{5EA8B2D3-5763-42C5-9083-DEDF5E89A36C}"/>
    <cellStyle name="40% - Accent5 5 5" xfId="17661" xr:uid="{29B374F3-1E2A-46A1-AD62-DC267CBDB2C6}"/>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BEF2D60B-3EBA-4CFF-88FF-ECBDDD8FB620}"/>
    <cellStyle name="40% - Accent5 6 2 2 3" xfId="24436" xr:uid="{77572FEF-0D20-486D-B10B-AFCF19DFC2F2}"/>
    <cellStyle name="40% - Accent5 6 2 3" xfId="11781" xr:uid="{81E31ACE-A786-46EE-8C56-DE3BE23FABDD}"/>
    <cellStyle name="40% - Accent5 6 2 4" xfId="20219" xr:uid="{279FA969-D9AA-4464-AF6E-3B970D57F3CC}"/>
    <cellStyle name="40% - Accent5 6 3" xfId="5412" xr:uid="{00000000-0005-0000-0000-0000D5060000}"/>
    <cellStyle name="40% - Accent5 6 3 2" xfId="13854" xr:uid="{999C65E3-BA3D-4BE1-8DA5-5495F6BD1FFC}"/>
    <cellStyle name="40% - Accent5 6 3 3" xfId="22291" xr:uid="{95147231-660E-43BE-A52A-62B85584D933}"/>
    <cellStyle name="40% - Accent5 6 4" xfId="9636" xr:uid="{30E87240-A723-4E0A-8244-8C790D62D639}"/>
    <cellStyle name="40% - Accent5 6 5" xfId="18074" xr:uid="{7C9FE824-4552-4F5C-A5CB-44EAE29981E0}"/>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D6877EAF-AFA9-4AF0-A498-DCBEB765BC6B}"/>
    <cellStyle name="40% - Accent5 7 2 2 3" xfId="24849" xr:uid="{98BF82A7-9047-448F-BC7C-496F1B242B6E}"/>
    <cellStyle name="40% - Accent5 7 2 3" xfId="12194" xr:uid="{7E0A5F55-CAD9-42D4-8F51-1DA3961B6307}"/>
    <cellStyle name="40% - Accent5 7 2 4" xfId="20632" xr:uid="{69DA10CB-4672-4DDE-9A29-9168B3DD8633}"/>
    <cellStyle name="40% - Accent5 7 3" xfId="5825" xr:uid="{00000000-0005-0000-0000-0000D9060000}"/>
    <cellStyle name="40% - Accent5 7 3 2" xfId="14267" xr:uid="{27A7D172-3B90-4453-B00E-FEB1CD54B81B}"/>
    <cellStyle name="40% - Accent5 7 3 3" xfId="22704" xr:uid="{F05E4538-06E8-4EDE-90CF-6E6371BA6A4A}"/>
    <cellStyle name="40% - Accent5 7 4" xfId="10049" xr:uid="{E7D9B752-5BB3-46C1-B4DC-FB4B6993D027}"/>
    <cellStyle name="40% - Accent5 7 5" xfId="18487" xr:uid="{51A6DC06-7FCA-49C2-8A55-6F9809C03AD5}"/>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E23BCEDB-9874-43E7-B601-B6822A9C424F}"/>
    <cellStyle name="40% - Accent5 8 2 2 3" xfId="25262" xr:uid="{6ED5B42C-58BA-44B4-9C08-EBDC92C3968A}"/>
    <cellStyle name="40% - Accent5 8 2 3" xfId="12607" xr:uid="{F654E900-7C6E-4C58-81EE-70773FC031E1}"/>
    <cellStyle name="40% - Accent5 8 2 4" xfId="21045" xr:uid="{98B5BAD0-7DDE-44F6-9F69-F1640963D82F}"/>
    <cellStyle name="40% - Accent5 8 3" xfId="6238" xr:uid="{00000000-0005-0000-0000-0000DD060000}"/>
    <cellStyle name="40% - Accent5 8 3 2" xfId="14680" xr:uid="{91F91D09-9FD8-41F4-9BE0-B3760D83BFFA}"/>
    <cellStyle name="40% - Accent5 8 3 3" xfId="23117" xr:uid="{5624EA4F-A723-458B-ADCF-A588D384699F}"/>
    <cellStyle name="40% - Accent5 8 4" xfId="10462" xr:uid="{20B60729-D5C5-415A-A5CB-3A0A39499322}"/>
    <cellStyle name="40% - Accent5 8 5" xfId="18900" xr:uid="{327429C0-69BA-4B6C-AFE0-D03A20D629F8}"/>
    <cellStyle name="40% - Accent5 9" xfId="2344" xr:uid="{00000000-0005-0000-0000-0000DE060000}"/>
    <cellStyle name="40% - Accent5 9 2" xfId="6651" xr:uid="{00000000-0005-0000-0000-0000DF060000}"/>
    <cellStyle name="40% - Accent5 9 2 2" xfId="15093" xr:uid="{0993BCA5-9852-45F4-BF5F-CE0F91DE54A1}"/>
    <cellStyle name="40% - Accent5 9 2 3" xfId="23530" xr:uid="{AA19F44A-7394-44C6-8C2C-1FF5BF96B8C7}"/>
    <cellStyle name="40% - Accent5 9 3" xfId="10875" xr:uid="{4964CB41-6022-43E5-B750-B5E0C8434D18}"/>
    <cellStyle name="40% - Accent5 9 4" xfId="19313" xr:uid="{B56DE328-33E2-4C4C-B31F-F87A4261B600}"/>
    <cellStyle name="40% - Accent6" xfId="89" builtinId="51" customBuiltin="1"/>
    <cellStyle name="40% - Accent6 10" xfId="4593" xr:uid="{00000000-0005-0000-0000-0000E1060000}"/>
    <cellStyle name="40% - Accent6 10 2" xfId="13035" xr:uid="{0C92EFAB-0D6D-4399-812B-3EF19229FEBF}"/>
    <cellStyle name="40% - Accent6 10 3" xfId="21472" xr:uid="{D57FE3AB-3EEB-41B0-BDF8-49D60408866D}"/>
    <cellStyle name="40% - Accent6 11" xfId="8817" xr:uid="{FBD5E8B0-DFCD-4258-AB40-8F84C3E4A1DE}"/>
    <cellStyle name="40% - Accent6 12" xfId="17255" xr:uid="{7E01DAF1-4C3D-488D-88E4-9E23BB64855F}"/>
    <cellStyle name="40% - Accent6 2" xfId="90" xr:uid="{00000000-0005-0000-0000-0000E2060000}"/>
    <cellStyle name="40% - Accent6 2 10" xfId="8818" xr:uid="{9029E79A-1A55-4D58-A490-43AA6F416492}"/>
    <cellStyle name="40% - Accent6 2 11" xfId="17256" xr:uid="{6E0F2DBC-C02A-46B7-A80F-50E7CBA5A07B}"/>
    <cellStyle name="40% - Accent6 2 2" xfId="91" xr:uid="{00000000-0005-0000-0000-0000E3060000}"/>
    <cellStyle name="40% - Accent6 2 2 10" xfId="17257" xr:uid="{D787979E-645C-44E3-9A8D-D28895CCC3E6}"/>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5EA45C40-B44B-48A1-B2D8-7C0C100674C1}"/>
    <cellStyle name="40% - Accent6 2 2 2 2 2 2 3" xfId="24034" xr:uid="{5595D3B9-CEDA-41B3-AC5C-0B9916A16C8D}"/>
    <cellStyle name="40% - Accent6 2 2 2 2 2 3" xfId="11379" xr:uid="{4564197A-5D68-4FE4-9410-EC5233D9B7D5}"/>
    <cellStyle name="40% - Accent6 2 2 2 2 2 4" xfId="19817" xr:uid="{E94FAE0C-E7AC-4EAB-A029-23C4998CDE3B}"/>
    <cellStyle name="40% - Accent6 2 2 2 2 3" xfId="5010" xr:uid="{00000000-0005-0000-0000-0000E8060000}"/>
    <cellStyle name="40% - Accent6 2 2 2 2 3 2" xfId="13452" xr:uid="{3296B131-49A5-4C00-B92B-D3C2A4089789}"/>
    <cellStyle name="40% - Accent6 2 2 2 2 3 3" xfId="21889" xr:uid="{63F46265-8688-4E1C-9CBD-FC7E9F87ED7F}"/>
    <cellStyle name="40% - Accent6 2 2 2 2 4" xfId="9234" xr:uid="{DEBA9D18-9176-4437-9447-C6170FA59870}"/>
    <cellStyle name="40% - Accent6 2 2 2 2 5" xfId="17672" xr:uid="{F695987D-6F93-4612-B7CA-5CB60F83AFF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384A0EF7-06FE-4081-B90B-CCFBD64BF9AA}"/>
    <cellStyle name="40% - Accent6 2 2 2 3 2 2 3" xfId="24447" xr:uid="{574C4EB8-AD27-414E-AE38-36C509601503}"/>
    <cellStyle name="40% - Accent6 2 2 2 3 2 3" xfId="11792" xr:uid="{EC206E5A-F0E8-4D10-9FA4-A2E0F35DD6AC}"/>
    <cellStyle name="40% - Accent6 2 2 2 3 2 4" xfId="20230" xr:uid="{B31F3AFC-3B8F-47B8-AD31-09FBF5893004}"/>
    <cellStyle name="40% - Accent6 2 2 2 3 3" xfId="5423" xr:uid="{00000000-0005-0000-0000-0000EC060000}"/>
    <cellStyle name="40% - Accent6 2 2 2 3 3 2" xfId="13865" xr:uid="{55A08AC8-0FC0-477D-A661-28FE9D0198F3}"/>
    <cellStyle name="40% - Accent6 2 2 2 3 3 3" xfId="22302" xr:uid="{FE90A764-0755-4235-B8DE-2C76DCB83943}"/>
    <cellStyle name="40% - Accent6 2 2 2 3 4" xfId="9647" xr:uid="{CBA83AA2-3EFA-443E-8937-A6E4CED3C04B}"/>
    <cellStyle name="40% - Accent6 2 2 2 3 5" xfId="18085" xr:uid="{4F22AFFB-A7F8-42E4-9EEF-11574808FD0E}"/>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F988C148-DC2A-480C-9F2F-03B6CC2DF7E6}"/>
    <cellStyle name="40% - Accent6 2 2 2 4 2 2 3" xfId="24860" xr:uid="{D4760405-CB4E-409D-A01B-8DF4AF6F5D61}"/>
    <cellStyle name="40% - Accent6 2 2 2 4 2 3" xfId="12205" xr:uid="{3A61D4A3-7A6A-475B-9799-6ACE9360A927}"/>
    <cellStyle name="40% - Accent6 2 2 2 4 2 4" xfId="20643" xr:uid="{4FAEA030-079B-4225-85C4-B0D96E68520C}"/>
    <cellStyle name="40% - Accent6 2 2 2 4 3" xfId="5836" xr:uid="{00000000-0005-0000-0000-0000F0060000}"/>
    <cellStyle name="40% - Accent6 2 2 2 4 3 2" xfId="14278" xr:uid="{8BC2C9F9-7636-4EF5-A0EE-9D844CECAEF6}"/>
    <cellStyle name="40% - Accent6 2 2 2 4 3 3" xfId="22715" xr:uid="{163F4BE1-DA34-4F44-A4D4-B8DF962BFD52}"/>
    <cellStyle name="40% - Accent6 2 2 2 4 4" xfId="10060" xr:uid="{75A087EC-A7C9-49B2-B448-BDF033B9D9CE}"/>
    <cellStyle name="40% - Accent6 2 2 2 4 5" xfId="18498" xr:uid="{E9E826F3-82DD-4D2A-BFAD-0E2041ECA0B4}"/>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AAB02994-915B-461A-9FAE-F78A709AFAD6}"/>
    <cellStyle name="40% - Accent6 2 2 2 5 2 2 3" xfId="25273" xr:uid="{64F7C725-DB27-4CD0-985B-89F43CB26AE0}"/>
    <cellStyle name="40% - Accent6 2 2 2 5 2 3" xfId="12618" xr:uid="{89AB2D34-3ECF-4FCB-898E-4FEB0BBF5EA0}"/>
    <cellStyle name="40% - Accent6 2 2 2 5 2 4" xfId="21056" xr:uid="{A2035D06-22D5-4039-B35D-AE36DD9EC1FF}"/>
    <cellStyle name="40% - Accent6 2 2 2 5 3" xfId="6249" xr:uid="{00000000-0005-0000-0000-0000F4060000}"/>
    <cellStyle name="40% - Accent6 2 2 2 5 3 2" xfId="14691" xr:uid="{9E2CE5ED-1565-4B10-8546-782F18037AA0}"/>
    <cellStyle name="40% - Accent6 2 2 2 5 3 3" xfId="23128" xr:uid="{D4120740-2AAA-4EBD-9EE4-15481E7EE0BF}"/>
    <cellStyle name="40% - Accent6 2 2 2 5 4" xfId="10473" xr:uid="{B55BD607-DB9C-4545-A24E-BF8D4773D1C4}"/>
    <cellStyle name="40% - Accent6 2 2 2 5 5" xfId="18911" xr:uid="{F8307CD8-D83E-4F70-9AA5-B95ECB85C1BB}"/>
    <cellStyle name="40% - Accent6 2 2 2 6" xfId="2355" xr:uid="{00000000-0005-0000-0000-0000F5060000}"/>
    <cellStyle name="40% - Accent6 2 2 2 6 2" xfId="6662" xr:uid="{00000000-0005-0000-0000-0000F6060000}"/>
    <cellStyle name="40% - Accent6 2 2 2 6 2 2" xfId="15104" xr:uid="{C459A456-C297-4584-A56D-22256DAD77C1}"/>
    <cellStyle name="40% - Accent6 2 2 2 6 2 3" xfId="23541" xr:uid="{3451D099-E2C3-443B-8011-B2BBE853E003}"/>
    <cellStyle name="40% - Accent6 2 2 2 6 3" xfId="10886" xr:uid="{2FD13F9A-A53F-4B5B-8546-EEA1E421B9C1}"/>
    <cellStyle name="40% - Accent6 2 2 2 6 4" xfId="19324" xr:uid="{BB1E690D-7BF8-4DF6-8775-AE7FAD499E7F}"/>
    <cellStyle name="40% - Accent6 2 2 2 7" xfId="4596" xr:uid="{00000000-0005-0000-0000-0000F7060000}"/>
    <cellStyle name="40% - Accent6 2 2 2 7 2" xfId="13038" xr:uid="{E819681F-87E0-457B-B310-78004418557D}"/>
    <cellStyle name="40% - Accent6 2 2 2 7 3" xfId="21475" xr:uid="{965E05E3-1C90-4DD0-8C71-01B3AB6110D4}"/>
    <cellStyle name="40% - Accent6 2 2 2 8" xfId="8820" xr:uid="{44942416-BA82-4E47-8178-C4B8D1CDBF3B}"/>
    <cellStyle name="40% - Accent6 2 2 2 9" xfId="17258" xr:uid="{C95C66B6-E048-4320-A8A7-D3D1F8F22F6E}"/>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06B45BAD-F379-494E-A5F5-3106A8FB6972}"/>
    <cellStyle name="40% - Accent6 2 2 3 2 2 3" xfId="24033" xr:uid="{115C000A-BB85-44C6-A0E8-21F3759C503B}"/>
    <cellStyle name="40% - Accent6 2 2 3 2 3" xfId="11378" xr:uid="{2329ED66-9A83-496A-9467-22FCFD0478EB}"/>
    <cellStyle name="40% - Accent6 2 2 3 2 4" xfId="19816" xr:uid="{5ED2006D-E8FD-454A-88D2-28E62C1D1E79}"/>
    <cellStyle name="40% - Accent6 2 2 3 3" xfId="5009" xr:uid="{00000000-0005-0000-0000-0000FB060000}"/>
    <cellStyle name="40% - Accent6 2 2 3 3 2" xfId="13451" xr:uid="{820EFF15-2C9A-48B6-BB7E-CED21E73B8A6}"/>
    <cellStyle name="40% - Accent6 2 2 3 3 3" xfId="21888" xr:uid="{AA61AE66-3E7A-444D-A3ED-45C7B54C913D}"/>
    <cellStyle name="40% - Accent6 2 2 3 4" xfId="9233" xr:uid="{9B14800F-9916-4798-ACB2-EE73094075A1}"/>
    <cellStyle name="40% - Accent6 2 2 3 5" xfId="17671" xr:uid="{DE162A74-7163-4725-BBC8-08CCC9B0218A}"/>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A5400DA9-FCB3-4DA0-92B1-2A5F41695FF9}"/>
    <cellStyle name="40% - Accent6 2 2 4 2 2 3" xfId="24446" xr:uid="{710460BB-96FC-4321-B980-FD414B79EEAF}"/>
    <cellStyle name="40% - Accent6 2 2 4 2 3" xfId="11791" xr:uid="{B63B33CD-E3E9-4AF5-9616-01E229A8E8FC}"/>
    <cellStyle name="40% - Accent6 2 2 4 2 4" xfId="20229" xr:uid="{40BC89F1-829B-4C44-9E12-CB66B1A8339D}"/>
    <cellStyle name="40% - Accent6 2 2 4 3" xfId="5422" xr:uid="{00000000-0005-0000-0000-0000FF060000}"/>
    <cellStyle name="40% - Accent6 2 2 4 3 2" xfId="13864" xr:uid="{07F25AF6-C9BB-48C2-B8E8-2F38FE4F841B}"/>
    <cellStyle name="40% - Accent6 2 2 4 3 3" xfId="22301" xr:uid="{58068D75-EA3F-49F6-B691-25F2ED4B22D3}"/>
    <cellStyle name="40% - Accent6 2 2 4 4" xfId="9646" xr:uid="{DB6C428D-9810-4482-AB6B-7F56E6BF2712}"/>
    <cellStyle name="40% - Accent6 2 2 4 5" xfId="18084" xr:uid="{2BFB3861-E48D-463A-9F84-175AD19AAD9E}"/>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DF3B774C-BA1F-48FB-B6BA-703F7700B8B9}"/>
    <cellStyle name="40% - Accent6 2 2 5 2 2 3" xfId="24859" xr:uid="{FC5BD8AA-BF02-42CE-A323-A5E6FD9D1E13}"/>
    <cellStyle name="40% - Accent6 2 2 5 2 3" xfId="12204" xr:uid="{615586B0-F669-4AA1-8BA9-209D815F597D}"/>
    <cellStyle name="40% - Accent6 2 2 5 2 4" xfId="20642" xr:uid="{2BBAC5AC-A41C-4827-BC01-F5DDCB5E43DA}"/>
    <cellStyle name="40% - Accent6 2 2 5 3" xfId="5835" xr:uid="{00000000-0005-0000-0000-000003070000}"/>
    <cellStyle name="40% - Accent6 2 2 5 3 2" xfId="14277" xr:uid="{3727F0BF-1750-4C88-A76F-2D1DB9DE7202}"/>
    <cellStyle name="40% - Accent6 2 2 5 3 3" xfId="22714" xr:uid="{AA93F793-7900-4E51-B4B6-095A74721F83}"/>
    <cellStyle name="40% - Accent6 2 2 5 4" xfId="10059" xr:uid="{AE3CA370-573A-46FB-BD83-8A53D0B91C0D}"/>
    <cellStyle name="40% - Accent6 2 2 5 5" xfId="18497" xr:uid="{7DCAF334-79A3-43BE-AF31-5FAC6724417B}"/>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97AF7667-A936-46E4-A59B-CE676D56D244}"/>
    <cellStyle name="40% - Accent6 2 2 6 2 2 3" xfId="25272" xr:uid="{1F3CFBAC-69A9-4191-9EF0-8C4A07B72335}"/>
    <cellStyle name="40% - Accent6 2 2 6 2 3" xfId="12617" xr:uid="{46D4E48A-9D0F-4984-864E-E73DDE96E544}"/>
    <cellStyle name="40% - Accent6 2 2 6 2 4" xfId="21055" xr:uid="{4ADCE93C-66C2-49E2-AF40-25240E433FD5}"/>
    <cellStyle name="40% - Accent6 2 2 6 3" xfId="6248" xr:uid="{00000000-0005-0000-0000-000007070000}"/>
    <cellStyle name="40% - Accent6 2 2 6 3 2" xfId="14690" xr:uid="{5F67DA6D-21C3-49EB-B91F-D45B5C264B35}"/>
    <cellStyle name="40% - Accent6 2 2 6 3 3" xfId="23127" xr:uid="{71E0A8ED-49B5-4F72-B625-911C7CF2550A}"/>
    <cellStyle name="40% - Accent6 2 2 6 4" xfId="10472" xr:uid="{EA423565-0E2D-4CB6-B8CA-008A4C6DB313}"/>
    <cellStyle name="40% - Accent6 2 2 6 5" xfId="18910" xr:uid="{88445462-CFB9-4335-AAA5-0DD2DB0CFDF7}"/>
    <cellStyle name="40% - Accent6 2 2 7" xfId="2354" xr:uid="{00000000-0005-0000-0000-000008070000}"/>
    <cellStyle name="40% - Accent6 2 2 7 2" xfId="6661" xr:uid="{00000000-0005-0000-0000-000009070000}"/>
    <cellStyle name="40% - Accent6 2 2 7 2 2" xfId="15103" xr:uid="{43287F17-6C84-4D75-A014-4248B053DC72}"/>
    <cellStyle name="40% - Accent6 2 2 7 2 3" xfId="23540" xr:uid="{40538575-4D56-4B99-BAA8-3C01C8DCCD2F}"/>
    <cellStyle name="40% - Accent6 2 2 7 3" xfId="10885" xr:uid="{A072BE17-0966-40BE-86A1-75F9A6BB7648}"/>
    <cellStyle name="40% - Accent6 2 2 7 4" xfId="19323" xr:uid="{CE63127E-0AF8-409E-B84C-9C6232E9230A}"/>
    <cellStyle name="40% - Accent6 2 2 8" xfId="4595" xr:uid="{00000000-0005-0000-0000-00000A070000}"/>
    <cellStyle name="40% - Accent6 2 2 8 2" xfId="13037" xr:uid="{D01AC0C1-EEEC-4A91-A798-2651EA716AF1}"/>
    <cellStyle name="40% - Accent6 2 2 8 3" xfId="21474" xr:uid="{6855FFD5-D9E6-445D-843C-32F0173BC106}"/>
    <cellStyle name="40% - Accent6 2 2 9" xfId="8819" xr:uid="{FE2690D7-D065-4265-9CDA-136E9AACE70A}"/>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72573060-8997-43AC-B6FC-B661966A9086}"/>
    <cellStyle name="40% - Accent6 2 3 2 2 2 3" xfId="24035" xr:uid="{498A487F-C53C-415F-9E8D-598310CCBD6C}"/>
    <cellStyle name="40% - Accent6 2 3 2 2 3" xfId="11380" xr:uid="{9F15247F-4387-4654-ADA4-711FAE9F2F45}"/>
    <cellStyle name="40% - Accent6 2 3 2 2 4" xfId="19818" xr:uid="{B5D8408C-DC54-4D43-B432-ACECD2B797E2}"/>
    <cellStyle name="40% - Accent6 2 3 2 3" xfId="5011" xr:uid="{00000000-0005-0000-0000-00000F070000}"/>
    <cellStyle name="40% - Accent6 2 3 2 3 2" xfId="13453" xr:uid="{DE99B371-6607-4F71-9AAF-D982E8B1BD66}"/>
    <cellStyle name="40% - Accent6 2 3 2 3 3" xfId="21890" xr:uid="{2F177DDE-D1BC-485F-8DC2-75E769300503}"/>
    <cellStyle name="40% - Accent6 2 3 2 4" xfId="9235" xr:uid="{21B98B96-ABB2-471C-B08D-1E97E40C3704}"/>
    <cellStyle name="40% - Accent6 2 3 2 5" xfId="17673" xr:uid="{A0B29461-CED0-4BB9-AE91-0C0C74A4EF87}"/>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D2A4F5BF-38BA-4ED2-B290-AD925A61E6BC}"/>
    <cellStyle name="40% - Accent6 2 3 3 2 2 3" xfId="24448" xr:uid="{316AF922-4888-4389-B9BB-E9DF3C4B340E}"/>
    <cellStyle name="40% - Accent6 2 3 3 2 3" xfId="11793" xr:uid="{494AFAD6-2AC5-4FD9-828A-57335A8F64C2}"/>
    <cellStyle name="40% - Accent6 2 3 3 2 4" xfId="20231" xr:uid="{0E899A81-CA5C-42DA-AB71-E34E8D2E6962}"/>
    <cellStyle name="40% - Accent6 2 3 3 3" xfId="5424" xr:uid="{00000000-0005-0000-0000-000013070000}"/>
    <cellStyle name="40% - Accent6 2 3 3 3 2" xfId="13866" xr:uid="{5B75827F-A6ED-4AE2-AD67-1104434E89AD}"/>
    <cellStyle name="40% - Accent6 2 3 3 3 3" xfId="22303" xr:uid="{D7549F5D-76CF-46BC-BF38-68BE6B5C64A4}"/>
    <cellStyle name="40% - Accent6 2 3 3 4" xfId="9648" xr:uid="{3976AEA3-C17A-46AF-B595-1CDFE60C3C4C}"/>
    <cellStyle name="40% - Accent6 2 3 3 5" xfId="18086" xr:uid="{04AE1A19-7572-46FF-A661-40D73534C71E}"/>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753DE55F-01A2-4D43-8CE0-E63E58D0A345}"/>
    <cellStyle name="40% - Accent6 2 3 4 2 2 3" xfId="24861" xr:uid="{E40B9C1C-E2F2-4342-8A5D-5865D4FAF2B2}"/>
    <cellStyle name="40% - Accent6 2 3 4 2 3" xfId="12206" xr:uid="{CDEAA76D-BF33-42AF-B230-EE12873B01A2}"/>
    <cellStyle name="40% - Accent6 2 3 4 2 4" xfId="20644" xr:uid="{95EEB642-4CFD-45AB-8D5C-7A28F432672E}"/>
    <cellStyle name="40% - Accent6 2 3 4 3" xfId="5837" xr:uid="{00000000-0005-0000-0000-000017070000}"/>
    <cellStyle name="40% - Accent6 2 3 4 3 2" xfId="14279" xr:uid="{CF26EEA6-7669-464F-B70C-34B6E59E970F}"/>
    <cellStyle name="40% - Accent6 2 3 4 3 3" xfId="22716" xr:uid="{A77D599B-7829-4F5A-9F14-7BCA709EFDDD}"/>
    <cellStyle name="40% - Accent6 2 3 4 4" xfId="10061" xr:uid="{6F3786C6-ABE5-4903-AB09-F69524C3E5F3}"/>
    <cellStyle name="40% - Accent6 2 3 4 5" xfId="18499" xr:uid="{A303E556-5868-4C62-8602-917881C82116}"/>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E138D5F9-AF1E-4741-A2DE-C23C1A209D39}"/>
    <cellStyle name="40% - Accent6 2 3 5 2 2 3" xfId="25274" xr:uid="{03D9C7E4-ABC0-41BA-9C14-D2165C871963}"/>
    <cellStyle name="40% - Accent6 2 3 5 2 3" xfId="12619" xr:uid="{3C8B4759-8ACF-4B81-A562-A0FC96AEACEB}"/>
    <cellStyle name="40% - Accent6 2 3 5 2 4" xfId="21057" xr:uid="{C41A3E3C-A4C0-4A23-97B4-BA936DE601A8}"/>
    <cellStyle name="40% - Accent6 2 3 5 3" xfId="6250" xr:uid="{00000000-0005-0000-0000-00001B070000}"/>
    <cellStyle name="40% - Accent6 2 3 5 3 2" xfId="14692" xr:uid="{D85E527A-C2DC-43E1-976B-06482AF6EFDB}"/>
    <cellStyle name="40% - Accent6 2 3 5 3 3" xfId="23129" xr:uid="{817F1BA9-BF38-4F65-A0E0-A7DD9FC9723B}"/>
    <cellStyle name="40% - Accent6 2 3 5 4" xfId="10474" xr:uid="{80720A66-5014-4FF2-8DA3-FAECF4464B08}"/>
    <cellStyle name="40% - Accent6 2 3 5 5" xfId="18912" xr:uid="{08AB429A-DF76-4CEA-8E3C-AB523AB42CDF}"/>
    <cellStyle name="40% - Accent6 2 3 6" xfId="2356" xr:uid="{00000000-0005-0000-0000-00001C070000}"/>
    <cellStyle name="40% - Accent6 2 3 6 2" xfId="6663" xr:uid="{00000000-0005-0000-0000-00001D070000}"/>
    <cellStyle name="40% - Accent6 2 3 6 2 2" xfId="15105" xr:uid="{06C68F3A-19EB-4564-8DD6-4921CD0521C6}"/>
    <cellStyle name="40% - Accent6 2 3 6 2 3" xfId="23542" xr:uid="{13ECC0B6-6801-4D64-BF85-2DAA68D5E686}"/>
    <cellStyle name="40% - Accent6 2 3 6 3" xfId="10887" xr:uid="{68C2D849-9147-4BEB-8A9B-9B5EB17B6783}"/>
    <cellStyle name="40% - Accent6 2 3 6 4" xfId="19325" xr:uid="{EBF551DB-30B7-4E3F-8574-8F6F3A4189A2}"/>
    <cellStyle name="40% - Accent6 2 3 7" xfId="4597" xr:uid="{00000000-0005-0000-0000-00001E070000}"/>
    <cellStyle name="40% - Accent6 2 3 7 2" xfId="13039" xr:uid="{13E85792-33F7-4FFE-8100-0FAB0FFF6E5D}"/>
    <cellStyle name="40% - Accent6 2 3 7 3" xfId="21476" xr:uid="{B8DD7261-4D7E-48E5-A0CF-9AE9EB1C3F2C}"/>
    <cellStyle name="40% - Accent6 2 3 8" xfId="8821" xr:uid="{A933E35C-6E88-4E61-B4D3-C46A4B38D464}"/>
    <cellStyle name="40% - Accent6 2 3 9" xfId="17259" xr:uid="{1F1C0075-1EAB-40E6-BD01-4844C0649FA4}"/>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1453E251-8202-4C12-B2D2-EA87EFADB50F}"/>
    <cellStyle name="40% - Accent6 2 4 2 2 3" xfId="24032" xr:uid="{0309BCA3-090B-4209-8122-893442BD7F2F}"/>
    <cellStyle name="40% - Accent6 2 4 2 3" xfId="11377" xr:uid="{FE252F6E-53AE-4352-BAB9-7DC1F603CDB4}"/>
    <cellStyle name="40% - Accent6 2 4 2 4" xfId="19815" xr:uid="{780D6D1B-B3D7-4381-BDFD-D0C97DE3AFED}"/>
    <cellStyle name="40% - Accent6 2 4 3" xfId="5008" xr:uid="{00000000-0005-0000-0000-000022070000}"/>
    <cellStyle name="40% - Accent6 2 4 3 2" xfId="13450" xr:uid="{6E8DB2C8-8132-4988-AF68-9FC3800E3D17}"/>
    <cellStyle name="40% - Accent6 2 4 3 3" xfId="21887" xr:uid="{F597B9E4-2146-42AF-A26C-EE6591F7629F}"/>
    <cellStyle name="40% - Accent6 2 4 4" xfId="9232" xr:uid="{542B4A3A-6C51-4059-B26D-8709843FC455}"/>
    <cellStyle name="40% - Accent6 2 4 5" xfId="17670" xr:uid="{E70B7AE9-9C19-4779-BA53-1821D5DCD988}"/>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F797E643-0F27-49A4-800B-404FDF4AE447}"/>
    <cellStyle name="40% - Accent6 2 5 2 2 3" xfId="24445" xr:uid="{58650A04-24B5-46B8-9AE0-A311B097B849}"/>
    <cellStyle name="40% - Accent6 2 5 2 3" xfId="11790" xr:uid="{140027CC-72B7-4D2B-81F1-7D10E7D08F9B}"/>
    <cellStyle name="40% - Accent6 2 5 2 4" xfId="20228" xr:uid="{9896D45A-E8D6-4203-BE16-8E3637BB4124}"/>
    <cellStyle name="40% - Accent6 2 5 3" xfId="5421" xr:uid="{00000000-0005-0000-0000-000026070000}"/>
    <cellStyle name="40% - Accent6 2 5 3 2" xfId="13863" xr:uid="{1DCE9FFE-C6F7-430C-851A-1F0FD6A33C33}"/>
    <cellStyle name="40% - Accent6 2 5 3 3" xfId="22300" xr:uid="{261BF052-CB16-4D6D-A3C2-F2373CC0DF3A}"/>
    <cellStyle name="40% - Accent6 2 5 4" xfId="9645" xr:uid="{2F24C617-E32F-44A7-98AB-7A84F4756531}"/>
    <cellStyle name="40% - Accent6 2 5 5" xfId="18083" xr:uid="{42DDB51B-6072-473C-BD24-1707E4D4DE45}"/>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C84C351E-CEA2-4FA2-BC3A-59C293D9DEE4}"/>
    <cellStyle name="40% - Accent6 2 6 2 2 3" xfId="24858" xr:uid="{9FEAA626-45E2-40C9-835B-D7FB2AE359E2}"/>
    <cellStyle name="40% - Accent6 2 6 2 3" xfId="12203" xr:uid="{B9C6855A-CA8B-459C-9605-D9D377A095E6}"/>
    <cellStyle name="40% - Accent6 2 6 2 4" xfId="20641" xr:uid="{31C7A37D-27C5-4700-B388-965C57DA06C0}"/>
    <cellStyle name="40% - Accent6 2 6 3" xfId="5834" xr:uid="{00000000-0005-0000-0000-00002A070000}"/>
    <cellStyle name="40% - Accent6 2 6 3 2" xfId="14276" xr:uid="{AFCB3C03-B8F8-43E6-86FF-7580DB1C2DD4}"/>
    <cellStyle name="40% - Accent6 2 6 3 3" xfId="22713" xr:uid="{C9E6B4F6-6DC6-456C-AEB8-052B72921310}"/>
    <cellStyle name="40% - Accent6 2 6 4" xfId="10058" xr:uid="{E6E8F7E1-6EA8-4BA7-9791-845F24FC1B84}"/>
    <cellStyle name="40% - Accent6 2 6 5" xfId="18496" xr:uid="{316D3C63-72D1-4189-B07E-6B266B7B67AD}"/>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80C3B5AF-E9BE-4FFF-A734-F8D5642707FD}"/>
    <cellStyle name="40% - Accent6 2 7 2 2 3" xfId="25271" xr:uid="{F7DA122D-6D80-449E-B8A2-1D4A1AC56AB2}"/>
    <cellStyle name="40% - Accent6 2 7 2 3" xfId="12616" xr:uid="{B8DAD5C2-20B1-4B8A-AFEF-EAC879E5295D}"/>
    <cellStyle name="40% - Accent6 2 7 2 4" xfId="21054" xr:uid="{E1B24A2A-7FDF-45CF-9E4E-48DC93AD12E5}"/>
    <cellStyle name="40% - Accent6 2 7 3" xfId="6247" xr:uid="{00000000-0005-0000-0000-00002E070000}"/>
    <cellStyle name="40% - Accent6 2 7 3 2" xfId="14689" xr:uid="{4241394E-28A4-431A-9F54-D1B3D6DD932B}"/>
    <cellStyle name="40% - Accent6 2 7 3 3" xfId="23126" xr:uid="{1D5187AB-66A8-4661-BBFB-F68DA2787A57}"/>
    <cellStyle name="40% - Accent6 2 7 4" xfId="10471" xr:uid="{06D095C8-2736-4FFE-91C6-12413AD3081E}"/>
    <cellStyle name="40% - Accent6 2 7 5" xfId="18909" xr:uid="{385927F7-436B-4CAE-94F7-EEF61D08455A}"/>
    <cellStyle name="40% - Accent6 2 8" xfId="2353" xr:uid="{00000000-0005-0000-0000-00002F070000}"/>
    <cellStyle name="40% - Accent6 2 8 2" xfId="6660" xr:uid="{00000000-0005-0000-0000-000030070000}"/>
    <cellStyle name="40% - Accent6 2 8 2 2" xfId="15102" xr:uid="{325BC4FD-5088-4041-B415-EDB281EB374E}"/>
    <cellStyle name="40% - Accent6 2 8 2 3" xfId="23539" xr:uid="{A4528572-791F-465C-B2F3-670B6C815C75}"/>
    <cellStyle name="40% - Accent6 2 8 3" xfId="10884" xr:uid="{81ECEC80-B4FA-478D-9FE9-CA38860212EF}"/>
    <cellStyle name="40% - Accent6 2 8 4" xfId="19322" xr:uid="{C64D6A9C-26C4-46A7-B14E-35862BCBC31E}"/>
    <cellStyle name="40% - Accent6 2 9" xfId="4594" xr:uid="{00000000-0005-0000-0000-000031070000}"/>
    <cellStyle name="40% - Accent6 2 9 2" xfId="13036" xr:uid="{3D44D6E4-B85D-4BF4-9191-FC9217A4904D}"/>
    <cellStyle name="40% - Accent6 2 9 3" xfId="21473" xr:uid="{E1E19C84-E729-431A-9CB8-720E8D84D97F}"/>
    <cellStyle name="40% - Accent6 3" xfId="94" xr:uid="{00000000-0005-0000-0000-000032070000}"/>
    <cellStyle name="40% - Accent6 3 10" xfId="17260" xr:uid="{243C6FC2-0BC9-4107-AB0D-8B92C2D4E6F5}"/>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B6D50DDD-586E-492C-BB53-D061580ABEB8}"/>
    <cellStyle name="40% - Accent6 3 2 2 2 2 3" xfId="24037" xr:uid="{DB8CA671-8C84-47BE-86DC-CB70D4011217}"/>
    <cellStyle name="40% - Accent6 3 2 2 2 3" xfId="11382" xr:uid="{E6BBC138-16F0-4554-928B-AAD508B120A0}"/>
    <cellStyle name="40% - Accent6 3 2 2 2 4" xfId="19820" xr:uid="{D6A491A7-DA8A-4754-9FC2-B836AC43F41C}"/>
    <cellStyle name="40% - Accent6 3 2 2 3" xfId="5013" xr:uid="{00000000-0005-0000-0000-000037070000}"/>
    <cellStyle name="40% - Accent6 3 2 2 3 2" xfId="13455" xr:uid="{7EF893AA-67CB-48FC-8E13-640B72C534FD}"/>
    <cellStyle name="40% - Accent6 3 2 2 3 3" xfId="21892" xr:uid="{9E5E1D0D-C486-4B5D-A3D9-E6160E172993}"/>
    <cellStyle name="40% - Accent6 3 2 2 4" xfId="9237" xr:uid="{96715E18-59AD-4682-BE0C-F3DDDCAD662A}"/>
    <cellStyle name="40% - Accent6 3 2 2 5" xfId="17675" xr:uid="{8F9C7197-1571-4F42-8712-BA626B211882}"/>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CABF78E0-733F-42FC-BB21-203003058E80}"/>
    <cellStyle name="40% - Accent6 3 2 3 2 2 3" xfId="24450" xr:uid="{B1EBC1C8-2ED3-4368-A64E-545C1C877592}"/>
    <cellStyle name="40% - Accent6 3 2 3 2 3" xfId="11795" xr:uid="{426D0764-629D-41ED-A2D1-D03BD86EB240}"/>
    <cellStyle name="40% - Accent6 3 2 3 2 4" xfId="20233" xr:uid="{77178361-3B97-4799-AE48-CAEB6E3DF28B}"/>
    <cellStyle name="40% - Accent6 3 2 3 3" xfId="5426" xr:uid="{00000000-0005-0000-0000-00003B070000}"/>
    <cellStyle name="40% - Accent6 3 2 3 3 2" xfId="13868" xr:uid="{C5B2FB2E-7C74-423E-9B6F-0A9F4A8C1084}"/>
    <cellStyle name="40% - Accent6 3 2 3 3 3" xfId="22305" xr:uid="{C1190997-2EF0-4CBC-B899-7B6B70E731C5}"/>
    <cellStyle name="40% - Accent6 3 2 3 4" xfId="9650" xr:uid="{7E8A05DE-665D-440C-990B-FCC91F71F599}"/>
    <cellStyle name="40% - Accent6 3 2 3 5" xfId="18088" xr:uid="{1C52CBA1-51DC-46E7-8CCA-B598085F6070}"/>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0B923791-9FAC-4EF4-A6EA-86E4E1ECF933}"/>
    <cellStyle name="40% - Accent6 3 2 4 2 2 3" xfId="24863" xr:uid="{935DBE59-5659-424E-BB52-D92AAFE47973}"/>
    <cellStyle name="40% - Accent6 3 2 4 2 3" xfId="12208" xr:uid="{9D7B1ECB-1F59-4CE9-A5DA-DEB89DE52240}"/>
    <cellStyle name="40% - Accent6 3 2 4 2 4" xfId="20646" xr:uid="{E7737C70-A9FE-4411-A370-658A2093E0A3}"/>
    <cellStyle name="40% - Accent6 3 2 4 3" xfId="5839" xr:uid="{00000000-0005-0000-0000-00003F070000}"/>
    <cellStyle name="40% - Accent6 3 2 4 3 2" xfId="14281" xr:uid="{F23729A9-0FBC-4A68-8C2A-26DA781B07D1}"/>
    <cellStyle name="40% - Accent6 3 2 4 3 3" xfId="22718" xr:uid="{27F8565B-06EE-4BEA-80E0-59EFEEDAFC2E}"/>
    <cellStyle name="40% - Accent6 3 2 4 4" xfId="10063" xr:uid="{71630E85-070B-496B-9119-C611E4A8E1F2}"/>
    <cellStyle name="40% - Accent6 3 2 4 5" xfId="18501" xr:uid="{E5CA9705-3F8A-45D4-89B5-4E1E8D087CB8}"/>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896B9E1A-52BD-4BE4-98F8-DB9ADE63F13D}"/>
    <cellStyle name="40% - Accent6 3 2 5 2 2 3" xfId="25276" xr:uid="{4BEB87A8-07A5-4ED1-8BB9-9A5D1BB8E784}"/>
    <cellStyle name="40% - Accent6 3 2 5 2 3" xfId="12621" xr:uid="{D3960726-4E40-4052-8D51-59DD1845EF97}"/>
    <cellStyle name="40% - Accent6 3 2 5 2 4" xfId="21059" xr:uid="{EE11443B-30D8-471C-A30D-BEBC84A0C978}"/>
    <cellStyle name="40% - Accent6 3 2 5 3" xfId="6252" xr:uid="{00000000-0005-0000-0000-000043070000}"/>
    <cellStyle name="40% - Accent6 3 2 5 3 2" xfId="14694" xr:uid="{22571412-9D47-4706-AAAD-D9FCA93990F9}"/>
    <cellStyle name="40% - Accent6 3 2 5 3 3" xfId="23131" xr:uid="{CF1D2804-AF6B-40B1-B166-C91C88582AD7}"/>
    <cellStyle name="40% - Accent6 3 2 5 4" xfId="10476" xr:uid="{AD020EA7-0912-4A42-B8CB-C281CD13D5D6}"/>
    <cellStyle name="40% - Accent6 3 2 5 5" xfId="18914" xr:uid="{670AF6CD-4CA3-49C9-953E-D625CFDAB5BD}"/>
    <cellStyle name="40% - Accent6 3 2 6" xfId="2358" xr:uid="{00000000-0005-0000-0000-000044070000}"/>
    <cellStyle name="40% - Accent6 3 2 6 2" xfId="6665" xr:uid="{00000000-0005-0000-0000-000045070000}"/>
    <cellStyle name="40% - Accent6 3 2 6 2 2" xfId="15107" xr:uid="{FD24A288-8DFA-40DC-87F4-4609780DD908}"/>
    <cellStyle name="40% - Accent6 3 2 6 2 3" xfId="23544" xr:uid="{A4F6C28B-DB4A-4A24-AE33-BD92E1363471}"/>
    <cellStyle name="40% - Accent6 3 2 6 3" xfId="10889" xr:uid="{9906E1CC-1FEE-4F6E-BDDA-85479B188413}"/>
    <cellStyle name="40% - Accent6 3 2 6 4" xfId="19327" xr:uid="{94055D2D-065B-4EBC-91C9-75FB8C002CCB}"/>
    <cellStyle name="40% - Accent6 3 2 7" xfId="4599" xr:uid="{00000000-0005-0000-0000-000046070000}"/>
    <cellStyle name="40% - Accent6 3 2 7 2" xfId="13041" xr:uid="{DA53C9F9-6A7A-4169-B2C4-31E9927DFA5E}"/>
    <cellStyle name="40% - Accent6 3 2 7 3" xfId="21478" xr:uid="{DF9C2F6E-20C2-4824-A720-FA90BF8C6DAF}"/>
    <cellStyle name="40% - Accent6 3 2 8" xfId="8823" xr:uid="{6A94401C-AB08-4101-947F-5C8933C4C9BC}"/>
    <cellStyle name="40% - Accent6 3 2 9" xfId="17261" xr:uid="{819BD62D-3C47-49D5-B061-BFF608DEF471}"/>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8A0D7420-7191-427B-AAC6-6275EAF6D173}"/>
    <cellStyle name="40% - Accent6 3 3 2 2 3" xfId="24036" xr:uid="{7BF6094B-C2AA-422B-8077-49FCACFAC2F2}"/>
    <cellStyle name="40% - Accent6 3 3 2 3" xfId="11381" xr:uid="{B3A249B8-D2C5-4632-BA86-F13FA783EDE4}"/>
    <cellStyle name="40% - Accent6 3 3 2 4" xfId="19819" xr:uid="{68E856C9-0BD5-4B5C-A520-BDE02F46ECDC}"/>
    <cellStyle name="40% - Accent6 3 3 3" xfId="5012" xr:uid="{00000000-0005-0000-0000-00004A070000}"/>
    <cellStyle name="40% - Accent6 3 3 3 2" xfId="13454" xr:uid="{46564A63-2959-4275-8629-8A2FCEE904F6}"/>
    <cellStyle name="40% - Accent6 3 3 3 3" xfId="21891" xr:uid="{75EA92C7-852C-4825-8D90-5E41EE2C36DC}"/>
    <cellStyle name="40% - Accent6 3 3 4" xfId="9236" xr:uid="{5F460FD9-286F-4CB8-B475-6BBD14BCB45D}"/>
    <cellStyle name="40% - Accent6 3 3 5" xfId="17674" xr:uid="{1865846B-3036-4B36-8EBE-38D259025E5A}"/>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746F03ED-B060-4002-AF7F-2CE6B71015B3}"/>
    <cellStyle name="40% - Accent6 3 4 2 2 3" xfId="24449" xr:uid="{6647C3D7-3C5F-4BC7-9135-B73EFEFF153A}"/>
    <cellStyle name="40% - Accent6 3 4 2 3" xfId="11794" xr:uid="{2E9D325C-CBD7-4716-A916-93C31A3EFADE}"/>
    <cellStyle name="40% - Accent6 3 4 2 4" xfId="20232" xr:uid="{9F2F39B0-CD9D-4CE9-A39B-D1B6C8D557B3}"/>
    <cellStyle name="40% - Accent6 3 4 3" xfId="5425" xr:uid="{00000000-0005-0000-0000-00004E070000}"/>
    <cellStyle name="40% - Accent6 3 4 3 2" xfId="13867" xr:uid="{624E8C4D-BFA5-4378-BDD3-C7654D14E010}"/>
    <cellStyle name="40% - Accent6 3 4 3 3" xfId="22304" xr:uid="{B9EF437B-7961-42C2-9CBE-5E4B40358627}"/>
    <cellStyle name="40% - Accent6 3 4 4" xfId="9649" xr:uid="{C3F60538-C2CF-4DD5-A3CB-AE7854AA74A2}"/>
    <cellStyle name="40% - Accent6 3 4 5" xfId="18087" xr:uid="{5774E800-3AC7-495F-87C6-4768B76B18B9}"/>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73222714-583D-448B-87CB-C13AE44D48AC}"/>
    <cellStyle name="40% - Accent6 3 5 2 2 3" xfId="24862" xr:uid="{98CD6A37-57EC-4AF6-B3EA-40D3043A3C60}"/>
    <cellStyle name="40% - Accent6 3 5 2 3" xfId="12207" xr:uid="{06043C1C-3121-4BFE-8269-BDE85F8526D1}"/>
    <cellStyle name="40% - Accent6 3 5 2 4" xfId="20645" xr:uid="{594B4298-F45E-4990-97A6-A71DBC5B70D7}"/>
    <cellStyle name="40% - Accent6 3 5 3" xfId="5838" xr:uid="{00000000-0005-0000-0000-000052070000}"/>
    <cellStyle name="40% - Accent6 3 5 3 2" xfId="14280" xr:uid="{38E8788A-51B5-4BC1-AA24-F9D755603EE2}"/>
    <cellStyle name="40% - Accent6 3 5 3 3" xfId="22717" xr:uid="{7DD7785C-34DB-46EB-A3C3-4F7C9B9E2CBB}"/>
    <cellStyle name="40% - Accent6 3 5 4" xfId="10062" xr:uid="{F2F5DE14-497B-47CB-A022-2F34AD0BE8FA}"/>
    <cellStyle name="40% - Accent6 3 5 5" xfId="18500" xr:uid="{ECEC7B8E-0E6F-4A38-A3FB-CF2131679B63}"/>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D5D00EA9-724C-4EFD-A7FA-ABFFE7892634}"/>
    <cellStyle name="40% - Accent6 3 6 2 2 3" xfId="25275" xr:uid="{71E983B0-3957-4D71-BECB-66AAA569FF4B}"/>
    <cellStyle name="40% - Accent6 3 6 2 3" xfId="12620" xr:uid="{9B9A7886-0357-45C4-8F75-976C0B6265B4}"/>
    <cellStyle name="40% - Accent6 3 6 2 4" xfId="21058" xr:uid="{447065CD-9014-41AB-86E5-4C42B9069E91}"/>
    <cellStyle name="40% - Accent6 3 6 3" xfId="6251" xr:uid="{00000000-0005-0000-0000-000056070000}"/>
    <cellStyle name="40% - Accent6 3 6 3 2" xfId="14693" xr:uid="{D27EDC4E-9F56-4F99-9E1B-497747E63382}"/>
    <cellStyle name="40% - Accent6 3 6 3 3" xfId="23130" xr:uid="{BCC0B800-BCAB-404A-9E54-30A46DF1B3A1}"/>
    <cellStyle name="40% - Accent6 3 6 4" xfId="10475" xr:uid="{7A090C42-F004-41B2-BA1F-87EE939C7880}"/>
    <cellStyle name="40% - Accent6 3 6 5" xfId="18913" xr:uid="{85D9A3C0-BB61-40DE-962B-33038879A1D7}"/>
    <cellStyle name="40% - Accent6 3 7" xfId="2357" xr:uid="{00000000-0005-0000-0000-000057070000}"/>
    <cellStyle name="40% - Accent6 3 7 2" xfId="6664" xr:uid="{00000000-0005-0000-0000-000058070000}"/>
    <cellStyle name="40% - Accent6 3 7 2 2" xfId="15106" xr:uid="{26C379F7-204B-4991-9986-FE872F8BEEEE}"/>
    <cellStyle name="40% - Accent6 3 7 2 3" xfId="23543" xr:uid="{3D3E8247-6F0D-4558-BB57-9E205A446CDB}"/>
    <cellStyle name="40% - Accent6 3 7 3" xfId="10888" xr:uid="{170FC1E9-EA99-4EFB-9CE5-D7D2962230CF}"/>
    <cellStyle name="40% - Accent6 3 7 4" xfId="19326" xr:uid="{8613BF14-BED2-497E-8709-A494DB576529}"/>
    <cellStyle name="40% - Accent6 3 8" xfId="4598" xr:uid="{00000000-0005-0000-0000-000059070000}"/>
    <cellStyle name="40% - Accent6 3 8 2" xfId="13040" xr:uid="{E341D345-7981-4C4C-A9EE-D653083895CA}"/>
    <cellStyle name="40% - Accent6 3 8 3" xfId="21477" xr:uid="{AD0A8DCE-89B8-4C28-BFFB-96169C067CD4}"/>
    <cellStyle name="40% - Accent6 3 9" xfId="8822" xr:uid="{269E228F-D624-4A5E-87DF-2D037F29C71B}"/>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9F0C3456-BD7E-41FB-8676-8649DB6216DB}"/>
    <cellStyle name="40% - Accent6 4 2 2 2 3" xfId="24038" xr:uid="{823ACF47-E88C-4B6F-8CD7-A40739F73208}"/>
    <cellStyle name="40% - Accent6 4 2 2 3" xfId="11383" xr:uid="{111532D1-E140-4E35-9A25-72F51EBC8F18}"/>
    <cellStyle name="40% - Accent6 4 2 2 4" xfId="19821" xr:uid="{5DCAD46F-6049-4DAC-B3DF-F4E1EA13C7DA}"/>
    <cellStyle name="40% - Accent6 4 2 3" xfId="5014" xr:uid="{00000000-0005-0000-0000-00005E070000}"/>
    <cellStyle name="40% - Accent6 4 2 3 2" xfId="13456" xr:uid="{423B1E08-4CF1-4703-B522-1224F3E19A78}"/>
    <cellStyle name="40% - Accent6 4 2 3 3" xfId="21893" xr:uid="{A03B92DF-412C-4C1F-8246-7F823F0AA580}"/>
    <cellStyle name="40% - Accent6 4 2 4" xfId="9238" xr:uid="{F7BACA7A-7439-499C-BF8C-925A766EC0E1}"/>
    <cellStyle name="40% - Accent6 4 2 5" xfId="17676" xr:uid="{85313FA1-38C4-457E-8B25-E88E8B7F825A}"/>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BFA24DAC-A217-4A36-A995-241922F02F91}"/>
    <cellStyle name="40% - Accent6 4 3 2 2 3" xfId="24451" xr:uid="{CDA70C62-D000-45CE-98E8-DC8D39253BC2}"/>
    <cellStyle name="40% - Accent6 4 3 2 3" xfId="11796" xr:uid="{EDFA10FC-1058-4410-8DD6-FD49BEEF56F7}"/>
    <cellStyle name="40% - Accent6 4 3 2 4" xfId="20234" xr:uid="{D51C455D-8048-4778-9239-03987ACB28A7}"/>
    <cellStyle name="40% - Accent6 4 3 3" xfId="5427" xr:uid="{00000000-0005-0000-0000-000062070000}"/>
    <cellStyle name="40% - Accent6 4 3 3 2" xfId="13869" xr:uid="{09E8C8E0-C0E7-4ADD-850C-63702B128FAA}"/>
    <cellStyle name="40% - Accent6 4 3 3 3" xfId="22306" xr:uid="{4A0CC3FE-C574-4F34-A3A8-C1C3CCB2099E}"/>
    <cellStyle name="40% - Accent6 4 3 4" xfId="9651" xr:uid="{67173656-34A1-47BF-BDDB-17A378B883D0}"/>
    <cellStyle name="40% - Accent6 4 3 5" xfId="18089" xr:uid="{1CE5977B-5D13-41D4-8105-23C9F535D4F9}"/>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38C4245E-4B2D-43FE-9EAB-BD48F8FE945B}"/>
    <cellStyle name="40% - Accent6 4 4 2 2 3" xfId="24864" xr:uid="{381DE701-112A-42D5-9F90-6D942B26A811}"/>
    <cellStyle name="40% - Accent6 4 4 2 3" xfId="12209" xr:uid="{7D5E1EA9-C654-4D82-8289-DACDC465ED5C}"/>
    <cellStyle name="40% - Accent6 4 4 2 4" xfId="20647" xr:uid="{7A3D2662-17A6-4EDE-B161-02F6346FEBAE}"/>
    <cellStyle name="40% - Accent6 4 4 3" xfId="5840" xr:uid="{00000000-0005-0000-0000-000066070000}"/>
    <cellStyle name="40% - Accent6 4 4 3 2" xfId="14282" xr:uid="{2105E53C-A56B-4761-B0E3-9D3942A86A42}"/>
    <cellStyle name="40% - Accent6 4 4 3 3" xfId="22719" xr:uid="{8A1A1FC3-FB80-4C38-9C11-9851485D4BA0}"/>
    <cellStyle name="40% - Accent6 4 4 4" xfId="10064" xr:uid="{D02AB900-5371-4602-B48E-E4DE1530B4FC}"/>
    <cellStyle name="40% - Accent6 4 4 5" xfId="18502" xr:uid="{5AC59DEC-0FCC-472D-AAC1-8FB32B31B6F0}"/>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BAAF2D64-7334-4923-B161-46FCC7AC733C}"/>
    <cellStyle name="40% - Accent6 4 5 2 2 3" xfId="25277" xr:uid="{A80ECB00-307D-4F46-9DF5-C2A0108E00C9}"/>
    <cellStyle name="40% - Accent6 4 5 2 3" xfId="12622" xr:uid="{CD6678AD-7FCE-419B-850F-50CA8CEE8EE7}"/>
    <cellStyle name="40% - Accent6 4 5 2 4" xfId="21060" xr:uid="{46B0A217-6E8B-420D-BE1B-7EB0070F006E}"/>
    <cellStyle name="40% - Accent6 4 5 3" xfId="6253" xr:uid="{00000000-0005-0000-0000-00006A070000}"/>
    <cellStyle name="40% - Accent6 4 5 3 2" xfId="14695" xr:uid="{EAE4D49A-6893-4C5B-867D-FA9AA632BA9C}"/>
    <cellStyle name="40% - Accent6 4 5 3 3" xfId="23132" xr:uid="{BDAC856B-E918-490E-9B78-8A4857CAAD1E}"/>
    <cellStyle name="40% - Accent6 4 5 4" xfId="10477" xr:uid="{2830CA93-9D1A-4B43-9750-355D61C46B38}"/>
    <cellStyle name="40% - Accent6 4 5 5" xfId="18915" xr:uid="{30365490-E133-482B-BE99-5E4058B4F376}"/>
    <cellStyle name="40% - Accent6 4 6" xfId="2359" xr:uid="{00000000-0005-0000-0000-00006B070000}"/>
    <cellStyle name="40% - Accent6 4 6 2" xfId="6666" xr:uid="{00000000-0005-0000-0000-00006C070000}"/>
    <cellStyle name="40% - Accent6 4 6 2 2" xfId="15108" xr:uid="{09958CC5-D50D-4393-8DFD-E32434FF846D}"/>
    <cellStyle name="40% - Accent6 4 6 2 3" xfId="23545" xr:uid="{F8763D03-A63E-44A5-BDE8-5933FA2F4F1D}"/>
    <cellStyle name="40% - Accent6 4 6 3" xfId="10890" xr:uid="{8BCABCC8-D551-45A4-87CB-E3455C343842}"/>
    <cellStyle name="40% - Accent6 4 6 4" xfId="19328" xr:uid="{9941B626-71FF-4BC7-B6F4-2792684F6C92}"/>
    <cellStyle name="40% - Accent6 4 7" xfId="4600" xr:uid="{00000000-0005-0000-0000-00006D070000}"/>
    <cellStyle name="40% - Accent6 4 7 2" xfId="13042" xr:uid="{CC2AD64F-E490-474A-A1EE-4019AB5BFE51}"/>
    <cellStyle name="40% - Accent6 4 7 3" xfId="21479" xr:uid="{DECBDD49-BE71-46BB-8F58-32AE03371058}"/>
    <cellStyle name="40% - Accent6 4 8" xfId="8824" xr:uid="{16995F18-083C-4688-8080-B48455BC4ABD}"/>
    <cellStyle name="40% - Accent6 4 9" xfId="17262" xr:uid="{117B424F-3158-4AAE-8168-9C7E8C6A7EC7}"/>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7200B4BE-25E6-4BBB-8FBB-A2DDA614D400}"/>
    <cellStyle name="40% - Accent6 5 2 2 3" xfId="24031" xr:uid="{293EE91A-98CC-4AAE-AE07-8F8EC5617751}"/>
    <cellStyle name="40% - Accent6 5 2 3" xfId="11376" xr:uid="{2D7EDD9E-72BA-44E3-96B8-BB1D7249A005}"/>
    <cellStyle name="40% - Accent6 5 2 4" xfId="19814" xr:uid="{4EB65182-0B40-476D-80F1-5FA65506D77F}"/>
    <cellStyle name="40% - Accent6 5 3" xfId="5007" xr:uid="{00000000-0005-0000-0000-000071070000}"/>
    <cellStyle name="40% - Accent6 5 3 2" xfId="13449" xr:uid="{A0237F0B-4D5F-4F43-83FB-59280724D96F}"/>
    <cellStyle name="40% - Accent6 5 3 3" xfId="21886" xr:uid="{EF9E35C5-931E-4CAA-AA0F-1F061D5DE0B1}"/>
    <cellStyle name="40% - Accent6 5 4" xfId="9231" xr:uid="{DA4ED40E-744C-4A5F-BA27-F3C7FD2CA0ED}"/>
    <cellStyle name="40% - Accent6 5 5" xfId="17669" xr:uid="{DA9043EF-080E-416A-86A5-AC3330E01F79}"/>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26357502-9BD8-4D7D-A40D-5C0FF40AF742}"/>
    <cellStyle name="40% - Accent6 6 2 2 3" xfId="24444" xr:uid="{949FE330-1B6D-40EA-9D8D-5220DC6FBC1D}"/>
    <cellStyle name="40% - Accent6 6 2 3" xfId="11789" xr:uid="{DE90BEB1-535E-4610-9E11-EBB7731452AC}"/>
    <cellStyle name="40% - Accent6 6 2 4" xfId="20227" xr:uid="{0CFB9DD0-AB3E-4937-BF33-662639C7C188}"/>
    <cellStyle name="40% - Accent6 6 3" xfId="5420" xr:uid="{00000000-0005-0000-0000-000075070000}"/>
    <cellStyle name="40% - Accent6 6 3 2" xfId="13862" xr:uid="{8AE48166-0475-4EA0-8554-7FA56C7A4963}"/>
    <cellStyle name="40% - Accent6 6 3 3" xfId="22299" xr:uid="{FB90F0CD-5B9D-4FB3-9B11-B7ADE76B689C}"/>
    <cellStyle name="40% - Accent6 6 4" xfId="9644" xr:uid="{57BE4DD1-0789-4FD7-8CED-01048D86E75C}"/>
    <cellStyle name="40% - Accent6 6 5" xfId="18082" xr:uid="{EEBD9949-3739-49BB-81D2-E9F9D6AC9FAB}"/>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E3C0BD3F-8FAD-4F5B-BEEE-DDD931F06C12}"/>
    <cellStyle name="40% - Accent6 7 2 2 3" xfId="24857" xr:uid="{C7EFEDE5-E373-4EA6-9263-15A6FD306E7B}"/>
    <cellStyle name="40% - Accent6 7 2 3" xfId="12202" xr:uid="{5D061988-1C61-4FAE-97A6-A16876783844}"/>
    <cellStyle name="40% - Accent6 7 2 4" xfId="20640" xr:uid="{1E4F4884-BFCB-4637-B8DA-8603467B6869}"/>
    <cellStyle name="40% - Accent6 7 3" xfId="5833" xr:uid="{00000000-0005-0000-0000-000079070000}"/>
    <cellStyle name="40% - Accent6 7 3 2" xfId="14275" xr:uid="{E8325CEF-4D2F-448E-8A52-2D7B1161B2B0}"/>
    <cellStyle name="40% - Accent6 7 3 3" xfId="22712" xr:uid="{EDDC407F-23D6-47E3-AC9B-CA0424E0C4FE}"/>
    <cellStyle name="40% - Accent6 7 4" xfId="10057" xr:uid="{85570FA7-C17E-4304-A830-42D2D9DD2176}"/>
    <cellStyle name="40% - Accent6 7 5" xfId="18495" xr:uid="{AC494602-E3CE-470C-9AF8-9A24CE37B30B}"/>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CF88C7C1-019C-415D-B104-CF2B6A4858EE}"/>
    <cellStyle name="40% - Accent6 8 2 2 3" xfId="25270" xr:uid="{3DE1BD78-1274-4FBE-A48C-3B7E6E350C81}"/>
    <cellStyle name="40% - Accent6 8 2 3" xfId="12615" xr:uid="{004A77F7-ED18-4E1D-9221-F5D313B76645}"/>
    <cellStyle name="40% - Accent6 8 2 4" xfId="21053" xr:uid="{A3647E98-4921-49EA-BC60-DB9ECB012CF4}"/>
    <cellStyle name="40% - Accent6 8 3" xfId="6246" xr:uid="{00000000-0005-0000-0000-00007D070000}"/>
    <cellStyle name="40% - Accent6 8 3 2" xfId="14688" xr:uid="{AAE14B70-ACA4-4F86-8020-86ACC089D125}"/>
    <cellStyle name="40% - Accent6 8 3 3" xfId="23125" xr:uid="{9153DF04-89A3-42E6-BF59-521F01642577}"/>
    <cellStyle name="40% - Accent6 8 4" xfId="10470" xr:uid="{86316563-0994-4A88-A381-DFB770ECE247}"/>
    <cellStyle name="40% - Accent6 8 5" xfId="18908" xr:uid="{7746AA67-5D41-4BB0-BA34-2D741539DC7A}"/>
    <cellStyle name="40% - Accent6 9" xfId="2352" xr:uid="{00000000-0005-0000-0000-00007E070000}"/>
    <cellStyle name="40% - Accent6 9 2" xfId="6659" xr:uid="{00000000-0005-0000-0000-00007F070000}"/>
    <cellStyle name="40% - Accent6 9 2 2" xfId="15101" xr:uid="{0144B047-4C7F-419C-A152-073478CA7EEE}"/>
    <cellStyle name="40% - Accent6 9 2 3" xfId="23538" xr:uid="{A331CB4C-F654-41FD-B7E8-B01EF4E006D8}"/>
    <cellStyle name="40% - Accent6 9 3" xfId="10883" xr:uid="{175B420E-53F3-4B86-B476-DFCA1A7EF936}"/>
    <cellStyle name="40% - Accent6 9 4" xfId="19321" xr:uid="{6C25200D-55CE-4E19-B01A-402D67FCC104}"/>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3681A14F-5854-402B-9163-4BFAEFC6D59A}"/>
    <cellStyle name="Comma 4 2 2 2 10 2 3" xfId="23863" xr:uid="{B49F06FF-DB16-4222-A2D5-ECFF6F01C943}"/>
    <cellStyle name="Comma 4 2 2 2 10 3" xfId="11208" xr:uid="{EBBB3473-E890-4EB8-A826-BF035E90701B}"/>
    <cellStyle name="Comma 4 2 2 2 10 4" xfId="19646" xr:uid="{06F3FB37-6BB5-4E3C-9419-0D33FCE13D32}"/>
    <cellStyle name="Comma 4 2 2 2 11" xfId="4601" xr:uid="{00000000-0005-0000-0000-0000A3070000}"/>
    <cellStyle name="Comma 4 2 2 2 11 2" xfId="13043" xr:uid="{3E76F8E1-8C8E-4C99-B9F6-ABC71DF7E179}"/>
    <cellStyle name="Comma 4 2 2 2 11 3" xfId="21480" xr:uid="{C81D97B0-3D8E-46A4-B5AF-51D11087DA0E}"/>
    <cellStyle name="Comma 4 2 2 2 12" xfId="8825" xr:uid="{B37DB397-6A9D-400F-9FFE-C42D70545EBF}"/>
    <cellStyle name="Comma 4 2 2 2 13" xfId="17263" xr:uid="{7E903A04-23A0-4292-8533-A43F9803D37C}"/>
    <cellStyle name="Comma 4 2 2 2 2" xfId="129" xr:uid="{00000000-0005-0000-0000-0000A4070000}"/>
    <cellStyle name="Comma 4 2 2 2 2 10" xfId="4602" xr:uid="{00000000-0005-0000-0000-0000A5070000}"/>
    <cellStyle name="Comma 4 2 2 2 2 10 2" xfId="13044" xr:uid="{C86DE1BB-80C2-496A-8A65-1FCDA4375C24}"/>
    <cellStyle name="Comma 4 2 2 2 2 10 3" xfId="21481" xr:uid="{31B694EE-0C73-46AB-965C-B969DF62C33B}"/>
    <cellStyle name="Comma 4 2 2 2 2 11" xfId="8826" xr:uid="{92E7FFB4-7015-469E-8C61-EDB07A1B3591}"/>
    <cellStyle name="Comma 4 2 2 2 2 12" xfId="17264" xr:uid="{6C5D53FA-AC10-4E3B-9252-AE76B10B5497}"/>
    <cellStyle name="Comma 4 2 2 2 2 2" xfId="130" xr:uid="{00000000-0005-0000-0000-0000A6070000}"/>
    <cellStyle name="Comma 4 2 2 2 2 2 10" xfId="8827" xr:uid="{354AE2AC-48BA-43DA-AE07-CC74DABD8B04}"/>
    <cellStyle name="Comma 4 2 2 2 2 2 11" xfId="17265" xr:uid="{8A022C1A-51C6-4D8E-9AF9-E7E36B346D74}"/>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3E14E8C3-1C70-46DF-98E4-D8E0974BA5EC}"/>
    <cellStyle name="Comma 4 2 2 2 2 2 2 2 2 3" xfId="24041" xr:uid="{B44D6A24-5355-4FD8-8F6B-84326B7A5E0E}"/>
    <cellStyle name="Comma 4 2 2 2 2 2 2 2 3" xfId="11386" xr:uid="{617FE732-3792-44C6-8434-A752D87DD268}"/>
    <cellStyle name="Comma 4 2 2 2 2 2 2 2 4" xfId="19824" xr:uid="{D773766F-A838-493B-8CEF-F32CD5B4442B}"/>
    <cellStyle name="Comma 4 2 2 2 2 2 2 3" xfId="5017" xr:uid="{00000000-0005-0000-0000-0000AA070000}"/>
    <cellStyle name="Comma 4 2 2 2 2 2 2 3 2" xfId="13459" xr:uid="{7B8A422F-0179-43E3-AD48-A9AE4A5BB39B}"/>
    <cellStyle name="Comma 4 2 2 2 2 2 2 3 3" xfId="21896" xr:uid="{8BA337FF-AD1C-4436-B444-BD9B9CB4DCF2}"/>
    <cellStyle name="Comma 4 2 2 2 2 2 2 4" xfId="9241" xr:uid="{713702F7-2130-4B15-9A38-F1B7021E3E08}"/>
    <cellStyle name="Comma 4 2 2 2 2 2 2 5" xfId="17679" xr:uid="{CA13D3B1-75D4-4BFD-A5A3-9856A26AAFB9}"/>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1FEFE331-B3B6-4A06-9DFC-B32068B8957F}"/>
    <cellStyle name="Comma 4 2 2 2 2 2 3 2 2 3" xfId="24454" xr:uid="{ED9430E6-6F57-44F5-ADDD-E0126B5D5693}"/>
    <cellStyle name="Comma 4 2 2 2 2 2 3 2 3" xfId="11799" xr:uid="{1B029DC7-8BBC-440F-9549-AFE918E2680C}"/>
    <cellStyle name="Comma 4 2 2 2 2 2 3 2 4" xfId="20237" xr:uid="{811D4ED8-DCB6-45A9-8184-E21241ADB895}"/>
    <cellStyle name="Comma 4 2 2 2 2 2 3 3" xfId="5430" xr:uid="{00000000-0005-0000-0000-0000AE070000}"/>
    <cellStyle name="Comma 4 2 2 2 2 2 3 3 2" xfId="13872" xr:uid="{BE70D8B4-53FB-4986-8F4C-776DB01E33EB}"/>
    <cellStyle name="Comma 4 2 2 2 2 2 3 3 3" xfId="22309" xr:uid="{B4CA0C5D-78A9-4D21-BA25-9C6A5CA020B0}"/>
    <cellStyle name="Comma 4 2 2 2 2 2 3 4" xfId="9654" xr:uid="{04D85C58-09BA-4D8A-B413-0D6481204729}"/>
    <cellStyle name="Comma 4 2 2 2 2 2 3 5" xfId="18092" xr:uid="{421259AC-F3C5-48E4-9878-EC603832CB9A}"/>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1C6009BD-26F6-4789-820A-D89ECB55DA77}"/>
    <cellStyle name="Comma 4 2 2 2 2 2 4 2 2 3" xfId="24867" xr:uid="{DEB2814F-01E0-425D-90EE-1E28C9AC74E1}"/>
    <cellStyle name="Comma 4 2 2 2 2 2 4 2 3" xfId="12212" xr:uid="{F6699D62-A7EC-4D8F-BC65-8FB443810159}"/>
    <cellStyle name="Comma 4 2 2 2 2 2 4 2 4" xfId="20650" xr:uid="{E66AB6CE-DFA3-4F1F-BF55-B51E6D5AF1CE}"/>
    <cellStyle name="Comma 4 2 2 2 2 2 4 3" xfId="5843" xr:uid="{00000000-0005-0000-0000-0000B2070000}"/>
    <cellStyle name="Comma 4 2 2 2 2 2 4 3 2" xfId="14285" xr:uid="{525B176F-8B5B-42A5-8333-21D034112571}"/>
    <cellStyle name="Comma 4 2 2 2 2 2 4 3 3" xfId="22722" xr:uid="{5A16636D-A05E-4FE7-9EAF-40CEC7874D95}"/>
    <cellStyle name="Comma 4 2 2 2 2 2 4 4" xfId="10067" xr:uid="{0888199A-C594-4BFC-9EA6-ABC877DDD8B5}"/>
    <cellStyle name="Comma 4 2 2 2 2 2 4 5" xfId="18505" xr:uid="{DCF38432-C598-4608-991B-2AFF95750E91}"/>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61BC8AAA-A630-4B05-812F-C78FC0683905}"/>
    <cellStyle name="Comma 4 2 2 2 2 2 5 2 2 3" xfId="25280" xr:uid="{46841B6D-1239-4D95-B008-270FDEAEC23C}"/>
    <cellStyle name="Comma 4 2 2 2 2 2 5 2 3" xfId="12625" xr:uid="{86AAEE64-C661-432A-9C6C-F5660BBF0BC3}"/>
    <cellStyle name="Comma 4 2 2 2 2 2 5 2 4" xfId="21063" xr:uid="{BEABB805-C02F-4B04-AF30-BE500CF0E7AA}"/>
    <cellStyle name="Comma 4 2 2 2 2 2 5 3" xfId="6256" xr:uid="{00000000-0005-0000-0000-0000B6070000}"/>
    <cellStyle name="Comma 4 2 2 2 2 2 5 3 2" xfId="14698" xr:uid="{52B1708F-206B-4F3C-9529-EDF0945A4C60}"/>
    <cellStyle name="Comma 4 2 2 2 2 2 5 3 3" xfId="23135" xr:uid="{8C37E674-9A28-4AD6-A516-05BA55CC40B9}"/>
    <cellStyle name="Comma 4 2 2 2 2 2 5 4" xfId="10480" xr:uid="{56410A20-8B8A-4A77-81F5-2A613DA82D1C}"/>
    <cellStyle name="Comma 4 2 2 2 2 2 5 5" xfId="18918" xr:uid="{BA1EE5FF-71A3-4B64-AE69-5974769546EF}"/>
    <cellStyle name="Comma 4 2 2 2 2 2 6" xfId="2384" xr:uid="{00000000-0005-0000-0000-0000B7070000}"/>
    <cellStyle name="Comma 4 2 2 2 2 2 6 2" xfId="6669" xr:uid="{00000000-0005-0000-0000-0000B8070000}"/>
    <cellStyle name="Comma 4 2 2 2 2 2 6 2 2" xfId="15111" xr:uid="{9F33537A-C133-41B8-A101-9E6E1CF2AF49}"/>
    <cellStyle name="Comma 4 2 2 2 2 2 6 2 3" xfId="23548" xr:uid="{F899767A-3DCA-4325-8FA4-297A068DCA0C}"/>
    <cellStyle name="Comma 4 2 2 2 2 2 6 3" xfId="10893" xr:uid="{9CCD9AEA-41F0-4727-8F51-9ACA71433BA0}"/>
    <cellStyle name="Comma 4 2 2 2 2 2 6 4" xfId="19331" xr:uid="{249BD26B-2AF3-4462-B71B-B1D189D1D70C}"/>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CD9F749B-7A8B-47B1-A6BA-B4339381D5EF}"/>
    <cellStyle name="Comma 4 2 2 2 2 2 8 2 3" xfId="23865" xr:uid="{4B10A9E0-5FDB-49E8-BEF7-4B8FB33A7488}"/>
    <cellStyle name="Comma 4 2 2 2 2 2 8 3" xfId="11210" xr:uid="{51B6D27F-96C0-4590-96E6-F05C2F1EC11F}"/>
    <cellStyle name="Comma 4 2 2 2 2 2 8 4" xfId="19648" xr:uid="{DCF6E395-8A0A-4892-82BD-2E8129EEC07C}"/>
    <cellStyle name="Comma 4 2 2 2 2 2 9" xfId="4603" xr:uid="{00000000-0005-0000-0000-0000BC070000}"/>
    <cellStyle name="Comma 4 2 2 2 2 2 9 2" xfId="13045" xr:uid="{75E736A7-14EB-4CEE-AE1B-833103798FCF}"/>
    <cellStyle name="Comma 4 2 2 2 2 2 9 3" xfId="21482" xr:uid="{5D5A768C-0DC4-4FF1-9BB0-DB3B31579F12}"/>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FF158236-18AF-4E3E-9966-AD129DCC7F0B}"/>
    <cellStyle name="Comma 4 2 2 2 2 3 2 2 3" xfId="24040" xr:uid="{7B0842A5-2798-45C3-A3DA-26B2F19753ED}"/>
    <cellStyle name="Comma 4 2 2 2 2 3 2 3" xfId="11385" xr:uid="{3C583FD8-2AFA-4B96-9529-AF012C2405C5}"/>
    <cellStyle name="Comma 4 2 2 2 2 3 2 4" xfId="19823" xr:uid="{E24846C8-C3B8-4FCC-856F-96E1B53950DC}"/>
    <cellStyle name="Comma 4 2 2 2 2 3 3" xfId="5016" xr:uid="{00000000-0005-0000-0000-0000C0070000}"/>
    <cellStyle name="Comma 4 2 2 2 2 3 3 2" xfId="13458" xr:uid="{60597C4A-3A90-46AE-BCFF-0EB7E5A9113B}"/>
    <cellStyle name="Comma 4 2 2 2 2 3 3 3" xfId="21895" xr:uid="{90EBAED2-DF47-413B-91C8-8E48143C07A5}"/>
    <cellStyle name="Comma 4 2 2 2 2 3 4" xfId="9240" xr:uid="{79EFFEDB-EB37-4DA3-A49C-4869BD707D81}"/>
    <cellStyle name="Comma 4 2 2 2 2 3 5" xfId="17678" xr:uid="{A84CFEED-4178-49F7-961A-A5A66F43849C}"/>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6D29BB47-A1B4-4583-9BCF-35469233BEE9}"/>
    <cellStyle name="Comma 4 2 2 2 2 4 2 2 3" xfId="24453" xr:uid="{46CFB54C-ED6A-4331-8729-169E391A093D}"/>
    <cellStyle name="Comma 4 2 2 2 2 4 2 3" xfId="11798" xr:uid="{8AA1E804-809D-4405-9360-785D574CC741}"/>
    <cellStyle name="Comma 4 2 2 2 2 4 2 4" xfId="20236" xr:uid="{83785FFF-8BE6-488E-B19E-862ABDC04E40}"/>
    <cellStyle name="Comma 4 2 2 2 2 4 3" xfId="5429" xr:uid="{00000000-0005-0000-0000-0000C4070000}"/>
    <cellStyle name="Comma 4 2 2 2 2 4 3 2" xfId="13871" xr:uid="{5800FC18-3BC3-4295-BA02-E53129A1542E}"/>
    <cellStyle name="Comma 4 2 2 2 2 4 3 3" xfId="22308" xr:uid="{C813A2F5-4F55-41DA-8743-625A23F01750}"/>
    <cellStyle name="Comma 4 2 2 2 2 4 4" xfId="9653" xr:uid="{8D3015A1-4A52-4BB5-A875-E5442AADEFCB}"/>
    <cellStyle name="Comma 4 2 2 2 2 4 5" xfId="18091" xr:uid="{77FC8AAA-DF97-4595-9731-E2C5AFC1CDEA}"/>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9D02C72A-AE56-47F7-B670-EAE30312D2EB}"/>
    <cellStyle name="Comma 4 2 2 2 2 5 2 2 3" xfId="24866" xr:uid="{0C29140D-B32F-49B2-8C06-C69CCA6DF8B6}"/>
    <cellStyle name="Comma 4 2 2 2 2 5 2 3" xfId="12211" xr:uid="{C2E4954E-8FE1-43AE-B73E-A8F979351253}"/>
    <cellStyle name="Comma 4 2 2 2 2 5 2 4" xfId="20649" xr:uid="{FB85BB4C-A85F-44A9-8D12-C07D06F20406}"/>
    <cellStyle name="Comma 4 2 2 2 2 5 3" xfId="5842" xr:uid="{00000000-0005-0000-0000-0000C8070000}"/>
    <cellStyle name="Comma 4 2 2 2 2 5 3 2" xfId="14284" xr:uid="{70585A32-E3F4-4F27-A834-816F6AE8DDFA}"/>
    <cellStyle name="Comma 4 2 2 2 2 5 3 3" xfId="22721" xr:uid="{4D874FDE-4DEC-42B6-AE0B-DAB57621FD7B}"/>
    <cellStyle name="Comma 4 2 2 2 2 5 4" xfId="10066" xr:uid="{C74E0E33-93C5-45AA-B28A-44852CFA964E}"/>
    <cellStyle name="Comma 4 2 2 2 2 5 5" xfId="18504" xr:uid="{18C30AC7-1F6A-4AD3-BC75-879087716230}"/>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F3CD1CFD-E2F5-449C-B424-5B31C0ACFB0C}"/>
    <cellStyle name="Comma 4 2 2 2 2 6 2 2 3" xfId="25279" xr:uid="{A2B34BFF-21B3-4093-9B55-C47682E62B2C}"/>
    <cellStyle name="Comma 4 2 2 2 2 6 2 3" xfId="12624" xr:uid="{27E2983C-2405-4765-B33A-1D01F6684431}"/>
    <cellStyle name="Comma 4 2 2 2 2 6 2 4" xfId="21062" xr:uid="{C84E2057-C4DF-4283-A70E-5AABE3353EE2}"/>
    <cellStyle name="Comma 4 2 2 2 2 6 3" xfId="6255" xr:uid="{00000000-0005-0000-0000-0000CC070000}"/>
    <cellStyle name="Comma 4 2 2 2 2 6 3 2" xfId="14697" xr:uid="{E0E9443D-03FA-4996-B291-DF6F5916F24B}"/>
    <cellStyle name="Comma 4 2 2 2 2 6 3 3" xfId="23134" xr:uid="{FD86EB40-7D44-4200-A62F-2F1C0F010509}"/>
    <cellStyle name="Comma 4 2 2 2 2 6 4" xfId="10479" xr:uid="{D607DB2C-1337-4F1D-88A2-094929D101EF}"/>
    <cellStyle name="Comma 4 2 2 2 2 6 5" xfId="18917" xr:uid="{DD6B10DA-0AAA-4B96-8AEB-40A09AF75846}"/>
    <cellStyle name="Comma 4 2 2 2 2 7" xfId="2383" xr:uid="{00000000-0005-0000-0000-0000CD070000}"/>
    <cellStyle name="Comma 4 2 2 2 2 7 2" xfId="6668" xr:uid="{00000000-0005-0000-0000-0000CE070000}"/>
    <cellStyle name="Comma 4 2 2 2 2 7 2 2" xfId="15110" xr:uid="{2977936F-2B8B-4166-BA6E-8D6A0D5E6810}"/>
    <cellStyle name="Comma 4 2 2 2 2 7 2 3" xfId="23547" xr:uid="{45B11F42-86AF-4059-B2DF-0E3CFC47DF6C}"/>
    <cellStyle name="Comma 4 2 2 2 2 7 3" xfId="10892" xr:uid="{74F343D7-C186-4C14-81E3-3E5653A87CDA}"/>
    <cellStyle name="Comma 4 2 2 2 2 7 4" xfId="19330" xr:uid="{530B60D6-BB69-49A7-99DC-5C338C044B41}"/>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030ACCBF-017C-4DCC-B829-7B6132CE2976}"/>
    <cellStyle name="Comma 4 2 2 2 2 9 2 3" xfId="23864" xr:uid="{21C93849-4DA7-43D8-B75F-F70A79F8DD27}"/>
    <cellStyle name="Comma 4 2 2 2 2 9 3" xfId="11209" xr:uid="{03E730C9-E438-4166-A817-B2432AFD9F3F}"/>
    <cellStyle name="Comma 4 2 2 2 2 9 4" xfId="19647" xr:uid="{C909A2ED-B2FC-4EC5-9897-4614C5D37F63}"/>
    <cellStyle name="Comma 4 2 2 2 3" xfId="131" xr:uid="{00000000-0005-0000-0000-0000D2070000}"/>
    <cellStyle name="Comma 4 2 2 2 3 10" xfId="8828" xr:uid="{F2B660C6-A46A-495B-9A78-BE4D9D268B1F}"/>
    <cellStyle name="Comma 4 2 2 2 3 11" xfId="17266" xr:uid="{401EFBB8-9799-4AE7-B24C-F8356EDD60B3}"/>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29F420B5-F811-426D-9EE2-67DB5E5DA13E}"/>
    <cellStyle name="Comma 4 2 2 2 3 2 2 2 3" xfId="24042" xr:uid="{17AD2BE7-4C47-42AA-9D09-B2A6D2926935}"/>
    <cellStyle name="Comma 4 2 2 2 3 2 2 3" xfId="11387" xr:uid="{8F3503CD-76EC-4179-B060-F5C5639A301C}"/>
    <cellStyle name="Comma 4 2 2 2 3 2 2 4" xfId="19825" xr:uid="{5E584F41-0E08-484A-8D32-A423CB3B34A2}"/>
    <cellStyle name="Comma 4 2 2 2 3 2 3" xfId="5018" xr:uid="{00000000-0005-0000-0000-0000D6070000}"/>
    <cellStyle name="Comma 4 2 2 2 3 2 3 2" xfId="13460" xr:uid="{1F8260F5-AF6E-4EBF-B569-B71EFC6310B5}"/>
    <cellStyle name="Comma 4 2 2 2 3 2 3 3" xfId="21897" xr:uid="{334AB7F7-4706-4B6D-B4D0-E8382E8EBD50}"/>
    <cellStyle name="Comma 4 2 2 2 3 2 4" xfId="9242" xr:uid="{B40B333C-F604-4C0A-93B1-4CEC5BD9D114}"/>
    <cellStyle name="Comma 4 2 2 2 3 2 5" xfId="17680" xr:uid="{0096643E-233D-4BE9-9B5F-66BB8D51BD20}"/>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89B38F84-00F2-435D-9948-A53521C50EB1}"/>
    <cellStyle name="Comma 4 2 2 2 3 3 2 2 3" xfId="24455" xr:uid="{EE5F0640-05D4-4B10-A04A-ED869F885D69}"/>
    <cellStyle name="Comma 4 2 2 2 3 3 2 3" xfId="11800" xr:uid="{8969BC90-6309-4386-B6AB-8898DEFB8B46}"/>
    <cellStyle name="Comma 4 2 2 2 3 3 2 4" xfId="20238" xr:uid="{0CAF5B71-D9B8-4A07-8072-524C503B4E45}"/>
    <cellStyle name="Comma 4 2 2 2 3 3 3" xfId="5431" xr:uid="{00000000-0005-0000-0000-0000DA070000}"/>
    <cellStyle name="Comma 4 2 2 2 3 3 3 2" xfId="13873" xr:uid="{DBFDD628-8CDC-436B-AB4A-A7DD81E48D5E}"/>
    <cellStyle name="Comma 4 2 2 2 3 3 3 3" xfId="22310" xr:uid="{2BC3391F-220C-4D5E-9DB7-7F048AB79179}"/>
    <cellStyle name="Comma 4 2 2 2 3 3 4" xfId="9655" xr:uid="{22FDA206-98EC-4F11-B9F6-91389B01464B}"/>
    <cellStyle name="Comma 4 2 2 2 3 3 5" xfId="18093" xr:uid="{263F3E3A-8771-43F7-84A8-24FAAFC92DE1}"/>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29CA75A8-6019-4415-B5C1-D15202F0793D}"/>
    <cellStyle name="Comma 4 2 2 2 3 4 2 2 3" xfId="24868" xr:uid="{8E5B0223-9FB3-43A0-953C-3A5DCDFE6751}"/>
    <cellStyle name="Comma 4 2 2 2 3 4 2 3" xfId="12213" xr:uid="{A15D2797-2699-4DED-9300-89FBDA0B2C4C}"/>
    <cellStyle name="Comma 4 2 2 2 3 4 2 4" xfId="20651" xr:uid="{F2AD4593-DE5F-4489-9792-2455E0E3721F}"/>
    <cellStyle name="Comma 4 2 2 2 3 4 3" xfId="5844" xr:uid="{00000000-0005-0000-0000-0000DE070000}"/>
    <cellStyle name="Comma 4 2 2 2 3 4 3 2" xfId="14286" xr:uid="{66D0EF23-217D-4281-9DA1-827FDF800BD3}"/>
    <cellStyle name="Comma 4 2 2 2 3 4 3 3" xfId="22723" xr:uid="{4E6043D2-3FFA-440A-9898-CEE80BF0376E}"/>
    <cellStyle name="Comma 4 2 2 2 3 4 4" xfId="10068" xr:uid="{BC27F2EA-9C93-421B-BE27-8BCC72E6C55F}"/>
    <cellStyle name="Comma 4 2 2 2 3 4 5" xfId="18506" xr:uid="{CD8654E4-CEBA-4D45-89FF-C82D0F244715}"/>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F85E7D6D-C6B7-471A-A9FF-F4DAEA1E5268}"/>
    <cellStyle name="Comma 4 2 2 2 3 5 2 2 3" xfId="25281" xr:uid="{96344BB2-7614-4A4D-80F0-89E889C5FC2A}"/>
    <cellStyle name="Comma 4 2 2 2 3 5 2 3" xfId="12626" xr:uid="{A5FCD89D-EA24-4340-B9DE-2D4B39C24C32}"/>
    <cellStyle name="Comma 4 2 2 2 3 5 2 4" xfId="21064" xr:uid="{78866105-5779-49F6-A695-113EC0178BAE}"/>
    <cellStyle name="Comma 4 2 2 2 3 5 3" xfId="6257" xr:uid="{00000000-0005-0000-0000-0000E2070000}"/>
    <cellStyle name="Comma 4 2 2 2 3 5 3 2" xfId="14699" xr:uid="{0CD9474B-6EFB-4EF4-BF5C-C8DE37CD81B0}"/>
    <cellStyle name="Comma 4 2 2 2 3 5 3 3" xfId="23136" xr:uid="{881EE3FF-BC54-4813-846C-7DE6C346BA31}"/>
    <cellStyle name="Comma 4 2 2 2 3 5 4" xfId="10481" xr:uid="{6870F403-4856-4157-A5CF-DED2A87F84A4}"/>
    <cellStyle name="Comma 4 2 2 2 3 5 5" xfId="18919" xr:uid="{623CCD22-A90A-462B-B9C6-5C67D344B010}"/>
    <cellStyle name="Comma 4 2 2 2 3 6" xfId="2385" xr:uid="{00000000-0005-0000-0000-0000E3070000}"/>
    <cellStyle name="Comma 4 2 2 2 3 6 2" xfId="6670" xr:uid="{00000000-0005-0000-0000-0000E4070000}"/>
    <cellStyle name="Comma 4 2 2 2 3 6 2 2" xfId="15112" xr:uid="{017FD824-8096-4F4E-924B-2E8A852977FE}"/>
    <cellStyle name="Comma 4 2 2 2 3 6 2 3" xfId="23549" xr:uid="{EA2BE398-E68E-4AF1-BD69-9776778F0CB7}"/>
    <cellStyle name="Comma 4 2 2 2 3 6 3" xfId="10894" xr:uid="{380B14DB-6E6E-4E1B-A8AE-12985985A87E}"/>
    <cellStyle name="Comma 4 2 2 2 3 6 4" xfId="19332" xr:uid="{DFA79B04-22E9-44FF-B905-4C39D2443229}"/>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EB0F5403-AF6C-4515-945E-8174EBBFE617}"/>
    <cellStyle name="Comma 4 2 2 2 3 8 2 3" xfId="23866" xr:uid="{4A46CD85-6F16-44CF-AEC1-628680DD427C}"/>
    <cellStyle name="Comma 4 2 2 2 3 8 3" xfId="11211" xr:uid="{9A634E77-2781-4257-9EFF-5F5787E4E223}"/>
    <cellStyle name="Comma 4 2 2 2 3 8 4" xfId="19649" xr:uid="{30D30848-9523-4F4A-B6C9-548E6B7A9E2B}"/>
    <cellStyle name="Comma 4 2 2 2 3 9" xfId="4604" xr:uid="{00000000-0005-0000-0000-0000E8070000}"/>
    <cellStyle name="Comma 4 2 2 2 3 9 2" xfId="13046" xr:uid="{9CAF305F-3F3C-4E0C-8EF6-695FF96FC116}"/>
    <cellStyle name="Comma 4 2 2 2 3 9 3" xfId="21483" xr:uid="{C4AF1BC1-DD46-4D01-8272-85C2CD00AA5C}"/>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AB1C1C64-113E-43C2-A663-5F2F8774271A}"/>
    <cellStyle name="Comma 4 2 2 2 4 2 2 3" xfId="24039" xr:uid="{17C05A0E-C421-441D-B360-C80C063F5B93}"/>
    <cellStyle name="Comma 4 2 2 2 4 2 3" xfId="11384" xr:uid="{B358CF0B-8C2F-4B70-8613-9DA171F93CEF}"/>
    <cellStyle name="Comma 4 2 2 2 4 2 4" xfId="19822" xr:uid="{B8A216D0-6AAE-4384-9F7E-A08948E4AEE4}"/>
    <cellStyle name="Comma 4 2 2 2 4 3" xfId="5015" xr:uid="{00000000-0005-0000-0000-0000EC070000}"/>
    <cellStyle name="Comma 4 2 2 2 4 3 2" xfId="13457" xr:uid="{34B1E562-0269-4C51-878D-434E0A6B1F3D}"/>
    <cellStyle name="Comma 4 2 2 2 4 3 3" xfId="21894" xr:uid="{DA068AB7-DDB0-45B7-B088-F1505DD1F172}"/>
    <cellStyle name="Comma 4 2 2 2 4 4" xfId="9239" xr:uid="{8C380AE2-CD2F-4EA5-B462-F2C42042973A}"/>
    <cellStyle name="Comma 4 2 2 2 4 5" xfId="17677" xr:uid="{85952CD9-6BB8-4ECA-9FF0-76731AE0CF7F}"/>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DAD19218-E13E-4321-8E1C-20687CA1321F}"/>
    <cellStyle name="Comma 4 2 2 2 5 2 2 3" xfId="24452" xr:uid="{956620CC-029C-49F5-B7E9-38D0B4703B8D}"/>
    <cellStyle name="Comma 4 2 2 2 5 2 3" xfId="11797" xr:uid="{ABF6088B-7851-4D2F-B93B-98B9B2753206}"/>
    <cellStyle name="Comma 4 2 2 2 5 2 4" xfId="20235" xr:uid="{DA34B6AA-C9CA-488F-B032-0EEC6D90241A}"/>
    <cellStyle name="Comma 4 2 2 2 5 3" xfId="5428" xr:uid="{00000000-0005-0000-0000-0000F0070000}"/>
    <cellStyle name="Comma 4 2 2 2 5 3 2" xfId="13870" xr:uid="{FAF8D176-163E-450F-A8B4-080D5E1F758E}"/>
    <cellStyle name="Comma 4 2 2 2 5 3 3" xfId="22307" xr:uid="{FD0F4737-5060-4910-B1F0-9FC85BBEFF17}"/>
    <cellStyle name="Comma 4 2 2 2 5 4" xfId="9652" xr:uid="{34114E84-B1F0-4A00-A9AB-FC214854E505}"/>
    <cellStyle name="Comma 4 2 2 2 5 5" xfId="18090" xr:uid="{4C7111CC-30C2-46EA-BF07-013790D22965}"/>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0807B1E3-C9B1-4DF9-89DD-01BA1BB7DD7E}"/>
    <cellStyle name="Comma 4 2 2 2 6 2 2 3" xfId="24865" xr:uid="{32EF4CF9-F192-405F-BEAB-186CC8A5DE3C}"/>
    <cellStyle name="Comma 4 2 2 2 6 2 3" xfId="12210" xr:uid="{30522E23-BDD3-4E6B-98F1-7BEE68C9D1F5}"/>
    <cellStyle name="Comma 4 2 2 2 6 2 4" xfId="20648" xr:uid="{116852A3-1B4B-451C-A9A8-315C82D48360}"/>
    <cellStyle name="Comma 4 2 2 2 6 3" xfId="5841" xr:uid="{00000000-0005-0000-0000-0000F4070000}"/>
    <cellStyle name="Comma 4 2 2 2 6 3 2" xfId="14283" xr:uid="{3D48CF8E-E146-44B1-928A-99E93710E303}"/>
    <cellStyle name="Comma 4 2 2 2 6 3 3" xfId="22720" xr:uid="{72C11310-E913-4292-83B6-DFD6089D61E6}"/>
    <cellStyle name="Comma 4 2 2 2 6 4" xfId="10065" xr:uid="{44962A50-463E-4E18-A536-380E1B681D26}"/>
    <cellStyle name="Comma 4 2 2 2 6 5" xfId="18503" xr:uid="{01DE4C13-756E-408A-BB5E-713252CE36D4}"/>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8D225729-2CCD-48C8-BBA5-CB1016372250}"/>
    <cellStyle name="Comma 4 2 2 2 7 2 2 3" xfId="25278" xr:uid="{A8005FE8-0029-4F36-9DFF-8161B08FFDD7}"/>
    <cellStyle name="Comma 4 2 2 2 7 2 3" xfId="12623" xr:uid="{E7134FA5-8600-473E-AE21-B215F1CFB88D}"/>
    <cellStyle name="Comma 4 2 2 2 7 2 4" xfId="21061" xr:uid="{CDFAAA63-70B2-428E-867A-D3DF9A92FC1D}"/>
    <cellStyle name="Comma 4 2 2 2 7 3" xfId="6254" xr:uid="{00000000-0005-0000-0000-0000F8070000}"/>
    <cellStyle name="Comma 4 2 2 2 7 3 2" xfId="14696" xr:uid="{3B0777C0-5221-42C4-AEAD-6F680D1F5010}"/>
    <cellStyle name="Comma 4 2 2 2 7 3 3" xfId="23133" xr:uid="{91C9190F-21D5-49EA-8A35-4DC243B94FEF}"/>
    <cellStyle name="Comma 4 2 2 2 7 4" xfId="10478" xr:uid="{D44F023A-4CC8-4EC2-8FFA-C311347807B1}"/>
    <cellStyle name="Comma 4 2 2 2 7 5" xfId="18916" xr:uid="{ACBE4195-9618-4BD9-8639-4158A5D510D6}"/>
    <cellStyle name="Comma 4 2 2 2 8" xfId="2382" xr:uid="{00000000-0005-0000-0000-0000F9070000}"/>
    <cellStyle name="Comma 4 2 2 2 8 2" xfId="6667" xr:uid="{00000000-0005-0000-0000-0000FA070000}"/>
    <cellStyle name="Comma 4 2 2 2 8 2 2" xfId="15109" xr:uid="{A53D457E-2F06-4290-A2FD-892B2073058E}"/>
    <cellStyle name="Comma 4 2 2 2 8 2 3" xfId="23546" xr:uid="{B3E4E072-01B1-4F3E-A1AB-37D32197F06E}"/>
    <cellStyle name="Comma 4 2 2 2 8 3" xfId="10891" xr:uid="{366E1B8C-BCFC-44D3-9A2C-E20B99B83987}"/>
    <cellStyle name="Comma 4 2 2 2 8 4" xfId="19329" xr:uid="{A52D0C24-8078-48E4-9751-C6A814BA68C4}"/>
    <cellStyle name="Comma 4 2 2 2 9" xfId="2381" xr:uid="{00000000-0005-0000-0000-0000FB070000}"/>
    <cellStyle name="Comma 4 2 2 3" xfId="132" xr:uid="{00000000-0005-0000-0000-0000FC070000}"/>
    <cellStyle name="Comma 4 2 2 3 10" xfId="4605" xr:uid="{00000000-0005-0000-0000-0000FD070000}"/>
    <cellStyle name="Comma 4 2 2 3 10 2" xfId="13047" xr:uid="{04B6FE35-7011-4087-A435-951B7A866CA2}"/>
    <cellStyle name="Comma 4 2 2 3 10 3" xfId="21484" xr:uid="{0E79F542-D26F-4067-9B32-64063A22F326}"/>
    <cellStyle name="Comma 4 2 2 3 11" xfId="8829" xr:uid="{8CA98FE0-F6FB-489D-A5EF-A8D88E24D620}"/>
    <cellStyle name="Comma 4 2 2 3 12" xfId="17267" xr:uid="{3DC13FFF-AB2C-4D52-B078-7DADD4475689}"/>
    <cellStyle name="Comma 4 2 2 3 2" xfId="133" xr:uid="{00000000-0005-0000-0000-0000FE070000}"/>
    <cellStyle name="Comma 4 2 2 3 2 10" xfId="8830" xr:uid="{5BC49DEA-FA92-491D-999C-2DA5B592AE65}"/>
    <cellStyle name="Comma 4 2 2 3 2 11" xfId="17268" xr:uid="{87FDD20D-B226-40B8-87A9-9D83EF1E441E}"/>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D37A4A9D-9471-420F-A337-221D0A817740}"/>
    <cellStyle name="Comma 4 2 2 3 2 2 2 2 3" xfId="24044" xr:uid="{F9E70C19-1FCB-4C29-804A-FF17F6B880AB}"/>
    <cellStyle name="Comma 4 2 2 3 2 2 2 3" xfId="11389" xr:uid="{D6653820-2022-44AB-A923-C8387B3C699A}"/>
    <cellStyle name="Comma 4 2 2 3 2 2 2 4" xfId="19827" xr:uid="{C0630920-E60C-43AC-A3AB-21E1F9B48A0D}"/>
    <cellStyle name="Comma 4 2 2 3 2 2 3" xfId="5020" xr:uid="{00000000-0005-0000-0000-000002080000}"/>
    <cellStyle name="Comma 4 2 2 3 2 2 3 2" xfId="13462" xr:uid="{03578815-71B3-4E20-8684-4A3F7F6E60BE}"/>
    <cellStyle name="Comma 4 2 2 3 2 2 3 3" xfId="21899" xr:uid="{CBA27106-1D7C-441E-8F3C-01FD75760B6A}"/>
    <cellStyle name="Comma 4 2 2 3 2 2 4" xfId="9244" xr:uid="{A02DA9E8-AD85-4853-961A-A5BFAE374E6F}"/>
    <cellStyle name="Comma 4 2 2 3 2 2 5" xfId="17682" xr:uid="{3C5DD77F-29E7-4B86-8D40-64FA309FAA6F}"/>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D03F67DF-2E7A-423B-9A22-22A52FDE63A4}"/>
    <cellStyle name="Comma 4 2 2 3 2 3 2 2 3" xfId="24457" xr:uid="{BD66BB86-6E0C-44A7-B329-EC2AB0D5BCF4}"/>
    <cellStyle name="Comma 4 2 2 3 2 3 2 3" xfId="11802" xr:uid="{B9D8F673-1EDA-43D1-B42A-DEF7823C0B08}"/>
    <cellStyle name="Comma 4 2 2 3 2 3 2 4" xfId="20240" xr:uid="{C4FBD1AA-7088-4FE9-AEA1-EF0E7299EFA2}"/>
    <cellStyle name="Comma 4 2 2 3 2 3 3" xfId="5433" xr:uid="{00000000-0005-0000-0000-000006080000}"/>
    <cellStyle name="Comma 4 2 2 3 2 3 3 2" xfId="13875" xr:uid="{8FD23BB4-A071-45FA-A4ED-C1F17B4DB7C3}"/>
    <cellStyle name="Comma 4 2 2 3 2 3 3 3" xfId="22312" xr:uid="{0C74F815-9562-41A8-B781-A3C331BAEAC1}"/>
    <cellStyle name="Comma 4 2 2 3 2 3 4" xfId="9657" xr:uid="{0AD3A256-8805-48CE-A050-63650F842840}"/>
    <cellStyle name="Comma 4 2 2 3 2 3 5" xfId="18095" xr:uid="{14AE424C-3D29-4AF7-97AE-56FF6367FA7D}"/>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92783495-D4A4-441F-BBAC-14FA277E3A97}"/>
    <cellStyle name="Comma 4 2 2 3 2 4 2 2 3" xfId="24870" xr:uid="{3B304146-F6E6-4212-AD2C-D1C96EC0E570}"/>
    <cellStyle name="Comma 4 2 2 3 2 4 2 3" xfId="12215" xr:uid="{CF72E6E3-02C9-481F-906C-FBE2CAD67CC7}"/>
    <cellStyle name="Comma 4 2 2 3 2 4 2 4" xfId="20653" xr:uid="{0DADA7CF-8774-403B-ABF8-F249B8D676F1}"/>
    <cellStyle name="Comma 4 2 2 3 2 4 3" xfId="5846" xr:uid="{00000000-0005-0000-0000-00000A080000}"/>
    <cellStyle name="Comma 4 2 2 3 2 4 3 2" xfId="14288" xr:uid="{0A3F5893-6EE5-494D-B720-173DF411A6BF}"/>
    <cellStyle name="Comma 4 2 2 3 2 4 3 3" xfId="22725" xr:uid="{8E2566E9-E083-462D-B172-A89412924258}"/>
    <cellStyle name="Comma 4 2 2 3 2 4 4" xfId="10070" xr:uid="{E88D0938-1233-4D3F-B528-027EBED82746}"/>
    <cellStyle name="Comma 4 2 2 3 2 4 5" xfId="18508" xr:uid="{3882F330-2401-418C-8EB9-3E1637D8221A}"/>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C9AF810D-1CB6-42DE-9634-D9081F804B47}"/>
    <cellStyle name="Comma 4 2 2 3 2 5 2 2 3" xfId="25283" xr:uid="{4054B4B4-AB5B-4E3C-98D7-017E0502675D}"/>
    <cellStyle name="Comma 4 2 2 3 2 5 2 3" xfId="12628" xr:uid="{6FDBB5EC-0349-452F-93F5-E5AB09699ED7}"/>
    <cellStyle name="Comma 4 2 2 3 2 5 2 4" xfId="21066" xr:uid="{EE587A17-6889-4C03-B15A-858F71B1478D}"/>
    <cellStyle name="Comma 4 2 2 3 2 5 3" xfId="6259" xr:uid="{00000000-0005-0000-0000-00000E080000}"/>
    <cellStyle name="Comma 4 2 2 3 2 5 3 2" xfId="14701" xr:uid="{A1DAB132-53A7-42D0-8441-E902D483D661}"/>
    <cellStyle name="Comma 4 2 2 3 2 5 3 3" xfId="23138" xr:uid="{47D4777C-A32F-41A4-A3A3-C1CE34E9A771}"/>
    <cellStyle name="Comma 4 2 2 3 2 5 4" xfId="10483" xr:uid="{F9D327FC-A5FF-4967-99C7-B7BC92F143D1}"/>
    <cellStyle name="Comma 4 2 2 3 2 5 5" xfId="18921" xr:uid="{C798F30A-C4EE-4F49-A15A-EDAC35209D15}"/>
    <cellStyle name="Comma 4 2 2 3 2 6" xfId="2387" xr:uid="{00000000-0005-0000-0000-00000F080000}"/>
    <cellStyle name="Comma 4 2 2 3 2 6 2" xfId="6672" xr:uid="{00000000-0005-0000-0000-000010080000}"/>
    <cellStyle name="Comma 4 2 2 3 2 6 2 2" xfId="15114" xr:uid="{2AE98C0A-E0F3-40FE-AAF2-BE2221B40A7C}"/>
    <cellStyle name="Comma 4 2 2 3 2 6 2 3" xfId="23551" xr:uid="{1BF05978-EE12-48F0-B187-CFE01514A01A}"/>
    <cellStyle name="Comma 4 2 2 3 2 6 3" xfId="10896" xr:uid="{65F38784-482E-4D42-852E-A16AD34B24A5}"/>
    <cellStyle name="Comma 4 2 2 3 2 6 4" xfId="19334" xr:uid="{21FFFE51-A464-4938-9E10-20BB04922C46}"/>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9BC304C5-C9E0-4092-83FC-97F8A9A4F4E8}"/>
    <cellStyle name="Comma 4 2 2 3 2 8 2 3" xfId="23868" xr:uid="{3C2AFE0C-8D0F-469D-ADE0-0FBC6E6C2490}"/>
    <cellStyle name="Comma 4 2 2 3 2 8 3" xfId="11213" xr:uid="{F4A53342-2573-46A0-BCF7-250097CC6D03}"/>
    <cellStyle name="Comma 4 2 2 3 2 8 4" xfId="19651" xr:uid="{36DDC4FB-D818-43D6-B161-F969F75279FB}"/>
    <cellStyle name="Comma 4 2 2 3 2 9" xfId="4606" xr:uid="{00000000-0005-0000-0000-000014080000}"/>
    <cellStyle name="Comma 4 2 2 3 2 9 2" xfId="13048" xr:uid="{A4C34AA3-78C8-4227-B148-71BBDC0B2337}"/>
    <cellStyle name="Comma 4 2 2 3 2 9 3" xfId="21485" xr:uid="{71366C3E-E26F-44CC-8D94-2F1BA4F3AF19}"/>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A0DDC716-85D0-4B91-A594-AA20C6D957AE}"/>
    <cellStyle name="Comma 4 2 2 3 3 2 2 3" xfId="24043" xr:uid="{B8423825-7940-40D7-978A-A291DFE6EE88}"/>
    <cellStyle name="Comma 4 2 2 3 3 2 3" xfId="11388" xr:uid="{E3FF999D-FAAD-43E9-B9B2-6545C43F2BA2}"/>
    <cellStyle name="Comma 4 2 2 3 3 2 4" xfId="19826" xr:uid="{2B1EB5A1-16E0-44F3-8D91-5081384CEE49}"/>
    <cellStyle name="Comma 4 2 2 3 3 3" xfId="5019" xr:uid="{00000000-0005-0000-0000-000018080000}"/>
    <cellStyle name="Comma 4 2 2 3 3 3 2" xfId="13461" xr:uid="{120FD418-CE0B-4634-A1D2-3358A6000ED8}"/>
    <cellStyle name="Comma 4 2 2 3 3 3 3" xfId="21898" xr:uid="{87C253AC-7E6F-4CE4-8B69-EB7DE46AEEE6}"/>
    <cellStyle name="Comma 4 2 2 3 3 4" xfId="9243" xr:uid="{C85A267D-FC31-496B-87C1-58208697FCCE}"/>
    <cellStyle name="Comma 4 2 2 3 3 5" xfId="17681" xr:uid="{B9DDCDF9-8CFA-433D-9899-0A9E7CD34927}"/>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FEEC5D5A-3FEA-4D02-803C-D3ADC4379789}"/>
    <cellStyle name="Comma 4 2 2 3 4 2 2 3" xfId="24456" xr:uid="{4BD56C57-FAD4-417E-A06D-BDB81ED99024}"/>
    <cellStyle name="Comma 4 2 2 3 4 2 3" xfId="11801" xr:uid="{565CDAA2-0B2A-441B-8D55-8E3CB5492C07}"/>
    <cellStyle name="Comma 4 2 2 3 4 2 4" xfId="20239" xr:uid="{3F82CCF8-4D4D-4FC6-A51D-ED7A27171E4C}"/>
    <cellStyle name="Comma 4 2 2 3 4 3" xfId="5432" xr:uid="{00000000-0005-0000-0000-00001C080000}"/>
    <cellStyle name="Comma 4 2 2 3 4 3 2" xfId="13874" xr:uid="{5BC1282D-B9C7-47F8-A83D-1614766A6141}"/>
    <cellStyle name="Comma 4 2 2 3 4 3 3" xfId="22311" xr:uid="{0E3FF502-34D7-4D67-B732-6A92E45AFEF4}"/>
    <cellStyle name="Comma 4 2 2 3 4 4" xfId="9656" xr:uid="{7E24A411-5BFD-4944-B843-E59586B85160}"/>
    <cellStyle name="Comma 4 2 2 3 4 5" xfId="18094" xr:uid="{7D34CB2F-06AC-44FA-95BB-5344018FBB94}"/>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D27BFF5A-9F8A-4BC5-911A-C65C4512C62F}"/>
    <cellStyle name="Comma 4 2 2 3 5 2 2 3" xfId="24869" xr:uid="{F4FC9E71-FB08-495C-ACF2-4CD2D3ADA268}"/>
    <cellStyle name="Comma 4 2 2 3 5 2 3" xfId="12214" xr:uid="{B05F7670-5D83-4292-9FF7-41EC9AE79E78}"/>
    <cellStyle name="Comma 4 2 2 3 5 2 4" xfId="20652" xr:uid="{44225DEA-DAB3-4C9F-82BE-6D3AA6204572}"/>
    <cellStyle name="Comma 4 2 2 3 5 3" xfId="5845" xr:uid="{00000000-0005-0000-0000-000020080000}"/>
    <cellStyle name="Comma 4 2 2 3 5 3 2" xfId="14287" xr:uid="{C3D93709-0870-4C1D-BE96-E7E60A1B0904}"/>
    <cellStyle name="Comma 4 2 2 3 5 3 3" xfId="22724" xr:uid="{97C2902D-075A-48AA-A71A-39326F5B2CB3}"/>
    <cellStyle name="Comma 4 2 2 3 5 4" xfId="10069" xr:uid="{576592D2-858C-4836-BC19-837C51DFC6EE}"/>
    <cellStyle name="Comma 4 2 2 3 5 5" xfId="18507" xr:uid="{30F7DF45-505A-4154-8E0D-80FE04CA2320}"/>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1DBA98E9-DCBD-49BE-AD0A-F7D6C8987860}"/>
    <cellStyle name="Comma 4 2 2 3 6 2 2 3" xfId="25282" xr:uid="{945A7E8F-B896-4F62-9259-D73CB2FC3082}"/>
    <cellStyle name="Comma 4 2 2 3 6 2 3" xfId="12627" xr:uid="{ECDF194B-40FA-4C34-BDB7-E9862032B3C9}"/>
    <cellStyle name="Comma 4 2 2 3 6 2 4" xfId="21065" xr:uid="{2E88F459-A465-490B-A28C-9E41380D6E75}"/>
    <cellStyle name="Comma 4 2 2 3 6 3" xfId="6258" xr:uid="{00000000-0005-0000-0000-000024080000}"/>
    <cellStyle name="Comma 4 2 2 3 6 3 2" xfId="14700" xr:uid="{324D9864-AC15-4E5C-8466-30594F3AF654}"/>
    <cellStyle name="Comma 4 2 2 3 6 3 3" xfId="23137" xr:uid="{855813D1-DE81-4BD8-B488-2A00B3CDBE97}"/>
    <cellStyle name="Comma 4 2 2 3 6 4" xfId="10482" xr:uid="{592EEF38-B7A9-4E53-8485-B8B670225AEE}"/>
    <cellStyle name="Comma 4 2 2 3 6 5" xfId="18920" xr:uid="{049D4009-9353-4100-8093-99646801BE19}"/>
    <cellStyle name="Comma 4 2 2 3 7" xfId="2386" xr:uid="{00000000-0005-0000-0000-000025080000}"/>
    <cellStyle name="Comma 4 2 2 3 7 2" xfId="6671" xr:uid="{00000000-0005-0000-0000-000026080000}"/>
    <cellStyle name="Comma 4 2 2 3 7 2 2" xfId="15113" xr:uid="{0E6AC6EC-03EE-4E18-BD37-D44DC0DF6D83}"/>
    <cellStyle name="Comma 4 2 2 3 7 2 3" xfId="23550" xr:uid="{99F59BB6-892A-4C08-B115-CDA730882017}"/>
    <cellStyle name="Comma 4 2 2 3 7 3" xfId="10895" xr:uid="{41CD5030-1E9F-490B-B58B-470C81598CA8}"/>
    <cellStyle name="Comma 4 2 2 3 7 4" xfId="19333" xr:uid="{C5CEFECD-11B9-45ED-AE31-92FC6784C577}"/>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BC35FEBE-7F32-4938-982C-63384C5BD5C9}"/>
    <cellStyle name="Comma 4 2 2 3 9 2 3" xfId="23867" xr:uid="{1D114680-E866-4D16-A840-997C978D5F8A}"/>
    <cellStyle name="Comma 4 2 2 3 9 3" xfId="11212" xr:uid="{56DFFEAF-D2CF-4B68-84D2-8BA48ECC53FF}"/>
    <cellStyle name="Comma 4 2 2 3 9 4" xfId="19650" xr:uid="{4A72ED5E-0BA0-4130-8FAC-742B4A90E29B}"/>
    <cellStyle name="Comma 4 2 2 4" xfId="134" xr:uid="{00000000-0005-0000-0000-00002A080000}"/>
    <cellStyle name="Comma 4 2 2 4 10" xfId="8831" xr:uid="{9CE42253-729C-49C9-A77D-3AB3F597432A}"/>
    <cellStyle name="Comma 4 2 2 4 11" xfId="17269" xr:uid="{08087CCE-D0F5-4AE3-A065-D3DB0F0E6F9A}"/>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0C594EC3-2B65-492B-BE2F-55691C2EB924}"/>
    <cellStyle name="Comma 4 2 2 4 2 2 2 3" xfId="24045" xr:uid="{831A52B7-FB3C-45E0-BFC0-4F3C1028B3EA}"/>
    <cellStyle name="Comma 4 2 2 4 2 2 3" xfId="11390" xr:uid="{4A6F1622-90FA-4748-AA74-07684A8B8AB4}"/>
    <cellStyle name="Comma 4 2 2 4 2 2 4" xfId="19828" xr:uid="{155154A3-DEA9-4A84-BAC4-0D78FB6D4A28}"/>
    <cellStyle name="Comma 4 2 2 4 2 3" xfId="5021" xr:uid="{00000000-0005-0000-0000-00002E080000}"/>
    <cellStyle name="Comma 4 2 2 4 2 3 2" xfId="13463" xr:uid="{A95BA2EF-96D8-4BF6-8A27-BEBC55FF952F}"/>
    <cellStyle name="Comma 4 2 2 4 2 3 3" xfId="21900" xr:uid="{70AD7019-F786-4BF8-9209-26F7A8CC3581}"/>
    <cellStyle name="Comma 4 2 2 4 2 4" xfId="9245" xr:uid="{E502C7EE-F31C-432B-9E17-6CF7618F2327}"/>
    <cellStyle name="Comma 4 2 2 4 2 5" xfId="17683" xr:uid="{AA7880E7-0F0D-4973-91CA-AB34A8F32929}"/>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5009251A-4C58-484C-AEAC-2000EAC47B0C}"/>
    <cellStyle name="Comma 4 2 2 4 3 2 2 3" xfId="24458" xr:uid="{4339614E-6756-4587-84C9-69974C3354CF}"/>
    <cellStyle name="Comma 4 2 2 4 3 2 3" xfId="11803" xr:uid="{877A9087-0961-417F-ADA0-1B88EA5FC408}"/>
    <cellStyle name="Comma 4 2 2 4 3 2 4" xfId="20241" xr:uid="{F6007C28-E213-43FF-BA59-3DB4CFCD078A}"/>
    <cellStyle name="Comma 4 2 2 4 3 3" xfId="5434" xr:uid="{00000000-0005-0000-0000-000032080000}"/>
    <cellStyle name="Comma 4 2 2 4 3 3 2" xfId="13876" xr:uid="{047A42F0-1ECE-4A34-B436-1B4D4D661ED7}"/>
    <cellStyle name="Comma 4 2 2 4 3 3 3" xfId="22313" xr:uid="{5D12941D-5DC5-4327-9960-6A3A71B179D4}"/>
    <cellStyle name="Comma 4 2 2 4 3 4" xfId="9658" xr:uid="{978D9D20-5C2A-4FA9-9E51-CCB0B8DFC0D8}"/>
    <cellStyle name="Comma 4 2 2 4 3 5" xfId="18096" xr:uid="{2C9F6364-E350-4932-9084-CE065642A493}"/>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7A36E523-D778-4A91-84DE-449FA220B878}"/>
    <cellStyle name="Comma 4 2 2 4 4 2 2 3" xfId="24871" xr:uid="{D526313E-EE86-47EC-8580-98DE47639BE5}"/>
    <cellStyle name="Comma 4 2 2 4 4 2 3" xfId="12216" xr:uid="{7616604C-C28E-45EF-9397-8566F6BA5568}"/>
    <cellStyle name="Comma 4 2 2 4 4 2 4" xfId="20654" xr:uid="{2DC6B7F6-CE35-4FAB-A9DA-ABD9611659A6}"/>
    <cellStyle name="Comma 4 2 2 4 4 3" xfId="5847" xr:uid="{00000000-0005-0000-0000-000036080000}"/>
    <cellStyle name="Comma 4 2 2 4 4 3 2" xfId="14289" xr:uid="{02C74589-D761-4AA2-9C62-53F100A24DAB}"/>
    <cellStyle name="Comma 4 2 2 4 4 3 3" xfId="22726" xr:uid="{296C70B7-43AE-4838-BBAD-192A1C19BB35}"/>
    <cellStyle name="Comma 4 2 2 4 4 4" xfId="10071" xr:uid="{E93E6760-17FA-4850-9A98-3A95281627C3}"/>
    <cellStyle name="Comma 4 2 2 4 4 5" xfId="18509" xr:uid="{A10F7AED-1CE8-461F-A193-23C5DDA757FC}"/>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93F785B5-92BB-4B00-9EDE-C719B913D78F}"/>
    <cellStyle name="Comma 4 2 2 4 5 2 2 3" xfId="25284" xr:uid="{E7661CDE-BF89-4C74-AD89-98EE7B82BAB0}"/>
    <cellStyle name="Comma 4 2 2 4 5 2 3" xfId="12629" xr:uid="{72D64F8E-1668-4F22-A714-AB4DF112DEE7}"/>
    <cellStyle name="Comma 4 2 2 4 5 2 4" xfId="21067" xr:uid="{728167C8-A0C2-4C0F-8543-F0C5991FBE49}"/>
    <cellStyle name="Comma 4 2 2 4 5 3" xfId="6260" xr:uid="{00000000-0005-0000-0000-00003A080000}"/>
    <cellStyle name="Comma 4 2 2 4 5 3 2" xfId="14702" xr:uid="{5E81A307-746C-42E6-8057-79CE44D47D41}"/>
    <cellStyle name="Comma 4 2 2 4 5 3 3" xfId="23139" xr:uid="{65A4C6E8-550D-4A64-92E6-D5BF8AAFEC33}"/>
    <cellStyle name="Comma 4 2 2 4 5 4" xfId="10484" xr:uid="{E9AD9CC3-FF78-4B7B-B6FA-F229564110C2}"/>
    <cellStyle name="Comma 4 2 2 4 5 5" xfId="18922" xr:uid="{399F5415-352A-4D3A-9E38-27886EF2C587}"/>
    <cellStyle name="Comma 4 2 2 4 6" xfId="2388" xr:uid="{00000000-0005-0000-0000-00003B080000}"/>
    <cellStyle name="Comma 4 2 2 4 6 2" xfId="6673" xr:uid="{00000000-0005-0000-0000-00003C080000}"/>
    <cellStyle name="Comma 4 2 2 4 6 2 2" xfId="15115" xr:uid="{1E4DB0EE-6164-454C-A9E0-1395CA9E95CD}"/>
    <cellStyle name="Comma 4 2 2 4 6 2 3" xfId="23552" xr:uid="{66170B33-CCE8-4968-A4B3-E94B0DD01DA6}"/>
    <cellStyle name="Comma 4 2 2 4 6 3" xfId="10897" xr:uid="{6416E9B0-1125-4918-A9FE-D7501BCCFE8D}"/>
    <cellStyle name="Comma 4 2 2 4 6 4" xfId="19335" xr:uid="{8D0D033B-F147-40FE-8B04-E3C072A87411}"/>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DDC3AA46-26BF-4642-BCFF-D4C7A334C9FB}"/>
    <cellStyle name="Comma 4 2 2 4 8 2 3" xfId="23869" xr:uid="{FECDA1BF-A3F9-4784-8007-02E0D699DCA7}"/>
    <cellStyle name="Comma 4 2 2 4 8 3" xfId="11214" xr:uid="{39FEFA7C-D6DC-4282-B85C-B9D9CEC6CF5A}"/>
    <cellStyle name="Comma 4 2 2 4 8 4" xfId="19652" xr:uid="{429E359B-43DE-4615-8D55-029EB6BD8E2F}"/>
    <cellStyle name="Comma 4 2 2 4 9" xfId="4607" xr:uid="{00000000-0005-0000-0000-000040080000}"/>
    <cellStyle name="Comma 4 2 2 4 9 2" xfId="13049" xr:uid="{289969C7-8175-4F24-95D4-95203C9CFBDC}"/>
    <cellStyle name="Comma 4 2 2 4 9 3" xfId="21486" xr:uid="{0FB89404-547C-4F74-AFC5-82D24D2A607E}"/>
    <cellStyle name="Comma 4 2 2 5" xfId="135" xr:uid="{00000000-0005-0000-0000-000041080000}"/>
    <cellStyle name="Comma 4 2 2 5 10" xfId="8832" xr:uid="{CDB0DD5E-F61C-43A2-832D-7B0701AF06D1}"/>
    <cellStyle name="Comma 4 2 2 5 11" xfId="17270" xr:uid="{BA16BDBB-6272-4917-9E90-E5E5B0344228}"/>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80938D93-33CA-467B-B7FE-776C69C0D5FF}"/>
    <cellStyle name="Comma 4 2 2 5 2 2 2 3" xfId="24046" xr:uid="{41124B80-EA13-40B0-9A85-D7C1F148C8C1}"/>
    <cellStyle name="Comma 4 2 2 5 2 2 3" xfId="11391" xr:uid="{28DBCCAF-6A4A-4D8B-A981-0677D739BA23}"/>
    <cellStyle name="Comma 4 2 2 5 2 2 4" xfId="19829" xr:uid="{8D9BE7B5-3128-475B-BBF4-4467B16585E7}"/>
    <cellStyle name="Comma 4 2 2 5 2 3" xfId="5022" xr:uid="{00000000-0005-0000-0000-000045080000}"/>
    <cellStyle name="Comma 4 2 2 5 2 3 2" xfId="13464" xr:uid="{EC39B6AD-CD6A-4BE5-B0F2-EB96619CB6C7}"/>
    <cellStyle name="Comma 4 2 2 5 2 3 3" xfId="21901" xr:uid="{33022F87-C835-4E2D-B93F-DCDB51D4B8DB}"/>
    <cellStyle name="Comma 4 2 2 5 2 4" xfId="9246" xr:uid="{F8DDAB49-E7CA-430F-8F5F-1DF0E3017B7A}"/>
    <cellStyle name="Comma 4 2 2 5 2 5" xfId="17684" xr:uid="{1C96F9D0-8C2D-4127-A364-A983894E2AAB}"/>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392149D0-384E-4900-85C3-FB6A7521409B}"/>
    <cellStyle name="Comma 4 2 2 5 3 2 2 3" xfId="24459" xr:uid="{BC654DCA-A3B7-4355-8971-656EE12D25AE}"/>
    <cellStyle name="Comma 4 2 2 5 3 2 3" xfId="11804" xr:uid="{D5931733-93BA-414B-B769-7951ABCDD272}"/>
    <cellStyle name="Comma 4 2 2 5 3 2 4" xfId="20242" xr:uid="{4076C6A3-F192-41BD-BB06-C3412A8F596B}"/>
    <cellStyle name="Comma 4 2 2 5 3 3" xfId="5435" xr:uid="{00000000-0005-0000-0000-000049080000}"/>
    <cellStyle name="Comma 4 2 2 5 3 3 2" xfId="13877" xr:uid="{C20C4695-CE6A-46C3-B1AC-519EF1AFA0FB}"/>
    <cellStyle name="Comma 4 2 2 5 3 3 3" xfId="22314" xr:uid="{833D7890-B0EE-42E2-B599-0CBB3AFCFA58}"/>
    <cellStyle name="Comma 4 2 2 5 3 4" xfId="9659" xr:uid="{E32F6BA0-BF16-41CF-9862-8D20A80847BA}"/>
    <cellStyle name="Comma 4 2 2 5 3 5" xfId="18097" xr:uid="{3D5E342C-63F5-41C6-A000-4ED1F04D78DB}"/>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F1060F7A-0046-4133-9104-BEB5D8286AFA}"/>
    <cellStyle name="Comma 4 2 2 5 4 2 2 3" xfId="24872" xr:uid="{E3CDB4BE-BD95-43DA-9C6D-2CE6B7356219}"/>
    <cellStyle name="Comma 4 2 2 5 4 2 3" xfId="12217" xr:uid="{64A12AC5-2874-4186-8D48-D54844C0E773}"/>
    <cellStyle name="Comma 4 2 2 5 4 2 4" xfId="20655" xr:uid="{81DDA5E6-D045-4B85-B840-33801B473936}"/>
    <cellStyle name="Comma 4 2 2 5 4 3" xfId="5848" xr:uid="{00000000-0005-0000-0000-00004D080000}"/>
    <cellStyle name="Comma 4 2 2 5 4 3 2" xfId="14290" xr:uid="{A178618E-492C-4869-9754-14107B9C49CF}"/>
    <cellStyle name="Comma 4 2 2 5 4 3 3" xfId="22727" xr:uid="{42F35F2F-16F7-4F37-81B6-DDFC5F3D3614}"/>
    <cellStyle name="Comma 4 2 2 5 4 4" xfId="10072" xr:uid="{36EC2EC4-187D-4E20-AB45-D6A96E5E5B93}"/>
    <cellStyle name="Comma 4 2 2 5 4 5" xfId="18510" xr:uid="{EC210525-519D-4F2C-B658-E67871280B5B}"/>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8F75D0F7-E511-43E3-95D5-24918BE4BDEC}"/>
    <cellStyle name="Comma 4 2 2 5 5 2 2 3" xfId="25285" xr:uid="{78FD7338-6A10-42F2-823A-E0072B169C1B}"/>
    <cellStyle name="Comma 4 2 2 5 5 2 3" xfId="12630" xr:uid="{1E282CAC-0432-4884-BFB1-4550EF32323A}"/>
    <cellStyle name="Comma 4 2 2 5 5 2 4" xfId="21068" xr:uid="{3544EBC7-16B3-409F-90E7-42EA4D84DE5A}"/>
    <cellStyle name="Comma 4 2 2 5 5 3" xfId="6261" xr:uid="{00000000-0005-0000-0000-000051080000}"/>
    <cellStyle name="Comma 4 2 2 5 5 3 2" xfId="14703" xr:uid="{0D8D22FB-B674-4C64-84B5-D78DA51EE917}"/>
    <cellStyle name="Comma 4 2 2 5 5 3 3" xfId="23140" xr:uid="{957CC049-884C-4F54-95C0-2A43FE3F678A}"/>
    <cellStyle name="Comma 4 2 2 5 5 4" xfId="10485" xr:uid="{B83064C4-D755-49F8-89B6-7D41FD346572}"/>
    <cellStyle name="Comma 4 2 2 5 5 5" xfId="18923" xr:uid="{A4302330-61F6-412D-8732-84FF09116DC7}"/>
    <cellStyle name="Comma 4 2 2 5 6" xfId="2389" xr:uid="{00000000-0005-0000-0000-000052080000}"/>
    <cellStyle name="Comma 4 2 2 5 6 2" xfId="6674" xr:uid="{00000000-0005-0000-0000-000053080000}"/>
    <cellStyle name="Comma 4 2 2 5 6 2 2" xfId="15116" xr:uid="{EC46F016-14D6-4B9D-964B-3AFF1BCFA92A}"/>
    <cellStyle name="Comma 4 2 2 5 6 2 3" xfId="23553" xr:uid="{043FF264-5DDA-493B-B36B-6890C1442CF2}"/>
    <cellStyle name="Comma 4 2 2 5 6 3" xfId="10898" xr:uid="{55607FBE-2B43-48E5-8DA5-87FCEB9B4C43}"/>
    <cellStyle name="Comma 4 2 2 5 6 4" xfId="19336" xr:uid="{E580C5E6-24FC-49EB-A670-A8AC0A0F5C0E}"/>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D19EBB98-457C-4410-847F-6DA64E921DFB}"/>
    <cellStyle name="Comma 4 2 2 5 8 2 3" xfId="23870" xr:uid="{49BC4D6F-8DDC-4880-99FD-DE5515E9DC7F}"/>
    <cellStyle name="Comma 4 2 2 5 8 3" xfId="11215" xr:uid="{B70C2180-561D-4428-B894-0244EC93007C}"/>
    <cellStyle name="Comma 4 2 2 5 8 4" xfId="19653" xr:uid="{BFE6AF30-30AF-4E27-8535-174AEEA99282}"/>
    <cellStyle name="Comma 4 2 2 5 9" xfId="4608" xr:uid="{00000000-0005-0000-0000-000057080000}"/>
    <cellStyle name="Comma 4 2 2 5 9 2" xfId="13050" xr:uid="{D58C85E0-FE89-4EE8-8AD1-CA4834E00663}"/>
    <cellStyle name="Comma 4 2 2 5 9 3" xfId="21487" xr:uid="{08CCD168-4962-4F92-8F00-43CA18E5BE57}"/>
    <cellStyle name="Comma 4 2 3" xfId="136" xr:uid="{00000000-0005-0000-0000-000058080000}"/>
    <cellStyle name="Comma 4 2 3 10" xfId="2768" xr:uid="{00000000-0005-0000-0000-000059080000}"/>
    <cellStyle name="Comma 4 2 3 10 2" xfId="6992" xr:uid="{00000000-0005-0000-0000-00005A080000}"/>
    <cellStyle name="Comma 4 2 3 10 2 2" xfId="15434" xr:uid="{F5D3DE42-272D-4C99-A1DA-8D2D28921A63}"/>
    <cellStyle name="Comma 4 2 3 10 2 3" xfId="23871" xr:uid="{A24281FE-47DF-4B7C-9318-917E05769F51}"/>
    <cellStyle name="Comma 4 2 3 10 3" xfId="11216" xr:uid="{4B6DCA5F-9A33-465D-960E-C2EB07A6C955}"/>
    <cellStyle name="Comma 4 2 3 10 4" xfId="19654" xr:uid="{D2842C63-CADD-469A-A4AE-F674438B9E66}"/>
    <cellStyle name="Comma 4 2 3 11" xfId="4609" xr:uid="{00000000-0005-0000-0000-00005B080000}"/>
    <cellStyle name="Comma 4 2 3 11 2" xfId="13051" xr:uid="{3B29E486-0091-4DAC-88E4-AFE00D62590B}"/>
    <cellStyle name="Comma 4 2 3 11 3" xfId="21488" xr:uid="{77233414-D0CC-4DB4-ABD8-B83829CA31F2}"/>
    <cellStyle name="Comma 4 2 3 12" xfId="8833" xr:uid="{146E3089-708C-4F70-A16C-BF264C8AB42C}"/>
    <cellStyle name="Comma 4 2 3 13" xfId="17271" xr:uid="{DA5CD811-417E-4BD1-B5B2-5238EB607AB9}"/>
    <cellStyle name="Comma 4 2 3 2" xfId="137" xr:uid="{00000000-0005-0000-0000-00005C080000}"/>
    <cellStyle name="Comma 4 2 3 2 10" xfId="4610" xr:uid="{00000000-0005-0000-0000-00005D080000}"/>
    <cellStyle name="Comma 4 2 3 2 10 2" xfId="13052" xr:uid="{964E60DB-93FA-4140-9675-712F732EE537}"/>
    <cellStyle name="Comma 4 2 3 2 10 3" xfId="21489" xr:uid="{734915F7-EC53-4EF9-A46C-1466F29C2D14}"/>
    <cellStyle name="Comma 4 2 3 2 11" xfId="8834" xr:uid="{4D70FA08-5757-4BCA-B5A7-196907949E8C}"/>
    <cellStyle name="Comma 4 2 3 2 12" xfId="17272" xr:uid="{8DF72A6B-3C10-4425-97B3-419F1987EFE5}"/>
    <cellStyle name="Comma 4 2 3 2 2" xfId="138" xr:uid="{00000000-0005-0000-0000-00005E080000}"/>
    <cellStyle name="Comma 4 2 3 2 2 10" xfId="8835" xr:uid="{856D5711-3750-414F-834E-3DE78BE753EC}"/>
    <cellStyle name="Comma 4 2 3 2 2 11" xfId="17273" xr:uid="{6C5193C2-E2B1-4036-A780-BEAB6646A6F7}"/>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D3187030-BC9D-4F6C-9EB2-D06373BC07A7}"/>
    <cellStyle name="Comma 4 2 3 2 2 2 2 2 3" xfId="24049" xr:uid="{8FF67244-5E76-4ED5-BC9C-FF07DE015680}"/>
    <cellStyle name="Comma 4 2 3 2 2 2 2 3" xfId="11394" xr:uid="{C76D2867-AE2E-4986-80B2-9D17F76AF3B7}"/>
    <cellStyle name="Comma 4 2 3 2 2 2 2 4" xfId="19832" xr:uid="{513BDBCC-B244-4817-B05E-81403F5A5CDB}"/>
    <cellStyle name="Comma 4 2 3 2 2 2 3" xfId="5025" xr:uid="{00000000-0005-0000-0000-000062080000}"/>
    <cellStyle name="Comma 4 2 3 2 2 2 3 2" xfId="13467" xr:uid="{61E4D528-88F9-439F-850C-37A16BB1E37D}"/>
    <cellStyle name="Comma 4 2 3 2 2 2 3 3" xfId="21904" xr:uid="{05FCBFBC-61D0-47DD-A357-36E727C7EFD8}"/>
    <cellStyle name="Comma 4 2 3 2 2 2 4" xfId="9249" xr:uid="{43F64BC9-6C53-47B9-8057-92B946D2027E}"/>
    <cellStyle name="Comma 4 2 3 2 2 2 5" xfId="17687" xr:uid="{32097653-63BD-49FF-90F7-C23B30D36E5F}"/>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F2AD240B-B9ED-400F-B7A3-69093E644D2C}"/>
    <cellStyle name="Comma 4 2 3 2 2 3 2 2 3" xfId="24462" xr:uid="{50BCEECB-5779-48DF-8B92-33232EB6AF9E}"/>
    <cellStyle name="Comma 4 2 3 2 2 3 2 3" xfId="11807" xr:uid="{324E9411-BA9B-4EF1-ACBD-1417ACED2BEA}"/>
    <cellStyle name="Comma 4 2 3 2 2 3 2 4" xfId="20245" xr:uid="{68F52BAE-7FCE-47CA-8103-B1A9DA74FCDB}"/>
    <cellStyle name="Comma 4 2 3 2 2 3 3" xfId="5438" xr:uid="{00000000-0005-0000-0000-000066080000}"/>
    <cellStyle name="Comma 4 2 3 2 2 3 3 2" xfId="13880" xr:uid="{170551A5-29A9-40EB-B2DC-9D51261A7266}"/>
    <cellStyle name="Comma 4 2 3 2 2 3 3 3" xfId="22317" xr:uid="{6F6FA56B-79B9-4C85-BA89-609B43F59DCE}"/>
    <cellStyle name="Comma 4 2 3 2 2 3 4" xfId="9662" xr:uid="{2833D7AD-7075-4F86-8AF9-FD801E765EEA}"/>
    <cellStyle name="Comma 4 2 3 2 2 3 5" xfId="18100" xr:uid="{02277F94-BA04-4D88-A284-311B8550BE2D}"/>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9389773F-0294-4D7E-A2B7-DCB1670396B4}"/>
    <cellStyle name="Comma 4 2 3 2 2 4 2 2 3" xfId="24875" xr:uid="{0139B917-15BD-43E5-AAD9-20892039258B}"/>
    <cellStyle name="Comma 4 2 3 2 2 4 2 3" xfId="12220" xr:uid="{8B02660F-14C3-430D-BB3A-827A5177DAAB}"/>
    <cellStyle name="Comma 4 2 3 2 2 4 2 4" xfId="20658" xr:uid="{7A1AABA9-18D2-40D6-86E3-14F82BC32086}"/>
    <cellStyle name="Comma 4 2 3 2 2 4 3" xfId="5851" xr:uid="{00000000-0005-0000-0000-00006A080000}"/>
    <cellStyle name="Comma 4 2 3 2 2 4 3 2" xfId="14293" xr:uid="{89CC87E7-026E-4E8A-8109-1F7A6026939C}"/>
    <cellStyle name="Comma 4 2 3 2 2 4 3 3" xfId="22730" xr:uid="{6994FBED-E6BA-487F-84BF-D72B8A4D1E42}"/>
    <cellStyle name="Comma 4 2 3 2 2 4 4" xfId="10075" xr:uid="{9E11C44C-48F8-4F4A-BD54-964717A1E59C}"/>
    <cellStyle name="Comma 4 2 3 2 2 4 5" xfId="18513" xr:uid="{0699EABF-229F-477B-89CB-E630CEF472AC}"/>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5A2B5F1E-03CA-4946-8A39-1EAAE1A6EE68}"/>
    <cellStyle name="Comma 4 2 3 2 2 5 2 2 3" xfId="25288" xr:uid="{137E88EE-50EF-4B2D-84EC-6FF2BB7FDB3E}"/>
    <cellStyle name="Comma 4 2 3 2 2 5 2 3" xfId="12633" xr:uid="{10F5F97B-59CC-4976-9A4B-B31CA5E5951B}"/>
    <cellStyle name="Comma 4 2 3 2 2 5 2 4" xfId="21071" xr:uid="{A99065A4-922F-408F-8803-B4EEF28EAF82}"/>
    <cellStyle name="Comma 4 2 3 2 2 5 3" xfId="6264" xr:uid="{00000000-0005-0000-0000-00006E080000}"/>
    <cellStyle name="Comma 4 2 3 2 2 5 3 2" xfId="14706" xr:uid="{4ED1CEE8-006A-4948-A95F-EA8BF6BE7019}"/>
    <cellStyle name="Comma 4 2 3 2 2 5 3 3" xfId="23143" xr:uid="{96CEC67F-523C-414F-B447-818DF9B8F6A2}"/>
    <cellStyle name="Comma 4 2 3 2 2 5 4" xfId="10488" xr:uid="{ABDB9276-8B74-4917-BF25-367834C061EA}"/>
    <cellStyle name="Comma 4 2 3 2 2 5 5" xfId="18926" xr:uid="{EE7FAE18-0BB2-418E-A0E0-E2FCA64D0832}"/>
    <cellStyle name="Comma 4 2 3 2 2 6" xfId="2392" xr:uid="{00000000-0005-0000-0000-00006F080000}"/>
    <cellStyle name="Comma 4 2 3 2 2 6 2" xfId="6677" xr:uid="{00000000-0005-0000-0000-000070080000}"/>
    <cellStyle name="Comma 4 2 3 2 2 6 2 2" xfId="15119" xr:uid="{E6B34673-AC14-47D2-8C63-03713C0F8876}"/>
    <cellStyle name="Comma 4 2 3 2 2 6 2 3" xfId="23556" xr:uid="{043DA128-5968-4C6D-84DE-FE1FA95118E0}"/>
    <cellStyle name="Comma 4 2 3 2 2 6 3" xfId="10901" xr:uid="{64E057F0-AB12-4568-8C79-54AE32721FC5}"/>
    <cellStyle name="Comma 4 2 3 2 2 6 4" xfId="19339" xr:uid="{B65483F4-F3E6-43A6-B06E-645609EC724A}"/>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1DF811D9-7511-4AA4-B2FA-B95A34F4ADD7}"/>
    <cellStyle name="Comma 4 2 3 2 2 8 2 3" xfId="23873" xr:uid="{130D787A-D152-4B8B-BDD1-CFDF64C35184}"/>
    <cellStyle name="Comma 4 2 3 2 2 8 3" xfId="11218" xr:uid="{AD735BC8-0439-430C-A936-855AE81A213C}"/>
    <cellStyle name="Comma 4 2 3 2 2 8 4" xfId="19656" xr:uid="{86E6BECB-313C-4B09-B57F-476C5D7E6792}"/>
    <cellStyle name="Comma 4 2 3 2 2 9" xfId="4611" xr:uid="{00000000-0005-0000-0000-000074080000}"/>
    <cellStyle name="Comma 4 2 3 2 2 9 2" xfId="13053" xr:uid="{4B0BDE3C-FCD5-47D5-8460-50C70F4E6D87}"/>
    <cellStyle name="Comma 4 2 3 2 2 9 3" xfId="21490" xr:uid="{3BD9D5FF-D917-4E3D-8E18-0218D9811833}"/>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F57FEBAD-65A5-4FA5-9116-817CECD87D5C}"/>
    <cellStyle name="Comma 4 2 3 2 3 2 2 3" xfId="24048" xr:uid="{270D376E-7B2D-4FC3-87B4-CE0D8E4E42FD}"/>
    <cellStyle name="Comma 4 2 3 2 3 2 3" xfId="11393" xr:uid="{5ECC7FCF-777C-4CDA-80B8-A9385B148B03}"/>
    <cellStyle name="Comma 4 2 3 2 3 2 4" xfId="19831" xr:uid="{BBD4DB40-F0B7-4A65-919D-FFC4EB74793D}"/>
    <cellStyle name="Comma 4 2 3 2 3 3" xfId="5024" xr:uid="{00000000-0005-0000-0000-000078080000}"/>
    <cellStyle name="Comma 4 2 3 2 3 3 2" xfId="13466" xr:uid="{C2FE566C-391B-445B-BD86-285A821AE771}"/>
    <cellStyle name="Comma 4 2 3 2 3 3 3" xfId="21903" xr:uid="{1588672F-4D85-45EC-8100-7F2F94905B04}"/>
    <cellStyle name="Comma 4 2 3 2 3 4" xfId="9248" xr:uid="{AABA4040-DBD4-4F70-A437-1C9D45F62E01}"/>
    <cellStyle name="Comma 4 2 3 2 3 5" xfId="17686" xr:uid="{06E33A4A-8039-418A-A691-2C9314D03624}"/>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1BEB4BD3-6C08-479F-BDA4-FE0E5EA1ADAB}"/>
    <cellStyle name="Comma 4 2 3 2 4 2 2 3" xfId="24461" xr:uid="{16AAD009-4D2D-4BCF-83E1-BE84EBE6744B}"/>
    <cellStyle name="Comma 4 2 3 2 4 2 3" xfId="11806" xr:uid="{3926779F-1A90-45F6-8D15-7E597EC338EB}"/>
    <cellStyle name="Comma 4 2 3 2 4 2 4" xfId="20244" xr:uid="{41ED75FD-C6D5-40EB-AB3E-538160ADABA7}"/>
    <cellStyle name="Comma 4 2 3 2 4 3" xfId="5437" xr:uid="{00000000-0005-0000-0000-00007C080000}"/>
    <cellStyle name="Comma 4 2 3 2 4 3 2" xfId="13879" xr:uid="{5D09AFFB-AD3D-471E-89F8-A6C4103B93D1}"/>
    <cellStyle name="Comma 4 2 3 2 4 3 3" xfId="22316" xr:uid="{604C8C93-44CA-43D4-A102-886A321497E1}"/>
    <cellStyle name="Comma 4 2 3 2 4 4" xfId="9661" xr:uid="{CA345E10-843C-4217-AEA9-5902C968630C}"/>
    <cellStyle name="Comma 4 2 3 2 4 5" xfId="18099" xr:uid="{783C1BF1-151C-45A2-8216-A35D3A4E165C}"/>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93C81446-A767-465F-879A-D9E423BA620E}"/>
    <cellStyle name="Comma 4 2 3 2 5 2 2 3" xfId="24874" xr:uid="{8C7A12F8-01A2-427C-904F-2E365901970B}"/>
    <cellStyle name="Comma 4 2 3 2 5 2 3" xfId="12219" xr:uid="{2B7D23CC-25B2-47B2-902B-64DB460267E8}"/>
    <cellStyle name="Comma 4 2 3 2 5 2 4" xfId="20657" xr:uid="{14C4DAED-64E9-4E73-A3A8-F8641977C6FA}"/>
    <cellStyle name="Comma 4 2 3 2 5 3" xfId="5850" xr:uid="{00000000-0005-0000-0000-000080080000}"/>
    <cellStyle name="Comma 4 2 3 2 5 3 2" xfId="14292" xr:uid="{1145C3AE-9B2B-4F85-B97E-5C3A887B9292}"/>
    <cellStyle name="Comma 4 2 3 2 5 3 3" xfId="22729" xr:uid="{E780775F-2997-438B-985C-DE0EC3E875C9}"/>
    <cellStyle name="Comma 4 2 3 2 5 4" xfId="10074" xr:uid="{CEB40A69-A9D6-4E1F-9D99-04B5B4F5AB3D}"/>
    <cellStyle name="Comma 4 2 3 2 5 5" xfId="18512" xr:uid="{E5D94C47-C589-4A55-899D-BD97AF00A584}"/>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CC4B1D98-BB81-433A-AB18-D18E563C240B}"/>
    <cellStyle name="Comma 4 2 3 2 6 2 2 3" xfId="25287" xr:uid="{65105B84-DA27-432A-997C-B1C483EF44EF}"/>
    <cellStyle name="Comma 4 2 3 2 6 2 3" xfId="12632" xr:uid="{365244E3-DBDC-4C25-A077-702CB7B9DD0D}"/>
    <cellStyle name="Comma 4 2 3 2 6 2 4" xfId="21070" xr:uid="{B5E1FA82-2247-4EBC-9C92-A639AA86E92B}"/>
    <cellStyle name="Comma 4 2 3 2 6 3" xfId="6263" xr:uid="{00000000-0005-0000-0000-000084080000}"/>
    <cellStyle name="Comma 4 2 3 2 6 3 2" xfId="14705" xr:uid="{38954608-4BB1-4FEF-BAFD-ACDA2CA7B231}"/>
    <cellStyle name="Comma 4 2 3 2 6 3 3" xfId="23142" xr:uid="{8142DDEB-3021-4F78-98DB-393C54C0CD72}"/>
    <cellStyle name="Comma 4 2 3 2 6 4" xfId="10487" xr:uid="{3F0AC541-35FF-4CD6-A068-418A9C9C9E12}"/>
    <cellStyle name="Comma 4 2 3 2 6 5" xfId="18925" xr:uid="{57D70220-760F-45CA-B644-ED32148DF750}"/>
    <cellStyle name="Comma 4 2 3 2 7" xfId="2391" xr:uid="{00000000-0005-0000-0000-000085080000}"/>
    <cellStyle name="Comma 4 2 3 2 7 2" xfId="6676" xr:uid="{00000000-0005-0000-0000-000086080000}"/>
    <cellStyle name="Comma 4 2 3 2 7 2 2" xfId="15118" xr:uid="{E2854EFC-E39C-474E-94E0-05DB597B4D3D}"/>
    <cellStyle name="Comma 4 2 3 2 7 2 3" xfId="23555" xr:uid="{00A3992F-7C74-4040-A495-DE793D76D2FC}"/>
    <cellStyle name="Comma 4 2 3 2 7 3" xfId="10900" xr:uid="{E516AF93-DBC8-4F32-8B5A-801F02570406}"/>
    <cellStyle name="Comma 4 2 3 2 7 4" xfId="19338" xr:uid="{F6F21135-0C00-4B5F-9CD7-6FA127BECD97}"/>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C256895F-8717-4646-8C9A-859FE6620037}"/>
    <cellStyle name="Comma 4 2 3 2 9 2 3" xfId="23872" xr:uid="{0F514B30-E1CD-4F7C-9BCA-0610A932E156}"/>
    <cellStyle name="Comma 4 2 3 2 9 3" xfId="11217" xr:uid="{65AB436E-F74E-4531-A216-FA4097D72383}"/>
    <cellStyle name="Comma 4 2 3 2 9 4" xfId="19655" xr:uid="{83DF8A5C-FF70-4EC4-9F81-F6BCA82C197C}"/>
    <cellStyle name="Comma 4 2 3 3" xfId="139" xr:uid="{00000000-0005-0000-0000-00008A080000}"/>
    <cellStyle name="Comma 4 2 3 3 10" xfId="8836" xr:uid="{409DF9B2-0B18-47AC-A109-6B781C42DE0B}"/>
    <cellStyle name="Comma 4 2 3 3 11" xfId="17274" xr:uid="{6DD3866A-C075-43E0-A12D-8856AD4ACD0E}"/>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516AA6CB-C0E2-4DE7-A5EE-57B31BC5A31B}"/>
    <cellStyle name="Comma 4 2 3 3 2 2 2 3" xfId="24050" xr:uid="{FA3CAA4F-DAD1-4448-BCBE-68A96894E210}"/>
    <cellStyle name="Comma 4 2 3 3 2 2 3" xfId="11395" xr:uid="{262C2B2A-265E-45E7-8061-721785381551}"/>
    <cellStyle name="Comma 4 2 3 3 2 2 4" xfId="19833" xr:uid="{7AF278F2-052B-4EBD-A64C-350671516537}"/>
    <cellStyle name="Comma 4 2 3 3 2 3" xfId="5026" xr:uid="{00000000-0005-0000-0000-00008E080000}"/>
    <cellStyle name="Comma 4 2 3 3 2 3 2" xfId="13468" xr:uid="{5836E2BF-2507-421C-8D17-A8DD02FE85BB}"/>
    <cellStyle name="Comma 4 2 3 3 2 3 3" xfId="21905" xr:uid="{C1A12F10-873B-4CBD-8F41-B49FA605E86E}"/>
    <cellStyle name="Comma 4 2 3 3 2 4" xfId="9250" xr:uid="{32C11E7B-F6BA-4BC9-821F-9E8B299A293E}"/>
    <cellStyle name="Comma 4 2 3 3 2 5" xfId="17688" xr:uid="{C39E9F02-E043-455F-BBF8-07F10C1A7467}"/>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6DE7EEAA-C8AF-4178-A03D-DAA806F162D1}"/>
    <cellStyle name="Comma 4 2 3 3 3 2 2 3" xfId="24463" xr:uid="{DF3D1B20-5AA0-433A-9499-BBD7FDF00D72}"/>
    <cellStyle name="Comma 4 2 3 3 3 2 3" xfId="11808" xr:uid="{181ADA3C-2DE4-4C15-89B7-7035F16E56FF}"/>
    <cellStyle name="Comma 4 2 3 3 3 2 4" xfId="20246" xr:uid="{DBAAC867-961D-4C5D-B5AB-6D86B8F98F0D}"/>
    <cellStyle name="Comma 4 2 3 3 3 3" xfId="5439" xr:uid="{00000000-0005-0000-0000-000092080000}"/>
    <cellStyle name="Comma 4 2 3 3 3 3 2" xfId="13881" xr:uid="{0E29C266-E879-4D09-9BBA-3874EAEE5434}"/>
    <cellStyle name="Comma 4 2 3 3 3 3 3" xfId="22318" xr:uid="{E83A55D8-4A17-4B9D-8D42-AD28637DF8FD}"/>
    <cellStyle name="Comma 4 2 3 3 3 4" xfId="9663" xr:uid="{CEDB6EDE-ADD1-4EEE-9004-B458D26D6006}"/>
    <cellStyle name="Comma 4 2 3 3 3 5" xfId="18101" xr:uid="{56067498-6667-4901-97D0-11520EFC1C43}"/>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A3C97EEB-EAAE-45B7-970E-2BFFD54A168C}"/>
    <cellStyle name="Comma 4 2 3 3 4 2 2 3" xfId="24876" xr:uid="{FC675A8C-4283-4188-92D8-82A4D24A4275}"/>
    <cellStyle name="Comma 4 2 3 3 4 2 3" xfId="12221" xr:uid="{7F8108E7-0446-46A2-82BC-955BB10B7A2B}"/>
    <cellStyle name="Comma 4 2 3 3 4 2 4" xfId="20659" xr:uid="{4CC15F32-177E-41FA-B756-E50336C1B35E}"/>
    <cellStyle name="Comma 4 2 3 3 4 3" xfId="5852" xr:uid="{00000000-0005-0000-0000-000096080000}"/>
    <cellStyle name="Comma 4 2 3 3 4 3 2" xfId="14294" xr:uid="{8561092B-01FF-46C7-8F75-A81E0598A0D2}"/>
    <cellStyle name="Comma 4 2 3 3 4 3 3" xfId="22731" xr:uid="{8AD5B3E4-0232-4E27-8246-EB1C97DECE54}"/>
    <cellStyle name="Comma 4 2 3 3 4 4" xfId="10076" xr:uid="{20004EB4-8DD6-4EC0-A8C8-3E183648056C}"/>
    <cellStyle name="Comma 4 2 3 3 4 5" xfId="18514" xr:uid="{D6EF7F74-8478-4CDA-B465-724E8DDAE5F6}"/>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02F5E9D7-5745-4639-89AF-F855AB1BF570}"/>
    <cellStyle name="Comma 4 2 3 3 5 2 2 3" xfId="25289" xr:uid="{AD8C9ECF-C13C-43DD-9C67-0B6DAAAA0081}"/>
    <cellStyle name="Comma 4 2 3 3 5 2 3" xfId="12634" xr:uid="{EF7F0210-1ABC-4A6F-8D71-90C96D4BDD26}"/>
    <cellStyle name="Comma 4 2 3 3 5 2 4" xfId="21072" xr:uid="{6D3F6EE0-B289-48E2-B20E-757225CC51F3}"/>
    <cellStyle name="Comma 4 2 3 3 5 3" xfId="6265" xr:uid="{00000000-0005-0000-0000-00009A080000}"/>
    <cellStyle name="Comma 4 2 3 3 5 3 2" xfId="14707" xr:uid="{1892F101-019A-4F24-98C5-45322C437115}"/>
    <cellStyle name="Comma 4 2 3 3 5 3 3" xfId="23144" xr:uid="{665A6292-868D-4C8A-BDAD-6BD305C5F582}"/>
    <cellStyle name="Comma 4 2 3 3 5 4" xfId="10489" xr:uid="{07360DB5-6163-428A-80C7-5C0E820A0E25}"/>
    <cellStyle name="Comma 4 2 3 3 5 5" xfId="18927" xr:uid="{DDA105A1-3A65-492E-BA85-A48A069EF664}"/>
    <cellStyle name="Comma 4 2 3 3 6" xfId="2393" xr:uid="{00000000-0005-0000-0000-00009B080000}"/>
    <cellStyle name="Comma 4 2 3 3 6 2" xfId="6678" xr:uid="{00000000-0005-0000-0000-00009C080000}"/>
    <cellStyle name="Comma 4 2 3 3 6 2 2" xfId="15120" xr:uid="{ADAC3673-2630-454C-AF0B-1649954D610F}"/>
    <cellStyle name="Comma 4 2 3 3 6 2 3" xfId="23557" xr:uid="{8E6EFD51-04F8-4938-9400-B606650EE140}"/>
    <cellStyle name="Comma 4 2 3 3 6 3" xfId="10902" xr:uid="{50DADDA7-E767-4285-B039-2C927F367C21}"/>
    <cellStyle name="Comma 4 2 3 3 6 4" xfId="19340" xr:uid="{9A634437-EF8E-42D6-893A-372248D2197A}"/>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ABB3950A-5950-44BB-B98C-7E4684B3896D}"/>
    <cellStyle name="Comma 4 2 3 3 8 2 3" xfId="23874" xr:uid="{D98672E0-75C2-4B77-9E2D-DBDE5C843C0E}"/>
    <cellStyle name="Comma 4 2 3 3 8 3" xfId="11219" xr:uid="{246DC36E-B3C0-49E3-A4C5-97826DC0FC48}"/>
    <cellStyle name="Comma 4 2 3 3 8 4" xfId="19657" xr:uid="{6088E724-2BC8-4140-895E-FA4C8C2A76A0}"/>
    <cellStyle name="Comma 4 2 3 3 9" xfId="4612" xr:uid="{00000000-0005-0000-0000-0000A0080000}"/>
    <cellStyle name="Comma 4 2 3 3 9 2" xfId="13054" xr:uid="{ABFDEB8D-7E16-4F78-9707-286781FB5036}"/>
    <cellStyle name="Comma 4 2 3 3 9 3" xfId="21491" xr:uid="{23D1602F-0F39-4AB9-931E-F4FD7C9E3FEE}"/>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07ADBE69-F40E-4C88-AF1A-8406743E8E2C}"/>
    <cellStyle name="Comma 4 2 3 4 2 2 3" xfId="24047" xr:uid="{D40FDA9A-CFA2-449B-B12B-AEC319D276EB}"/>
    <cellStyle name="Comma 4 2 3 4 2 3" xfId="11392" xr:uid="{6EDA670C-DA08-4D0C-92EF-FA1B20A4DEC5}"/>
    <cellStyle name="Comma 4 2 3 4 2 4" xfId="19830" xr:uid="{A213F6BF-C4C0-4675-8E5B-AD4D81F5BAB7}"/>
    <cellStyle name="Comma 4 2 3 4 3" xfId="5023" xr:uid="{00000000-0005-0000-0000-0000A4080000}"/>
    <cellStyle name="Comma 4 2 3 4 3 2" xfId="13465" xr:uid="{19E13925-5955-464C-988C-6EFC7E2DADEF}"/>
    <cellStyle name="Comma 4 2 3 4 3 3" xfId="21902" xr:uid="{BFF2FF0C-463A-411F-97C1-33B46C3A82BC}"/>
    <cellStyle name="Comma 4 2 3 4 4" xfId="9247" xr:uid="{37F101A3-3A2C-46EA-87B4-744F73F33EDC}"/>
    <cellStyle name="Comma 4 2 3 4 5" xfId="17685" xr:uid="{536E59C0-E34E-4213-A158-B796FCBC5F97}"/>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1BC82A39-C3F9-451D-9613-D540318C9C3F}"/>
    <cellStyle name="Comma 4 2 3 5 2 2 3" xfId="24460" xr:uid="{823C3D9E-FF52-40B8-9B5B-D01A05E2F756}"/>
    <cellStyle name="Comma 4 2 3 5 2 3" xfId="11805" xr:uid="{7503AA3F-40DD-4205-AD2D-0F68A5686ADD}"/>
    <cellStyle name="Comma 4 2 3 5 2 4" xfId="20243" xr:uid="{D09DB650-6248-4FDB-9B6E-8B9EEB1DED9F}"/>
    <cellStyle name="Comma 4 2 3 5 3" xfId="5436" xr:uid="{00000000-0005-0000-0000-0000A8080000}"/>
    <cellStyle name="Comma 4 2 3 5 3 2" xfId="13878" xr:uid="{ED7530DA-B060-4B15-9375-5ADA8A2CB395}"/>
    <cellStyle name="Comma 4 2 3 5 3 3" xfId="22315" xr:uid="{01A13ACF-9230-4A8E-942E-2426EA8FEBD1}"/>
    <cellStyle name="Comma 4 2 3 5 4" xfId="9660" xr:uid="{A24C3383-2201-4035-AF7B-DFB56B1503AE}"/>
    <cellStyle name="Comma 4 2 3 5 5" xfId="18098" xr:uid="{B68CE13C-3FA6-485C-BDF3-B83E66BBCBF8}"/>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9C05E327-DCC9-4501-B6D0-8CD4A328F1AF}"/>
    <cellStyle name="Comma 4 2 3 6 2 2 3" xfId="24873" xr:uid="{14A31920-B2A7-4B7E-AC25-CA709E004261}"/>
    <cellStyle name="Comma 4 2 3 6 2 3" xfId="12218" xr:uid="{E931116A-3166-4BC8-B119-15563788D4D4}"/>
    <cellStyle name="Comma 4 2 3 6 2 4" xfId="20656" xr:uid="{16EE6888-A4BF-436D-83A4-FD9ABA02DBD7}"/>
    <cellStyle name="Comma 4 2 3 6 3" xfId="5849" xr:uid="{00000000-0005-0000-0000-0000AC080000}"/>
    <cellStyle name="Comma 4 2 3 6 3 2" xfId="14291" xr:uid="{86EC23FC-C6F2-4886-B8DF-DCB1E9B59F44}"/>
    <cellStyle name="Comma 4 2 3 6 3 3" xfId="22728" xr:uid="{CE0BD4C8-CAC5-4C63-9FDB-651B6689C3A9}"/>
    <cellStyle name="Comma 4 2 3 6 4" xfId="10073" xr:uid="{EDAA2BAA-A64C-4D17-8685-3364C38671D6}"/>
    <cellStyle name="Comma 4 2 3 6 5" xfId="18511" xr:uid="{3FF064DE-6199-4C75-A47C-909798CEB061}"/>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5724BD73-82EF-4E96-85FB-F3789E1B9F2F}"/>
    <cellStyle name="Comma 4 2 3 7 2 2 3" xfId="25286" xr:uid="{D7289C55-E431-4329-A7DE-AEC8F476FE61}"/>
    <cellStyle name="Comma 4 2 3 7 2 3" xfId="12631" xr:uid="{59280194-BCF5-4426-B084-BC768821B223}"/>
    <cellStyle name="Comma 4 2 3 7 2 4" xfId="21069" xr:uid="{DADAD844-1019-443D-9DB1-5F9D332EFE5E}"/>
    <cellStyle name="Comma 4 2 3 7 3" xfId="6262" xr:uid="{00000000-0005-0000-0000-0000B0080000}"/>
    <cellStyle name="Comma 4 2 3 7 3 2" xfId="14704" xr:uid="{673A9341-3E42-4B7E-B4E6-87245C284ABD}"/>
    <cellStyle name="Comma 4 2 3 7 3 3" xfId="23141" xr:uid="{ECBD43D8-887E-489B-8A86-7C7FA3954F65}"/>
    <cellStyle name="Comma 4 2 3 7 4" xfId="10486" xr:uid="{2F03EEA7-5ED4-4F14-AA8D-457A8C4C79CF}"/>
    <cellStyle name="Comma 4 2 3 7 5" xfId="18924" xr:uid="{14CC7EDE-1F09-4480-8FD2-EC7B0E4A4DF5}"/>
    <cellStyle name="Comma 4 2 3 8" xfId="2390" xr:uid="{00000000-0005-0000-0000-0000B1080000}"/>
    <cellStyle name="Comma 4 2 3 8 2" xfId="6675" xr:uid="{00000000-0005-0000-0000-0000B2080000}"/>
    <cellStyle name="Comma 4 2 3 8 2 2" xfId="15117" xr:uid="{A80DEA0C-9467-43F3-9183-FA5694E9BB80}"/>
    <cellStyle name="Comma 4 2 3 8 2 3" xfId="23554" xr:uid="{6C4CC892-13AB-4238-8B6D-5A1A435C465F}"/>
    <cellStyle name="Comma 4 2 3 8 3" xfId="10899" xr:uid="{D94AA09B-B7B6-4284-A483-1E19082701C5}"/>
    <cellStyle name="Comma 4 2 3 8 4" xfId="19337" xr:uid="{7535B341-69E2-4ACA-B4CC-101ABC6C2F63}"/>
    <cellStyle name="Comma 4 2 3 9" xfId="2373" xr:uid="{00000000-0005-0000-0000-0000B3080000}"/>
    <cellStyle name="Comma 4 2 4" xfId="140" xr:uid="{00000000-0005-0000-0000-0000B4080000}"/>
    <cellStyle name="Comma 4 2 4 10" xfId="4613" xr:uid="{00000000-0005-0000-0000-0000B5080000}"/>
    <cellStyle name="Comma 4 2 4 10 2" xfId="13055" xr:uid="{AEBCFF7B-1E37-4830-8613-90B18A683A2D}"/>
    <cellStyle name="Comma 4 2 4 10 3" xfId="21492" xr:uid="{0284EB8D-37B2-4076-A9BA-871C6C02F0DF}"/>
    <cellStyle name="Comma 4 2 4 11" xfId="8837" xr:uid="{09AC73AC-5DEC-4836-96D9-4CE837F14828}"/>
    <cellStyle name="Comma 4 2 4 12" xfId="17275" xr:uid="{A7BA4DC8-D95B-44A8-B7B2-608B6AB82C0C}"/>
    <cellStyle name="Comma 4 2 4 2" xfId="141" xr:uid="{00000000-0005-0000-0000-0000B6080000}"/>
    <cellStyle name="Comma 4 2 4 2 10" xfId="8838" xr:uid="{0FFEE07D-6484-47F7-9E42-3BCAC9A5A33F}"/>
    <cellStyle name="Comma 4 2 4 2 11" xfId="17276" xr:uid="{FF709A69-8E40-4EC2-9B13-569B084993EC}"/>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DEC50A06-9F36-4C1B-AB69-B819396C872B}"/>
    <cellStyle name="Comma 4 2 4 2 2 2 2 3" xfId="24052" xr:uid="{2AB1CBAF-C8CA-489C-8997-01C43F4B8AC7}"/>
    <cellStyle name="Comma 4 2 4 2 2 2 3" xfId="11397" xr:uid="{25ADE982-E919-4346-8321-74EA145A1481}"/>
    <cellStyle name="Comma 4 2 4 2 2 2 4" xfId="19835" xr:uid="{B32DCF32-540B-4B72-BFEA-9B3C0E95720A}"/>
    <cellStyle name="Comma 4 2 4 2 2 3" xfId="5028" xr:uid="{00000000-0005-0000-0000-0000BA080000}"/>
    <cellStyle name="Comma 4 2 4 2 2 3 2" xfId="13470" xr:uid="{98556DE6-2F86-446F-B853-598272D8606E}"/>
    <cellStyle name="Comma 4 2 4 2 2 3 3" xfId="21907" xr:uid="{CC5ACA7F-442B-45E4-B466-FB9F944E7E85}"/>
    <cellStyle name="Comma 4 2 4 2 2 4" xfId="9252" xr:uid="{706DE715-6578-4E6D-9F9E-7C808C770F74}"/>
    <cellStyle name="Comma 4 2 4 2 2 5" xfId="17690" xr:uid="{B2E78B14-41E6-4D69-8BF4-14ACDE9A694F}"/>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515B89A5-F6D1-4247-804B-1AEDAC7AD386}"/>
    <cellStyle name="Comma 4 2 4 2 3 2 2 3" xfId="24465" xr:uid="{083224F0-5184-4ABE-A2EC-CC3D13C41C2C}"/>
    <cellStyle name="Comma 4 2 4 2 3 2 3" xfId="11810" xr:uid="{62F3F440-1145-48AA-A56F-E7257FE65CEB}"/>
    <cellStyle name="Comma 4 2 4 2 3 2 4" xfId="20248" xr:uid="{E3F3B485-3B85-422B-8BD9-79F121BBF404}"/>
    <cellStyle name="Comma 4 2 4 2 3 3" xfId="5441" xr:uid="{00000000-0005-0000-0000-0000BE080000}"/>
    <cellStyle name="Comma 4 2 4 2 3 3 2" xfId="13883" xr:uid="{BDC9E0E0-E3D7-4EDB-9E2B-F7CDB69F8342}"/>
    <cellStyle name="Comma 4 2 4 2 3 3 3" xfId="22320" xr:uid="{16B48FD2-F362-48ED-9BCB-6613CB6D2976}"/>
    <cellStyle name="Comma 4 2 4 2 3 4" xfId="9665" xr:uid="{62085F92-A09D-45E3-9AEF-142A16F0B124}"/>
    <cellStyle name="Comma 4 2 4 2 3 5" xfId="18103" xr:uid="{DE8E3CD4-47EF-459E-83BC-410B899157CB}"/>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48A00085-9F02-4D7D-8FE4-BFAB2F7BEDCB}"/>
    <cellStyle name="Comma 4 2 4 2 4 2 2 3" xfId="24878" xr:uid="{56BC6849-DA3E-4257-96C1-E4BBDAC03B63}"/>
    <cellStyle name="Comma 4 2 4 2 4 2 3" xfId="12223" xr:uid="{CF40B9A2-449F-437D-84E5-4F3E15FEB70B}"/>
    <cellStyle name="Comma 4 2 4 2 4 2 4" xfId="20661" xr:uid="{336E2E27-4748-4877-90D5-AA7EE0347813}"/>
    <cellStyle name="Comma 4 2 4 2 4 3" xfId="5854" xr:uid="{00000000-0005-0000-0000-0000C2080000}"/>
    <cellStyle name="Comma 4 2 4 2 4 3 2" xfId="14296" xr:uid="{64D24BE0-8B10-4351-BD6F-BE6D84AD767D}"/>
    <cellStyle name="Comma 4 2 4 2 4 3 3" xfId="22733" xr:uid="{C0216BB9-6B32-453B-BB49-544E4E81C750}"/>
    <cellStyle name="Comma 4 2 4 2 4 4" xfId="10078" xr:uid="{3301E339-6DD3-4C17-888B-E6D5E28A72D8}"/>
    <cellStyle name="Comma 4 2 4 2 4 5" xfId="18516" xr:uid="{23E52229-5525-4571-B37B-E4D2C7CA5955}"/>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52E70340-59E8-4511-82B9-6092C1F56DD3}"/>
    <cellStyle name="Comma 4 2 4 2 5 2 2 3" xfId="25291" xr:uid="{F5BDDB73-3A67-4CF3-8B96-429DA2DA74CB}"/>
    <cellStyle name="Comma 4 2 4 2 5 2 3" xfId="12636" xr:uid="{3D31E710-6203-4134-A781-B7F449EC18D5}"/>
    <cellStyle name="Comma 4 2 4 2 5 2 4" xfId="21074" xr:uid="{FA7CF1B4-73E1-4F90-8220-A29F6C65873D}"/>
    <cellStyle name="Comma 4 2 4 2 5 3" xfId="6267" xr:uid="{00000000-0005-0000-0000-0000C6080000}"/>
    <cellStyle name="Comma 4 2 4 2 5 3 2" xfId="14709" xr:uid="{24BB7106-634F-4FC4-BF3F-E1EF374BE14B}"/>
    <cellStyle name="Comma 4 2 4 2 5 3 3" xfId="23146" xr:uid="{635A7336-F732-4121-B2D7-F4E2010FEE82}"/>
    <cellStyle name="Comma 4 2 4 2 5 4" xfId="10491" xr:uid="{DDA35FEE-9611-4DC5-83DF-43631D944E34}"/>
    <cellStyle name="Comma 4 2 4 2 5 5" xfId="18929" xr:uid="{15101580-3EF1-4EF8-AE15-D40C6CF6CD13}"/>
    <cellStyle name="Comma 4 2 4 2 6" xfId="2395" xr:uid="{00000000-0005-0000-0000-0000C7080000}"/>
    <cellStyle name="Comma 4 2 4 2 6 2" xfId="6680" xr:uid="{00000000-0005-0000-0000-0000C8080000}"/>
    <cellStyle name="Comma 4 2 4 2 6 2 2" xfId="15122" xr:uid="{1E9A2186-9048-49A3-B9D3-4DDADC84FBB0}"/>
    <cellStyle name="Comma 4 2 4 2 6 2 3" xfId="23559" xr:uid="{CC0D9C1E-AEEC-4B7F-B114-5F3687743CFA}"/>
    <cellStyle name="Comma 4 2 4 2 6 3" xfId="10904" xr:uid="{F8BB0444-1F14-4D33-973A-ECA853B0C58A}"/>
    <cellStyle name="Comma 4 2 4 2 6 4" xfId="19342" xr:uid="{62A1E802-C408-448D-B925-F049BF5D9298}"/>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8589F236-FBFC-4EA9-923B-5BBA3D7873F5}"/>
    <cellStyle name="Comma 4 2 4 2 8 2 3" xfId="23876" xr:uid="{859B44D6-E488-4E18-9ED1-C7FCCDC99BE5}"/>
    <cellStyle name="Comma 4 2 4 2 8 3" xfId="11221" xr:uid="{507A50BD-B9C3-4443-BCB9-2666C34CC42C}"/>
    <cellStyle name="Comma 4 2 4 2 8 4" xfId="19659" xr:uid="{0973C1AA-27F9-46A2-8CC3-A7E79D69B8ED}"/>
    <cellStyle name="Comma 4 2 4 2 9" xfId="4614" xr:uid="{00000000-0005-0000-0000-0000CC080000}"/>
    <cellStyle name="Comma 4 2 4 2 9 2" xfId="13056" xr:uid="{05E71411-2902-4592-AF51-3270294E9CB9}"/>
    <cellStyle name="Comma 4 2 4 2 9 3" xfId="21493" xr:uid="{2284491F-78A6-45D7-98EF-01CA20589031}"/>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53489475-C36C-42DE-85E5-FD2B5B357119}"/>
    <cellStyle name="Comma 4 2 4 3 2 2 3" xfId="24051" xr:uid="{627A507F-73B1-4E57-854C-9C985650D008}"/>
    <cellStyle name="Comma 4 2 4 3 2 3" xfId="11396" xr:uid="{0B7986F4-9198-456A-A363-B4709A85A177}"/>
    <cellStyle name="Comma 4 2 4 3 2 4" xfId="19834" xr:uid="{3EA64559-BF19-4A1E-BF57-B6AEF4BFE8BF}"/>
    <cellStyle name="Comma 4 2 4 3 3" xfId="5027" xr:uid="{00000000-0005-0000-0000-0000D0080000}"/>
    <cellStyle name="Comma 4 2 4 3 3 2" xfId="13469" xr:uid="{10015A42-5DE5-4FC2-80CF-DE2319E9D2AC}"/>
    <cellStyle name="Comma 4 2 4 3 3 3" xfId="21906" xr:uid="{B458A68D-BCEE-4D49-A354-BBCD71D9A169}"/>
    <cellStyle name="Comma 4 2 4 3 4" xfId="9251" xr:uid="{CA8BC543-3901-4D37-817B-EFD1289B4685}"/>
    <cellStyle name="Comma 4 2 4 3 5" xfId="17689" xr:uid="{7DDB29CD-5976-4D37-8782-CEA8768626E4}"/>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61855BAA-1A79-4F32-BF53-0E2FD90AFC4F}"/>
    <cellStyle name="Comma 4 2 4 4 2 2 3" xfId="24464" xr:uid="{DD453E71-9471-4030-9096-40CE91B5845A}"/>
    <cellStyle name="Comma 4 2 4 4 2 3" xfId="11809" xr:uid="{BC7D26C9-6A11-424F-B9B3-7922B759E100}"/>
    <cellStyle name="Comma 4 2 4 4 2 4" xfId="20247" xr:uid="{97641471-9146-4A60-8345-27C43E46E3AE}"/>
    <cellStyle name="Comma 4 2 4 4 3" xfId="5440" xr:uid="{00000000-0005-0000-0000-0000D4080000}"/>
    <cellStyle name="Comma 4 2 4 4 3 2" xfId="13882" xr:uid="{71011406-BEA1-4C0C-AF32-67E9C46A6FD6}"/>
    <cellStyle name="Comma 4 2 4 4 3 3" xfId="22319" xr:uid="{6DB1B5F8-524F-4430-AE84-0DB6C77A21C0}"/>
    <cellStyle name="Comma 4 2 4 4 4" xfId="9664" xr:uid="{53791B7A-D19C-4EDC-A3CC-43EE9E78CE4C}"/>
    <cellStyle name="Comma 4 2 4 4 5" xfId="18102" xr:uid="{DB120259-7EA4-4754-886B-065550FADD87}"/>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CC153E85-4C6E-4FA1-A599-C0DF23C3FEE3}"/>
    <cellStyle name="Comma 4 2 4 5 2 2 3" xfId="24877" xr:uid="{0E3CF525-8134-41D0-B4A7-86E79BDB5E46}"/>
    <cellStyle name="Comma 4 2 4 5 2 3" xfId="12222" xr:uid="{314CA3D9-D06D-4C7E-B4E5-5379388C1984}"/>
    <cellStyle name="Comma 4 2 4 5 2 4" xfId="20660" xr:uid="{8709F6B1-29E0-45C3-926E-A48CB1B03D47}"/>
    <cellStyle name="Comma 4 2 4 5 3" xfId="5853" xr:uid="{00000000-0005-0000-0000-0000D8080000}"/>
    <cellStyle name="Comma 4 2 4 5 3 2" xfId="14295" xr:uid="{92693B94-64E3-4499-A979-FFFBE8393D2D}"/>
    <cellStyle name="Comma 4 2 4 5 3 3" xfId="22732" xr:uid="{F35C3767-9C66-416D-8950-CA429D0E0AE9}"/>
    <cellStyle name="Comma 4 2 4 5 4" xfId="10077" xr:uid="{D01FDBCF-7364-4CFD-8952-4452E5800BE5}"/>
    <cellStyle name="Comma 4 2 4 5 5" xfId="18515" xr:uid="{98A3F839-27F6-4252-A8BB-7FA03BFC192B}"/>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2689E568-54F9-4EF4-805A-AFA2015A2491}"/>
    <cellStyle name="Comma 4 2 4 6 2 2 3" xfId="25290" xr:uid="{18261030-DA45-4F5B-A72D-393D0DBDD951}"/>
    <cellStyle name="Comma 4 2 4 6 2 3" xfId="12635" xr:uid="{E4C80665-2621-4874-8610-BD7D8C62E9CB}"/>
    <cellStyle name="Comma 4 2 4 6 2 4" xfId="21073" xr:uid="{6FE93B31-4F3D-4DC2-92C0-24E75D040F08}"/>
    <cellStyle name="Comma 4 2 4 6 3" xfId="6266" xr:uid="{00000000-0005-0000-0000-0000DC080000}"/>
    <cellStyle name="Comma 4 2 4 6 3 2" xfId="14708" xr:uid="{497D22B3-B825-4C7D-A5E9-BBDF41EAC947}"/>
    <cellStyle name="Comma 4 2 4 6 3 3" xfId="23145" xr:uid="{C31483E6-2F03-4A89-BC15-73B8E5F467C8}"/>
    <cellStyle name="Comma 4 2 4 6 4" xfId="10490" xr:uid="{8FE05783-2B24-4CEE-80AB-35CCEA97F8DA}"/>
    <cellStyle name="Comma 4 2 4 6 5" xfId="18928" xr:uid="{CEBDA1E8-0429-4885-AD9B-AB7442E86CF2}"/>
    <cellStyle name="Comma 4 2 4 7" xfId="2394" xr:uid="{00000000-0005-0000-0000-0000DD080000}"/>
    <cellStyle name="Comma 4 2 4 7 2" xfId="6679" xr:uid="{00000000-0005-0000-0000-0000DE080000}"/>
    <cellStyle name="Comma 4 2 4 7 2 2" xfId="15121" xr:uid="{656A29EA-6E25-4767-B3D1-388B5A2B21F0}"/>
    <cellStyle name="Comma 4 2 4 7 2 3" xfId="23558" xr:uid="{56FDF3D3-03D4-4197-B430-98424885F105}"/>
    <cellStyle name="Comma 4 2 4 7 3" xfId="10903" xr:uid="{B30A97CF-9999-4AB4-9871-3E14D7636134}"/>
    <cellStyle name="Comma 4 2 4 7 4" xfId="19341" xr:uid="{85B34623-3A94-47A7-BD6B-0E1EA096B3CB}"/>
    <cellStyle name="Comma 4 2 4 8" xfId="2369" xr:uid="{00000000-0005-0000-0000-0000DF080000}"/>
    <cellStyle name="Comma 4 2 4 9" xfId="2772" xr:uid="{00000000-0005-0000-0000-0000E0080000}"/>
    <cellStyle name="Comma 4 2 4 9 2" xfId="6996" xr:uid="{00000000-0005-0000-0000-0000E1080000}"/>
    <cellStyle name="Comma 4 2 4 9 2 2" xfId="15438" xr:uid="{1BE28BC6-4175-4314-8AF7-4CCB66B451E6}"/>
    <cellStyle name="Comma 4 2 4 9 2 3" xfId="23875" xr:uid="{2E844D71-70A1-4C39-BCF1-019506D975F1}"/>
    <cellStyle name="Comma 4 2 4 9 3" xfId="11220" xr:uid="{B64FC331-B50B-41D7-ADAC-8ED7D7D2EA9B}"/>
    <cellStyle name="Comma 4 2 4 9 4" xfId="19658" xr:uid="{2E963478-4228-4C8D-82C4-3D2476F55FCC}"/>
    <cellStyle name="Comma 4 2 5" xfId="142" xr:uid="{00000000-0005-0000-0000-0000E2080000}"/>
    <cellStyle name="Comma 4 2 5 10" xfId="8839" xr:uid="{FE918A1A-16D0-431D-9262-19051958B2CA}"/>
    <cellStyle name="Comma 4 2 5 11" xfId="17277" xr:uid="{02BD496E-4E65-48C1-8B52-39006552E6CF}"/>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BF80275D-BC0F-40D2-A9E7-2D680CDDC803}"/>
    <cellStyle name="Comma 4 2 5 2 2 2 3" xfId="24053" xr:uid="{E868FB50-54C5-473D-8A0E-665AF5C36FC4}"/>
    <cellStyle name="Comma 4 2 5 2 2 3" xfId="11398" xr:uid="{B3E484E3-E353-4922-85F8-E6D0357E6AAE}"/>
    <cellStyle name="Comma 4 2 5 2 2 4" xfId="19836" xr:uid="{39983C67-14E6-4CF9-91B4-9676C253E56C}"/>
    <cellStyle name="Comma 4 2 5 2 3" xfId="5029" xr:uid="{00000000-0005-0000-0000-0000E6080000}"/>
    <cellStyle name="Comma 4 2 5 2 3 2" xfId="13471" xr:uid="{AF2A919D-6F80-4FFA-BA26-0CF0F5B2B427}"/>
    <cellStyle name="Comma 4 2 5 2 3 3" xfId="21908" xr:uid="{6E622BBF-A2C9-42E9-B120-C0D568FF58ED}"/>
    <cellStyle name="Comma 4 2 5 2 4" xfId="9253" xr:uid="{7D45C90D-BDBB-4DD1-AAD8-8558440C778C}"/>
    <cellStyle name="Comma 4 2 5 2 5" xfId="17691" xr:uid="{4075F54B-1A84-40CA-873C-235A8756CA53}"/>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C286A46E-57F4-4C7E-9233-F0126A7A8BDA}"/>
    <cellStyle name="Comma 4 2 5 3 2 2 3" xfId="24466" xr:uid="{B0058362-DFEB-4047-9145-907D3802F930}"/>
    <cellStyle name="Comma 4 2 5 3 2 3" xfId="11811" xr:uid="{50DCB4BD-58A1-4199-9C5D-4FF0F4BC929C}"/>
    <cellStyle name="Comma 4 2 5 3 2 4" xfId="20249" xr:uid="{D59A1C0B-8443-4F14-B4A4-71C2A7432728}"/>
    <cellStyle name="Comma 4 2 5 3 3" xfId="5442" xr:uid="{00000000-0005-0000-0000-0000EA080000}"/>
    <cellStyle name="Comma 4 2 5 3 3 2" xfId="13884" xr:uid="{32F8429D-298A-4247-A4D1-E19CF4D172FB}"/>
    <cellStyle name="Comma 4 2 5 3 3 3" xfId="22321" xr:uid="{DA550B02-B16F-45F3-ADA8-6888E15A3F52}"/>
    <cellStyle name="Comma 4 2 5 3 4" xfId="9666" xr:uid="{2FD087E3-E84C-4239-A7DA-61165A44151E}"/>
    <cellStyle name="Comma 4 2 5 3 5" xfId="18104" xr:uid="{34887033-AEE2-42B7-B52D-F3CB97A57A13}"/>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EDD017A5-4F83-4862-B347-070AEA278354}"/>
    <cellStyle name="Comma 4 2 5 4 2 2 3" xfId="24879" xr:uid="{2F65B129-F9ED-4896-BEEF-B0ABAA6E20D4}"/>
    <cellStyle name="Comma 4 2 5 4 2 3" xfId="12224" xr:uid="{8D69B150-151D-4A61-B022-CC6DF51D1F5D}"/>
    <cellStyle name="Comma 4 2 5 4 2 4" xfId="20662" xr:uid="{B4D1C0CE-2223-4509-8F47-E36E4625CD2D}"/>
    <cellStyle name="Comma 4 2 5 4 3" xfId="5855" xr:uid="{00000000-0005-0000-0000-0000EE080000}"/>
    <cellStyle name="Comma 4 2 5 4 3 2" xfId="14297" xr:uid="{776358F6-36FE-4849-9077-349825981AF8}"/>
    <cellStyle name="Comma 4 2 5 4 3 3" xfId="22734" xr:uid="{0FD2FEEB-749D-4DFE-9E35-72A1D63B3D04}"/>
    <cellStyle name="Comma 4 2 5 4 4" xfId="10079" xr:uid="{01D79CAA-7FF6-4E07-9E43-778386AB8872}"/>
    <cellStyle name="Comma 4 2 5 4 5" xfId="18517" xr:uid="{AE99BF76-8585-4F79-AFED-930E981CA4F9}"/>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685FED79-848E-4039-AB9E-B28110CC011D}"/>
    <cellStyle name="Comma 4 2 5 5 2 2 3" xfId="25292" xr:uid="{9654F35A-A17E-434B-8643-4691F4D3C401}"/>
    <cellStyle name="Comma 4 2 5 5 2 3" xfId="12637" xr:uid="{9CAB5942-8B58-49BD-8D8B-47C7F581FCA3}"/>
    <cellStyle name="Comma 4 2 5 5 2 4" xfId="21075" xr:uid="{AF2EE312-93BC-42A5-B0F5-BAC4A18A396B}"/>
    <cellStyle name="Comma 4 2 5 5 3" xfId="6268" xr:uid="{00000000-0005-0000-0000-0000F2080000}"/>
    <cellStyle name="Comma 4 2 5 5 3 2" xfId="14710" xr:uid="{044311BD-A821-406C-BE79-AE8C3C238BA4}"/>
    <cellStyle name="Comma 4 2 5 5 3 3" xfId="23147" xr:uid="{99FFE44D-7963-4B31-89FD-C4AB38BC5AD5}"/>
    <cellStyle name="Comma 4 2 5 5 4" xfId="10492" xr:uid="{B4EBDA6B-234F-4C64-B815-56301D7E2397}"/>
    <cellStyle name="Comma 4 2 5 5 5" xfId="18930" xr:uid="{D2A2DF53-9F25-4FE7-B0D1-B31297236B3A}"/>
    <cellStyle name="Comma 4 2 5 6" xfId="2396" xr:uid="{00000000-0005-0000-0000-0000F3080000}"/>
    <cellStyle name="Comma 4 2 5 6 2" xfId="6681" xr:uid="{00000000-0005-0000-0000-0000F4080000}"/>
    <cellStyle name="Comma 4 2 5 6 2 2" xfId="15123" xr:uid="{18A0EA95-E2A7-4E03-852B-F5CEF5591AEF}"/>
    <cellStyle name="Comma 4 2 5 6 2 3" xfId="23560" xr:uid="{68668A88-198B-44D0-8DD6-14B1A4218DED}"/>
    <cellStyle name="Comma 4 2 5 6 3" xfId="10905" xr:uid="{BE5616A4-64BE-40D0-B196-C92FA2A166E7}"/>
    <cellStyle name="Comma 4 2 5 6 4" xfId="19343" xr:uid="{AC83AAFD-8BE6-44F2-A78F-5C4944BDABDB}"/>
    <cellStyle name="Comma 4 2 5 7" xfId="2367" xr:uid="{00000000-0005-0000-0000-0000F5080000}"/>
    <cellStyle name="Comma 4 2 5 8" xfId="2774" xr:uid="{00000000-0005-0000-0000-0000F6080000}"/>
    <cellStyle name="Comma 4 2 5 8 2" xfId="6998" xr:uid="{00000000-0005-0000-0000-0000F7080000}"/>
    <cellStyle name="Comma 4 2 5 8 2 2" xfId="15440" xr:uid="{10751713-A805-4FF0-BAA4-EAA6D84465C9}"/>
    <cellStyle name="Comma 4 2 5 8 2 3" xfId="23877" xr:uid="{BB5815CD-9B7D-4CCE-BDCA-2BFF311ACA9F}"/>
    <cellStyle name="Comma 4 2 5 8 3" xfId="11222" xr:uid="{F65C3CFD-2A91-48BD-AA62-E187CC722792}"/>
    <cellStyle name="Comma 4 2 5 8 4" xfId="19660" xr:uid="{A2550AF6-5F86-43BF-91F8-05C8D7A142C3}"/>
    <cellStyle name="Comma 4 2 5 9" xfId="4615" xr:uid="{00000000-0005-0000-0000-0000F8080000}"/>
    <cellStyle name="Comma 4 2 5 9 2" xfId="13057" xr:uid="{7EE1F545-5BAB-452C-AF28-FC3916D0E267}"/>
    <cellStyle name="Comma 4 2 5 9 3" xfId="21494" xr:uid="{0E7E0E48-E0F1-4C6D-9A42-57F8E03F6F86}"/>
    <cellStyle name="Comma 4 2 6" xfId="143" xr:uid="{00000000-0005-0000-0000-0000F9080000}"/>
    <cellStyle name="Comma 4 2 6 10" xfId="8840" xr:uid="{52F60426-C42D-4DFB-B3D0-9BF382548AF2}"/>
    <cellStyle name="Comma 4 2 6 11" xfId="17278" xr:uid="{318A28D5-61F7-4034-893C-F8EAFFC4F0DC}"/>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D650ED24-13B3-422C-A112-ABC7003B58B6}"/>
    <cellStyle name="Comma 4 2 6 2 2 2 3" xfId="24054" xr:uid="{74AA525C-DEEA-41EC-A42E-7D4E933965CA}"/>
    <cellStyle name="Comma 4 2 6 2 2 3" xfId="11399" xr:uid="{BB5B5F6A-E4CC-47B4-8C9A-0DEB6DFDFF4D}"/>
    <cellStyle name="Comma 4 2 6 2 2 4" xfId="19837" xr:uid="{AF3DBB7B-A6A9-46FE-95CA-1700A1FE4255}"/>
    <cellStyle name="Comma 4 2 6 2 3" xfId="5030" xr:uid="{00000000-0005-0000-0000-0000FD080000}"/>
    <cellStyle name="Comma 4 2 6 2 3 2" xfId="13472" xr:uid="{8727CA10-A0B8-4B04-8792-A3A3BA49F47C}"/>
    <cellStyle name="Comma 4 2 6 2 3 3" xfId="21909" xr:uid="{ED52D242-0B95-466C-8BB4-34BCBBD36C06}"/>
    <cellStyle name="Comma 4 2 6 2 4" xfId="9254" xr:uid="{1E757BFB-8010-4A11-8630-9E4CF23A1097}"/>
    <cellStyle name="Comma 4 2 6 2 5" xfId="17692" xr:uid="{F8AB0B5F-807C-46AC-A798-7391DAAF3B56}"/>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3E018A3C-8B18-4737-A522-0EB88AE271C2}"/>
    <cellStyle name="Comma 4 2 6 3 2 2 3" xfId="24467" xr:uid="{E77B0689-6361-4D82-A415-229D338D3340}"/>
    <cellStyle name="Comma 4 2 6 3 2 3" xfId="11812" xr:uid="{CF372630-09C8-48CF-99D7-FAEE68E243C1}"/>
    <cellStyle name="Comma 4 2 6 3 2 4" xfId="20250" xr:uid="{FAB45448-CA87-4EE9-BB3E-16AC4E1D4F17}"/>
    <cellStyle name="Comma 4 2 6 3 3" xfId="5443" xr:uid="{00000000-0005-0000-0000-000001090000}"/>
    <cellStyle name="Comma 4 2 6 3 3 2" xfId="13885" xr:uid="{0A0C44AF-5B8C-459C-A827-9D8202BBCC65}"/>
    <cellStyle name="Comma 4 2 6 3 3 3" xfId="22322" xr:uid="{6553A16B-DEC4-4F0A-9CFE-866581E93090}"/>
    <cellStyle name="Comma 4 2 6 3 4" xfId="9667" xr:uid="{3609BF86-AE97-40C9-93AF-9EDA99C3F8F5}"/>
    <cellStyle name="Comma 4 2 6 3 5" xfId="18105" xr:uid="{DC8EA63D-AB6F-479F-9A38-7CAFFAF1C6FD}"/>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08273263-63C3-4B2A-990E-27C7E800374C}"/>
    <cellStyle name="Comma 4 2 6 4 2 2 3" xfId="24880" xr:uid="{D84349F9-E4CF-4CD9-B43D-03356F427E6B}"/>
    <cellStyle name="Comma 4 2 6 4 2 3" xfId="12225" xr:uid="{DD6AC357-1E2D-474A-8E69-4E0AB5A8E4E6}"/>
    <cellStyle name="Comma 4 2 6 4 2 4" xfId="20663" xr:uid="{4BBA5FDF-83B3-438E-91FF-E9280BD704D3}"/>
    <cellStyle name="Comma 4 2 6 4 3" xfId="5856" xr:uid="{00000000-0005-0000-0000-000005090000}"/>
    <cellStyle name="Comma 4 2 6 4 3 2" xfId="14298" xr:uid="{C756347E-6F48-4739-A5BE-61086F7192B5}"/>
    <cellStyle name="Comma 4 2 6 4 3 3" xfId="22735" xr:uid="{7F3CB71B-334B-49D4-8E00-5DB53DC9255E}"/>
    <cellStyle name="Comma 4 2 6 4 4" xfId="10080" xr:uid="{C82CC7D2-3327-4541-A2CE-77FB19F2E952}"/>
    <cellStyle name="Comma 4 2 6 4 5" xfId="18518" xr:uid="{549C7823-434F-46BB-9475-E7C98726C1BC}"/>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B986045C-4AAF-441C-9671-6BFE0BBB59E2}"/>
    <cellStyle name="Comma 4 2 6 5 2 2 3" xfId="25293" xr:uid="{47ED88CF-F7DD-4503-88D9-69D06D36726A}"/>
    <cellStyle name="Comma 4 2 6 5 2 3" xfId="12638" xr:uid="{FB615A58-5F2F-4A53-A9D6-CC10F2A6C3B7}"/>
    <cellStyle name="Comma 4 2 6 5 2 4" xfId="21076" xr:uid="{81A5386B-4BF8-465D-97EF-30F630999B05}"/>
    <cellStyle name="Comma 4 2 6 5 3" xfId="6269" xr:uid="{00000000-0005-0000-0000-000009090000}"/>
    <cellStyle name="Comma 4 2 6 5 3 2" xfId="14711" xr:uid="{04B38E64-DC6B-467A-9DC2-3321F1809CCD}"/>
    <cellStyle name="Comma 4 2 6 5 3 3" xfId="23148" xr:uid="{B5E481DD-5BE6-458B-B030-023725A5C6D8}"/>
    <cellStyle name="Comma 4 2 6 5 4" xfId="10493" xr:uid="{B6818922-2AE7-4EF7-870D-C7CE8B74BB23}"/>
    <cellStyle name="Comma 4 2 6 5 5" xfId="18931" xr:uid="{7E24252B-B314-4FD2-8D5B-0A352F949377}"/>
    <cellStyle name="Comma 4 2 6 6" xfId="2397" xr:uid="{00000000-0005-0000-0000-00000A090000}"/>
    <cellStyle name="Comma 4 2 6 6 2" xfId="6682" xr:uid="{00000000-0005-0000-0000-00000B090000}"/>
    <cellStyle name="Comma 4 2 6 6 2 2" xfId="15124" xr:uid="{9779DA2D-9FA6-438E-B79F-EF5EE73AB625}"/>
    <cellStyle name="Comma 4 2 6 6 2 3" xfId="23561" xr:uid="{6E2D225B-F473-437A-9F3F-F6ECB3565A8F}"/>
    <cellStyle name="Comma 4 2 6 6 3" xfId="10906" xr:uid="{F9D3EC5B-1443-47B0-9C5C-336FE37DAB4A}"/>
    <cellStyle name="Comma 4 2 6 6 4" xfId="19344" xr:uid="{B399DFC0-4741-4ED0-9650-C73180C73223}"/>
    <cellStyle name="Comma 4 2 6 7" xfId="2366" xr:uid="{00000000-0005-0000-0000-00000C090000}"/>
    <cellStyle name="Comma 4 2 6 8" xfId="2775" xr:uid="{00000000-0005-0000-0000-00000D090000}"/>
    <cellStyle name="Comma 4 2 6 8 2" xfId="6999" xr:uid="{00000000-0005-0000-0000-00000E090000}"/>
    <cellStyle name="Comma 4 2 6 8 2 2" xfId="15441" xr:uid="{1007031E-E440-49CB-AB6F-4CC1BE175F9C}"/>
    <cellStyle name="Comma 4 2 6 8 2 3" xfId="23878" xr:uid="{F3C8F19F-66E3-4B10-BD55-6D2E061B060B}"/>
    <cellStyle name="Comma 4 2 6 8 3" xfId="11223" xr:uid="{677C3F0A-1892-4A72-B67A-09B354C4394F}"/>
    <cellStyle name="Comma 4 2 6 8 4" xfId="19661" xr:uid="{12B8516D-BC7F-4790-833F-F047405F443A}"/>
    <cellStyle name="Comma 4 2 6 9" xfId="4616" xr:uid="{00000000-0005-0000-0000-00000F090000}"/>
    <cellStyle name="Comma 4 2 6 9 2" xfId="13058" xr:uid="{A8CA7C9F-8064-4E03-9ECA-B46AC9D7D3E7}"/>
    <cellStyle name="Comma 4 2 6 9 3" xfId="21495" xr:uid="{50E0E151-870D-4FA7-8B30-C2CDDBD87CC7}"/>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1162368F-8B0A-4CBE-BD3C-1BA627276574}"/>
    <cellStyle name="Comma 4 3 2 10 2 3" xfId="23879" xr:uid="{370618E5-5C97-4889-8013-30B9ED844851}"/>
    <cellStyle name="Comma 4 3 2 10 3" xfId="11224" xr:uid="{A8600C52-A3E9-4E8E-98B2-E6B2BD0D1FB0}"/>
    <cellStyle name="Comma 4 3 2 10 4" xfId="19662" xr:uid="{5883F9F4-EF21-489A-A22C-D84000D04CA8}"/>
    <cellStyle name="Comma 4 3 2 11" xfId="4617" xr:uid="{00000000-0005-0000-0000-000014090000}"/>
    <cellStyle name="Comma 4 3 2 11 2" xfId="13059" xr:uid="{7470A4ED-FBDA-4017-96ED-A7AD128234B2}"/>
    <cellStyle name="Comma 4 3 2 11 3" xfId="21496" xr:uid="{C40C4989-4504-4CAE-8579-E02357154FCB}"/>
    <cellStyle name="Comma 4 3 2 12" xfId="8841" xr:uid="{3CA20FFA-E9CA-49C4-9C34-4A404D685C6D}"/>
    <cellStyle name="Comma 4 3 2 13" xfId="17279" xr:uid="{F78D61A0-D61E-467F-ADBA-938FCC3C817C}"/>
    <cellStyle name="Comma 4 3 2 2" xfId="146" xr:uid="{00000000-0005-0000-0000-000015090000}"/>
    <cellStyle name="Comma 4 3 2 2 10" xfId="4618" xr:uid="{00000000-0005-0000-0000-000016090000}"/>
    <cellStyle name="Comma 4 3 2 2 10 2" xfId="13060" xr:uid="{A3777670-4B32-43C8-87FD-B5F4E354F5E2}"/>
    <cellStyle name="Comma 4 3 2 2 10 3" xfId="21497" xr:uid="{E833BCDF-84D9-484E-BA27-2246025241CE}"/>
    <cellStyle name="Comma 4 3 2 2 11" xfId="8842" xr:uid="{C5BBF976-7A41-43F9-9D22-552378DFC61B}"/>
    <cellStyle name="Comma 4 3 2 2 12" xfId="17280" xr:uid="{4CCD2980-DD66-4BEC-8656-243AEE93E35B}"/>
    <cellStyle name="Comma 4 3 2 2 2" xfId="147" xr:uid="{00000000-0005-0000-0000-000017090000}"/>
    <cellStyle name="Comma 4 3 2 2 2 10" xfId="8843" xr:uid="{795FF272-4F0B-47FC-8CA8-61BF55B923AA}"/>
    <cellStyle name="Comma 4 3 2 2 2 11" xfId="17281" xr:uid="{5A64BA70-B0A3-4E89-BD5C-7AD5E38DEB33}"/>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85B14B74-4670-4333-B811-726115BE8053}"/>
    <cellStyle name="Comma 4 3 2 2 2 2 2 2 3" xfId="24057" xr:uid="{8A52597A-0133-4435-A2AE-CC2C8EEF0609}"/>
    <cellStyle name="Comma 4 3 2 2 2 2 2 3" xfId="11402" xr:uid="{3E25842E-C661-481A-8A05-236127122486}"/>
    <cellStyle name="Comma 4 3 2 2 2 2 2 4" xfId="19840" xr:uid="{87155F4B-B499-4E3F-BD2C-F29E9F63B8BF}"/>
    <cellStyle name="Comma 4 3 2 2 2 2 3" xfId="5033" xr:uid="{00000000-0005-0000-0000-00001B090000}"/>
    <cellStyle name="Comma 4 3 2 2 2 2 3 2" xfId="13475" xr:uid="{8B656121-DE4F-4534-9876-C331C65EED61}"/>
    <cellStyle name="Comma 4 3 2 2 2 2 3 3" xfId="21912" xr:uid="{62C3D3B1-DD84-42EC-B053-00D1BF617A98}"/>
    <cellStyle name="Comma 4 3 2 2 2 2 4" xfId="9257" xr:uid="{EE42B441-F4FE-448C-B4C1-16CF2F4F4255}"/>
    <cellStyle name="Comma 4 3 2 2 2 2 5" xfId="17695" xr:uid="{43D63D59-E437-4B9D-9540-659E6D5D15D3}"/>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3B7A2BAC-8CC1-452B-B2BD-0E7F6D307198}"/>
    <cellStyle name="Comma 4 3 2 2 2 3 2 2 3" xfId="24470" xr:uid="{E9EBC354-1235-439E-B7A3-928789F15DE5}"/>
    <cellStyle name="Comma 4 3 2 2 2 3 2 3" xfId="11815" xr:uid="{AD0DBDC3-88B4-4496-8B85-9F2BE59344EB}"/>
    <cellStyle name="Comma 4 3 2 2 2 3 2 4" xfId="20253" xr:uid="{750940C6-5F67-47BF-90FD-4CD7B2EA51CE}"/>
    <cellStyle name="Comma 4 3 2 2 2 3 3" xfId="5446" xr:uid="{00000000-0005-0000-0000-00001F090000}"/>
    <cellStyle name="Comma 4 3 2 2 2 3 3 2" xfId="13888" xr:uid="{03FDC832-870D-46B9-982C-7D7F747EAA61}"/>
    <cellStyle name="Comma 4 3 2 2 2 3 3 3" xfId="22325" xr:uid="{A5624EC7-9C1A-4893-8955-93FBC9C6882D}"/>
    <cellStyle name="Comma 4 3 2 2 2 3 4" xfId="9670" xr:uid="{563B0A9E-4973-4471-B26C-DFA55533527A}"/>
    <cellStyle name="Comma 4 3 2 2 2 3 5" xfId="18108" xr:uid="{BDC3E9E7-0B86-4818-9A21-58BB52DB5354}"/>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352D5009-A55B-49BA-A30D-22A18298745C}"/>
    <cellStyle name="Comma 4 3 2 2 2 4 2 2 3" xfId="24883" xr:uid="{C42ACCCD-C967-44E4-83F8-9E6617C6592E}"/>
    <cellStyle name="Comma 4 3 2 2 2 4 2 3" xfId="12228" xr:uid="{3DF7F3BA-C13D-422F-9D3E-4010BF53B9AC}"/>
    <cellStyle name="Comma 4 3 2 2 2 4 2 4" xfId="20666" xr:uid="{5F3D4CA0-023D-4623-A537-DA7722B7095A}"/>
    <cellStyle name="Comma 4 3 2 2 2 4 3" xfId="5859" xr:uid="{00000000-0005-0000-0000-000023090000}"/>
    <cellStyle name="Comma 4 3 2 2 2 4 3 2" xfId="14301" xr:uid="{65F383BE-AB54-4974-A8F1-A44312666A10}"/>
    <cellStyle name="Comma 4 3 2 2 2 4 3 3" xfId="22738" xr:uid="{A07752C2-7E66-45C1-A8C0-9B961C00EF49}"/>
    <cellStyle name="Comma 4 3 2 2 2 4 4" xfId="10083" xr:uid="{52BFB684-FDAE-41C5-9157-2C3858F9D689}"/>
    <cellStyle name="Comma 4 3 2 2 2 4 5" xfId="18521" xr:uid="{762A4B3A-E4AE-4B60-8E3A-DF0A9258FB64}"/>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45A923CD-3F39-41AD-999F-4F5AF2505AC4}"/>
    <cellStyle name="Comma 4 3 2 2 2 5 2 2 3" xfId="25296" xr:uid="{5D95373A-BE73-49A3-9163-B7790B9A3AB3}"/>
    <cellStyle name="Comma 4 3 2 2 2 5 2 3" xfId="12641" xr:uid="{3DC4598C-EC37-4496-9570-788067DF84BC}"/>
    <cellStyle name="Comma 4 3 2 2 2 5 2 4" xfId="21079" xr:uid="{95937A3C-AEDD-400F-AFE1-0B12AE899AC7}"/>
    <cellStyle name="Comma 4 3 2 2 2 5 3" xfId="6272" xr:uid="{00000000-0005-0000-0000-000027090000}"/>
    <cellStyle name="Comma 4 3 2 2 2 5 3 2" xfId="14714" xr:uid="{9E86F54F-A069-4BF0-88CA-CE98EECC9D3B}"/>
    <cellStyle name="Comma 4 3 2 2 2 5 3 3" xfId="23151" xr:uid="{A22AA399-1CE7-4656-862D-8DA139F1FC6C}"/>
    <cellStyle name="Comma 4 3 2 2 2 5 4" xfId="10496" xr:uid="{501D9CCD-AA79-4A91-9972-70FBB2203F55}"/>
    <cellStyle name="Comma 4 3 2 2 2 5 5" xfId="18934" xr:uid="{BAD0AB56-4C67-43C3-9ADC-0C369543CB6A}"/>
    <cellStyle name="Comma 4 3 2 2 2 6" xfId="2400" xr:uid="{00000000-0005-0000-0000-000028090000}"/>
    <cellStyle name="Comma 4 3 2 2 2 6 2" xfId="6685" xr:uid="{00000000-0005-0000-0000-000029090000}"/>
    <cellStyle name="Comma 4 3 2 2 2 6 2 2" xfId="15127" xr:uid="{8FA80073-B110-4BD9-84CD-1448FCFA758D}"/>
    <cellStyle name="Comma 4 3 2 2 2 6 2 3" xfId="23564" xr:uid="{0F6A119E-CB23-45C3-9543-3DC2423EBEC7}"/>
    <cellStyle name="Comma 4 3 2 2 2 6 3" xfId="10909" xr:uid="{28A2A32C-DE7C-481E-8BFC-70EE20B0561D}"/>
    <cellStyle name="Comma 4 3 2 2 2 6 4" xfId="19347" xr:uid="{57DE8266-71EB-4809-BF37-1611095D464E}"/>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5070B16B-CA25-45E5-A6A1-DDF689514324}"/>
    <cellStyle name="Comma 4 3 2 2 2 8 2 3" xfId="23881" xr:uid="{AAAFADAA-774A-41B0-9708-51D3F052944D}"/>
    <cellStyle name="Comma 4 3 2 2 2 8 3" xfId="11226" xr:uid="{ECED8B7D-42E5-4A20-9047-FE521AFC3607}"/>
    <cellStyle name="Comma 4 3 2 2 2 8 4" xfId="19664" xr:uid="{97B50E5F-3ED0-428E-9AE6-C27217D6C724}"/>
    <cellStyle name="Comma 4 3 2 2 2 9" xfId="4619" xr:uid="{00000000-0005-0000-0000-00002D090000}"/>
    <cellStyle name="Comma 4 3 2 2 2 9 2" xfId="13061" xr:uid="{7E948CFD-EBD2-4B57-9A9B-9E4D4CF07150}"/>
    <cellStyle name="Comma 4 3 2 2 2 9 3" xfId="21498" xr:uid="{40C63E39-8A9B-46DB-9680-6496C6EE1974}"/>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EE1157FB-9701-4B08-9F39-D28D136A4F9E}"/>
    <cellStyle name="Comma 4 3 2 2 3 2 2 3" xfId="24056" xr:uid="{22377F51-9481-4B0E-BC3E-0B26A1BDCDC1}"/>
    <cellStyle name="Comma 4 3 2 2 3 2 3" xfId="11401" xr:uid="{F1F10A47-50DF-4869-A450-76E540EEDC47}"/>
    <cellStyle name="Comma 4 3 2 2 3 2 4" xfId="19839" xr:uid="{F2F72D58-B4B7-44EC-848B-9244591DCD69}"/>
    <cellStyle name="Comma 4 3 2 2 3 3" xfId="5032" xr:uid="{00000000-0005-0000-0000-000031090000}"/>
    <cellStyle name="Comma 4 3 2 2 3 3 2" xfId="13474" xr:uid="{C70B47FD-E063-4F48-8F5D-6EED904443CC}"/>
    <cellStyle name="Comma 4 3 2 2 3 3 3" xfId="21911" xr:uid="{02AA24A9-8642-4A11-B520-A222804F9B48}"/>
    <cellStyle name="Comma 4 3 2 2 3 4" xfId="9256" xr:uid="{4C24BDB4-D040-46AB-9AED-2C4A7C7E437E}"/>
    <cellStyle name="Comma 4 3 2 2 3 5" xfId="17694" xr:uid="{55923B34-148F-4284-82CF-71A724702440}"/>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A4278090-15E3-4D38-80AF-7666E8903D8C}"/>
    <cellStyle name="Comma 4 3 2 2 4 2 2 3" xfId="24469" xr:uid="{ED93F0FD-53D8-4557-9169-3BA23F76E733}"/>
    <cellStyle name="Comma 4 3 2 2 4 2 3" xfId="11814" xr:uid="{B7BDBEA3-206C-4D83-9760-CCFAFFCC1CB6}"/>
    <cellStyle name="Comma 4 3 2 2 4 2 4" xfId="20252" xr:uid="{CE71BE33-3E27-4BDB-B7BE-2F0BF0D5AD16}"/>
    <cellStyle name="Comma 4 3 2 2 4 3" xfId="5445" xr:uid="{00000000-0005-0000-0000-000035090000}"/>
    <cellStyle name="Comma 4 3 2 2 4 3 2" xfId="13887" xr:uid="{A70A48F9-D2EF-4BB3-A5EC-823987CE26D0}"/>
    <cellStyle name="Comma 4 3 2 2 4 3 3" xfId="22324" xr:uid="{E108F34D-560D-4E48-B1B5-5106773B45E9}"/>
    <cellStyle name="Comma 4 3 2 2 4 4" xfId="9669" xr:uid="{E490019C-C059-4002-8DFC-54FDC4F39C0F}"/>
    <cellStyle name="Comma 4 3 2 2 4 5" xfId="18107" xr:uid="{E4C814F5-0DF6-4F9E-B666-613046F2CA2D}"/>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F8EBF225-146D-4C30-8B24-ECFC530297C7}"/>
    <cellStyle name="Comma 4 3 2 2 5 2 2 3" xfId="24882" xr:uid="{2868C8B5-ADFC-4E8A-8502-B6067695E3A5}"/>
    <cellStyle name="Comma 4 3 2 2 5 2 3" xfId="12227" xr:uid="{B97669A9-0916-4B09-9179-2C12A748D6D9}"/>
    <cellStyle name="Comma 4 3 2 2 5 2 4" xfId="20665" xr:uid="{1F22E2DE-80F3-4C5A-B4A8-D6B5F6ED0E7F}"/>
    <cellStyle name="Comma 4 3 2 2 5 3" xfId="5858" xr:uid="{00000000-0005-0000-0000-000039090000}"/>
    <cellStyle name="Comma 4 3 2 2 5 3 2" xfId="14300" xr:uid="{BAC689C2-E9C2-4A90-9A54-9846B0DD5EF9}"/>
    <cellStyle name="Comma 4 3 2 2 5 3 3" xfId="22737" xr:uid="{4C66C769-7069-46A7-B789-26012861D02B}"/>
    <cellStyle name="Comma 4 3 2 2 5 4" xfId="10082" xr:uid="{5EB45066-6020-4728-8E6B-4098976F81C4}"/>
    <cellStyle name="Comma 4 3 2 2 5 5" xfId="18520" xr:uid="{0B8A9A8E-D99B-43DF-B38F-7ADFA82E255D}"/>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3CD2C77B-13B2-4431-9E85-8D1F65709615}"/>
    <cellStyle name="Comma 4 3 2 2 6 2 2 3" xfId="25295" xr:uid="{3B2CB5FF-6C54-4BC6-AF27-5603F7DEF272}"/>
    <cellStyle name="Comma 4 3 2 2 6 2 3" xfId="12640" xr:uid="{C3D724B2-8190-4C24-8041-7D4D38E0B3D7}"/>
    <cellStyle name="Comma 4 3 2 2 6 2 4" xfId="21078" xr:uid="{B37EFF78-D902-4082-A826-1B41E4A8FDF4}"/>
    <cellStyle name="Comma 4 3 2 2 6 3" xfId="6271" xr:uid="{00000000-0005-0000-0000-00003D090000}"/>
    <cellStyle name="Comma 4 3 2 2 6 3 2" xfId="14713" xr:uid="{4836FD3B-4148-40B8-B22C-83E5A58C9A40}"/>
    <cellStyle name="Comma 4 3 2 2 6 3 3" xfId="23150" xr:uid="{FE97AE01-D2A7-4F12-939A-B71A789639A8}"/>
    <cellStyle name="Comma 4 3 2 2 6 4" xfId="10495" xr:uid="{213FDA0E-FC8B-4B5F-9DC5-D75929B2CD94}"/>
    <cellStyle name="Comma 4 3 2 2 6 5" xfId="18933" xr:uid="{9933DE66-A514-420E-A88E-8886CDC9721A}"/>
    <cellStyle name="Comma 4 3 2 2 7" xfId="2399" xr:uid="{00000000-0005-0000-0000-00003E090000}"/>
    <cellStyle name="Comma 4 3 2 2 7 2" xfId="6684" xr:uid="{00000000-0005-0000-0000-00003F090000}"/>
    <cellStyle name="Comma 4 3 2 2 7 2 2" xfId="15126" xr:uid="{6789ED76-6E0D-4DBD-9E66-46D04A5CC838}"/>
    <cellStyle name="Comma 4 3 2 2 7 2 3" xfId="23563" xr:uid="{90F97DDC-495D-46BD-822B-E14236EF0DDB}"/>
    <cellStyle name="Comma 4 3 2 2 7 3" xfId="10908" xr:uid="{C2CABAF4-C93E-4ADB-BF9F-B9CF85EDB3E0}"/>
    <cellStyle name="Comma 4 3 2 2 7 4" xfId="19346" xr:uid="{658B000F-FD56-463C-B0C8-3CE908AA2E39}"/>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D4EAD740-D574-4245-B6E5-8BBF33A29E07}"/>
    <cellStyle name="Comma 4 3 2 2 9 2 3" xfId="23880" xr:uid="{64E128DE-EB9C-40DC-BB92-808715789A65}"/>
    <cellStyle name="Comma 4 3 2 2 9 3" xfId="11225" xr:uid="{073FAC9E-28CC-48F4-A9CC-2436AEE4F088}"/>
    <cellStyle name="Comma 4 3 2 2 9 4" xfId="19663" xr:uid="{DF6E82F0-580F-4B00-8FE7-0A19579B0699}"/>
    <cellStyle name="Comma 4 3 2 3" xfId="148" xr:uid="{00000000-0005-0000-0000-000043090000}"/>
    <cellStyle name="Comma 4 3 2 3 10" xfId="8844" xr:uid="{EBC4FDBA-B609-4EFE-8919-3F580BE4806E}"/>
    <cellStyle name="Comma 4 3 2 3 11" xfId="17282" xr:uid="{2CC5D01C-028C-4615-B67D-006D57CD8C4F}"/>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9D8F1E14-997A-4973-9F30-529570E1149C}"/>
    <cellStyle name="Comma 4 3 2 3 2 2 2 3" xfId="24058" xr:uid="{17279605-7677-4217-ABD5-FDE30350A3B8}"/>
    <cellStyle name="Comma 4 3 2 3 2 2 3" xfId="11403" xr:uid="{B4873952-E02C-45CE-80FB-F65CDBD323E6}"/>
    <cellStyle name="Comma 4 3 2 3 2 2 4" xfId="19841" xr:uid="{85E9CBD6-BA17-4F69-B73A-47C402C646B3}"/>
    <cellStyle name="Comma 4 3 2 3 2 3" xfId="5034" xr:uid="{00000000-0005-0000-0000-000047090000}"/>
    <cellStyle name="Comma 4 3 2 3 2 3 2" xfId="13476" xr:uid="{A1EBE97B-0FE6-497B-BE6F-98B54D86C702}"/>
    <cellStyle name="Comma 4 3 2 3 2 3 3" xfId="21913" xr:uid="{28F837BC-798F-4639-A915-F90719827F80}"/>
    <cellStyle name="Comma 4 3 2 3 2 4" xfId="9258" xr:uid="{5B1CA70B-C2CA-44B6-89CB-85CDEF83BF6E}"/>
    <cellStyle name="Comma 4 3 2 3 2 5" xfId="17696" xr:uid="{C150CE22-7EF6-4229-B478-3A6D504D250D}"/>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C5A4DC56-C6D5-4CD7-B69E-379463F29B9E}"/>
    <cellStyle name="Comma 4 3 2 3 3 2 2 3" xfId="24471" xr:uid="{A2E4FA5D-4C90-498A-9C29-A4CC237A7DC9}"/>
    <cellStyle name="Comma 4 3 2 3 3 2 3" xfId="11816" xr:uid="{46A92F30-2797-4587-B7AA-1ACEA87F9A77}"/>
    <cellStyle name="Comma 4 3 2 3 3 2 4" xfId="20254" xr:uid="{3376CEE9-3B7D-42AA-8D00-D5EBE07D58E6}"/>
    <cellStyle name="Comma 4 3 2 3 3 3" xfId="5447" xr:uid="{00000000-0005-0000-0000-00004B090000}"/>
    <cellStyle name="Comma 4 3 2 3 3 3 2" xfId="13889" xr:uid="{F7096642-1356-4BF9-BBD6-FAF9B121D16B}"/>
    <cellStyle name="Comma 4 3 2 3 3 3 3" xfId="22326" xr:uid="{BBF07BFA-2B4E-4240-8C83-5EE179D870A7}"/>
    <cellStyle name="Comma 4 3 2 3 3 4" xfId="9671" xr:uid="{122CE2D2-3C0B-43EF-994F-A50D898E0D48}"/>
    <cellStyle name="Comma 4 3 2 3 3 5" xfId="18109" xr:uid="{539D5668-2416-49A6-8E44-E8FE3A0CA7CB}"/>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F7C1798F-7DF2-4007-B79A-F2A85B022071}"/>
    <cellStyle name="Comma 4 3 2 3 4 2 2 3" xfId="24884" xr:uid="{C4ACF21E-4102-4CCA-93E3-BCC3A39F6482}"/>
    <cellStyle name="Comma 4 3 2 3 4 2 3" xfId="12229" xr:uid="{936EAB61-0351-456E-BF79-69D4EABB16D4}"/>
    <cellStyle name="Comma 4 3 2 3 4 2 4" xfId="20667" xr:uid="{3F1E2C52-D278-492D-AE35-8E04EBC8A194}"/>
    <cellStyle name="Comma 4 3 2 3 4 3" xfId="5860" xr:uid="{00000000-0005-0000-0000-00004F090000}"/>
    <cellStyle name="Comma 4 3 2 3 4 3 2" xfId="14302" xr:uid="{6F6BC669-D6E4-436B-8501-967A1CA6B840}"/>
    <cellStyle name="Comma 4 3 2 3 4 3 3" xfId="22739" xr:uid="{8EE70D34-593B-45F1-A8A5-350E0E6ADE73}"/>
    <cellStyle name="Comma 4 3 2 3 4 4" xfId="10084" xr:uid="{899BD3A1-006C-4152-B2B8-1CB3175EF858}"/>
    <cellStyle name="Comma 4 3 2 3 4 5" xfId="18522" xr:uid="{BF007334-C7F4-4448-8AA7-6E57ED1CCC59}"/>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D02CBA2C-E309-48A8-8644-3704F8D0C4C8}"/>
    <cellStyle name="Comma 4 3 2 3 5 2 2 3" xfId="25297" xr:uid="{AB162232-95FC-4ADA-9585-D3B56BDCE7A8}"/>
    <cellStyle name="Comma 4 3 2 3 5 2 3" xfId="12642" xr:uid="{FB830C03-9B78-4B45-827D-9E7CA45BFD34}"/>
    <cellStyle name="Comma 4 3 2 3 5 2 4" xfId="21080" xr:uid="{48709405-4EEA-451C-90A5-1F2A12A9A100}"/>
    <cellStyle name="Comma 4 3 2 3 5 3" xfId="6273" xr:uid="{00000000-0005-0000-0000-000053090000}"/>
    <cellStyle name="Comma 4 3 2 3 5 3 2" xfId="14715" xr:uid="{647FAA12-3C56-4531-8734-3BE6FB25EA55}"/>
    <cellStyle name="Comma 4 3 2 3 5 3 3" xfId="23152" xr:uid="{BAF9E0E3-8733-4C18-BD78-62DB8A275A7C}"/>
    <cellStyle name="Comma 4 3 2 3 5 4" xfId="10497" xr:uid="{5F84FE3B-AB41-4B2D-9A3C-DBA4E4A8821A}"/>
    <cellStyle name="Comma 4 3 2 3 5 5" xfId="18935" xr:uid="{F6F11424-B0BD-4D7D-AE75-E51ECBAC33FF}"/>
    <cellStyle name="Comma 4 3 2 3 6" xfId="2401" xr:uid="{00000000-0005-0000-0000-000054090000}"/>
    <cellStyle name="Comma 4 3 2 3 6 2" xfId="6686" xr:uid="{00000000-0005-0000-0000-000055090000}"/>
    <cellStyle name="Comma 4 3 2 3 6 2 2" xfId="15128" xr:uid="{DA7AC17A-A050-4EED-8954-06DE19C034BB}"/>
    <cellStyle name="Comma 4 3 2 3 6 2 3" xfId="23565" xr:uid="{212D086D-95CC-4AFC-B3C7-7B20CDC29CC3}"/>
    <cellStyle name="Comma 4 3 2 3 6 3" xfId="10910" xr:uid="{DD2C1E57-1DC1-4C63-9217-BB668D0BEC6E}"/>
    <cellStyle name="Comma 4 3 2 3 6 4" xfId="19348" xr:uid="{E2A5B5BD-5ED2-4873-96D5-707CF37BBF26}"/>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F2346F09-907B-42DB-B04C-472CBD4A880F}"/>
    <cellStyle name="Comma 4 3 2 3 8 2 3" xfId="23882" xr:uid="{14A0B5B6-1022-493F-B5BB-91E8C2599F7A}"/>
    <cellStyle name="Comma 4 3 2 3 8 3" xfId="11227" xr:uid="{D6D3D83D-2F9C-446B-BE40-E07A6088AE18}"/>
    <cellStyle name="Comma 4 3 2 3 8 4" xfId="19665" xr:uid="{759BAB27-D0B6-4F27-BD50-556A3EEC7B0E}"/>
    <cellStyle name="Comma 4 3 2 3 9" xfId="4620" xr:uid="{00000000-0005-0000-0000-000059090000}"/>
    <cellStyle name="Comma 4 3 2 3 9 2" xfId="13062" xr:uid="{A1291F12-72F1-4617-8394-717979545A24}"/>
    <cellStyle name="Comma 4 3 2 3 9 3" xfId="21499" xr:uid="{EB9FDEB9-9790-4ED2-A601-74EE47334D91}"/>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4C5F283F-21A7-42B8-92F1-D06F4437F72D}"/>
    <cellStyle name="Comma 4 3 2 4 2 2 3" xfId="24055" xr:uid="{DD66E483-9225-40A7-A0C5-575B6D650B4F}"/>
    <cellStyle name="Comma 4 3 2 4 2 3" xfId="11400" xr:uid="{F6672A26-0A4A-4193-80A8-E7C45EA3F8CE}"/>
    <cellStyle name="Comma 4 3 2 4 2 4" xfId="19838" xr:uid="{04FB85C7-2381-4EEC-8BA9-1EFCB1161F5D}"/>
    <cellStyle name="Comma 4 3 2 4 3" xfId="5031" xr:uid="{00000000-0005-0000-0000-00005D090000}"/>
    <cellStyle name="Comma 4 3 2 4 3 2" xfId="13473" xr:uid="{F837BDE6-1A62-4471-894E-2EC30D6AE0E4}"/>
    <cellStyle name="Comma 4 3 2 4 3 3" xfId="21910" xr:uid="{4AE501FD-10DF-43B2-9895-30AE3F4AA5BC}"/>
    <cellStyle name="Comma 4 3 2 4 4" xfId="9255" xr:uid="{837DD9A8-BD6D-4736-8874-6E6AADF9091E}"/>
    <cellStyle name="Comma 4 3 2 4 5" xfId="17693" xr:uid="{BA55457C-EAC7-4BB2-ACF0-47E22E98473E}"/>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CA52F5B7-3EC9-438C-AE11-50AEF297509C}"/>
    <cellStyle name="Comma 4 3 2 5 2 2 3" xfId="24468" xr:uid="{5F1C5DB4-434B-4FC9-8239-A55256786822}"/>
    <cellStyle name="Comma 4 3 2 5 2 3" xfId="11813" xr:uid="{00A2CA2B-1E30-45BD-9ADA-F891EB0BBE64}"/>
    <cellStyle name="Comma 4 3 2 5 2 4" xfId="20251" xr:uid="{885A5E1D-EB00-4389-A5ED-AFAC8DB50A89}"/>
    <cellStyle name="Comma 4 3 2 5 3" xfId="5444" xr:uid="{00000000-0005-0000-0000-000061090000}"/>
    <cellStyle name="Comma 4 3 2 5 3 2" xfId="13886" xr:uid="{B55A359F-51F1-4613-ADA3-72A9F7AF40B4}"/>
    <cellStyle name="Comma 4 3 2 5 3 3" xfId="22323" xr:uid="{2686526E-5005-4BBD-BEE1-090DE94EBA93}"/>
    <cellStyle name="Comma 4 3 2 5 4" xfId="9668" xr:uid="{B561F7EA-2E54-42E1-990E-C7F2E26C496C}"/>
    <cellStyle name="Comma 4 3 2 5 5" xfId="18106" xr:uid="{31284A29-9124-4F62-9669-7307AFF18770}"/>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E01B6C7A-76D1-4D0C-955D-076FAA1A9AB7}"/>
    <cellStyle name="Comma 4 3 2 6 2 2 3" xfId="24881" xr:uid="{BA2123A4-2FEB-4FE4-9B37-C3D0FAFB87D8}"/>
    <cellStyle name="Comma 4 3 2 6 2 3" xfId="12226" xr:uid="{F45FB053-2E9A-475F-A50D-C27CCD68FC5E}"/>
    <cellStyle name="Comma 4 3 2 6 2 4" xfId="20664" xr:uid="{250A0383-2FCB-4C9C-BDE9-A4E09E1D3E56}"/>
    <cellStyle name="Comma 4 3 2 6 3" xfId="5857" xr:uid="{00000000-0005-0000-0000-000065090000}"/>
    <cellStyle name="Comma 4 3 2 6 3 2" xfId="14299" xr:uid="{5CACB7B1-8965-4B72-85E9-DDD27ED5C9D6}"/>
    <cellStyle name="Comma 4 3 2 6 3 3" xfId="22736" xr:uid="{F5CD2F89-3FA1-4598-BCF8-7FD191529C26}"/>
    <cellStyle name="Comma 4 3 2 6 4" xfId="10081" xr:uid="{148A10FB-0F01-42E7-B915-9B127CD1326F}"/>
    <cellStyle name="Comma 4 3 2 6 5" xfId="18519" xr:uid="{1EA06C27-41B1-4C8A-A615-B713E4237500}"/>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4A328E45-6ED4-4900-8390-DAF06F77EFFD}"/>
    <cellStyle name="Comma 4 3 2 7 2 2 3" xfId="25294" xr:uid="{0B85858D-E455-4A25-BB23-C869E84AE145}"/>
    <cellStyle name="Comma 4 3 2 7 2 3" xfId="12639" xr:uid="{42A0E1C1-EDB3-491D-9FA5-98D92B93511B}"/>
    <cellStyle name="Comma 4 3 2 7 2 4" xfId="21077" xr:uid="{09EF8CD4-6E1A-4A86-8005-617A495EED43}"/>
    <cellStyle name="Comma 4 3 2 7 3" xfId="6270" xr:uid="{00000000-0005-0000-0000-000069090000}"/>
    <cellStyle name="Comma 4 3 2 7 3 2" xfId="14712" xr:uid="{61C5631F-4B22-4E3E-B2B7-F2AC726F4C07}"/>
    <cellStyle name="Comma 4 3 2 7 3 3" xfId="23149" xr:uid="{E9A77F92-5E9B-4883-9553-89EB44E6B429}"/>
    <cellStyle name="Comma 4 3 2 7 4" xfId="10494" xr:uid="{96BB0151-09C8-4BFB-907D-F9448D35935B}"/>
    <cellStyle name="Comma 4 3 2 7 5" xfId="18932" xr:uid="{D40088D9-EE9B-4700-BDA9-3E8867CB8CD3}"/>
    <cellStyle name="Comma 4 3 2 8" xfId="2398" xr:uid="{00000000-0005-0000-0000-00006A090000}"/>
    <cellStyle name="Comma 4 3 2 8 2" xfId="6683" xr:uid="{00000000-0005-0000-0000-00006B090000}"/>
    <cellStyle name="Comma 4 3 2 8 2 2" xfId="15125" xr:uid="{D9689DF3-4E4B-458A-9470-EFB92E08AB83}"/>
    <cellStyle name="Comma 4 3 2 8 2 3" xfId="23562" xr:uid="{4346EC93-90F6-4C79-9A4C-83DE983FB09A}"/>
    <cellStyle name="Comma 4 3 2 8 3" xfId="10907" xr:uid="{A75D993D-8289-4204-A22E-2A0E4DC82455}"/>
    <cellStyle name="Comma 4 3 2 8 4" xfId="19345" xr:uid="{CD2F988B-2D50-463F-BF26-A0223338C1D1}"/>
    <cellStyle name="Comma 4 3 2 9" xfId="2365" xr:uid="{00000000-0005-0000-0000-00006C090000}"/>
    <cellStyle name="Comma 4 3 3" xfId="149" xr:uid="{00000000-0005-0000-0000-00006D090000}"/>
    <cellStyle name="Comma 4 3 3 10" xfId="4621" xr:uid="{00000000-0005-0000-0000-00006E090000}"/>
    <cellStyle name="Comma 4 3 3 10 2" xfId="13063" xr:uid="{28BD8AED-EE13-4B72-977D-0640B74DBE39}"/>
    <cellStyle name="Comma 4 3 3 10 3" xfId="21500" xr:uid="{B9CA7DAE-70AD-465B-865D-8DB0205C990E}"/>
    <cellStyle name="Comma 4 3 3 11" xfId="8845" xr:uid="{1CE3750F-C18E-421E-96F7-0ADBD7C0E9DF}"/>
    <cellStyle name="Comma 4 3 3 12" xfId="17283" xr:uid="{96B3E97E-0F53-4DD4-9BDD-CE7175559759}"/>
    <cellStyle name="Comma 4 3 3 2" xfId="150" xr:uid="{00000000-0005-0000-0000-00006F090000}"/>
    <cellStyle name="Comma 4 3 3 2 10" xfId="8846" xr:uid="{9F78F950-1FBD-4809-ADE3-EF621CA86175}"/>
    <cellStyle name="Comma 4 3 3 2 11" xfId="17284" xr:uid="{E9FEBAC1-FF26-4DF2-8A43-382624D731DA}"/>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0EA00E4F-FC48-4EC2-BF18-7363B6524CA8}"/>
    <cellStyle name="Comma 4 3 3 2 2 2 2 3" xfId="24060" xr:uid="{10E5C411-0F65-4621-9E25-C6A855D8E76D}"/>
    <cellStyle name="Comma 4 3 3 2 2 2 3" xfId="11405" xr:uid="{3586F6AC-B61D-448C-BA4B-D07FE53DED9A}"/>
    <cellStyle name="Comma 4 3 3 2 2 2 4" xfId="19843" xr:uid="{36809EFD-9B00-4047-ADE2-DADFE5AEA578}"/>
    <cellStyle name="Comma 4 3 3 2 2 3" xfId="5036" xr:uid="{00000000-0005-0000-0000-000073090000}"/>
    <cellStyle name="Comma 4 3 3 2 2 3 2" xfId="13478" xr:uid="{6F96AED2-FF6C-4984-AF8E-1BBD0BBD9F06}"/>
    <cellStyle name="Comma 4 3 3 2 2 3 3" xfId="21915" xr:uid="{929FA04E-CACC-4C35-A7CF-096D303420A3}"/>
    <cellStyle name="Comma 4 3 3 2 2 4" xfId="9260" xr:uid="{C246B3F0-CFCC-4EF5-A61C-988C0E28379A}"/>
    <cellStyle name="Comma 4 3 3 2 2 5" xfId="17698" xr:uid="{37EE0D1B-E7C7-45B3-8DC6-8F31927BE181}"/>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8C71C24F-BC64-408A-8474-275E02A775ED}"/>
    <cellStyle name="Comma 4 3 3 2 3 2 2 3" xfId="24473" xr:uid="{8D567070-88C8-48D9-A58E-C7FEB34509E4}"/>
    <cellStyle name="Comma 4 3 3 2 3 2 3" xfId="11818" xr:uid="{94B035E5-44DD-4C96-AA27-DEBF47C9B3FE}"/>
    <cellStyle name="Comma 4 3 3 2 3 2 4" xfId="20256" xr:uid="{F137BD42-1246-4070-A4DE-B229EE8F2CB1}"/>
    <cellStyle name="Comma 4 3 3 2 3 3" xfId="5449" xr:uid="{00000000-0005-0000-0000-000077090000}"/>
    <cellStyle name="Comma 4 3 3 2 3 3 2" xfId="13891" xr:uid="{D5027B50-20DB-4A73-8C73-962CBB679B14}"/>
    <cellStyle name="Comma 4 3 3 2 3 3 3" xfId="22328" xr:uid="{E764EEF2-9E46-4F93-B30B-8681B1C3A0F4}"/>
    <cellStyle name="Comma 4 3 3 2 3 4" xfId="9673" xr:uid="{24567A69-101A-480C-8A47-A67CC9829987}"/>
    <cellStyle name="Comma 4 3 3 2 3 5" xfId="18111" xr:uid="{4E8CA961-7C42-4BD4-BFB7-22E598354437}"/>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2C4FD585-4C6F-49ED-B666-1C466AA144F7}"/>
    <cellStyle name="Comma 4 3 3 2 4 2 2 3" xfId="24886" xr:uid="{FE005546-E73A-43DD-8EBB-5CF8FEFC927F}"/>
    <cellStyle name="Comma 4 3 3 2 4 2 3" xfId="12231" xr:uid="{2976BCA6-2FB4-489B-ABD4-6BB388750E77}"/>
    <cellStyle name="Comma 4 3 3 2 4 2 4" xfId="20669" xr:uid="{484BB833-6A24-4E9B-B1D5-6FEBCE0837E9}"/>
    <cellStyle name="Comma 4 3 3 2 4 3" xfId="5862" xr:uid="{00000000-0005-0000-0000-00007B090000}"/>
    <cellStyle name="Comma 4 3 3 2 4 3 2" xfId="14304" xr:uid="{56FD83DA-7E3F-450D-81BC-B2E07C997270}"/>
    <cellStyle name="Comma 4 3 3 2 4 3 3" xfId="22741" xr:uid="{2DAB5D11-7587-4889-915E-A6E8A3928BD1}"/>
    <cellStyle name="Comma 4 3 3 2 4 4" xfId="10086" xr:uid="{1C577788-1B9C-4A3F-92F8-5166658CC45D}"/>
    <cellStyle name="Comma 4 3 3 2 4 5" xfId="18524" xr:uid="{9C5C6173-41AF-422B-B44F-C83154B1BDFF}"/>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BD4B3FCD-D430-4639-9BF6-1323E4D4D974}"/>
    <cellStyle name="Comma 4 3 3 2 5 2 2 3" xfId="25299" xr:uid="{359F5A11-6594-4440-B13D-4694F27E1EEE}"/>
    <cellStyle name="Comma 4 3 3 2 5 2 3" xfId="12644" xr:uid="{719EB341-B053-4B53-B226-F3C233CFE14E}"/>
    <cellStyle name="Comma 4 3 3 2 5 2 4" xfId="21082" xr:uid="{F5A4D7E2-55C0-44F0-866D-6A6B1BED8376}"/>
    <cellStyle name="Comma 4 3 3 2 5 3" xfId="6275" xr:uid="{00000000-0005-0000-0000-00007F090000}"/>
    <cellStyle name="Comma 4 3 3 2 5 3 2" xfId="14717" xr:uid="{6263B5D8-43BE-485A-84A7-47E203F615FF}"/>
    <cellStyle name="Comma 4 3 3 2 5 3 3" xfId="23154" xr:uid="{E8A503A7-1D97-4CF5-9B93-E10467A34FFF}"/>
    <cellStyle name="Comma 4 3 3 2 5 4" xfId="10499" xr:uid="{98D7472E-65A8-46EF-B0DF-C7461A9744AC}"/>
    <cellStyle name="Comma 4 3 3 2 5 5" xfId="18937" xr:uid="{8E1DBFDC-FD39-4F33-9E7D-68A530248A2C}"/>
    <cellStyle name="Comma 4 3 3 2 6" xfId="2403" xr:uid="{00000000-0005-0000-0000-000080090000}"/>
    <cellStyle name="Comma 4 3 3 2 6 2" xfId="6688" xr:uid="{00000000-0005-0000-0000-000081090000}"/>
    <cellStyle name="Comma 4 3 3 2 6 2 2" xfId="15130" xr:uid="{69F767A7-3C1D-48B9-B5AE-FB6F255C6D70}"/>
    <cellStyle name="Comma 4 3 3 2 6 2 3" xfId="23567" xr:uid="{98ADED05-A4AD-4A9A-894A-167D22D51E6F}"/>
    <cellStyle name="Comma 4 3 3 2 6 3" xfId="10912" xr:uid="{9DA3E0FC-1F52-464C-8487-F8F8C397414E}"/>
    <cellStyle name="Comma 4 3 3 2 6 4" xfId="19350" xr:uid="{50C781B2-7005-45FD-A305-0234BBB47225}"/>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428793E8-5ACD-4B32-99DE-E46D903E4782}"/>
    <cellStyle name="Comma 4 3 3 2 8 2 3" xfId="23884" xr:uid="{C4DC3FC5-3600-4E90-B46E-D34AA3BF2CF6}"/>
    <cellStyle name="Comma 4 3 3 2 8 3" xfId="11229" xr:uid="{214453DC-640E-4BC0-9E9F-9C99D0A62EB9}"/>
    <cellStyle name="Comma 4 3 3 2 8 4" xfId="19667" xr:uid="{A0A80733-99D6-4067-8630-04B8C2E1B0C2}"/>
    <cellStyle name="Comma 4 3 3 2 9" xfId="4622" xr:uid="{00000000-0005-0000-0000-000085090000}"/>
    <cellStyle name="Comma 4 3 3 2 9 2" xfId="13064" xr:uid="{F365C648-D6F9-4403-8DC9-45AB0C3C327E}"/>
    <cellStyle name="Comma 4 3 3 2 9 3" xfId="21501" xr:uid="{890B30FB-7603-4FC7-B9CA-B9E84DDF4DA5}"/>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9E85F864-4825-4D6E-A765-37C19FA6DD2A}"/>
    <cellStyle name="Comma 4 3 3 3 2 2 3" xfId="24059" xr:uid="{43780745-418B-4DF4-9A61-045528B67924}"/>
    <cellStyle name="Comma 4 3 3 3 2 3" xfId="11404" xr:uid="{B233F090-10F2-4413-9ED1-BE7C421DD392}"/>
    <cellStyle name="Comma 4 3 3 3 2 4" xfId="19842" xr:uid="{A730A474-22A4-4C91-A558-DD9E2BD70694}"/>
    <cellStyle name="Comma 4 3 3 3 3" xfId="5035" xr:uid="{00000000-0005-0000-0000-000089090000}"/>
    <cellStyle name="Comma 4 3 3 3 3 2" xfId="13477" xr:uid="{C76045D8-73A0-4F78-A8B5-7A1494FB848C}"/>
    <cellStyle name="Comma 4 3 3 3 3 3" xfId="21914" xr:uid="{0ED28B5E-5CAE-4BC3-BDC7-325BB25D81DA}"/>
    <cellStyle name="Comma 4 3 3 3 4" xfId="9259" xr:uid="{3EAB6C49-EC0E-4D0D-B45F-223E7068C6DC}"/>
    <cellStyle name="Comma 4 3 3 3 5" xfId="17697" xr:uid="{05710FDD-8952-483D-8597-DFFEE4BB6AF1}"/>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37B9C20C-03D5-46D6-833A-EC975E59E0F8}"/>
    <cellStyle name="Comma 4 3 3 4 2 2 3" xfId="24472" xr:uid="{75F5F8E1-E123-4213-A636-39A803BB8CB5}"/>
    <cellStyle name="Comma 4 3 3 4 2 3" xfId="11817" xr:uid="{F7F03C9C-D7D5-470A-9190-4994D0678BAD}"/>
    <cellStyle name="Comma 4 3 3 4 2 4" xfId="20255" xr:uid="{3B2C4130-AC59-415B-A1CC-73AB485E259B}"/>
    <cellStyle name="Comma 4 3 3 4 3" xfId="5448" xr:uid="{00000000-0005-0000-0000-00008D090000}"/>
    <cellStyle name="Comma 4 3 3 4 3 2" xfId="13890" xr:uid="{302AD0DD-5D82-4724-BDBC-61503B554B74}"/>
    <cellStyle name="Comma 4 3 3 4 3 3" xfId="22327" xr:uid="{EA080DDE-C5F0-489C-B12E-90C9C619F944}"/>
    <cellStyle name="Comma 4 3 3 4 4" xfId="9672" xr:uid="{5A246E93-7ED6-4498-BD23-3287557C1C7D}"/>
    <cellStyle name="Comma 4 3 3 4 5" xfId="18110" xr:uid="{BE0F22B5-A191-4B32-B868-7A57095E7448}"/>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69558586-FAC8-4869-9E15-567181E44B9C}"/>
    <cellStyle name="Comma 4 3 3 5 2 2 3" xfId="24885" xr:uid="{3EE76D92-441F-4896-A763-F52B258A3BE0}"/>
    <cellStyle name="Comma 4 3 3 5 2 3" xfId="12230" xr:uid="{66967DF5-C6CD-4040-B29C-E5A41C8CEB9C}"/>
    <cellStyle name="Comma 4 3 3 5 2 4" xfId="20668" xr:uid="{19444885-C06B-4B9F-8D0C-34FE80C6F726}"/>
    <cellStyle name="Comma 4 3 3 5 3" xfId="5861" xr:uid="{00000000-0005-0000-0000-000091090000}"/>
    <cellStyle name="Comma 4 3 3 5 3 2" xfId="14303" xr:uid="{7316B4FB-3A7A-461E-AB8B-52D4346DFB19}"/>
    <cellStyle name="Comma 4 3 3 5 3 3" xfId="22740" xr:uid="{DCC32A9B-C2A2-422F-91F4-04E071A54850}"/>
    <cellStyle name="Comma 4 3 3 5 4" xfId="10085" xr:uid="{3CB7C152-6F2E-4763-B18D-C09BC77C7429}"/>
    <cellStyle name="Comma 4 3 3 5 5" xfId="18523" xr:uid="{A7CD3508-FFB4-49AF-8A5E-E5249DD2E7FB}"/>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1807CFC6-E3F9-448B-AB66-C4E7151166AE}"/>
    <cellStyle name="Comma 4 3 3 6 2 2 3" xfId="25298" xr:uid="{95EA4C99-CCEA-4D46-8BFC-A3F8EE133037}"/>
    <cellStyle name="Comma 4 3 3 6 2 3" xfId="12643" xr:uid="{26A6C451-67A0-40A1-9AEC-EC77A060B54D}"/>
    <cellStyle name="Comma 4 3 3 6 2 4" xfId="21081" xr:uid="{9007A412-C1C4-48FC-9A4C-C123FCA2162D}"/>
    <cellStyle name="Comma 4 3 3 6 3" xfId="6274" xr:uid="{00000000-0005-0000-0000-000095090000}"/>
    <cellStyle name="Comma 4 3 3 6 3 2" xfId="14716" xr:uid="{01FA7A53-0DCC-4DCD-B1B6-9015C0176C3E}"/>
    <cellStyle name="Comma 4 3 3 6 3 3" xfId="23153" xr:uid="{FDEE8871-3F08-4552-8DED-10B839CD7A5C}"/>
    <cellStyle name="Comma 4 3 3 6 4" xfId="10498" xr:uid="{97C6527A-DF74-4517-BDE8-F261EFAB2630}"/>
    <cellStyle name="Comma 4 3 3 6 5" xfId="18936" xr:uid="{0B312AB4-82C7-4074-959C-C63D42F32A91}"/>
    <cellStyle name="Comma 4 3 3 7" xfId="2402" xr:uid="{00000000-0005-0000-0000-000096090000}"/>
    <cellStyle name="Comma 4 3 3 7 2" xfId="6687" xr:uid="{00000000-0005-0000-0000-000097090000}"/>
    <cellStyle name="Comma 4 3 3 7 2 2" xfId="15129" xr:uid="{FBB6FCB4-0BF0-4604-923D-C53D03F16DAC}"/>
    <cellStyle name="Comma 4 3 3 7 2 3" xfId="23566" xr:uid="{8A0535D2-5819-426A-8172-6BC263303B4E}"/>
    <cellStyle name="Comma 4 3 3 7 3" xfId="10911" xr:uid="{81CEB22E-14C3-4A3C-9DE7-590FDAA3A12E}"/>
    <cellStyle name="Comma 4 3 3 7 4" xfId="19349" xr:uid="{06505ED7-A6E4-4F43-B976-A6C0F3C8F425}"/>
    <cellStyle name="Comma 4 3 3 8" xfId="2361" xr:uid="{00000000-0005-0000-0000-000098090000}"/>
    <cellStyle name="Comma 4 3 3 9" xfId="2780" xr:uid="{00000000-0005-0000-0000-000099090000}"/>
    <cellStyle name="Comma 4 3 3 9 2" xfId="7004" xr:uid="{00000000-0005-0000-0000-00009A090000}"/>
    <cellStyle name="Comma 4 3 3 9 2 2" xfId="15446" xr:uid="{410126F1-DDE5-459E-925C-1B70EC8ABE1B}"/>
    <cellStyle name="Comma 4 3 3 9 2 3" xfId="23883" xr:uid="{C8E10BC7-237F-43B3-9DEF-82F7D8616001}"/>
    <cellStyle name="Comma 4 3 3 9 3" xfId="11228" xr:uid="{840E7CC6-6950-46B4-9DF6-78F301E43DC3}"/>
    <cellStyle name="Comma 4 3 3 9 4" xfId="19666" xr:uid="{1BF3A8AC-BC09-4DB6-B9F1-DED852905935}"/>
    <cellStyle name="Comma 4 3 4" xfId="151" xr:uid="{00000000-0005-0000-0000-00009B090000}"/>
    <cellStyle name="Comma 4 3 4 10" xfId="8847" xr:uid="{4D6C6BDD-522E-43FE-8A7B-7FB5B208FA86}"/>
    <cellStyle name="Comma 4 3 4 11" xfId="17285" xr:uid="{6E0AEC2E-F446-4D3B-9D28-A0F047C1BD65}"/>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68375250-A975-4D48-8B25-0B79B3D05B81}"/>
    <cellStyle name="Comma 4 3 4 2 2 2 3" xfId="24061" xr:uid="{2C817CC4-5CDD-421E-B399-539E1B1FED9A}"/>
    <cellStyle name="Comma 4 3 4 2 2 3" xfId="11406" xr:uid="{0239ABF9-0D48-4BFA-8D90-A0EAAE844292}"/>
    <cellStyle name="Comma 4 3 4 2 2 4" xfId="19844" xr:uid="{04CB4BFD-4FEF-4E84-A266-9D77D8FDCE1F}"/>
    <cellStyle name="Comma 4 3 4 2 3" xfId="5037" xr:uid="{00000000-0005-0000-0000-00009F090000}"/>
    <cellStyle name="Comma 4 3 4 2 3 2" xfId="13479" xr:uid="{90E1CDBE-DB59-4803-BDCB-7D7A85EB806A}"/>
    <cellStyle name="Comma 4 3 4 2 3 3" xfId="21916" xr:uid="{2DBDF585-CA0B-41D4-8F75-F139D264EAA7}"/>
    <cellStyle name="Comma 4 3 4 2 4" xfId="9261" xr:uid="{4A8A88E1-6AB1-456F-BDD4-3877CD5ABECF}"/>
    <cellStyle name="Comma 4 3 4 2 5" xfId="17699" xr:uid="{1CF404D4-9F59-47E0-9790-D6CF416A11B2}"/>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C28B57B8-74C0-43B4-AA92-40DE94BD9EA8}"/>
    <cellStyle name="Comma 4 3 4 3 2 2 3" xfId="24474" xr:uid="{1A2EC797-78AF-40B5-A1A1-9094309A09B0}"/>
    <cellStyle name="Comma 4 3 4 3 2 3" xfId="11819" xr:uid="{514B0B1B-20ED-4F6F-9F27-F4D55FDD13A6}"/>
    <cellStyle name="Comma 4 3 4 3 2 4" xfId="20257" xr:uid="{8F33D050-D85D-4454-A57B-5F85F43EE793}"/>
    <cellStyle name="Comma 4 3 4 3 3" xfId="5450" xr:uid="{00000000-0005-0000-0000-0000A3090000}"/>
    <cellStyle name="Comma 4 3 4 3 3 2" xfId="13892" xr:uid="{2E543D36-990E-405F-BEF3-931E0A9290EA}"/>
    <cellStyle name="Comma 4 3 4 3 3 3" xfId="22329" xr:uid="{90B98ECD-6CA3-40CF-9627-D7EA5BBC3CD9}"/>
    <cellStyle name="Comma 4 3 4 3 4" xfId="9674" xr:uid="{9142D4AD-AFD3-474F-9103-2D0072029CE4}"/>
    <cellStyle name="Comma 4 3 4 3 5" xfId="18112" xr:uid="{EB9658E3-8951-4B45-9E3E-9DB57B5B8844}"/>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D379732E-3C74-4C6E-8556-623938533A79}"/>
    <cellStyle name="Comma 4 3 4 4 2 2 3" xfId="24887" xr:uid="{5BDC9297-93D6-49D3-93F3-4EFF9F9EA56B}"/>
    <cellStyle name="Comma 4 3 4 4 2 3" xfId="12232" xr:uid="{C7D4E271-395A-4E41-BFDC-8BA32FB6FA9C}"/>
    <cellStyle name="Comma 4 3 4 4 2 4" xfId="20670" xr:uid="{7B9F8B5F-3235-471E-93D9-919AF80888B3}"/>
    <cellStyle name="Comma 4 3 4 4 3" xfId="5863" xr:uid="{00000000-0005-0000-0000-0000A7090000}"/>
    <cellStyle name="Comma 4 3 4 4 3 2" xfId="14305" xr:uid="{643C9572-F39D-48F6-B506-92ADA5D8EE93}"/>
    <cellStyle name="Comma 4 3 4 4 3 3" xfId="22742" xr:uid="{F4D432EE-E009-413A-8FF2-AFD6D6E1547B}"/>
    <cellStyle name="Comma 4 3 4 4 4" xfId="10087" xr:uid="{F027E03C-85C9-4CF6-87D6-AB2B9B3FA6E0}"/>
    <cellStyle name="Comma 4 3 4 4 5" xfId="18525" xr:uid="{40C118CD-05C5-4D69-9AA7-24D14680725B}"/>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27CE22C9-EE86-4CF4-A297-3F0F6B5333BD}"/>
    <cellStyle name="Comma 4 3 4 5 2 2 3" xfId="25300" xr:uid="{67F51AC0-6DD4-4EB9-A2FE-FB23BBCFD540}"/>
    <cellStyle name="Comma 4 3 4 5 2 3" xfId="12645" xr:uid="{F3D61D07-060D-490C-A744-B034ECE12EE9}"/>
    <cellStyle name="Comma 4 3 4 5 2 4" xfId="21083" xr:uid="{B099775C-B4E4-4ACF-8EAD-4B55B59B95ED}"/>
    <cellStyle name="Comma 4 3 4 5 3" xfId="6276" xr:uid="{00000000-0005-0000-0000-0000AB090000}"/>
    <cellStyle name="Comma 4 3 4 5 3 2" xfId="14718" xr:uid="{9804A70A-5688-47A2-B21C-EF5B26E49632}"/>
    <cellStyle name="Comma 4 3 4 5 3 3" xfId="23155" xr:uid="{A4038961-07F6-4535-96B0-DBAA9AB1BA75}"/>
    <cellStyle name="Comma 4 3 4 5 4" xfId="10500" xr:uid="{2BBD012E-6C48-400E-AC39-86B0A32315D6}"/>
    <cellStyle name="Comma 4 3 4 5 5" xfId="18938" xr:uid="{D7DE2700-21A8-4C8B-B066-375D8A1E0CAC}"/>
    <cellStyle name="Comma 4 3 4 6" xfId="2404" xr:uid="{00000000-0005-0000-0000-0000AC090000}"/>
    <cellStyle name="Comma 4 3 4 6 2" xfId="6689" xr:uid="{00000000-0005-0000-0000-0000AD090000}"/>
    <cellStyle name="Comma 4 3 4 6 2 2" xfId="15131" xr:uid="{CD06C13D-5E3A-448A-B755-CCB9741669CB}"/>
    <cellStyle name="Comma 4 3 4 6 2 3" xfId="23568" xr:uid="{8020A694-A46E-43CA-8060-E322BA9A1C09}"/>
    <cellStyle name="Comma 4 3 4 6 3" xfId="10913" xr:uid="{D6DDE766-3D33-4915-9E6E-3FE2F2EF93C3}"/>
    <cellStyle name="Comma 4 3 4 6 4" xfId="19351" xr:uid="{47AC824A-5BB6-4A57-91B8-A6D41E8239F9}"/>
    <cellStyle name="Comma 4 3 4 7" xfId="2700" xr:uid="{00000000-0005-0000-0000-0000AE090000}"/>
    <cellStyle name="Comma 4 3 4 8" xfId="2782" xr:uid="{00000000-0005-0000-0000-0000AF090000}"/>
    <cellStyle name="Comma 4 3 4 8 2" xfId="7006" xr:uid="{00000000-0005-0000-0000-0000B0090000}"/>
    <cellStyle name="Comma 4 3 4 8 2 2" xfId="15448" xr:uid="{D02534D9-74C6-40CB-B07D-E52B7284369C}"/>
    <cellStyle name="Comma 4 3 4 8 2 3" xfId="23885" xr:uid="{E39639BE-F8E0-42B7-AF04-134BADED6FC4}"/>
    <cellStyle name="Comma 4 3 4 8 3" xfId="11230" xr:uid="{7EE6DE20-897B-43DB-8594-103156A69B68}"/>
    <cellStyle name="Comma 4 3 4 8 4" xfId="19668" xr:uid="{4F3A0D66-C46A-4033-B285-CCFE25A49461}"/>
    <cellStyle name="Comma 4 3 4 9" xfId="4623" xr:uid="{00000000-0005-0000-0000-0000B1090000}"/>
    <cellStyle name="Comma 4 3 4 9 2" xfId="13065" xr:uid="{074A5739-BD7F-450B-9DD0-1B910AA16EF9}"/>
    <cellStyle name="Comma 4 3 4 9 3" xfId="21502" xr:uid="{46963C88-B753-4CF4-899B-C592F134915F}"/>
    <cellStyle name="Comma 4 3 5" xfId="152" xr:uid="{00000000-0005-0000-0000-0000B2090000}"/>
    <cellStyle name="Comma 4 3 5 10" xfId="8848" xr:uid="{236127FA-32FE-4C5D-B37A-715C993A57C1}"/>
    <cellStyle name="Comma 4 3 5 11" xfId="17286" xr:uid="{AD3AFDA7-4692-4809-8623-D21358F4BAB9}"/>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729D9699-DC48-4616-AF9E-12983D0BE4E2}"/>
    <cellStyle name="Comma 4 3 5 2 2 2 3" xfId="24062" xr:uid="{D0520560-0E60-45F3-8581-8345B2B78AAA}"/>
    <cellStyle name="Comma 4 3 5 2 2 3" xfId="11407" xr:uid="{4D4E88CC-A3A6-4C34-B768-781202B0DD3A}"/>
    <cellStyle name="Comma 4 3 5 2 2 4" xfId="19845" xr:uid="{1B9999F2-6C1A-43B3-89C2-DDF53E08748F}"/>
    <cellStyle name="Comma 4 3 5 2 3" xfId="5038" xr:uid="{00000000-0005-0000-0000-0000B6090000}"/>
    <cellStyle name="Comma 4 3 5 2 3 2" xfId="13480" xr:uid="{4260F0D0-EA51-4D3C-A4B3-1E6596EC9FCA}"/>
    <cellStyle name="Comma 4 3 5 2 3 3" xfId="21917" xr:uid="{5EEC8D9F-6203-4013-B3F3-FA1483849964}"/>
    <cellStyle name="Comma 4 3 5 2 4" xfId="9262" xr:uid="{4BADDE0B-9480-4894-BC46-CE37CD181819}"/>
    <cellStyle name="Comma 4 3 5 2 5" xfId="17700" xr:uid="{0E071DDC-FE88-4B2C-A427-FB1C912B2E1C}"/>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D7A49E25-37CA-4732-80D6-4E9522F85C43}"/>
    <cellStyle name="Comma 4 3 5 3 2 2 3" xfId="24475" xr:uid="{20AE29C8-3527-4210-8B2E-A1A62E579C84}"/>
    <cellStyle name="Comma 4 3 5 3 2 3" xfId="11820" xr:uid="{1D4E9F83-5796-4202-8DA3-4F5DBB25202F}"/>
    <cellStyle name="Comma 4 3 5 3 2 4" xfId="20258" xr:uid="{4BE04278-FD74-4A91-9DE1-F61387EFED0E}"/>
    <cellStyle name="Comma 4 3 5 3 3" xfId="5451" xr:uid="{00000000-0005-0000-0000-0000BA090000}"/>
    <cellStyle name="Comma 4 3 5 3 3 2" xfId="13893" xr:uid="{67ED6C26-1B75-4E57-B850-E8A4C3677DF7}"/>
    <cellStyle name="Comma 4 3 5 3 3 3" xfId="22330" xr:uid="{2932CEF8-0D05-4C50-A905-73DE326EF13A}"/>
    <cellStyle name="Comma 4 3 5 3 4" xfId="9675" xr:uid="{2F345A5F-BD9D-4585-9F92-17BAB11335B2}"/>
    <cellStyle name="Comma 4 3 5 3 5" xfId="18113" xr:uid="{ACE5260F-0EBA-4110-B844-15D23DA01948}"/>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A65F43D0-1C21-4934-9AB3-BDC78911DE41}"/>
    <cellStyle name="Comma 4 3 5 4 2 2 3" xfId="24888" xr:uid="{3FE38D6F-E8D3-4392-A438-22B30500F0AF}"/>
    <cellStyle name="Comma 4 3 5 4 2 3" xfId="12233" xr:uid="{8D913E2A-EE98-4516-B349-FCE01953095D}"/>
    <cellStyle name="Comma 4 3 5 4 2 4" xfId="20671" xr:uid="{207D72EF-1A77-445B-89CA-C8C32885EC60}"/>
    <cellStyle name="Comma 4 3 5 4 3" xfId="5864" xr:uid="{00000000-0005-0000-0000-0000BE090000}"/>
    <cellStyle name="Comma 4 3 5 4 3 2" xfId="14306" xr:uid="{A11E1A63-CC72-4A9B-92B9-060D4E909599}"/>
    <cellStyle name="Comma 4 3 5 4 3 3" xfId="22743" xr:uid="{909C9417-FEFF-4EDB-8902-AE74FA6E1293}"/>
    <cellStyle name="Comma 4 3 5 4 4" xfId="10088" xr:uid="{3196C357-4EFC-46A6-8ABE-1309059FA3A6}"/>
    <cellStyle name="Comma 4 3 5 4 5" xfId="18526" xr:uid="{5323D395-0746-44E7-AE60-7EF273BBE76C}"/>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302313FF-AE09-4A2B-A4FD-3B9DEA779386}"/>
    <cellStyle name="Comma 4 3 5 5 2 2 3" xfId="25301" xr:uid="{4E1A44AC-3955-4FAF-A424-1D3DB084A601}"/>
    <cellStyle name="Comma 4 3 5 5 2 3" xfId="12646" xr:uid="{85C3DD0A-C1B7-4102-BAC5-724F1CDBE04C}"/>
    <cellStyle name="Comma 4 3 5 5 2 4" xfId="21084" xr:uid="{BF049A4A-234B-4DBD-945A-89E1EEE922F6}"/>
    <cellStyle name="Comma 4 3 5 5 3" xfId="6277" xr:uid="{00000000-0005-0000-0000-0000C2090000}"/>
    <cellStyle name="Comma 4 3 5 5 3 2" xfId="14719" xr:uid="{902E7808-F17A-4845-B30E-58D8449F809A}"/>
    <cellStyle name="Comma 4 3 5 5 3 3" xfId="23156" xr:uid="{4E2BB263-5EB4-45AA-A301-0DA0C8BCC9C4}"/>
    <cellStyle name="Comma 4 3 5 5 4" xfId="10501" xr:uid="{BB2487A8-6ED5-47A5-94B2-EDEC381616E1}"/>
    <cellStyle name="Comma 4 3 5 5 5" xfId="18939" xr:uid="{ABDFD2B0-94E6-4823-9544-D610B6418454}"/>
    <cellStyle name="Comma 4 3 5 6" xfId="2405" xr:uid="{00000000-0005-0000-0000-0000C3090000}"/>
    <cellStyle name="Comma 4 3 5 6 2" xfId="6690" xr:uid="{00000000-0005-0000-0000-0000C4090000}"/>
    <cellStyle name="Comma 4 3 5 6 2 2" xfId="15132" xr:uid="{E87343C1-D153-4446-A331-52EFE59D3055}"/>
    <cellStyle name="Comma 4 3 5 6 2 3" xfId="23569" xr:uid="{E134249E-080E-4FF8-A478-20D7A5F8776F}"/>
    <cellStyle name="Comma 4 3 5 6 3" xfId="10914" xr:uid="{286E37A7-702D-40EC-A682-286D9CDF150C}"/>
    <cellStyle name="Comma 4 3 5 6 4" xfId="19352" xr:uid="{14352506-022F-42AF-B7FF-08CAAF0150BF}"/>
    <cellStyle name="Comma 4 3 5 7" xfId="2701" xr:uid="{00000000-0005-0000-0000-0000C5090000}"/>
    <cellStyle name="Comma 4 3 5 8" xfId="2783" xr:uid="{00000000-0005-0000-0000-0000C6090000}"/>
    <cellStyle name="Comma 4 3 5 8 2" xfId="7007" xr:uid="{00000000-0005-0000-0000-0000C7090000}"/>
    <cellStyle name="Comma 4 3 5 8 2 2" xfId="15449" xr:uid="{D50760AE-824D-43D1-9FDF-B6A52616BAD2}"/>
    <cellStyle name="Comma 4 3 5 8 2 3" xfId="23886" xr:uid="{4C8A443E-AFC8-41DE-8F23-8BEF4014FE7B}"/>
    <cellStyle name="Comma 4 3 5 8 3" xfId="11231" xr:uid="{AD274F6B-CBCC-4292-B82E-BF7C693C3FC6}"/>
    <cellStyle name="Comma 4 3 5 8 4" xfId="19669" xr:uid="{714167E6-4876-4969-8D59-352BF081B5C9}"/>
    <cellStyle name="Comma 4 3 5 9" xfId="4624" xr:uid="{00000000-0005-0000-0000-0000C8090000}"/>
    <cellStyle name="Comma 4 3 5 9 2" xfId="13066" xr:uid="{9943F01D-2C59-4BF8-81D8-6E7DAA4DC342}"/>
    <cellStyle name="Comma 4 3 5 9 3" xfId="21503" xr:uid="{F93BB27C-DC5C-4161-A6C1-CC847687B0C8}"/>
    <cellStyle name="Comma 4 4" xfId="153" xr:uid="{00000000-0005-0000-0000-0000C9090000}"/>
    <cellStyle name="Comma 4 4 10" xfId="2784" xr:uid="{00000000-0005-0000-0000-0000CA090000}"/>
    <cellStyle name="Comma 4 4 10 2" xfId="7008" xr:uid="{00000000-0005-0000-0000-0000CB090000}"/>
    <cellStyle name="Comma 4 4 10 2 2" xfId="15450" xr:uid="{2E658A98-8F26-45AA-A642-BECDC0CB0B7B}"/>
    <cellStyle name="Comma 4 4 10 2 3" xfId="23887" xr:uid="{D5E7AD03-1113-44F8-A089-A763A2201016}"/>
    <cellStyle name="Comma 4 4 10 3" xfId="11232" xr:uid="{D35514CE-CE5C-43A0-AFFB-F9D279DA6077}"/>
    <cellStyle name="Comma 4 4 10 4" xfId="19670" xr:uid="{916997FA-24D2-494A-AA97-A96D64F96F55}"/>
    <cellStyle name="Comma 4 4 11" xfId="4625" xr:uid="{00000000-0005-0000-0000-0000CC090000}"/>
    <cellStyle name="Comma 4 4 11 2" xfId="13067" xr:uid="{7928AFF2-7586-417E-9C2C-C6E720D35EE8}"/>
    <cellStyle name="Comma 4 4 11 3" xfId="21504" xr:uid="{6D96152E-B05F-442A-ABE2-9C5633CEBF7D}"/>
    <cellStyle name="Comma 4 4 12" xfId="8849" xr:uid="{BAAC4D0F-B1A5-481A-9741-AA7849C69BDB}"/>
    <cellStyle name="Comma 4 4 13" xfId="17287" xr:uid="{BB312A4F-1A56-4DD2-9E8D-F68448BB384F}"/>
    <cellStyle name="Comma 4 4 2" xfId="154" xr:uid="{00000000-0005-0000-0000-0000CD090000}"/>
    <cellStyle name="Comma 4 4 2 10" xfId="4626" xr:uid="{00000000-0005-0000-0000-0000CE090000}"/>
    <cellStyle name="Comma 4 4 2 10 2" xfId="13068" xr:uid="{C5E21235-F809-41A8-90C7-C9D37A86FF49}"/>
    <cellStyle name="Comma 4 4 2 10 3" xfId="21505" xr:uid="{F917B683-7377-4EE9-83F9-B746A146722A}"/>
    <cellStyle name="Comma 4 4 2 11" xfId="8850" xr:uid="{1BB5D6D1-E8E9-490E-AC86-72360042735A}"/>
    <cellStyle name="Comma 4 4 2 12" xfId="17288" xr:uid="{4B1FF82C-F674-419C-8B49-CA572F104EA9}"/>
    <cellStyle name="Comma 4 4 2 2" xfId="155" xr:uid="{00000000-0005-0000-0000-0000CF090000}"/>
    <cellStyle name="Comma 4 4 2 2 10" xfId="8851" xr:uid="{E74DDD8A-63CB-46DE-B404-5529BD287AA8}"/>
    <cellStyle name="Comma 4 4 2 2 11" xfId="17289" xr:uid="{92E12E78-8809-4D4B-AD0D-D95B13043760}"/>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27EB04A4-F7FD-45BB-8C53-52AAF9BAF195}"/>
    <cellStyle name="Comma 4 4 2 2 2 2 2 3" xfId="24065" xr:uid="{91E4BBB4-C57E-44AC-8038-C17140EC5132}"/>
    <cellStyle name="Comma 4 4 2 2 2 2 3" xfId="11410" xr:uid="{BD0CA0D9-3BA1-4B8B-8503-D8AF4CB5B714}"/>
    <cellStyle name="Comma 4 4 2 2 2 2 4" xfId="19848" xr:uid="{2F570A3F-38F9-43EE-B64A-DAF565678715}"/>
    <cellStyle name="Comma 4 4 2 2 2 3" xfId="5041" xr:uid="{00000000-0005-0000-0000-0000D3090000}"/>
    <cellStyle name="Comma 4 4 2 2 2 3 2" xfId="13483" xr:uid="{FA918EFA-EC05-4708-AB19-0B61117CC88C}"/>
    <cellStyle name="Comma 4 4 2 2 2 3 3" xfId="21920" xr:uid="{BB59C6A1-3F45-4BBA-9A31-514E6E2702F5}"/>
    <cellStyle name="Comma 4 4 2 2 2 4" xfId="9265" xr:uid="{5DF6DCAE-A254-43F2-9754-B24E70A88A79}"/>
    <cellStyle name="Comma 4 4 2 2 2 5" xfId="17703" xr:uid="{995530CC-4F15-4221-B9F4-1EB6573683A6}"/>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D15BD8CA-382F-47E2-970B-9CC54CC12533}"/>
    <cellStyle name="Comma 4 4 2 2 3 2 2 3" xfId="24478" xr:uid="{54F1DC9C-AE4C-4012-821F-E7CDE9CF016D}"/>
    <cellStyle name="Comma 4 4 2 2 3 2 3" xfId="11823" xr:uid="{AB1E571A-2163-4725-B383-E72921D2623E}"/>
    <cellStyle name="Comma 4 4 2 2 3 2 4" xfId="20261" xr:uid="{8A2890CE-5F83-4FC8-AEC2-F78DC69D994D}"/>
    <cellStyle name="Comma 4 4 2 2 3 3" xfId="5454" xr:uid="{00000000-0005-0000-0000-0000D7090000}"/>
    <cellStyle name="Comma 4 4 2 2 3 3 2" xfId="13896" xr:uid="{CCC2612B-BA3D-4440-9F23-4180385D2593}"/>
    <cellStyle name="Comma 4 4 2 2 3 3 3" xfId="22333" xr:uid="{7D650412-C4ED-40F5-AFEF-22E887D2190E}"/>
    <cellStyle name="Comma 4 4 2 2 3 4" xfId="9678" xr:uid="{649047C9-E16F-48F5-8CD3-5AA243837713}"/>
    <cellStyle name="Comma 4 4 2 2 3 5" xfId="18116" xr:uid="{F7D6DE8C-95A7-4DC5-9D45-B94E101E5642}"/>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F40D4830-7191-4267-B038-C1CBDA32D703}"/>
    <cellStyle name="Comma 4 4 2 2 4 2 2 3" xfId="24891" xr:uid="{F67559F7-BB88-4329-964F-C6F3F9A3F239}"/>
    <cellStyle name="Comma 4 4 2 2 4 2 3" xfId="12236" xr:uid="{F666987E-8F91-4170-9473-3C5583A51AB8}"/>
    <cellStyle name="Comma 4 4 2 2 4 2 4" xfId="20674" xr:uid="{88FA8783-F4C9-4890-900A-38E97AEF59D2}"/>
    <cellStyle name="Comma 4 4 2 2 4 3" xfId="5867" xr:uid="{00000000-0005-0000-0000-0000DB090000}"/>
    <cellStyle name="Comma 4 4 2 2 4 3 2" xfId="14309" xr:uid="{A0A27CBC-4515-4FB3-98F1-9595D7E5058E}"/>
    <cellStyle name="Comma 4 4 2 2 4 3 3" xfId="22746" xr:uid="{99EFD0FF-9419-41F8-A702-C72D3E2CD960}"/>
    <cellStyle name="Comma 4 4 2 2 4 4" xfId="10091" xr:uid="{3B892CCF-F59B-4B21-B41E-45865FCA20E0}"/>
    <cellStyle name="Comma 4 4 2 2 4 5" xfId="18529" xr:uid="{982B2942-4CC2-47C9-98AA-F739DEBDC52F}"/>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C7A74475-6A2E-42D5-AF52-F1F5289DA5FE}"/>
    <cellStyle name="Comma 4 4 2 2 5 2 2 3" xfId="25304" xr:uid="{246C20A1-43FA-4164-9847-60ECA60A1786}"/>
    <cellStyle name="Comma 4 4 2 2 5 2 3" xfId="12649" xr:uid="{A75AC8D0-88F4-44EE-8A48-A9CC5A51BE90}"/>
    <cellStyle name="Comma 4 4 2 2 5 2 4" xfId="21087" xr:uid="{333E9F55-08CC-4B6B-A47F-BF31B5EF1DC2}"/>
    <cellStyle name="Comma 4 4 2 2 5 3" xfId="6280" xr:uid="{00000000-0005-0000-0000-0000DF090000}"/>
    <cellStyle name="Comma 4 4 2 2 5 3 2" xfId="14722" xr:uid="{2FA70BEB-9949-4BE2-BF6E-B1EA8EE74BDF}"/>
    <cellStyle name="Comma 4 4 2 2 5 3 3" xfId="23159" xr:uid="{C7E7767F-CF17-46DE-8540-CE1A6115B9F8}"/>
    <cellStyle name="Comma 4 4 2 2 5 4" xfId="10504" xr:uid="{F7666FA8-81C3-4AAC-B8E1-D30DED0169CA}"/>
    <cellStyle name="Comma 4 4 2 2 5 5" xfId="18942" xr:uid="{EDB6A4BC-509B-4BEB-8203-9147DE4AF10F}"/>
    <cellStyle name="Comma 4 4 2 2 6" xfId="2408" xr:uid="{00000000-0005-0000-0000-0000E0090000}"/>
    <cellStyle name="Comma 4 4 2 2 6 2" xfId="6693" xr:uid="{00000000-0005-0000-0000-0000E1090000}"/>
    <cellStyle name="Comma 4 4 2 2 6 2 2" xfId="15135" xr:uid="{0A787B56-B31B-4682-883B-D18A27408C1E}"/>
    <cellStyle name="Comma 4 4 2 2 6 2 3" xfId="23572" xr:uid="{C8137B7E-41F9-4D57-85AF-E538A21B06FB}"/>
    <cellStyle name="Comma 4 4 2 2 6 3" xfId="10917" xr:uid="{B1CD662F-F49F-427E-AB3F-61B9D6004C5C}"/>
    <cellStyle name="Comma 4 4 2 2 6 4" xfId="19355" xr:uid="{43A2C991-91C7-437A-932B-D2A1C4A1E4F4}"/>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845CA8F8-91E7-422E-85B8-31531E259554}"/>
    <cellStyle name="Comma 4 4 2 2 8 2 3" xfId="23889" xr:uid="{E0A1B530-6374-4EBB-8124-BD671053A348}"/>
    <cellStyle name="Comma 4 4 2 2 8 3" xfId="11234" xr:uid="{7CCD52AD-1D0F-4561-9901-E2FDD0BCAA4B}"/>
    <cellStyle name="Comma 4 4 2 2 8 4" xfId="19672" xr:uid="{E06356BC-A150-4569-AD6E-D6B4B71F3ED0}"/>
    <cellStyle name="Comma 4 4 2 2 9" xfId="4627" xr:uid="{00000000-0005-0000-0000-0000E5090000}"/>
    <cellStyle name="Comma 4 4 2 2 9 2" xfId="13069" xr:uid="{6CB1D0B9-FA94-438D-B72E-1EDAF75579ED}"/>
    <cellStyle name="Comma 4 4 2 2 9 3" xfId="21506" xr:uid="{3CCD5A0A-D488-4722-AFE0-533B0591C78F}"/>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A5E6C4BB-1DEE-446F-B4A7-F9C0B9E3885C}"/>
    <cellStyle name="Comma 4 4 2 3 2 2 3" xfId="24064" xr:uid="{63097DDE-E8F1-4B82-9285-46D5EC945F7C}"/>
    <cellStyle name="Comma 4 4 2 3 2 3" xfId="11409" xr:uid="{5D0DA2F1-6B55-4127-BC63-826E4DCF1E62}"/>
    <cellStyle name="Comma 4 4 2 3 2 4" xfId="19847" xr:uid="{25639BB1-4B71-47ED-8593-F77ACCA40C2D}"/>
    <cellStyle name="Comma 4 4 2 3 3" xfId="5040" xr:uid="{00000000-0005-0000-0000-0000E9090000}"/>
    <cellStyle name="Comma 4 4 2 3 3 2" xfId="13482" xr:uid="{027C09CA-6E83-4686-8732-170F64A5F4E4}"/>
    <cellStyle name="Comma 4 4 2 3 3 3" xfId="21919" xr:uid="{FDFF654B-05A8-41E5-9E68-B839932D194C}"/>
    <cellStyle name="Comma 4 4 2 3 4" xfId="9264" xr:uid="{1F97505B-03CF-440C-A1EA-EA5AE86AF06E}"/>
    <cellStyle name="Comma 4 4 2 3 5" xfId="17702" xr:uid="{D56548BB-CD19-4A31-9173-8B5B1554C741}"/>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A65D0059-8FD8-4B06-8726-7BC6D4666546}"/>
    <cellStyle name="Comma 4 4 2 4 2 2 3" xfId="24477" xr:uid="{CEBB1C3A-2A05-47B9-97E9-AA8AB4123A92}"/>
    <cellStyle name="Comma 4 4 2 4 2 3" xfId="11822" xr:uid="{4E0B4763-B144-4954-A0BB-6162EB897FE9}"/>
    <cellStyle name="Comma 4 4 2 4 2 4" xfId="20260" xr:uid="{B7C2E9E6-2124-425F-8959-EEFA66245F7C}"/>
    <cellStyle name="Comma 4 4 2 4 3" xfId="5453" xr:uid="{00000000-0005-0000-0000-0000ED090000}"/>
    <cellStyle name="Comma 4 4 2 4 3 2" xfId="13895" xr:uid="{4D0791C0-C73D-49A3-9480-147953BC449B}"/>
    <cellStyle name="Comma 4 4 2 4 3 3" xfId="22332" xr:uid="{B9382A04-05A9-4FAA-90F3-77DCE1ABC44E}"/>
    <cellStyle name="Comma 4 4 2 4 4" xfId="9677" xr:uid="{CC24CB5C-9CA1-4396-A52C-51E6A7413B46}"/>
    <cellStyle name="Comma 4 4 2 4 5" xfId="18115" xr:uid="{3EBDA63A-667F-48DA-BCF4-E70355DAC235}"/>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541115CC-085F-495F-86C6-4677431B8951}"/>
    <cellStyle name="Comma 4 4 2 5 2 2 3" xfId="24890" xr:uid="{AC3B0B3C-74A5-4F54-BF63-D24311F136E6}"/>
    <cellStyle name="Comma 4 4 2 5 2 3" xfId="12235" xr:uid="{3712916F-339D-46BC-B512-B7721BB53378}"/>
    <cellStyle name="Comma 4 4 2 5 2 4" xfId="20673" xr:uid="{5063F940-2540-44EC-B8F3-2ABD1B772FDC}"/>
    <cellStyle name="Comma 4 4 2 5 3" xfId="5866" xr:uid="{00000000-0005-0000-0000-0000F1090000}"/>
    <cellStyle name="Comma 4 4 2 5 3 2" xfId="14308" xr:uid="{F79ED897-6E76-4B3E-8E15-393827F97872}"/>
    <cellStyle name="Comma 4 4 2 5 3 3" xfId="22745" xr:uid="{D826B3BA-61B6-42E2-A028-7FDB39370894}"/>
    <cellStyle name="Comma 4 4 2 5 4" xfId="10090" xr:uid="{814F67A1-5A62-4035-B663-7E4B81CE30CE}"/>
    <cellStyle name="Comma 4 4 2 5 5" xfId="18528" xr:uid="{6B959F97-137C-4434-8551-587E627D4E63}"/>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9F227FD2-0C08-41F7-86F1-F39D0DA48ECB}"/>
    <cellStyle name="Comma 4 4 2 6 2 2 3" xfId="25303" xr:uid="{D582312E-B5ED-4009-8A54-87971418314D}"/>
    <cellStyle name="Comma 4 4 2 6 2 3" xfId="12648" xr:uid="{78B38BC3-E561-4BEF-8037-F37069C0E315}"/>
    <cellStyle name="Comma 4 4 2 6 2 4" xfId="21086" xr:uid="{9D5568D2-1A84-422B-A9F9-C00084111965}"/>
    <cellStyle name="Comma 4 4 2 6 3" xfId="6279" xr:uid="{00000000-0005-0000-0000-0000F5090000}"/>
    <cellStyle name="Comma 4 4 2 6 3 2" xfId="14721" xr:uid="{2345008C-F227-479A-8B66-960CC219D107}"/>
    <cellStyle name="Comma 4 4 2 6 3 3" xfId="23158" xr:uid="{16BB5D12-4CDE-41C9-80BD-F28BE5970657}"/>
    <cellStyle name="Comma 4 4 2 6 4" xfId="10503" xr:uid="{573911B7-F14B-424F-BFB9-E485CCFD04E4}"/>
    <cellStyle name="Comma 4 4 2 6 5" xfId="18941" xr:uid="{F418F699-B515-41F4-9895-E51CC58D6120}"/>
    <cellStyle name="Comma 4 4 2 7" xfId="2407" xr:uid="{00000000-0005-0000-0000-0000F6090000}"/>
    <cellStyle name="Comma 4 4 2 7 2" xfId="6692" xr:uid="{00000000-0005-0000-0000-0000F7090000}"/>
    <cellStyle name="Comma 4 4 2 7 2 2" xfId="15134" xr:uid="{CC28F8CA-3F15-4BDC-9106-83C69248A9E8}"/>
    <cellStyle name="Comma 4 4 2 7 2 3" xfId="23571" xr:uid="{D9460775-73FD-4B49-83AB-1513D387FD42}"/>
    <cellStyle name="Comma 4 4 2 7 3" xfId="10916" xr:uid="{95E6AD0F-9C4F-4E90-88C9-516FF6200FF5}"/>
    <cellStyle name="Comma 4 4 2 7 4" xfId="19354" xr:uid="{C6C160C9-181A-498D-B270-510B96AE37A9}"/>
    <cellStyle name="Comma 4 4 2 8" xfId="2703" xr:uid="{00000000-0005-0000-0000-0000F8090000}"/>
    <cellStyle name="Comma 4 4 2 9" xfId="2785" xr:uid="{00000000-0005-0000-0000-0000F9090000}"/>
    <cellStyle name="Comma 4 4 2 9 2" xfId="7009" xr:uid="{00000000-0005-0000-0000-0000FA090000}"/>
    <cellStyle name="Comma 4 4 2 9 2 2" xfId="15451" xr:uid="{138CF957-2AD7-4EF1-86A4-1803CFABB4AB}"/>
    <cellStyle name="Comma 4 4 2 9 2 3" xfId="23888" xr:uid="{E1FA3EA6-7B9C-4C99-9B84-7A6BBA0D882B}"/>
    <cellStyle name="Comma 4 4 2 9 3" xfId="11233" xr:uid="{A74F5248-0589-469C-BE0B-C3D23A1C3718}"/>
    <cellStyle name="Comma 4 4 2 9 4" xfId="19671" xr:uid="{9FB44E0F-DB72-48E1-A162-55A22E3D866E}"/>
    <cellStyle name="Comma 4 4 3" xfId="156" xr:uid="{00000000-0005-0000-0000-0000FB090000}"/>
    <cellStyle name="Comma 4 4 3 10" xfId="8852" xr:uid="{A40C61FC-AA3E-4FFB-94FA-BF9DAB71DF55}"/>
    <cellStyle name="Comma 4 4 3 11" xfId="17290" xr:uid="{C5580710-6B34-461E-A431-EA79830C345F}"/>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75272596-EB86-4746-B75B-2E55B0711482}"/>
    <cellStyle name="Comma 4 4 3 2 2 2 3" xfId="24066" xr:uid="{B10D6B78-6CCA-41F8-A231-731EE26D5327}"/>
    <cellStyle name="Comma 4 4 3 2 2 3" xfId="11411" xr:uid="{96C02A2E-649E-4883-A7C2-1A01EC0E5ED0}"/>
    <cellStyle name="Comma 4 4 3 2 2 4" xfId="19849" xr:uid="{5D6C5101-6682-4A70-B4BC-6B0A333A579D}"/>
    <cellStyle name="Comma 4 4 3 2 3" xfId="5042" xr:uid="{00000000-0005-0000-0000-0000FF090000}"/>
    <cellStyle name="Comma 4 4 3 2 3 2" xfId="13484" xr:uid="{8AC30AA5-E0A1-4968-AD1B-F748489D1AB2}"/>
    <cellStyle name="Comma 4 4 3 2 3 3" xfId="21921" xr:uid="{EBCCC9FE-BF56-47E0-A11F-87CF77C7D14E}"/>
    <cellStyle name="Comma 4 4 3 2 4" xfId="9266" xr:uid="{5F71FCCB-87E0-44C5-8F64-2AB88AF87E34}"/>
    <cellStyle name="Comma 4 4 3 2 5" xfId="17704" xr:uid="{1E4D89A7-B162-4F45-86C3-BB97A0595922}"/>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E0959994-3FE6-442A-8A99-C04B2DB21EF4}"/>
    <cellStyle name="Comma 4 4 3 3 2 2 3" xfId="24479" xr:uid="{52223740-CAD9-44E9-879E-AC09AB577C03}"/>
    <cellStyle name="Comma 4 4 3 3 2 3" xfId="11824" xr:uid="{64E21243-53A3-40CF-AEF6-EBDDC74A7A88}"/>
    <cellStyle name="Comma 4 4 3 3 2 4" xfId="20262" xr:uid="{85766845-77AE-43E2-A60B-FB4DE7613DD3}"/>
    <cellStyle name="Comma 4 4 3 3 3" xfId="5455" xr:uid="{00000000-0005-0000-0000-0000030A0000}"/>
    <cellStyle name="Comma 4 4 3 3 3 2" xfId="13897" xr:uid="{3EE74E42-8F15-493B-8DDA-DF43B218D76B}"/>
    <cellStyle name="Comma 4 4 3 3 3 3" xfId="22334" xr:uid="{7534B3E3-6117-4035-B883-7DEF50B8EE59}"/>
    <cellStyle name="Comma 4 4 3 3 4" xfId="9679" xr:uid="{80CEC95D-A9F1-43A7-B6D7-184C343C666D}"/>
    <cellStyle name="Comma 4 4 3 3 5" xfId="18117" xr:uid="{643F6482-155D-42FC-B70C-0F1318DCE587}"/>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89DF3498-BABD-4C20-B699-40451D26CCB9}"/>
    <cellStyle name="Comma 4 4 3 4 2 2 3" xfId="24892" xr:uid="{09385D58-221A-44DD-BC97-3FC01199A38C}"/>
    <cellStyle name="Comma 4 4 3 4 2 3" xfId="12237" xr:uid="{121C8028-B68A-497D-AC20-D585C1F45578}"/>
    <cellStyle name="Comma 4 4 3 4 2 4" xfId="20675" xr:uid="{6A68F224-6D32-4664-B034-136E0442D101}"/>
    <cellStyle name="Comma 4 4 3 4 3" xfId="5868" xr:uid="{00000000-0005-0000-0000-0000070A0000}"/>
    <cellStyle name="Comma 4 4 3 4 3 2" xfId="14310" xr:uid="{543BA5A4-A428-4F53-971C-AB9B8EB6E96C}"/>
    <cellStyle name="Comma 4 4 3 4 3 3" xfId="22747" xr:uid="{942528E2-539E-41FF-9631-EC629528BA92}"/>
    <cellStyle name="Comma 4 4 3 4 4" xfId="10092" xr:uid="{8A10B7C4-1B71-4039-A59E-F2BD13FF6E54}"/>
    <cellStyle name="Comma 4 4 3 4 5" xfId="18530" xr:uid="{1AF06746-ED0E-4838-93E9-A0764D7DDDC7}"/>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8ABEBBAE-DB88-4B4C-88FF-529BFCC53F36}"/>
    <cellStyle name="Comma 4 4 3 5 2 2 3" xfId="25305" xr:uid="{BC8ACD87-F97E-49BA-8AE2-5CFBAE3A92CC}"/>
    <cellStyle name="Comma 4 4 3 5 2 3" xfId="12650" xr:uid="{E2342C72-A93A-4DEE-87C3-AD97F36A0403}"/>
    <cellStyle name="Comma 4 4 3 5 2 4" xfId="21088" xr:uid="{0D9B6269-C14D-4D15-8496-46A6E6078AE0}"/>
    <cellStyle name="Comma 4 4 3 5 3" xfId="6281" xr:uid="{00000000-0005-0000-0000-00000B0A0000}"/>
    <cellStyle name="Comma 4 4 3 5 3 2" xfId="14723" xr:uid="{A5D99F0C-96BA-4944-903B-4E44452CE3A2}"/>
    <cellStyle name="Comma 4 4 3 5 3 3" xfId="23160" xr:uid="{745A7684-4F05-46D5-8E06-851EA8F79908}"/>
    <cellStyle name="Comma 4 4 3 5 4" xfId="10505" xr:uid="{4ABAD6CD-6B28-4E3C-9A62-D97CD177A35A}"/>
    <cellStyle name="Comma 4 4 3 5 5" xfId="18943" xr:uid="{799342E4-2283-4351-82B4-1BF4D9F2C5DB}"/>
    <cellStyle name="Comma 4 4 3 6" xfId="2409" xr:uid="{00000000-0005-0000-0000-00000C0A0000}"/>
    <cellStyle name="Comma 4 4 3 6 2" xfId="6694" xr:uid="{00000000-0005-0000-0000-00000D0A0000}"/>
    <cellStyle name="Comma 4 4 3 6 2 2" xfId="15136" xr:uid="{4E3EDEA0-E01B-4312-9568-A0BBBB47E0C5}"/>
    <cellStyle name="Comma 4 4 3 6 2 3" xfId="23573" xr:uid="{DB010008-6518-4D2C-B465-3BD189ED6968}"/>
    <cellStyle name="Comma 4 4 3 6 3" xfId="10918" xr:uid="{3E06A9F7-5A85-4B8C-B18C-6463080BD740}"/>
    <cellStyle name="Comma 4 4 3 6 4" xfId="19356" xr:uid="{8F22161B-C980-442E-8871-91C2AADDD2CC}"/>
    <cellStyle name="Comma 4 4 3 7" xfId="2705" xr:uid="{00000000-0005-0000-0000-00000E0A0000}"/>
    <cellStyle name="Comma 4 4 3 8" xfId="2787" xr:uid="{00000000-0005-0000-0000-00000F0A0000}"/>
    <cellStyle name="Comma 4 4 3 8 2" xfId="7011" xr:uid="{00000000-0005-0000-0000-0000100A0000}"/>
    <cellStyle name="Comma 4 4 3 8 2 2" xfId="15453" xr:uid="{6EC436AC-7CF7-47B3-968B-CE3E04C376FB}"/>
    <cellStyle name="Comma 4 4 3 8 2 3" xfId="23890" xr:uid="{661E56B7-A02C-4FC7-A5D0-EA558B9512FB}"/>
    <cellStyle name="Comma 4 4 3 8 3" xfId="11235" xr:uid="{C74F7E77-BB5E-4C8C-A114-6A62B799EA1F}"/>
    <cellStyle name="Comma 4 4 3 8 4" xfId="19673" xr:uid="{FF57E379-11A5-402B-B3B8-0C8048F2B066}"/>
    <cellStyle name="Comma 4 4 3 9" xfId="4628" xr:uid="{00000000-0005-0000-0000-0000110A0000}"/>
    <cellStyle name="Comma 4 4 3 9 2" xfId="13070" xr:uid="{BF3BDF0A-90F0-468E-B089-6FE058940EF8}"/>
    <cellStyle name="Comma 4 4 3 9 3" xfId="21507" xr:uid="{B7585A97-9F0F-49BD-AC93-0FAC3991FF6C}"/>
    <cellStyle name="Comma 4 4 4" xfId="690" xr:uid="{00000000-0005-0000-0000-0000120A0000}"/>
    <cellStyle name="Comma 4 4 4 2" xfId="2961" xr:uid="{00000000-0005-0000-0000-0000130A0000}"/>
    <cellStyle name="Comma 4 4 4 2 2" xfId="7184" xr:uid="{00000000-0005-0000-0000-0000140A0000}"/>
    <cellStyle name="Comma 4 4 4 2 2 2" xfId="15626" xr:uid="{B957E8EA-180E-45C7-B8A8-1083B3349FDF}"/>
    <cellStyle name="Comma 4 4 4 2 2 3" xfId="24063" xr:uid="{595D757A-730A-4D3D-BBBD-3DFA9C7747D5}"/>
    <cellStyle name="Comma 4 4 4 2 3" xfId="11408" xr:uid="{5F0AC1DF-5E08-4E81-8056-6E66BDE00C43}"/>
    <cellStyle name="Comma 4 4 4 2 4" xfId="19846" xr:uid="{AC01546E-4A47-4A2A-BE6D-C48A54AF7255}"/>
    <cellStyle name="Comma 4 4 4 3" xfId="5039" xr:uid="{00000000-0005-0000-0000-0000150A0000}"/>
    <cellStyle name="Comma 4 4 4 3 2" xfId="13481" xr:uid="{B2B930FA-7DE8-450D-9DB0-5070CC5A6A32}"/>
    <cellStyle name="Comma 4 4 4 3 3" xfId="21918" xr:uid="{0F20EA37-7B2A-4D85-9FE4-A096BB7604B9}"/>
    <cellStyle name="Comma 4 4 4 4" xfId="9263" xr:uid="{55F2F64D-0202-4B64-97E5-5C4B39564604}"/>
    <cellStyle name="Comma 4 4 4 5" xfId="17701" xr:uid="{8892FAD5-03C0-45C8-B1D2-A9F9CACB654F}"/>
    <cellStyle name="Comma 4 4 5" xfId="1143" xr:uid="{00000000-0005-0000-0000-0000160A0000}"/>
    <cellStyle name="Comma 4 4 5 2" xfId="3374" xr:uid="{00000000-0005-0000-0000-0000170A0000}"/>
    <cellStyle name="Comma 4 4 5 2 2" xfId="7597" xr:uid="{00000000-0005-0000-0000-0000180A0000}"/>
    <cellStyle name="Comma 4 4 5 2 2 2" xfId="16039" xr:uid="{DDA8F405-499C-410F-9F20-ADCDD1F52A7E}"/>
    <cellStyle name="Comma 4 4 5 2 2 3" xfId="24476" xr:uid="{30A82857-8CE4-4CC5-897C-327FBBC3AFCA}"/>
    <cellStyle name="Comma 4 4 5 2 3" xfId="11821" xr:uid="{5C9724CD-FD22-455A-AD2B-BF0259A9EA79}"/>
    <cellStyle name="Comma 4 4 5 2 4" xfId="20259" xr:uid="{9497CDEB-AB77-4313-AA58-BFC44E247CB7}"/>
    <cellStyle name="Comma 4 4 5 3" xfId="5452" xr:uid="{00000000-0005-0000-0000-0000190A0000}"/>
    <cellStyle name="Comma 4 4 5 3 2" xfId="13894" xr:uid="{40AA93EB-23F1-468D-BB85-A1361065BED9}"/>
    <cellStyle name="Comma 4 4 5 3 3" xfId="22331" xr:uid="{52298F8A-4F08-4D68-89B5-F2FFD5CD5569}"/>
    <cellStyle name="Comma 4 4 5 4" xfId="9676" xr:uid="{77ADB9EA-211A-4C24-9E96-B63697CF0F81}"/>
    <cellStyle name="Comma 4 4 5 5" xfId="18114" xr:uid="{0A25F580-52FD-4595-BEB9-29569F6D1577}"/>
    <cellStyle name="Comma 4 4 6" xfId="1557" xr:uid="{00000000-0005-0000-0000-00001A0A0000}"/>
    <cellStyle name="Comma 4 4 6 2" xfId="3787" xr:uid="{00000000-0005-0000-0000-00001B0A0000}"/>
    <cellStyle name="Comma 4 4 6 2 2" xfId="8010" xr:uid="{00000000-0005-0000-0000-00001C0A0000}"/>
    <cellStyle name="Comma 4 4 6 2 2 2" xfId="16452" xr:uid="{BC0E5717-2331-4065-9A4B-BA127ED9B820}"/>
    <cellStyle name="Comma 4 4 6 2 2 3" xfId="24889" xr:uid="{F3BA02B3-5123-457F-A9FC-29623F58E39E}"/>
    <cellStyle name="Comma 4 4 6 2 3" xfId="12234" xr:uid="{C9F540DF-0D54-431E-8BA7-0BCE9454DDBE}"/>
    <cellStyle name="Comma 4 4 6 2 4" xfId="20672" xr:uid="{582A6898-5982-42F2-B954-BE1431FDB46D}"/>
    <cellStyle name="Comma 4 4 6 3" xfId="5865" xr:uid="{00000000-0005-0000-0000-00001D0A0000}"/>
    <cellStyle name="Comma 4 4 6 3 2" xfId="14307" xr:uid="{CA6744D2-DCCF-479E-97A8-D0AA957559A1}"/>
    <cellStyle name="Comma 4 4 6 3 3" xfId="22744" xr:uid="{C389510B-3799-4DD5-AE95-7CF8957E8C67}"/>
    <cellStyle name="Comma 4 4 6 4" xfId="10089" xr:uid="{90343C6F-F3E7-4621-943C-42E2F2085CA3}"/>
    <cellStyle name="Comma 4 4 6 5" xfId="18527" xr:uid="{88EEBDCE-31DC-4CB3-82BE-D335A9C8B3BF}"/>
    <cellStyle name="Comma 4 4 7" xfId="1971" xr:uid="{00000000-0005-0000-0000-00001E0A0000}"/>
    <cellStyle name="Comma 4 4 7 2" xfId="4200" xr:uid="{00000000-0005-0000-0000-00001F0A0000}"/>
    <cellStyle name="Comma 4 4 7 2 2" xfId="8423" xr:uid="{00000000-0005-0000-0000-0000200A0000}"/>
    <cellStyle name="Comma 4 4 7 2 2 2" xfId="16865" xr:uid="{A0239325-336B-40B7-94A1-A31C8BEC8EEE}"/>
    <cellStyle name="Comma 4 4 7 2 2 3" xfId="25302" xr:uid="{C201DCB1-4F20-47EC-A56A-176B54F49CA3}"/>
    <cellStyle name="Comma 4 4 7 2 3" xfId="12647" xr:uid="{4E591C55-3FD9-4243-BEDD-3446830FABDD}"/>
    <cellStyle name="Comma 4 4 7 2 4" xfId="21085" xr:uid="{CE00D574-5779-42D6-8C08-36B957476348}"/>
    <cellStyle name="Comma 4 4 7 3" xfId="6278" xr:uid="{00000000-0005-0000-0000-0000210A0000}"/>
    <cellStyle name="Comma 4 4 7 3 2" xfId="14720" xr:uid="{35BFA8E7-E6D7-4B38-82BD-1900C9C7E807}"/>
    <cellStyle name="Comma 4 4 7 3 3" xfId="23157" xr:uid="{23C8CF56-A153-459E-A06F-3E166B4207C2}"/>
    <cellStyle name="Comma 4 4 7 4" xfId="10502" xr:uid="{2A81627C-2EEE-4D56-AF73-8F63E4921A42}"/>
    <cellStyle name="Comma 4 4 7 5" xfId="18940" xr:uid="{5450D615-3E13-44BD-B741-340E7C9917F8}"/>
    <cellStyle name="Comma 4 4 8" xfId="2406" xr:uid="{00000000-0005-0000-0000-0000220A0000}"/>
    <cellStyle name="Comma 4 4 8 2" xfId="6691" xr:uid="{00000000-0005-0000-0000-0000230A0000}"/>
    <cellStyle name="Comma 4 4 8 2 2" xfId="15133" xr:uid="{938AEF5D-FFD4-460F-A6B3-B20833DF5040}"/>
    <cellStyle name="Comma 4 4 8 2 3" xfId="23570" xr:uid="{546FF196-8D0B-49EA-AB95-794EC051CB18}"/>
    <cellStyle name="Comma 4 4 8 3" xfId="10915" xr:uid="{68B35373-D0C7-4D13-A85F-8AA7DAD1A788}"/>
    <cellStyle name="Comma 4 4 8 4" xfId="19353" xr:uid="{78D9D476-7EEE-4AB3-8701-8F8E2BC66E30}"/>
    <cellStyle name="Comma 4 4 9" xfId="2702" xr:uid="{00000000-0005-0000-0000-0000240A0000}"/>
    <cellStyle name="Comma 4 5" xfId="157" xr:uid="{00000000-0005-0000-0000-0000250A0000}"/>
    <cellStyle name="Comma 4 5 10" xfId="4629" xr:uid="{00000000-0005-0000-0000-0000260A0000}"/>
    <cellStyle name="Comma 4 5 10 2" xfId="13071" xr:uid="{65B8E383-CDC9-4DFC-BB99-B566557FAFDF}"/>
    <cellStyle name="Comma 4 5 10 3" xfId="21508" xr:uid="{376F2C47-DFE5-406A-B98C-F6DE7821E6AE}"/>
    <cellStyle name="Comma 4 5 11" xfId="8853" xr:uid="{0FB74179-1C2B-416E-9AA9-6E7E3A919B53}"/>
    <cellStyle name="Comma 4 5 12" xfId="17291" xr:uid="{6A62B78D-DF26-41EB-85C6-5ECABDA3723D}"/>
    <cellStyle name="Comma 4 5 2" xfId="158" xr:uid="{00000000-0005-0000-0000-0000270A0000}"/>
    <cellStyle name="Comma 4 5 2 10" xfId="8854" xr:uid="{C6043C39-8B54-44FF-A30E-DFF871D7D2A9}"/>
    <cellStyle name="Comma 4 5 2 11" xfId="17292" xr:uid="{5669C34F-B85B-4153-A2CC-EABE7366CEDC}"/>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4E5DCCD9-B0D7-4BCC-B6D4-2BE7F769417F}"/>
    <cellStyle name="Comma 4 5 2 2 2 2 3" xfId="24068" xr:uid="{4623732A-FEF7-4AB2-BF24-4B5C0225336E}"/>
    <cellStyle name="Comma 4 5 2 2 2 3" xfId="11413" xr:uid="{1DEDE398-2BC5-4037-8C8D-9810CFD6B4C9}"/>
    <cellStyle name="Comma 4 5 2 2 2 4" xfId="19851" xr:uid="{F827D082-8F84-4FF6-82DF-156A1F8B3113}"/>
    <cellStyle name="Comma 4 5 2 2 3" xfId="5044" xr:uid="{00000000-0005-0000-0000-00002B0A0000}"/>
    <cellStyle name="Comma 4 5 2 2 3 2" xfId="13486" xr:uid="{5D3FF57F-AFEA-4193-A459-D2B924CE9B94}"/>
    <cellStyle name="Comma 4 5 2 2 3 3" xfId="21923" xr:uid="{14167323-4EC5-406D-B339-D05D90DAC235}"/>
    <cellStyle name="Comma 4 5 2 2 4" xfId="9268" xr:uid="{E6ACACA5-6A19-46BA-AAD3-A12CCC3E827C}"/>
    <cellStyle name="Comma 4 5 2 2 5" xfId="17706" xr:uid="{7076F1C7-4624-41E3-A31B-993467DF8D27}"/>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927D2673-664F-4B0F-ABC9-B7774C2A7609}"/>
    <cellStyle name="Comma 4 5 2 3 2 2 3" xfId="24481" xr:uid="{0A7DB228-2329-4CE4-A317-E8F4603B0895}"/>
    <cellStyle name="Comma 4 5 2 3 2 3" xfId="11826" xr:uid="{38620601-6B79-4CA4-A5DB-071AFAE77A8D}"/>
    <cellStyle name="Comma 4 5 2 3 2 4" xfId="20264" xr:uid="{E21AA11E-CB58-4AAD-9BFF-C482A2952204}"/>
    <cellStyle name="Comma 4 5 2 3 3" xfId="5457" xr:uid="{00000000-0005-0000-0000-00002F0A0000}"/>
    <cellStyle name="Comma 4 5 2 3 3 2" xfId="13899" xr:uid="{317703A7-6F2A-4D89-9B16-0BD497D071CE}"/>
    <cellStyle name="Comma 4 5 2 3 3 3" xfId="22336" xr:uid="{12D672F5-E3FB-4FE4-AD30-1FD5E6C6F698}"/>
    <cellStyle name="Comma 4 5 2 3 4" xfId="9681" xr:uid="{D008B486-5EAF-439D-8571-2F67C88C0934}"/>
    <cellStyle name="Comma 4 5 2 3 5" xfId="18119" xr:uid="{4597521B-E52B-4129-B1A7-3B1C49FB0C9B}"/>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48443813-8364-48FA-8FE7-4E2042FD76D3}"/>
    <cellStyle name="Comma 4 5 2 4 2 2 3" xfId="24894" xr:uid="{C4ED9A21-C893-4DB8-89EF-AC5C20DD9B62}"/>
    <cellStyle name="Comma 4 5 2 4 2 3" xfId="12239" xr:uid="{29EC5443-A702-48C8-B1B9-E632402D6711}"/>
    <cellStyle name="Comma 4 5 2 4 2 4" xfId="20677" xr:uid="{9C9FFC34-D404-41FD-BFD9-B3ECF1016124}"/>
    <cellStyle name="Comma 4 5 2 4 3" xfId="5870" xr:uid="{00000000-0005-0000-0000-0000330A0000}"/>
    <cellStyle name="Comma 4 5 2 4 3 2" xfId="14312" xr:uid="{1F244DAE-9378-4990-8A22-2FDF78B7A2D6}"/>
    <cellStyle name="Comma 4 5 2 4 3 3" xfId="22749" xr:uid="{B4DEE556-BA7B-400E-B03C-910A72B727AF}"/>
    <cellStyle name="Comma 4 5 2 4 4" xfId="10094" xr:uid="{317E9FDC-57C5-4184-949B-B35D9057AE9D}"/>
    <cellStyle name="Comma 4 5 2 4 5" xfId="18532" xr:uid="{BEB9506B-EF35-4CCB-9B0B-EABD19AE506A}"/>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194BCE97-A56B-40E4-A91C-371E045290C7}"/>
    <cellStyle name="Comma 4 5 2 5 2 2 3" xfId="25307" xr:uid="{7C0AFB99-F184-474F-992C-0D72D2A867C3}"/>
    <cellStyle name="Comma 4 5 2 5 2 3" xfId="12652" xr:uid="{165B0750-531E-4079-AC23-6E1A984D2902}"/>
    <cellStyle name="Comma 4 5 2 5 2 4" xfId="21090" xr:uid="{6B3C5DC7-B3D2-4B64-98B3-708515A38F29}"/>
    <cellStyle name="Comma 4 5 2 5 3" xfId="6283" xr:uid="{00000000-0005-0000-0000-0000370A0000}"/>
    <cellStyle name="Comma 4 5 2 5 3 2" xfId="14725" xr:uid="{49DB1938-B5D3-4DB6-A798-0B22340A8787}"/>
    <cellStyle name="Comma 4 5 2 5 3 3" xfId="23162" xr:uid="{512B2658-2067-42E7-A959-EBF84B14D2E1}"/>
    <cellStyle name="Comma 4 5 2 5 4" xfId="10507" xr:uid="{BB00C42A-A4DE-4B99-BB8A-3CEE02EC8EF6}"/>
    <cellStyle name="Comma 4 5 2 5 5" xfId="18945" xr:uid="{9C48A522-1648-4C42-9393-21300FF35E4F}"/>
    <cellStyle name="Comma 4 5 2 6" xfId="2411" xr:uid="{00000000-0005-0000-0000-0000380A0000}"/>
    <cellStyle name="Comma 4 5 2 6 2" xfId="6696" xr:uid="{00000000-0005-0000-0000-0000390A0000}"/>
    <cellStyle name="Comma 4 5 2 6 2 2" xfId="15138" xr:uid="{2D04A0ED-FF92-4B11-A8C3-ECAE805F77E9}"/>
    <cellStyle name="Comma 4 5 2 6 2 3" xfId="23575" xr:uid="{71BCBEFA-7B84-423E-8DCE-818379824E9F}"/>
    <cellStyle name="Comma 4 5 2 6 3" xfId="10920" xr:uid="{CDC45F5A-FC85-4AB3-A9C0-C80F0B1B223D}"/>
    <cellStyle name="Comma 4 5 2 6 4" xfId="19358" xr:uid="{70F2D68D-8739-4241-B6CB-1E3E2AD9CEED}"/>
    <cellStyle name="Comma 4 5 2 7" xfId="2707" xr:uid="{00000000-0005-0000-0000-00003A0A0000}"/>
    <cellStyle name="Comma 4 5 2 8" xfId="2789" xr:uid="{00000000-0005-0000-0000-00003B0A0000}"/>
    <cellStyle name="Comma 4 5 2 8 2" xfId="7013" xr:uid="{00000000-0005-0000-0000-00003C0A0000}"/>
    <cellStyle name="Comma 4 5 2 8 2 2" xfId="15455" xr:uid="{4EBEA544-7B08-427A-BD60-CAD2DB9F4BDB}"/>
    <cellStyle name="Comma 4 5 2 8 2 3" xfId="23892" xr:uid="{0900B411-D9B5-4FD2-9406-E7A62FFEB4B2}"/>
    <cellStyle name="Comma 4 5 2 8 3" xfId="11237" xr:uid="{854F2967-FCA6-4D55-8F80-9A04FAFE888D}"/>
    <cellStyle name="Comma 4 5 2 8 4" xfId="19675" xr:uid="{E16DD08E-35A4-4E54-AD1C-45A12C8F862A}"/>
    <cellStyle name="Comma 4 5 2 9" xfId="4630" xr:uid="{00000000-0005-0000-0000-00003D0A0000}"/>
    <cellStyle name="Comma 4 5 2 9 2" xfId="13072" xr:uid="{BED85BC0-8D0F-4415-A8B2-891D7EA926D2}"/>
    <cellStyle name="Comma 4 5 2 9 3" xfId="21509" xr:uid="{07034E26-BD8B-4D1A-8447-8F40165E0C4B}"/>
    <cellStyle name="Comma 4 5 3" xfId="694" xr:uid="{00000000-0005-0000-0000-00003E0A0000}"/>
    <cellStyle name="Comma 4 5 3 2" xfId="2965" xr:uid="{00000000-0005-0000-0000-00003F0A0000}"/>
    <cellStyle name="Comma 4 5 3 2 2" xfId="7188" xr:uid="{00000000-0005-0000-0000-0000400A0000}"/>
    <cellStyle name="Comma 4 5 3 2 2 2" xfId="15630" xr:uid="{0F0D944B-02B7-4C98-97E7-9657EA2EDCDD}"/>
    <cellStyle name="Comma 4 5 3 2 2 3" xfId="24067" xr:uid="{111F186D-9577-4878-B128-94AF593AF01B}"/>
    <cellStyle name="Comma 4 5 3 2 3" xfId="11412" xr:uid="{0C80E6D5-E127-4F3F-9511-FC93C325DF84}"/>
    <cellStyle name="Comma 4 5 3 2 4" xfId="19850" xr:uid="{714D18A5-BF06-44F2-BBC9-BF8F8F91B233}"/>
    <cellStyle name="Comma 4 5 3 3" xfId="5043" xr:uid="{00000000-0005-0000-0000-0000410A0000}"/>
    <cellStyle name="Comma 4 5 3 3 2" xfId="13485" xr:uid="{7E7C9088-E1B7-4F62-94F6-F7B06AA9D704}"/>
    <cellStyle name="Comma 4 5 3 3 3" xfId="21922" xr:uid="{6520639B-2D1E-4F54-9B4B-9871FB65E2D2}"/>
    <cellStyle name="Comma 4 5 3 4" xfId="9267" xr:uid="{0891611B-B687-43A2-9495-05A6D8088B1E}"/>
    <cellStyle name="Comma 4 5 3 5" xfId="17705" xr:uid="{975F84BB-9081-4908-AB75-5F5DD40757B6}"/>
    <cellStyle name="Comma 4 5 4" xfId="1147" xr:uid="{00000000-0005-0000-0000-0000420A0000}"/>
    <cellStyle name="Comma 4 5 4 2" xfId="3378" xr:uid="{00000000-0005-0000-0000-0000430A0000}"/>
    <cellStyle name="Comma 4 5 4 2 2" xfId="7601" xr:uid="{00000000-0005-0000-0000-0000440A0000}"/>
    <cellStyle name="Comma 4 5 4 2 2 2" xfId="16043" xr:uid="{B4F03E38-0917-4B4C-8254-E3B3C9893FCF}"/>
    <cellStyle name="Comma 4 5 4 2 2 3" xfId="24480" xr:uid="{252BD6C5-C4FD-49FD-8123-C392DECA3DC1}"/>
    <cellStyle name="Comma 4 5 4 2 3" xfId="11825" xr:uid="{CCCDE16A-850A-463C-82C5-FB52E62D5B90}"/>
    <cellStyle name="Comma 4 5 4 2 4" xfId="20263" xr:uid="{A14228E6-C5B3-4517-ADEA-133437C4E3E7}"/>
    <cellStyle name="Comma 4 5 4 3" xfId="5456" xr:uid="{00000000-0005-0000-0000-0000450A0000}"/>
    <cellStyle name="Comma 4 5 4 3 2" xfId="13898" xr:uid="{299CC967-85E7-4FDD-9D2E-BF5480876EE2}"/>
    <cellStyle name="Comma 4 5 4 3 3" xfId="22335" xr:uid="{2B43DA66-FD1F-4912-9518-F28A6334C199}"/>
    <cellStyle name="Comma 4 5 4 4" xfId="9680" xr:uid="{7A32C735-858C-4973-8122-A4FBFD06889E}"/>
    <cellStyle name="Comma 4 5 4 5" xfId="18118" xr:uid="{C42B2F60-E466-4C8E-A9D4-1B76144BCEE6}"/>
    <cellStyle name="Comma 4 5 5" xfId="1561" xr:uid="{00000000-0005-0000-0000-0000460A0000}"/>
    <cellStyle name="Comma 4 5 5 2" xfId="3791" xr:uid="{00000000-0005-0000-0000-0000470A0000}"/>
    <cellStyle name="Comma 4 5 5 2 2" xfId="8014" xr:uid="{00000000-0005-0000-0000-0000480A0000}"/>
    <cellStyle name="Comma 4 5 5 2 2 2" xfId="16456" xr:uid="{F3A3CB7C-2BD4-4E76-9955-0983FAD44DFF}"/>
    <cellStyle name="Comma 4 5 5 2 2 3" xfId="24893" xr:uid="{4F99D6B7-9F94-4680-92E5-E31767418EE6}"/>
    <cellStyle name="Comma 4 5 5 2 3" xfId="12238" xr:uid="{2A5D8FF5-144F-4C62-99FE-1048F7BF353C}"/>
    <cellStyle name="Comma 4 5 5 2 4" xfId="20676" xr:uid="{9131A629-F2DA-49FF-917E-83689E6DE584}"/>
    <cellStyle name="Comma 4 5 5 3" xfId="5869" xr:uid="{00000000-0005-0000-0000-0000490A0000}"/>
    <cellStyle name="Comma 4 5 5 3 2" xfId="14311" xr:uid="{ECBB70EB-1F16-47A4-9F89-C90F8C1BBDF9}"/>
    <cellStyle name="Comma 4 5 5 3 3" xfId="22748" xr:uid="{D681BAA4-E0D9-4DEA-AC6F-98FB067BC584}"/>
    <cellStyle name="Comma 4 5 5 4" xfId="10093" xr:uid="{FB38E989-A933-4A05-96E8-C9B31268F756}"/>
    <cellStyle name="Comma 4 5 5 5" xfId="18531" xr:uid="{A95FFB1A-353C-4BDF-B0A1-225B90722E8E}"/>
    <cellStyle name="Comma 4 5 6" xfId="1975" xr:uid="{00000000-0005-0000-0000-00004A0A0000}"/>
    <cellStyle name="Comma 4 5 6 2" xfId="4204" xr:uid="{00000000-0005-0000-0000-00004B0A0000}"/>
    <cellStyle name="Comma 4 5 6 2 2" xfId="8427" xr:uid="{00000000-0005-0000-0000-00004C0A0000}"/>
    <cellStyle name="Comma 4 5 6 2 2 2" xfId="16869" xr:uid="{19466A71-6888-40F2-8270-DBFF6205B229}"/>
    <cellStyle name="Comma 4 5 6 2 2 3" xfId="25306" xr:uid="{7F03DED8-AF50-45B5-A1DB-0E3E602E4878}"/>
    <cellStyle name="Comma 4 5 6 2 3" xfId="12651" xr:uid="{95B2E601-4D95-4A8F-B4F5-A00FB13964AF}"/>
    <cellStyle name="Comma 4 5 6 2 4" xfId="21089" xr:uid="{5AC77DA4-0815-4065-9B73-A5E980469B3D}"/>
    <cellStyle name="Comma 4 5 6 3" xfId="6282" xr:uid="{00000000-0005-0000-0000-00004D0A0000}"/>
    <cellStyle name="Comma 4 5 6 3 2" xfId="14724" xr:uid="{6F49FD36-1740-4FE0-8B72-760B4C2765BB}"/>
    <cellStyle name="Comma 4 5 6 3 3" xfId="23161" xr:uid="{CE8C7CE1-90D4-4C9E-98D7-65E6D44842C9}"/>
    <cellStyle name="Comma 4 5 6 4" xfId="10506" xr:uid="{A3DD3E8D-596D-49AA-858D-FC01EBD57FA4}"/>
    <cellStyle name="Comma 4 5 6 5" xfId="18944" xr:uid="{0DD2A3D8-2B9A-413F-8778-1CCD2414246D}"/>
    <cellStyle name="Comma 4 5 7" xfId="2410" xr:uid="{00000000-0005-0000-0000-00004E0A0000}"/>
    <cellStyle name="Comma 4 5 7 2" xfId="6695" xr:uid="{00000000-0005-0000-0000-00004F0A0000}"/>
    <cellStyle name="Comma 4 5 7 2 2" xfId="15137" xr:uid="{48114B14-B03C-4DE0-9F66-E20344F28583}"/>
    <cellStyle name="Comma 4 5 7 2 3" xfId="23574" xr:uid="{C38FBC1C-ED27-410F-920E-64EDB08C4F00}"/>
    <cellStyle name="Comma 4 5 7 3" xfId="10919" xr:uid="{890728D8-1DEC-49B7-9CAB-156A3DEE367C}"/>
    <cellStyle name="Comma 4 5 7 4" xfId="19357" xr:uid="{4CDB8537-FF67-4D35-800F-D3B6F473267E}"/>
    <cellStyle name="Comma 4 5 8" xfId="2706" xr:uid="{00000000-0005-0000-0000-0000500A0000}"/>
    <cellStyle name="Comma 4 5 9" xfId="2788" xr:uid="{00000000-0005-0000-0000-0000510A0000}"/>
    <cellStyle name="Comma 4 5 9 2" xfId="7012" xr:uid="{00000000-0005-0000-0000-0000520A0000}"/>
    <cellStyle name="Comma 4 5 9 2 2" xfId="15454" xr:uid="{50816BD3-AD58-4F1B-BEDF-72BC5995C09A}"/>
    <cellStyle name="Comma 4 5 9 2 3" xfId="23891" xr:uid="{FF5E6AEB-5446-41DC-B898-B78A7357BBF6}"/>
    <cellStyle name="Comma 4 5 9 3" xfId="11236" xr:uid="{1430B90E-4B7E-43C8-A57E-74DEEC14FDD3}"/>
    <cellStyle name="Comma 4 5 9 4" xfId="19674" xr:uid="{E0B3B63F-9909-4C15-875B-F609E7DCE613}"/>
    <cellStyle name="Comma 4 6" xfId="159" xr:uid="{00000000-0005-0000-0000-0000530A0000}"/>
    <cellStyle name="Comma 4 6 10" xfId="8855" xr:uid="{6D6004B4-ACF4-4D90-BA80-7DB3BD0CAED7}"/>
    <cellStyle name="Comma 4 6 11" xfId="17293" xr:uid="{15786F52-DFAB-4A5F-AF9A-A773578F4D41}"/>
    <cellStyle name="Comma 4 6 2" xfId="696" xr:uid="{00000000-0005-0000-0000-0000540A0000}"/>
    <cellStyle name="Comma 4 6 2 2" xfId="2967" xr:uid="{00000000-0005-0000-0000-0000550A0000}"/>
    <cellStyle name="Comma 4 6 2 2 2" xfId="7190" xr:uid="{00000000-0005-0000-0000-0000560A0000}"/>
    <cellStyle name="Comma 4 6 2 2 2 2" xfId="15632" xr:uid="{CB097248-70D6-4B45-AA88-386B72455528}"/>
    <cellStyle name="Comma 4 6 2 2 2 3" xfId="24069" xr:uid="{0DF77E11-2D8C-4983-87EB-82E0F973F6B9}"/>
    <cellStyle name="Comma 4 6 2 2 3" xfId="11414" xr:uid="{7E0767E9-0CC2-476B-B0CF-3210314AF71F}"/>
    <cellStyle name="Comma 4 6 2 2 4" xfId="19852" xr:uid="{ADEAD4FD-DF3D-4F9D-837A-7EAD525948C1}"/>
    <cellStyle name="Comma 4 6 2 3" xfId="5045" xr:uid="{00000000-0005-0000-0000-0000570A0000}"/>
    <cellStyle name="Comma 4 6 2 3 2" xfId="13487" xr:uid="{4CFE54E3-58BD-4447-B926-BC3DA1B54E3A}"/>
    <cellStyle name="Comma 4 6 2 3 3" xfId="21924" xr:uid="{227FCE5F-1C67-4F55-A73B-5BD9018D05AC}"/>
    <cellStyle name="Comma 4 6 2 4" xfId="9269" xr:uid="{13CDD61A-5CBC-43C4-AC8F-B847D1D634A0}"/>
    <cellStyle name="Comma 4 6 2 5" xfId="17707" xr:uid="{7B00B435-B0A8-41E5-80AE-3A41F635EDFF}"/>
    <cellStyle name="Comma 4 6 3" xfId="1149" xr:uid="{00000000-0005-0000-0000-0000580A0000}"/>
    <cellStyle name="Comma 4 6 3 2" xfId="3380" xr:uid="{00000000-0005-0000-0000-0000590A0000}"/>
    <cellStyle name="Comma 4 6 3 2 2" xfId="7603" xr:uid="{00000000-0005-0000-0000-00005A0A0000}"/>
    <cellStyle name="Comma 4 6 3 2 2 2" xfId="16045" xr:uid="{4CD5CE88-D568-4FF8-983F-A77377D35B7D}"/>
    <cellStyle name="Comma 4 6 3 2 2 3" xfId="24482" xr:uid="{10E73D09-1443-4CFB-AAF6-17297E198FD8}"/>
    <cellStyle name="Comma 4 6 3 2 3" xfId="11827" xr:uid="{E556E130-FA8A-4076-B6D9-F7B14C70FB98}"/>
    <cellStyle name="Comma 4 6 3 2 4" xfId="20265" xr:uid="{828A3D5E-EEAF-4807-82F3-30F8C7F7DCC4}"/>
    <cellStyle name="Comma 4 6 3 3" xfId="5458" xr:uid="{00000000-0005-0000-0000-00005B0A0000}"/>
    <cellStyle name="Comma 4 6 3 3 2" xfId="13900" xr:uid="{6922BC64-E779-44AB-85DC-C68914685631}"/>
    <cellStyle name="Comma 4 6 3 3 3" xfId="22337" xr:uid="{87000407-21EF-4ADE-BC60-505ABADCBF98}"/>
    <cellStyle name="Comma 4 6 3 4" xfId="9682" xr:uid="{FE996851-2AC2-411D-A4D2-2E6CF06EE14A}"/>
    <cellStyle name="Comma 4 6 3 5" xfId="18120" xr:uid="{F88D2561-D485-4AE2-97F7-5161081D070A}"/>
    <cellStyle name="Comma 4 6 4" xfId="1563" xr:uid="{00000000-0005-0000-0000-00005C0A0000}"/>
    <cellStyle name="Comma 4 6 4 2" xfId="3793" xr:uid="{00000000-0005-0000-0000-00005D0A0000}"/>
    <cellStyle name="Comma 4 6 4 2 2" xfId="8016" xr:uid="{00000000-0005-0000-0000-00005E0A0000}"/>
    <cellStyle name="Comma 4 6 4 2 2 2" xfId="16458" xr:uid="{7B127942-C34C-46F1-8CF9-1832A1D84A16}"/>
    <cellStyle name="Comma 4 6 4 2 2 3" xfId="24895" xr:uid="{CCE189B6-F8DC-4A08-A80C-C33659228960}"/>
    <cellStyle name="Comma 4 6 4 2 3" xfId="12240" xr:uid="{609262D8-F99A-4904-A0D1-423A20AD5762}"/>
    <cellStyle name="Comma 4 6 4 2 4" xfId="20678" xr:uid="{1669BA0F-17D8-49A0-8FAE-D07E27655863}"/>
    <cellStyle name="Comma 4 6 4 3" xfId="5871" xr:uid="{00000000-0005-0000-0000-00005F0A0000}"/>
    <cellStyle name="Comma 4 6 4 3 2" xfId="14313" xr:uid="{162A03E5-A78C-4D9E-AC7C-819B132140E1}"/>
    <cellStyle name="Comma 4 6 4 3 3" xfId="22750" xr:uid="{2C6D3291-6138-4FFC-B756-5DB9503AE66F}"/>
    <cellStyle name="Comma 4 6 4 4" xfId="10095" xr:uid="{C39F8E49-8BBA-4E22-9B68-7C6E82194309}"/>
    <cellStyle name="Comma 4 6 4 5" xfId="18533" xr:uid="{11BE4EBD-A519-4A6B-AB32-1EC599891F44}"/>
    <cellStyle name="Comma 4 6 5" xfId="1977" xr:uid="{00000000-0005-0000-0000-0000600A0000}"/>
    <cellStyle name="Comma 4 6 5 2" xfId="4206" xr:uid="{00000000-0005-0000-0000-0000610A0000}"/>
    <cellStyle name="Comma 4 6 5 2 2" xfId="8429" xr:uid="{00000000-0005-0000-0000-0000620A0000}"/>
    <cellStyle name="Comma 4 6 5 2 2 2" xfId="16871" xr:uid="{F9695F82-D298-4A91-AC50-D0F97328523D}"/>
    <cellStyle name="Comma 4 6 5 2 2 3" xfId="25308" xr:uid="{84B0447A-1E82-4135-BD5B-FCC76B523EA1}"/>
    <cellStyle name="Comma 4 6 5 2 3" xfId="12653" xr:uid="{18DA38E6-ABC9-4767-833B-69DD15DE478A}"/>
    <cellStyle name="Comma 4 6 5 2 4" xfId="21091" xr:uid="{2EE03D86-962F-4BE0-BF6A-1D150016FF4D}"/>
    <cellStyle name="Comma 4 6 5 3" xfId="6284" xr:uid="{00000000-0005-0000-0000-0000630A0000}"/>
    <cellStyle name="Comma 4 6 5 3 2" xfId="14726" xr:uid="{DA7B7E28-B779-4EF0-A053-617D1EB1600F}"/>
    <cellStyle name="Comma 4 6 5 3 3" xfId="23163" xr:uid="{23A5B79E-103B-4071-86C9-CBCD0E058310}"/>
    <cellStyle name="Comma 4 6 5 4" xfId="10508" xr:uid="{F03203D4-E3FF-4BB8-878F-C6BE019ED2C3}"/>
    <cellStyle name="Comma 4 6 5 5" xfId="18946" xr:uid="{ADB70D0D-8688-46C1-9EC3-F192C611BF67}"/>
    <cellStyle name="Comma 4 6 6" xfId="2412" xr:uid="{00000000-0005-0000-0000-0000640A0000}"/>
    <cellStyle name="Comma 4 6 6 2" xfId="6697" xr:uid="{00000000-0005-0000-0000-0000650A0000}"/>
    <cellStyle name="Comma 4 6 6 2 2" xfId="15139" xr:uid="{08A066F3-B32B-4B1E-834D-784E3DCBFAEA}"/>
    <cellStyle name="Comma 4 6 6 2 3" xfId="23576" xr:uid="{FC2E9F86-29E5-4FF8-A7EC-937322721D9D}"/>
    <cellStyle name="Comma 4 6 6 3" xfId="10921" xr:uid="{DE2EBF98-1555-447F-A932-04CCE1D4FB4B}"/>
    <cellStyle name="Comma 4 6 6 4" xfId="19359" xr:uid="{4A0198BC-DDC2-467F-9B5A-DE0977D08AA9}"/>
    <cellStyle name="Comma 4 6 7" xfId="2708" xr:uid="{00000000-0005-0000-0000-0000660A0000}"/>
    <cellStyle name="Comma 4 6 8" xfId="2790" xr:uid="{00000000-0005-0000-0000-0000670A0000}"/>
    <cellStyle name="Comma 4 6 8 2" xfId="7014" xr:uid="{00000000-0005-0000-0000-0000680A0000}"/>
    <cellStyle name="Comma 4 6 8 2 2" xfId="15456" xr:uid="{7B341F44-5B6F-4EE2-A278-C9F8E4210877}"/>
    <cellStyle name="Comma 4 6 8 2 3" xfId="23893" xr:uid="{F36B1988-07C7-41EF-A528-B33AF5F4B9B2}"/>
    <cellStyle name="Comma 4 6 8 3" xfId="11238" xr:uid="{DF0539C3-36D4-4CD7-ADFA-33C95F87CD90}"/>
    <cellStyle name="Comma 4 6 8 4" xfId="19676" xr:uid="{AFEF7D21-49DA-4D5F-8310-6F9F91C3620C}"/>
    <cellStyle name="Comma 4 6 9" xfId="4631" xr:uid="{00000000-0005-0000-0000-0000690A0000}"/>
    <cellStyle name="Comma 4 6 9 2" xfId="13073" xr:uid="{F40060C1-C07E-467B-970A-CBA2622C7987}"/>
    <cellStyle name="Comma 4 6 9 3" xfId="21510" xr:uid="{BC6AA5F6-8C17-4214-B30C-905004C8BAA9}"/>
    <cellStyle name="Comma 4 7" xfId="160" xr:uid="{00000000-0005-0000-0000-00006A0A0000}"/>
    <cellStyle name="Comma 4 7 10" xfId="8856" xr:uid="{68C42D93-CBB8-4883-9663-99F18F32673D}"/>
    <cellStyle name="Comma 4 7 11" xfId="17294" xr:uid="{D9641CC6-3321-4C16-8BCC-B7A5FDF486C1}"/>
    <cellStyle name="Comma 4 7 2" xfId="697" xr:uid="{00000000-0005-0000-0000-00006B0A0000}"/>
    <cellStyle name="Comma 4 7 2 2" xfId="2968" xr:uid="{00000000-0005-0000-0000-00006C0A0000}"/>
    <cellStyle name="Comma 4 7 2 2 2" xfId="7191" xr:uid="{00000000-0005-0000-0000-00006D0A0000}"/>
    <cellStyle name="Comma 4 7 2 2 2 2" xfId="15633" xr:uid="{F5E9991B-0428-4279-A31B-201FD05FE340}"/>
    <cellStyle name="Comma 4 7 2 2 2 3" xfId="24070" xr:uid="{B25F5972-3C1F-4991-8B11-BE63003925C9}"/>
    <cellStyle name="Comma 4 7 2 2 3" xfId="11415" xr:uid="{CAC2C760-C4B8-4544-823B-E508C6D9F761}"/>
    <cellStyle name="Comma 4 7 2 2 4" xfId="19853" xr:uid="{E0493DE9-AB91-4985-AB4D-89A40A4CE2D3}"/>
    <cellStyle name="Comma 4 7 2 3" xfId="5046" xr:uid="{00000000-0005-0000-0000-00006E0A0000}"/>
    <cellStyle name="Comma 4 7 2 3 2" xfId="13488" xr:uid="{7B7FD65A-08C8-4129-A1AF-44B4B45B33F5}"/>
    <cellStyle name="Comma 4 7 2 3 3" xfId="21925" xr:uid="{AF3ED6C3-4EC9-4D48-AD14-5D809CB7230D}"/>
    <cellStyle name="Comma 4 7 2 4" xfId="9270" xr:uid="{71EBBAE3-BD19-40C1-9844-468B7FD1CEEE}"/>
    <cellStyle name="Comma 4 7 2 5" xfId="17708" xr:uid="{97C3870D-F0B2-4242-8A55-E5209DCAB4A4}"/>
    <cellStyle name="Comma 4 7 3" xfId="1150" xr:uid="{00000000-0005-0000-0000-00006F0A0000}"/>
    <cellStyle name="Comma 4 7 3 2" xfId="3381" xr:uid="{00000000-0005-0000-0000-0000700A0000}"/>
    <cellStyle name="Comma 4 7 3 2 2" xfId="7604" xr:uid="{00000000-0005-0000-0000-0000710A0000}"/>
    <cellStyle name="Comma 4 7 3 2 2 2" xfId="16046" xr:uid="{8751309E-A025-4FF3-978F-AD7FF2586E96}"/>
    <cellStyle name="Comma 4 7 3 2 2 3" xfId="24483" xr:uid="{7A1E5832-581B-4A8D-B80A-776C0310BB84}"/>
    <cellStyle name="Comma 4 7 3 2 3" xfId="11828" xr:uid="{1BB69971-9679-4252-AE4F-EE67772E1214}"/>
    <cellStyle name="Comma 4 7 3 2 4" xfId="20266" xr:uid="{B9884697-D3E2-428E-9B85-A766E2BD97F9}"/>
    <cellStyle name="Comma 4 7 3 3" xfId="5459" xr:uid="{00000000-0005-0000-0000-0000720A0000}"/>
    <cellStyle name="Comma 4 7 3 3 2" xfId="13901" xr:uid="{31872942-CFF0-4C00-A6C8-841782DFDC08}"/>
    <cellStyle name="Comma 4 7 3 3 3" xfId="22338" xr:uid="{C75E3B1F-EACC-44AF-BCB0-CA784390697B}"/>
    <cellStyle name="Comma 4 7 3 4" xfId="9683" xr:uid="{1AF67BA0-530E-4CEB-85ED-82DD3055FA7B}"/>
    <cellStyle name="Comma 4 7 3 5" xfId="18121" xr:uid="{A571D8CB-8077-4740-9654-E826BE6604B0}"/>
    <cellStyle name="Comma 4 7 4" xfId="1564" xr:uid="{00000000-0005-0000-0000-0000730A0000}"/>
    <cellStyle name="Comma 4 7 4 2" xfId="3794" xr:uid="{00000000-0005-0000-0000-0000740A0000}"/>
    <cellStyle name="Comma 4 7 4 2 2" xfId="8017" xr:uid="{00000000-0005-0000-0000-0000750A0000}"/>
    <cellStyle name="Comma 4 7 4 2 2 2" xfId="16459" xr:uid="{C175E4AE-42E7-429F-B639-809A74600515}"/>
    <cellStyle name="Comma 4 7 4 2 2 3" xfId="24896" xr:uid="{ACF9A656-8698-4DC2-9D7C-6ADD6269B5D0}"/>
    <cellStyle name="Comma 4 7 4 2 3" xfId="12241" xr:uid="{8D757992-89E7-4107-8212-7CB4EF1C5DB3}"/>
    <cellStyle name="Comma 4 7 4 2 4" xfId="20679" xr:uid="{208A03DF-0AD9-49BA-A106-B0411FB7030B}"/>
    <cellStyle name="Comma 4 7 4 3" xfId="5872" xr:uid="{00000000-0005-0000-0000-0000760A0000}"/>
    <cellStyle name="Comma 4 7 4 3 2" xfId="14314" xr:uid="{1A539212-2719-475E-BCCE-61FF74B899CC}"/>
    <cellStyle name="Comma 4 7 4 3 3" xfId="22751" xr:uid="{308E76E4-8225-4B2A-B829-6607A9272C49}"/>
    <cellStyle name="Comma 4 7 4 4" xfId="10096" xr:uid="{C84C90FD-50F0-4E03-BA35-F45B8B43767D}"/>
    <cellStyle name="Comma 4 7 4 5" xfId="18534" xr:uid="{4D133BC5-9BA9-40B4-8CBE-55F46E695C52}"/>
    <cellStyle name="Comma 4 7 5" xfId="1978" xr:uid="{00000000-0005-0000-0000-0000770A0000}"/>
    <cellStyle name="Comma 4 7 5 2" xfId="4207" xr:uid="{00000000-0005-0000-0000-0000780A0000}"/>
    <cellStyle name="Comma 4 7 5 2 2" xfId="8430" xr:uid="{00000000-0005-0000-0000-0000790A0000}"/>
    <cellStyle name="Comma 4 7 5 2 2 2" xfId="16872" xr:uid="{1550E8D5-A454-4428-8403-A3F5C3134695}"/>
    <cellStyle name="Comma 4 7 5 2 2 3" xfId="25309" xr:uid="{6171CB8F-A151-4A15-961E-47CA085AD8BC}"/>
    <cellStyle name="Comma 4 7 5 2 3" xfId="12654" xr:uid="{716D7F0F-7C7B-4B69-89B7-29E1A9576343}"/>
    <cellStyle name="Comma 4 7 5 2 4" xfId="21092" xr:uid="{4A14AE6E-C015-436A-A259-C2BB82754C40}"/>
    <cellStyle name="Comma 4 7 5 3" xfId="6285" xr:uid="{00000000-0005-0000-0000-00007A0A0000}"/>
    <cellStyle name="Comma 4 7 5 3 2" xfId="14727" xr:uid="{26B940A7-BC79-4974-9D43-E3D54C0F5FA4}"/>
    <cellStyle name="Comma 4 7 5 3 3" xfId="23164" xr:uid="{34378B31-80AB-42B0-8BFA-55B2D40351B0}"/>
    <cellStyle name="Comma 4 7 5 4" xfId="10509" xr:uid="{076D4B73-18EC-4234-8713-A95FA0E0E8A3}"/>
    <cellStyle name="Comma 4 7 5 5" xfId="18947" xr:uid="{F79E6C1A-29B1-4AC3-8066-5C849672CC25}"/>
    <cellStyle name="Comma 4 7 6" xfId="2413" xr:uid="{00000000-0005-0000-0000-00007B0A0000}"/>
    <cellStyle name="Comma 4 7 6 2" xfId="6698" xr:uid="{00000000-0005-0000-0000-00007C0A0000}"/>
    <cellStyle name="Comma 4 7 6 2 2" xfId="15140" xr:uid="{758C82A2-19E4-4459-96BE-AB2113332A3A}"/>
    <cellStyle name="Comma 4 7 6 2 3" xfId="23577" xr:uid="{85965112-BB3B-427F-AA2E-D37ECE7041F1}"/>
    <cellStyle name="Comma 4 7 6 3" xfId="10922" xr:uid="{919453E8-9B54-494E-AC04-162939E28A7A}"/>
    <cellStyle name="Comma 4 7 6 4" xfId="19360" xr:uid="{258BF5EC-5AD3-4112-9027-05BA7B12FBEA}"/>
    <cellStyle name="Comma 4 7 7" xfId="2709" xr:uid="{00000000-0005-0000-0000-00007D0A0000}"/>
    <cellStyle name="Comma 4 7 8" xfId="2791" xr:uid="{00000000-0005-0000-0000-00007E0A0000}"/>
    <cellStyle name="Comma 4 7 8 2" xfId="7015" xr:uid="{00000000-0005-0000-0000-00007F0A0000}"/>
    <cellStyle name="Comma 4 7 8 2 2" xfId="15457" xr:uid="{AE14B3B2-6070-4FAF-91BF-A563A631ECB0}"/>
    <cellStyle name="Comma 4 7 8 2 3" xfId="23894" xr:uid="{AF27FA07-C757-4238-82F5-E2FD44AC8129}"/>
    <cellStyle name="Comma 4 7 8 3" xfId="11239" xr:uid="{70C8AEBD-E804-4CDD-B478-6F5AB4042EE4}"/>
    <cellStyle name="Comma 4 7 8 4" xfId="19677" xr:uid="{2B998316-06B0-4647-ADF1-267959B41CB1}"/>
    <cellStyle name="Comma 4 7 9" xfId="4632" xr:uid="{00000000-0005-0000-0000-0000800A0000}"/>
    <cellStyle name="Comma 4 7 9 2" xfId="13074" xr:uid="{16556DB1-3D73-42E7-8B99-5889788C4786}"/>
    <cellStyle name="Comma 4 7 9 3" xfId="21511" xr:uid="{095C3E3C-8622-49BA-B211-F095BDE0DA9C}"/>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79D0E4ED-D616-4E4F-B563-6B39F9DFBB20}"/>
    <cellStyle name="Comma 7 3" xfId="21379" xr:uid="{EAFB18BD-3D20-4F05-9D31-97CD010E41BD}"/>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FD4559AF-30F9-45AF-89CE-860AB4BDE8EF}"/>
    <cellStyle name="Currency 14 2 3" xfId="25596" xr:uid="{778A9773-5973-4544-A10E-3132683C6397}"/>
    <cellStyle name="Currency 14 3" xfId="8720" xr:uid="{729B09A7-2394-4D7C-912C-1471FB3455A3}"/>
    <cellStyle name="Currency 14 3 2" xfId="8724" xr:uid="{1945FB0F-31EC-4D98-B64C-BAFBADA341A1}"/>
    <cellStyle name="Currency 14 3 2 2" xfId="8727" xr:uid="{03BA8DEE-11D2-406B-B26D-8EE163916FB0}"/>
    <cellStyle name="Currency 14 3 2 3" xfId="17165" xr:uid="{E4FD188A-06CB-4634-86E7-6BF31D8E9AFC}"/>
    <cellStyle name="Currency 14 3 2 4" xfId="25602" xr:uid="{0FCC1715-11B0-42D9-8593-E4A71FF8929C}"/>
    <cellStyle name="Currency 14 3 3" xfId="17162" xr:uid="{B0A4B913-C7E1-46F6-9DAA-85C5117CE7B8}"/>
    <cellStyle name="Currency 14 3 4" xfId="25599" xr:uid="{18D1210C-E4FD-470E-B749-B2BB46D52943}"/>
    <cellStyle name="Currency 14 4" xfId="12945" xr:uid="{6DDCC0B8-5D82-4774-92C2-6531B1AFA705}"/>
    <cellStyle name="Currency 14 5" xfId="21382" xr:uid="{C63FEE59-81DE-4A1C-862F-C98060080E98}"/>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9AD5751D-53E4-4766-9689-CA78F2C49EAF}"/>
    <cellStyle name="Currency 3 2 2 10 2 3" xfId="23895" xr:uid="{8C898DA9-9AF5-4C33-BBE1-419C5A6A9F81}"/>
    <cellStyle name="Currency 3 2 2 10 3" xfId="11240" xr:uid="{39DEC57A-689E-4B4D-8CEC-4BDDDFA45417}"/>
    <cellStyle name="Currency 3 2 2 10 4" xfId="19678" xr:uid="{25129813-0DED-4751-A321-2303FD94D70D}"/>
    <cellStyle name="Currency 3 2 2 11" xfId="4633" xr:uid="{00000000-0005-0000-0000-0000A50A0000}"/>
    <cellStyle name="Currency 3 2 2 11 2" xfId="13075" xr:uid="{77D1C663-28A8-4249-AB63-A00B9A71DD43}"/>
    <cellStyle name="Currency 3 2 2 11 3" xfId="21512" xr:uid="{EED4FBB4-5763-46AF-A2A5-1602AF02F2F5}"/>
    <cellStyle name="Currency 3 2 2 12" xfId="8857" xr:uid="{74393E94-7EFB-4C23-BEAD-6D20ED1B89AE}"/>
    <cellStyle name="Currency 3 2 2 13" xfId="17295" xr:uid="{B7894454-ED62-4865-806C-645ED296DEFE}"/>
    <cellStyle name="Currency 3 2 2 2" xfId="179" xr:uid="{00000000-0005-0000-0000-0000A60A0000}"/>
    <cellStyle name="Currency 3 2 2 2 10" xfId="4634" xr:uid="{00000000-0005-0000-0000-0000A70A0000}"/>
    <cellStyle name="Currency 3 2 2 2 10 2" xfId="13076" xr:uid="{1B8332F5-C3FD-495A-8B73-876C0E424773}"/>
    <cellStyle name="Currency 3 2 2 2 10 3" xfId="21513" xr:uid="{9C1A89E8-A454-4FF9-8CC7-87C9071B8CA4}"/>
    <cellStyle name="Currency 3 2 2 2 11" xfId="8858" xr:uid="{8D5DA9EF-F908-42FE-9B32-7B9A7ED40419}"/>
    <cellStyle name="Currency 3 2 2 2 12" xfId="17296" xr:uid="{B782501C-5EE2-470E-82EF-7D422EDF8329}"/>
    <cellStyle name="Currency 3 2 2 2 2" xfId="180" xr:uid="{00000000-0005-0000-0000-0000A80A0000}"/>
    <cellStyle name="Currency 3 2 2 2 2 10" xfId="8859" xr:uid="{3A634DAB-D63E-41E0-97C0-E2DD4ED1142B}"/>
    <cellStyle name="Currency 3 2 2 2 2 11" xfId="17297" xr:uid="{74F0DB70-6AF2-4828-B3B0-541A3E5B99DD}"/>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7282C4FA-E4CC-485C-B98A-96D8ECD76ADB}"/>
    <cellStyle name="Currency 3 2 2 2 2 2 2 2 3" xfId="24073" xr:uid="{46074AA0-24AC-4FD3-B62F-5F174C4E70B7}"/>
    <cellStyle name="Currency 3 2 2 2 2 2 2 3" xfId="11418" xr:uid="{30C2683A-F62D-49D2-ADD9-FB9AAFCE54A7}"/>
    <cellStyle name="Currency 3 2 2 2 2 2 2 4" xfId="19856" xr:uid="{3B60729E-3571-40BB-9005-957D3E5B340C}"/>
    <cellStyle name="Currency 3 2 2 2 2 2 3" xfId="5049" xr:uid="{00000000-0005-0000-0000-0000AC0A0000}"/>
    <cellStyle name="Currency 3 2 2 2 2 2 3 2" xfId="13491" xr:uid="{A694A9D5-0F19-4722-B732-C91084188BDE}"/>
    <cellStyle name="Currency 3 2 2 2 2 2 3 3" xfId="21928" xr:uid="{6FFED3C2-9ABB-43FE-BA46-924FBC7943FD}"/>
    <cellStyle name="Currency 3 2 2 2 2 2 4" xfId="9273" xr:uid="{267DBC7F-65F9-4D1A-8EE3-BF3D86EBC65B}"/>
    <cellStyle name="Currency 3 2 2 2 2 2 5" xfId="17711" xr:uid="{024F6FC8-2DDB-458F-8983-46A6BDA882C2}"/>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B25B84F2-CA09-4419-880D-9FA5A6E669FC}"/>
    <cellStyle name="Currency 3 2 2 2 2 3 2 2 3" xfId="24486" xr:uid="{9A645DAB-0764-4085-BF62-A5DF630EA265}"/>
    <cellStyle name="Currency 3 2 2 2 2 3 2 3" xfId="11831" xr:uid="{F1BCBCC9-67F0-4C2F-A0FB-A7E40D6B9FE7}"/>
    <cellStyle name="Currency 3 2 2 2 2 3 2 4" xfId="20269" xr:uid="{DA99E7C6-3952-4AD9-BC80-0A2C7F4A43DC}"/>
    <cellStyle name="Currency 3 2 2 2 2 3 3" xfId="5462" xr:uid="{00000000-0005-0000-0000-0000B00A0000}"/>
    <cellStyle name="Currency 3 2 2 2 2 3 3 2" xfId="13904" xr:uid="{900D6507-01D9-43C1-A87A-5331DFE68C1C}"/>
    <cellStyle name="Currency 3 2 2 2 2 3 3 3" xfId="22341" xr:uid="{CDA2C71D-05DD-4ADC-962D-0192D078E4D0}"/>
    <cellStyle name="Currency 3 2 2 2 2 3 4" xfId="9686" xr:uid="{FD27BCEB-A018-4103-998F-C984C24269DE}"/>
    <cellStyle name="Currency 3 2 2 2 2 3 5" xfId="18124" xr:uid="{3C6130CB-7459-4314-9FA3-569F17926F5C}"/>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B76E55EB-5232-487D-A173-0C49CC9F9417}"/>
    <cellStyle name="Currency 3 2 2 2 2 4 2 2 3" xfId="24899" xr:uid="{4D9C70FE-A1C9-4B64-8EC1-2636E1D0787D}"/>
    <cellStyle name="Currency 3 2 2 2 2 4 2 3" xfId="12244" xr:uid="{BF140F35-84EE-46F8-AADC-68524F6118D2}"/>
    <cellStyle name="Currency 3 2 2 2 2 4 2 4" xfId="20682" xr:uid="{D6FE30AE-6FA0-40FD-83FC-DE24F766A35D}"/>
    <cellStyle name="Currency 3 2 2 2 2 4 3" xfId="5875" xr:uid="{00000000-0005-0000-0000-0000B40A0000}"/>
    <cellStyle name="Currency 3 2 2 2 2 4 3 2" xfId="14317" xr:uid="{0B20DCFA-8687-4040-A8AE-B7D062D6869A}"/>
    <cellStyle name="Currency 3 2 2 2 2 4 3 3" xfId="22754" xr:uid="{0D37968B-9E67-4F88-B596-441A7372F425}"/>
    <cellStyle name="Currency 3 2 2 2 2 4 4" xfId="10099" xr:uid="{9522CDE1-CE67-4166-877C-CA70C3C6293D}"/>
    <cellStyle name="Currency 3 2 2 2 2 4 5" xfId="18537" xr:uid="{F32684EE-ECB7-4476-B743-6AA1AD218593}"/>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5F926456-5D2B-43A1-8386-EED21ED9A3BE}"/>
    <cellStyle name="Currency 3 2 2 2 2 5 2 2 3" xfId="25312" xr:uid="{99CCDAFC-9D16-468E-8736-DE273BF3C9B3}"/>
    <cellStyle name="Currency 3 2 2 2 2 5 2 3" xfId="12657" xr:uid="{1A5CEAAA-A484-422A-867B-4D0778EF1D6C}"/>
    <cellStyle name="Currency 3 2 2 2 2 5 2 4" xfId="21095" xr:uid="{A29E113D-7265-46BF-920B-E8CAAAAEAB62}"/>
    <cellStyle name="Currency 3 2 2 2 2 5 3" xfId="6288" xr:uid="{00000000-0005-0000-0000-0000B80A0000}"/>
    <cellStyle name="Currency 3 2 2 2 2 5 3 2" xfId="14730" xr:uid="{1215B4A5-0D18-444D-9EEF-4E70CFEEA9FD}"/>
    <cellStyle name="Currency 3 2 2 2 2 5 3 3" xfId="23167" xr:uid="{C8BBA8EF-1162-4A20-863D-CCC9EF2413F2}"/>
    <cellStyle name="Currency 3 2 2 2 2 5 4" xfId="10512" xr:uid="{E707AC80-272D-419D-8442-F0332BBAE622}"/>
    <cellStyle name="Currency 3 2 2 2 2 5 5" xfId="18950" xr:uid="{B3B2BF26-932F-41DD-BC22-8AC5CA1125AC}"/>
    <cellStyle name="Currency 3 2 2 2 2 6" xfId="2416" xr:uid="{00000000-0005-0000-0000-0000B90A0000}"/>
    <cellStyle name="Currency 3 2 2 2 2 6 2" xfId="6701" xr:uid="{00000000-0005-0000-0000-0000BA0A0000}"/>
    <cellStyle name="Currency 3 2 2 2 2 6 2 2" xfId="15143" xr:uid="{3D1E2386-F60F-41BA-93CB-C35097FC6E53}"/>
    <cellStyle name="Currency 3 2 2 2 2 6 2 3" xfId="23580" xr:uid="{3B7E72C2-98B1-426A-8E9F-719441B0D37A}"/>
    <cellStyle name="Currency 3 2 2 2 2 6 3" xfId="10925" xr:uid="{A63C3BA7-BDD6-4FCA-AF9C-E3ED5536B923}"/>
    <cellStyle name="Currency 3 2 2 2 2 6 4" xfId="19363" xr:uid="{01C65977-A54B-4F9F-9C0E-08BCA436994F}"/>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08C7048A-F137-4FCF-AC13-CD7E05918D20}"/>
    <cellStyle name="Currency 3 2 2 2 2 8 2 3" xfId="23897" xr:uid="{73AE4908-C172-4612-8600-64C797C45FD0}"/>
    <cellStyle name="Currency 3 2 2 2 2 8 3" xfId="11242" xr:uid="{B2D1F85B-8556-4185-B3EA-FE5263AE01EE}"/>
    <cellStyle name="Currency 3 2 2 2 2 8 4" xfId="19680" xr:uid="{3D3C9177-44C6-4B68-84E8-CF74856C9216}"/>
    <cellStyle name="Currency 3 2 2 2 2 9" xfId="4635" xr:uid="{00000000-0005-0000-0000-0000BE0A0000}"/>
    <cellStyle name="Currency 3 2 2 2 2 9 2" xfId="13077" xr:uid="{8D434077-AEBF-49AF-BD90-66316B616398}"/>
    <cellStyle name="Currency 3 2 2 2 2 9 3" xfId="21514" xr:uid="{91DF86EE-F65E-493A-9626-1579B8D22434}"/>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34B1163E-01BC-4C26-AA40-4C79067785A4}"/>
    <cellStyle name="Currency 3 2 2 2 3 2 2 3" xfId="24072" xr:uid="{765D1B8B-9F44-4809-9E81-F52CA15A9EC1}"/>
    <cellStyle name="Currency 3 2 2 2 3 2 3" xfId="11417" xr:uid="{5190FAA5-B62C-4352-9A8D-DDBBA55AE858}"/>
    <cellStyle name="Currency 3 2 2 2 3 2 4" xfId="19855" xr:uid="{1D39EB1C-8E1A-45BE-8C0C-21D1FDACA2B0}"/>
    <cellStyle name="Currency 3 2 2 2 3 3" xfId="5048" xr:uid="{00000000-0005-0000-0000-0000C20A0000}"/>
    <cellStyle name="Currency 3 2 2 2 3 3 2" xfId="13490" xr:uid="{E3D3E2E8-D5AE-48A5-999F-82F291864DD4}"/>
    <cellStyle name="Currency 3 2 2 2 3 3 3" xfId="21927" xr:uid="{18A47D18-E7DC-47BB-ADF7-BD0716BC9A70}"/>
    <cellStyle name="Currency 3 2 2 2 3 4" xfId="9272" xr:uid="{161EF40A-FC33-48F0-909C-A8E9523E080E}"/>
    <cellStyle name="Currency 3 2 2 2 3 5" xfId="17710" xr:uid="{C7DA397E-6DD4-4184-9DEC-2EE724109313}"/>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8F0B4237-E682-4C76-931D-931BAB0377B6}"/>
    <cellStyle name="Currency 3 2 2 2 4 2 2 3" xfId="24485" xr:uid="{75BAB3FA-9F33-4E72-9030-CD6427CEF9F9}"/>
    <cellStyle name="Currency 3 2 2 2 4 2 3" xfId="11830" xr:uid="{37DF98A9-89FC-4685-BDC1-04BA0D0539EB}"/>
    <cellStyle name="Currency 3 2 2 2 4 2 4" xfId="20268" xr:uid="{9774A968-6256-4B90-B438-B7543DF05E60}"/>
    <cellStyle name="Currency 3 2 2 2 4 3" xfId="5461" xr:uid="{00000000-0005-0000-0000-0000C60A0000}"/>
    <cellStyle name="Currency 3 2 2 2 4 3 2" xfId="13903" xr:uid="{528F3C4F-858E-4C0C-8896-8BBC7662A681}"/>
    <cellStyle name="Currency 3 2 2 2 4 3 3" xfId="22340" xr:uid="{902D237B-D928-4848-8F3B-EB5E91DAB8B7}"/>
    <cellStyle name="Currency 3 2 2 2 4 4" xfId="9685" xr:uid="{1D8557D6-8769-4789-9073-C4B2AA23167A}"/>
    <cellStyle name="Currency 3 2 2 2 4 5" xfId="18123" xr:uid="{A1345523-A039-490D-82B4-5AF091151706}"/>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51D51169-BCD4-4D34-98E2-A27459EFD7F1}"/>
    <cellStyle name="Currency 3 2 2 2 5 2 2 3" xfId="24898" xr:uid="{4AB84F4F-4CFE-42DF-A6FA-0C01971A1C8B}"/>
    <cellStyle name="Currency 3 2 2 2 5 2 3" xfId="12243" xr:uid="{85C979E8-9210-4D34-8D17-136F10BF1212}"/>
    <cellStyle name="Currency 3 2 2 2 5 2 4" xfId="20681" xr:uid="{7B780C3D-EA9A-4ECF-8A51-2DCE649EEDF7}"/>
    <cellStyle name="Currency 3 2 2 2 5 3" xfId="5874" xr:uid="{00000000-0005-0000-0000-0000CA0A0000}"/>
    <cellStyle name="Currency 3 2 2 2 5 3 2" xfId="14316" xr:uid="{9A51A7BF-8B9E-4449-8624-FB3746AEC95B}"/>
    <cellStyle name="Currency 3 2 2 2 5 3 3" xfId="22753" xr:uid="{99B38608-5575-45B6-A650-5F3698E843CE}"/>
    <cellStyle name="Currency 3 2 2 2 5 4" xfId="10098" xr:uid="{EBBF6212-D368-4F97-84E1-267E5F034C4A}"/>
    <cellStyle name="Currency 3 2 2 2 5 5" xfId="18536" xr:uid="{00FD15CC-2BF3-4C41-852D-819BA8E9AD45}"/>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F2E029B5-4493-4588-8168-F5D2A47D8238}"/>
    <cellStyle name="Currency 3 2 2 2 6 2 2 3" xfId="25311" xr:uid="{FB23AD08-5BDE-48BD-96C3-ED8E157A609F}"/>
    <cellStyle name="Currency 3 2 2 2 6 2 3" xfId="12656" xr:uid="{788B7CF1-D3C1-4FAC-BB2A-3F39E70B2865}"/>
    <cellStyle name="Currency 3 2 2 2 6 2 4" xfId="21094" xr:uid="{4F56C4BB-6807-4BE5-86A7-389D79D3322D}"/>
    <cellStyle name="Currency 3 2 2 2 6 3" xfId="6287" xr:uid="{00000000-0005-0000-0000-0000CE0A0000}"/>
    <cellStyle name="Currency 3 2 2 2 6 3 2" xfId="14729" xr:uid="{67015BBD-8794-48F2-8627-FC12370EB549}"/>
    <cellStyle name="Currency 3 2 2 2 6 3 3" xfId="23166" xr:uid="{0A92FDCE-B84E-4040-816E-1A8A9E27302C}"/>
    <cellStyle name="Currency 3 2 2 2 6 4" xfId="10511" xr:uid="{6E9B52BC-D00F-4CF0-8865-FBC42909AEDC}"/>
    <cellStyle name="Currency 3 2 2 2 6 5" xfId="18949" xr:uid="{60FE8BA6-984C-4AE5-B15D-32CFDD024FDD}"/>
    <cellStyle name="Currency 3 2 2 2 7" xfId="2415" xr:uid="{00000000-0005-0000-0000-0000CF0A0000}"/>
    <cellStyle name="Currency 3 2 2 2 7 2" xfId="6700" xr:uid="{00000000-0005-0000-0000-0000D00A0000}"/>
    <cellStyle name="Currency 3 2 2 2 7 2 2" xfId="15142" xr:uid="{41182B1F-9892-4997-965A-E95FAB45F3CA}"/>
    <cellStyle name="Currency 3 2 2 2 7 2 3" xfId="23579" xr:uid="{B252222D-0460-4D81-B7ED-1C5A2FD01EBD}"/>
    <cellStyle name="Currency 3 2 2 2 7 3" xfId="10924" xr:uid="{4098500A-04FA-4B75-A05D-0E13045EFE8A}"/>
    <cellStyle name="Currency 3 2 2 2 7 4" xfId="19362" xr:uid="{A74D516A-F34D-4AF9-9FF8-4E49BF8C81B0}"/>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BE8D3D41-595C-47A2-91AA-9135DC18FE97}"/>
    <cellStyle name="Currency 3 2 2 2 9 2 3" xfId="23896" xr:uid="{225BBC15-CFE4-4F60-BE43-7CD226369253}"/>
    <cellStyle name="Currency 3 2 2 2 9 3" xfId="11241" xr:uid="{16CDA800-7AF9-48AA-BEAE-5D014C89872D}"/>
    <cellStyle name="Currency 3 2 2 2 9 4" xfId="19679" xr:uid="{84FF883D-8D1C-4554-A226-47A4745D2BA2}"/>
    <cellStyle name="Currency 3 2 2 3" xfId="181" xr:uid="{00000000-0005-0000-0000-0000D40A0000}"/>
    <cellStyle name="Currency 3 2 2 3 10" xfId="8860" xr:uid="{3AC8BDD0-724D-4CA1-80CC-553D3383CCAA}"/>
    <cellStyle name="Currency 3 2 2 3 11" xfId="17298" xr:uid="{1ABA3E50-FD1A-4AA2-B7E7-9FBA923CD12E}"/>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D4FE54B9-4AC5-48A7-AF43-5859D5B43A90}"/>
    <cellStyle name="Currency 3 2 2 3 2 2 2 3" xfId="24074" xr:uid="{E07DC338-3382-4D28-B18A-C67FB38548B3}"/>
    <cellStyle name="Currency 3 2 2 3 2 2 3" xfId="11419" xr:uid="{F6F74C90-EF92-4870-A4CA-957C2FE4E13F}"/>
    <cellStyle name="Currency 3 2 2 3 2 2 4" xfId="19857" xr:uid="{4BCFAF73-F462-4425-8001-70F1782EA043}"/>
    <cellStyle name="Currency 3 2 2 3 2 3" xfId="5050" xr:uid="{00000000-0005-0000-0000-0000D80A0000}"/>
    <cellStyle name="Currency 3 2 2 3 2 3 2" xfId="13492" xr:uid="{19BAEF2A-A2ED-4F5F-8876-E5425A688DD3}"/>
    <cellStyle name="Currency 3 2 2 3 2 3 3" xfId="21929" xr:uid="{B29AD22F-779B-4C4A-801D-00BDC1249D4F}"/>
    <cellStyle name="Currency 3 2 2 3 2 4" xfId="9274" xr:uid="{F36CA0E5-9E2C-4326-B65D-A2DC129D3CC2}"/>
    <cellStyle name="Currency 3 2 2 3 2 5" xfId="17712" xr:uid="{783CA37A-02F8-4D67-BC16-E92419C5F926}"/>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918D7B58-DBBA-48B0-9248-3E9FF93B75C0}"/>
    <cellStyle name="Currency 3 2 2 3 3 2 2 3" xfId="24487" xr:uid="{46A721CB-FA14-41F9-9402-41497BF32043}"/>
    <cellStyle name="Currency 3 2 2 3 3 2 3" xfId="11832" xr:uid="{ED9C6999-8653-4EA4-984C-241F850EF5B3}"/>
    <cellStyle name="Currency 3 2 2 3 3 2 4" xfId="20270" xr:uid="{B2CFB270-1381-42DE-ADAC-D5931181C7A8}"/>
    <cellStyle name="Currency 3 2 2 3 3 3" xfId="5463" xr:uid="{00000000-0005-0000-0000-0000DC0A0000}"/>
    <cellStyle name="Currency 3 2 2 3 3 3 2" xfId="13905" xr:uid="{ABCD895B-5E39-4FA6-B893-9E459EB6EAF5}"/>
    <cellStyle name="Currency 3 2 2 3 3 3 3" xfId="22342" xr:uid="{090B69D4-8CD5-4C91-9C81-69D085826A56}"/>
    <cellStyle name="Currency 3 2 2 3 3 4" xfId="9687" xr:uid="{BFC6F457-A40D-4064-B991-ECFC43770D42}"/>
    <cellStyle name="Currency 3 2 2 3 3 5" xfId="18125" xr:uid="{4B0C8E92-53A3-4793-AE47-B33F49408BD5}"/>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29D47408-8DC8-44F2-AF72-70CD70D59D1F}"/>
    <cellStyle name="Currency 3 2 2 3 4 2 2 3" xfId="24900" xr:uid="{B57B38C4-E0A7-4010-B12E-A93E7342A5C3}"/>
    <cellStyle name="Currency 3 2 2 3 4 2 3" xfId="12245" xr:uid="{966AB2C4-422C-4490-8822-B0AB299889CF}"/>
    <cellStyle name="Currency 3 2 2 3 4 2 4" xfId="20683" xr:uid="{DC2B27EA-AA88-4EE9-AE85-91AE6F452241}"/>
    <cellStyle name="Currency 3 2 2 3 4 3" xfId="5876" xr:uid="{00000000-0005-0000-0000-0000E00A0000}"/>
    <cellStyle name="Currency 3 2 2 3 4 3 2" xfId="14318" xr:uid="{D434BCF6-7FC9-4801-BB1B-221788FCB27A}"/>
    <cellStyle name="Currency 3 2 2 3 4 3 3" xfId="22755" xr:uid="{B0DDFFAF-7752-4384-A6CE-43B77FC31142}"/>
    <cellStyle name="Currency 3 2 2 3 4 4" xfId="10100" xr:uid="{EAEF494E-31C2-44E0-8A12-52B9F34DE0F8}"/>
    <cellStyle name="Currency 3 2 2 3 4 5" xfId="18538" xr:uid="{388C0039-7A97-4C94-B68D-E6CBE79ECE15}"/>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136C3C1C-57FE-44D2-ADB9-FC16D843A10C}"/>
    <cellStyle name="Currency 3 2 2 3 5 2 2 3" xfId="25313" xr:uid="{909D4580-4E0F-481D-8F36-C06D7E9C08C9}"/>
    <cellStyle name="Currency 3 2 2 3 5 2 3" xfId="12658" xr:uid="{60A2DF18-DDF6-4FF0-AC72-54994E0048D9}"/>
    <cellStyle name="Currency 3 2 2 3 5 2 4" xfId="21096" xr:uid="{7F569130-7F5F-439A-B7E4-F5167F052D5D}"/>
    <cellStyle name="Currency 3 2 2 3 5 3" xfId="6289" xr:uid="{00000000-0005-0000-0000-0000E40A0000}"/>
    <cellStyle name="Currency 3 2 2 3 5 3 2" xfId="14731" xr:uid="{BF93FAF8-7879-4851-8B50-C707AEC04B0B}"/>
    <cellStyle name="Currency 3 2 2 3 5 3 3" xfId="23168" xr:uid="{5596D7EC-7A53-49A0-8907-22F2C4ED1212}"/>
    <cellStyle name="Currency 3 2 2 3 5 4" xfId="10513" xr:uid="{1D276B9E-4DD3-4280-9D1D-EAECF4499D29}"/>
    <cellStyle name="Currency 3 2 2 3 5 5" xfId="18951" xr:uid="{6E142BD7-50F5-4FDE-A337-CDD9ACC25DC1}"/>
    <cellStyle name="Currency 3 2 2 3 6" xfId="2417" xr:uid="{00000000-0005-0000-0000-0000E50A0000}"/>
    <cellStyle name="Currency 3 2 2 3 6 2" xfId="6702" xr:uid="{00000000-0005-0000-0000-0000E60A0000}"/>
    <cellStyle name="Currency 3 2 2 3 6 2 2" xfId="15144" xr:uid="{E2D91A2D-FB73-42C2-8D42-B2F83812E832}"/>
    <cellStyle name="Currency 3 2 2 3 6 2 3" xfId="23581" xr:uid="{1B3BEEB4-655B-4C20-B0BC-08C2D18B9D93}"/>
    <cellStyle name="Currency 3 2 2 3 6 3" xfId="10926" xr:uid="{A8AAEBB9-1D4C-414F-BA7F-312A712F8640}"/>
    <cellStyle name="Currency 3 2 2 3 6 4" xfId="19364" xr:uid="{B57B1BF9-BD3C-4AC5-9024-6EFF92224B82}"/>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891EF3B4-AE9E-4525-9188-206216EABC0A}"/>
    <cellStyle name="Currency 3 2 2 3 8 2 3" xfId="23898" xr:uid="{8F745B14-2A28-4998-B1CF-781A3B180F56}"/>
    <cellStyle name="Currency 3 2 2 3 8 3" xfId="11243" xr:uid="{BE19CFCD-317F-41DE-A898-4E6E57986222}"/>
    <cellStyle name="Currency 3 2 2 3 8 4" xfId="19681" xr:uid="{F4D3A7BC-06BB-417A-932C-0E89F2DCBDEE}"/>
    <cellStyle name="Currency 3 2 2 3 9" xfId="4636" xr:uid="{00000000-0005-0000-0000-0000EA0A0000}"/>
    <cellStyle name="Currency 3 2 2 3 9 2" xfId="13078" xr:uid="{9239FBC9-B6E3-411C-B54C-11433FB386D3}"/>
    <cellStyle name="Currency 3 2 2 3 9 3" xfId="21515" xr:uid="{53E11AEC-E02D-4AAD-B3CD-B055C6D5023D}"/>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4EBA4451-A17A-4F13-9EED-A06C0EB6E9B5}"/>
    <cellStyle name="Currency 3 2 2 4 2 2 3" xfId="24071" xr:uid="{D0E6495B-BEB3-4FCB-B241-FD64AF681A4F}"/>
    <cellStyle name="Currency 3 2 2 4 2 3" xfId="11416" xr:uid="{7BD5E8B1-1391-4383-8EA2-BBFCED3A5BD4}"/>
    <cellStyle name="Currency 3 2 2 4 2 4" xfId="19854" xr:uid="{12EEF01F-6F96-4BD0-9F3D-BA37995F3E00}"/>
    <cellStyle name="Currency 3 2 2 4 3" xfId="5047" xr:uid="{00000000-0005-0000-0000-0000EE0A0000}"/>
    <cellStyle name="Currency 3 2 2 4 3 2" xfId="13489" xr:uid="{F9C93227-4D15-458B-BF65-BF1404108DF9}"/>
    <cellStyle name="Currency 3 2 2 4 3 3" xfId="21926" xr:uid="{5E06E5E9-4CF4-4CEF-939F-5D4D788256F4}"/>
    <cellStyle name="Currency 3 2 2 4 4" xfId="9271" xr:uid="{A1BE1453-96DB-470D-93FF-2DD1F28DC681}"/>
    <cellStyle name="Currency 3 2 2 4 5" xfId="17709" xr:uid="{8EA67CD1-6D38-4344-8141-DCC7EE4498B6}"/>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5F97D8B2-1AAE-4B0C-B12A-9761634A8C72}"/>
    <cellStyle name="Currency 3 2 2 5 2 2 3" xfId="24484" xr:uid="{81155776-A308-4B84-B179-DAF6DC2F17D0}"/>
    <cellStyle name="Currency 3 2 2 5 2 3" xfId="11829" xr:uid="{8615629B-A0CD-4DD4-AB05-7B88AB88D27E}"/>
    <cellStyle name="Currency 3 2 2 5 2 4" xfId="20267" xr:uid="{6570041A-748D-4DE7-BC1E-B8B7700EE614}"/>
    <cellStyle name="Currency 3 2 2 5 3" xfId="5460" xr:uid="{00000000-0005-0000-0000-0000F20A0000}"/>
    <cellStyle name="Currency 3 2 2 5 3 2" xfId="13902" xr:uid="{C8378F17-8209-48CD-958D-991165A4ABAD}"/>
    <cellStyle name="Currency 3 2 2 5 3 3" xfId="22339" xr:uid="{454B9350-B58D-43A6-9184-87FD498D69F0}"/>
    <cellStyle name="Currency 3 2 2 5 4" xfId="9684" xr:uid="{F3393E5A-3347-44E7-9B21-AF89097CD598}"/>
    <cellStyle name="Currency 3 2 2 5 5" xfId="18122" xr:uid="{490CCC2A-078E-499C-8FE1-0A74D9B82DF7}"/>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B7B21064-A718-45B7-B5CA-E24E15B025D3}"/>
    <cellStyle name="Currency 3 2 2 6 2 2 3" xfId="24897" xr:uid="{DF513542-C0D7-40A8-AF27-5CCF9F8F45B5}"/>
    <cellStyle name="Currency 3 2 2 6 2 3" xfId="12242" xr:uid="{ECFC04C7-CEDB-4E79-BCF0-24FB9CDADABF}"/>
    <cellStyle name="Currency 3 2 2 6 2 4" xfId="20680" xr:uid="{963ED7C0-EE60-4168-A437-E47CEB5D90D2}"/>
    <cellStyle name="Currency 3 2 2 6 3" xfId="5873" xr:uid="{00000000-0005-0000-0000-0000F60A0000}"/>
    <cellStyle name="Currency 3 2 2 6 3 2" xfId="14315" xr:uid="{04FA9800-1EF5-4B1F-A838-F83C23DD5161}"/>
    <cellStyle name="Currency 3 2 2 6 3 3" xfId="22752" xr:uid="{C4B7E93C-633A-4FDD-8B19-D8192C95F4AD}"/>
    <cellStyle name="Currency 3 2 2 6 4" xfId="10097" xr:uid="{9EE71EBA-0541-41A5-80A3-292063F6B178}"/>
    <cellStyle name="Currency 3 2 2 6 5" xfId="18535" xr:uid="{DDE8C7A4-C382-4B91-841F-A073C89E2382}"/>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A610EC91-4B4B-46F5-B1F0-54ADA70FBF3E}"/>
    <cellStyle name="Currency 3 2 2 7 2 2 3" xfId="25310" xr:uid="{F3B15D71-DEC9-4D62-B40C-45E67A9F0FAA}"/>
    <cellStyle name="Currency 3 2 2 7 2 3" xfId="12655" xr:uid="{BA8EEB73-8D8F-40B4-8EAA-5304FE1C5403}"/>
    <cellStyle name="Currency 3 2 2 7 2 4" xfId="21093" xr:uid="{3E110702-7F77-4E38-B1B2-CE102AAD9382}"/>
    <cellStyle name="Currency 3 2 2 7 3" xfId="6286" xr:uid="{00000000-0005-0000-0000-0000FA0A0000}"/>
    <cellStyle name="Currency 3 2 2 7 3 2" xfId="14728" xr:uid="{FB0A7E6C-289D-485E-A773-FCA061DF7417}"/>
    <cellStyle name="Currency 3 2 2 7 3 3" xfId="23165" xr:uid="{0CAC18A8-EA1D-457D-853B-4AF4FADC1CFF}"/>
    <cellStyle name="Currency 3 2 2 7 4" xfId="10510" xr:uid="{FDB2C959-30D7-4092-B378-5F9417F36D8C}"/>
    <cellStyle name="Currency 3 2 2 7 5" xfId="18948" xr:uid="{F591F9A1-6467-46E2-B2E8-04057D89CE7D}"/>
    <cellStyle name="Currency 3 2 2 8" xfId="2414" xr:uid="{00000000-0005-0000-0000-0000FB0A0000}"/>
    <cellStyle name="Currency 3 2 2 8 2" xfId="6699" xr:uid="{00000000-0005-0000-0000-0000FC0A0000}"/>
    <cellStyle name="Currency 3 2 2 8 2 2" xfId="15141" xr:uid="{5151AC81-E8CE-49C8-8E8F-1BCB05175957}"/>
    <cellStyle name="Currency 3 2 2 8 2 3" xfId="23578" xr:uid="{61A91F73-C87D-40EA-B509-31672AC0943C}"/>
    <cellStyle name="Currency 3 2 2 8 3" xfId="10923" xr:uid="{B273F656-FCF7-476B-81CB-C9EEC3E3920C}"/>
    <cellStyle name="Currency 3 2 2 8 4" xfId="19361" xr:uid="{15404E68-BA05-43D3-B381-D9FD7F5FD34B}"/>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63A48207-BCD6-4B41-BB0C-6FADE300EE1E}"/>
    <cellStyle name="Currency 3 2 3 10 3" xfId="21516" xr:uid="{F4F0BC57-2961-4A47-B744-4258A79F1F89}"/>
    <cellStyle name="Currency 3 2 3 11" xfId="8861" xr:uid="{A13D0E42-2B22-45B7-BE4D-8BA1734440ED}"/>
    <cellStyle name="Currency 3 2 3 12" xfId="17299" xr:uid="{F931241B-6882-4639-8CF2-611EB36AF2E0}"/>
    <cellStyle name="Currency 3 2 3 2" xfId="183" xr:uid="{00000000-0005-0000-0000-0000000B0000}"/>
    <cellStyle name="Currency 3 2 3 2 10" xfId="8862" xr:uid="{2C4AABE0-1140-499B-A2CF-B1975D9F0396}"/>
    <cellStyle name="Currency 3 2 3 2 11" xfId="17300" xr:uid="{769E9B57-578E-4A50-9433-DBD47999F78F}"/>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DD759F3D-DB6F-4D72-93CB-573428DC9021}"/>
    <cellStyle name="Currency 3 2 3 2 2 2 2 3" xfId="24076" xr:uid="{B9450E50-71EA-4543-9BCC-CD7D1E8E8B98}"/>
    <cellStyle name="Currency 3 2 3 2 2 2 3" xfId="11421" xr:uid="{56EEDF57-10CE-4D35-A9F6-AED9D568016C}"/>
    <cellStyle name="Currency 3 2 3 2 2 2 4" xfId="19859" xr:uid="{78E663E4-8B53-49D0-B661-92A1CD74F8E9}"/>
    <cellStyle name="Currency 3 2 3 2 2 3" xfId="5052" xr:uid="{00000000-0005-0000-0000-0000040B0000}"/>
    <cellStyle name="Currency 3 2 3 2 2 3 2" xfId="13494" xr:uid="{E43F51D3-6E9D-4CCE-AC3E-8381EC3ABA0F}"/>
    <cellStyle name="Currency 3 2 3 2 2 3 3" xfId="21931" xr:uid="{18D64A41-3FCC-46B4-8265-EFB880669F16}"/>
    <cellStyle name="Currency 3 2 3 2 2 4" xfId="9276" xr:uid="{3A3D27B1-940A-45D8-AB91-EA27C37B74DB}"/>
    <cellStyle name="Currency 3 2 3 2 2 5" xfId="17714" xr:uid="{CF637F09-DF9B-42CF-A06D-B8491F53EFF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93D11951-FBA2-4F8B-8034-9FCA739CCDCC}"/>
    <cellStyle name="Currency 3 2 3 2 3 2 2 3" xfId="24489" xr:uid="{0B50428A-EBD1-4FFA-8E3B-AC249313DBB5}"/>
    <cellStyle name="Currency 3 2 3 2 3 2 3" xfId="11834" xr:uid="{916EF35D-E226-4677-B7DD-87E67E858A90}"/>
    <cellStyle name="Currency 3 2 3 2 3 2 4" xfId="20272" xr:uid="{3B69144D-F3D8-44B1-81B5-824A0BCEC134}"/>
    <cellStyle name="Currency 3 2 3 2 3 3" xfId="5465" xr:uid="{00000000-0005-0000-0000-0000080B0000}"/>
    <cellStyle name="Currency 3 2 3 2 3 3 2" xfId="13907" xr:uid="{0D296FD7-AFD9-4E2F-B1A3-77ADBE61F439}"/>
    <cellStyle name="Currency 3 2 3 2 3 3 3" xfId="22344" xr:uid="{9EA76152-54C3-4BEE-B1D5-DDC44D82967B}"/>
    <cellStyle name="Currency 3 2 3 2 3 4" xfId="9689" xr:uid="{E7D7FF17-B5D0-46E8-BE5E-76F5987ED597}"/>
    <cellStyle name="Currency 3 2 3 2 3 5" xfId="18127" xr:uid="{0A4D0703-7F51-49AB-992D-982DE17316CE}"/>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051AC37B-10C0-47F0-886E-4B6A3590175B}"/>
    <cellStyle name="Currency 3 2 3 2 4 2 2 3" xfId="24902" xr:uid="{1AE2490D-F0DE-47C9-8571-493C9DF510A0}"/>
    <cellStyle name="Currency 3 2 3 2 4 2 3" xfId="12247" xr:uid="{4B8EFCD7-1A3C-469F-B2CA-FFEADCB39333}"/>
    <cellStyle name="Currency 3 2 3 2 4 2 4" xfId="20685" xr:uid="{C423D681-46B1-4897-9BD5-1865D06F4F49}"/>
    <cellStyle name="Currency 3 2 3 2 4 3" xfId="5878" xr:uid="{00000000-0005-0000-0000-00000C0B0000}"/>
    <cellStyle name="Currency 3 2 3 2 4 3 2" xfId="14320" xr:uid="{0ACB5653-4D2A-472C-80CE-49580455F206}"/>
    <cellStyle name="Currency 3 2 3 2 4 3 3" xfId="22757" xr:uid="{9B608109-C7F2-4599-B1BD-68943E8D0D6D}"/>
    <cellStyle name="Currency 3 2 3 2 4 4" xfId="10102" xr:uid="{59CAB68A-B8F6-4EEE-9ECE-AB3D724A8815}"/>
    <cellStyle name="Currency 3 2 3 2 4 5" xfId="18540" xr:uid="{481D3DD8-BEFE-40C2-9163-A17D42D839D8}"/>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90068310-4C67-4DC9-BA9D-450E8FEFA30E}"/>
    <cellStyle name="Currency 3 2 3 2 5 2 2 3" xfId="25315" xr:uid="{71B25D98-1F65-4D41-8564-49F8C9135806}"/>
    <cellStyle name="Currency 3 2 3 2 5 2 3" xfId="12660" xr:uid="{705F5A4B-8B71-433C-8F0B-DF8288E645D7}"/>
    <cellStyle name="Currency 3 2 3 2 5 2 4" xfId="21098" xr:uid="{A8ED7937-F4EA-4DB2-8AC1-6038AAFCEACE}"/>
    <cellStyle name="Currency 3 2 3 2 5 3" xfId="6291" xr:uid="{00000000-0005-0000-0000-0000100B0000}"/>
    <cellStyle name="Currency 3 2 3 2 5 3 2" xfId="14733" xr:uid="{897655DD-1485-4A7C-BB5E-0F0241A4618E}"/>
    <cellStyle name="Currency 3 2 3 2 5 3 3" xfId="23170" xr:uid="{E981317C-A0D2-4AED-A5D1-8033D403C062}"/>
    <cellStyle name="Currency 3 2 3 2 5 4" xfId="10515" xr:uid="{ADAC5E34-9F93-4E71-8CF3-C89BBC62BAD0}"/>
    <cellStyle name="Currency 3 2 3 2 5 5" xfId="18953" xr:uid="{A3DCAB81-ABE1-4D53-A97F-61BB1B7BE973}"/>
    <cellStyle name="Currency 3 2 3 2 6" xfId="2419" xr:uid="{00000000-0005-0000-0000-0000110B0000}"/>
    <cellStyle name="Currency 3 2 3 2 6 2" xfId="6704" xr:uid="{00000000-0005-0000-0000-0000120B0000}"/>
    <cellStyle name="Currency 3 2 3 2 6 2 2" xfId="15146" xr:uid="{E594458C-11B3-45C9-BA91-2676D3C5FFA2}"/>
    <cellStyle name="Currency 3 2 3 2 6 2 3" xfId="23583" xr:uid="{47F4B12E-8725-4B73-8082-E08BB39B8C98}"/>
    <cellStyle name="Currency 3 2 3 2 6 3" xfId="10928" xr:uid="{EEB13DB0-8057-40FA-A869-3F5D099B63DE}"/>
    <cellStyle name="Currency 3 2 3 2 6 4" xfId="19366" xr:uid="{978D7A60-E028-4E5D-83C0-7BE696C7D8B2}"/>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33A4EA1D-E71B-4E87-8028-B1A07ECEBE68}"/>
    <cellStyle name="Currency 3 2 3 2 8 2 3" xfId="23900" xr:uid="{51897C6C-7513-4248-A736-55DA1D1B5B17}"/>
    <cellStyle name="Currency 3 2 3 2 8 3" xfId="11245" xr:uid="{88E40913-4E9E-4E6F-B18F-2E07026FA1D4}"/>
    <cellStyle name="Currency 3 2 3 2 8 4" xfId="19683" xr:uid="{2B6A8DD6-51CE-4863-8364-47C1DB2F75AE}"/>
    <cellStyle name="Currency 3 2 3 2 9" xfId="4638" xr:uid="{00000000-0005-0000-0000-0000160B0000}"/>
    <cellStyle name="Currency 3 2 3 2 9 2" xfId="13080" xr:uid="{418364C6-B31D-4AE0-8693-64E3BD9EA7CC}"/>
    <cellStyle name="Currency 3 2 3 2 9 3" xfId="21517" xr:uid="{A2B34F83-7919-4CFA-953D-DD056F99A8C7}"/>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D862996D-3587-4944-BE59-2EC685B200A0}"/>
    <cellStyle name="Currency 3 2 3 3 2 2 3" xfId="24075" xr:uid="{4F3444FD-2932-47C1-AFDC-9722C688A0C4}"/>
    <cellStyle name="Currency 3 2 3 3 2 3" xfId="11420" xr:uid="{C8682D00-DB73-4B3F-AA3F-ACBF32F171CC}"/>
    <cellStyle name="Currency 3 2 3 3 2 4" xfId="19858" xr:uid="{837483EB-0C41-4C12-B361-3B3CD9A93599}"/>
    <cellStyle name="Currency 3 2 3 3 3" xfId="5051" xr:uid="{00000000-0005-0000-0000-00001A0B0000}"/>
    <cellStyle name="Currency 3 2 3 3 3 2" xfId="13493" xr:uid="{C01A32FC-0E74-41EE-883C-4692BC09C844}"/>
    <cellStyle name="Currency 3 2 3 3 3 3" xfId="21930" xr:uid="{A31D6DAF-26F9-40DC-8176-37A3EA66C347}"/>
    <cellStyle name="Currency 3 2 3 3 4" xfId="9275" xr:uid="{EBFB9521-9261-40FA-9F97-DD7E9AAD91B4}"/>
    <cellStyle name="Currency 3 2 3 3 5" xfId="17713" xr:uid="{CC52A880-1270-46CF-A02D-0F43067D0E4C}"/>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2CD7F189-E045-4048-A4B9-91F56725AC86}"/>
    <cellStyle name="Currency 3 2 3 4 2 2 3" xfId="24488" xr:uid="{64061D3A-9698-44D6-BD85-FAD5786DA3FE}"/>
    <cellStyle name="Currency 3 2 3 4 2 3" xfId="11833" xr:uid="{CFC4E60D-52A8-473E-B1BF-08C8BCD412F5}"/>
    <cellStyle name="Currency 3 2 3 4 2 4" xfId="20271" xr:uid="{961843E1-3936-4C11-B7F8-EB9C54888622}"/>
    <cellStyle name="Currency 3 2 3 4 3" xfId="5464" xr:uid="{00000000-0005-0000-0000-00001E0B0000}"/>
    <cellStyle name="Currency 3 2 3 4 3 2" xfId="13906" xr:uid="{57CC8AB3-1252-4E55-86F5-A98DC6919249}"/>
    <cellStyle name="Currency 3 2 3 4 3 3" xfId="22343" xr:uid="{D5BD36AC-592C-4FDC-9F03-60746909FE04}"/>
    <cellStyle name="Currency 3 2 3 4 4" xfId="9688" xr:uid="{730623D7-DB0A-45D4-B2CF-2E4492494A12}"/>
    <cellStyle name="Currency 3 2 3 4 5" xfId="18126" xr:uid="{FC730C71-57E7-41BB-83DE-50886D5A8857}"/>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BD770E99-1321-4F01-BFFA-CAA6BE7EA0B4}"/>
    <cellStyle name="Currency 3 2 3 5 2 2 3" xfId="24901" xr:uid="{FCBC6C95-C78D-47F5-B276-7C78ABD88E53}"/>
    <cellStyle name="Currency 3 2 3 5 2 3" xfId="12246" xr:uid="{CF1A6850-5DFE-49E2-BC1E-1BC4D1739770}"/>
    <cellStyle name="Currency 3 2 3 5 2 4" xfId="20684" xr:uid="{C53487A6-4565-427B-AF48-3CDA01296FAD}"/>
    <cellStyle name="Currency 3 2 3 5 3" xfId="5877" xr:uid="{00000000-0005-0000-0000-0000220B0000}"/>
    <cellStyle name="Currency 3 2 3 5 3 2" xfId="14319" xr:uid="{881C286C-8937-4518-824A-79E41AA35EED}"/>
    <cellStyle name="Currency 3 2 3 5 3 3" xfId="22756" xr:uid="{BA8129E5-D085-4410-AFF9-7B13E72E9D79}"/>
    <cellStyle name="Currency 3 2 3 5 4" xfId="10101" xr:uid="{E9A84A32-59E4-4031-9691-1690BC6158C9}"/>
    <cellStyle name="Currency 3 2 3 5 5" xfId="18539" xr:uid="{4EB5B669-8229-48FF-89D2-27E446D0BE62}"/>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6BA4A07E-ABBB-4944-BB1C-D302AFBEA520}"/>
    <cellStyle name="Currency 3 2 3 6 2 2 3" xfId="25314" xr:uid="{1E0E5A31-A4F7-4061-9460-95C15F55C1FE}"/>
    <cellStyle name="Currency 3 2 3 6 2 3" xfId="12659" xr:uid="{60168831-8E34-46E2-B85A-F2E9C1504772}"/>
    <cellStyle name="Currency 3 2 3 6 2 4" xfId="21097" xr:uid="{FC364520-E607-454C-B2CA-E1975039B2A8}"/>
    <cellStyle name="Currency 3 2 3 6 3" xfId="6290" xr:uid="{00000000-0005-0000-0000-0000260B0000}"/>
    <cellStyle name="Currency 3 2 3 6 3 2" xfId="14732" xr:uid="{6C1007DE-571B-4F2A-9641-6C45D3F99F01}"/>
    <cellStyle name="Currency 3 2 3 6 3 3" xfId="23169" xr:uid="{7C6A99D7-4B7B-4575-B392-59AF89322D21}"/>
    <cellStyle name="Currency 3 2 3 6 4" xfId="10514" xr:uid="{3828BEFD-9DFE-4560-AF23-7A41A0F71A6A}"/>
    <cellStyle name="Currency 3 2 3 6 5" xfId="18952" xr:uid="{0051B5B6-16D2-4C6A-861A-63FED633904F}"/>
    <cellStyle name="Currency 3 2 3 7" xfId="2418" xr:uid="{00000000-0005-0000-0000-0000270B0000}"/>
    <cellStyle name="Currency 3 2 3 7 2" xfId="6703" xr:uid="{00000000-0005-0000-0000-0000280B0000}"/>
    <cellStyle name="Currency 3 2 3 7 2 2" xfId="15145" xr:uid="{DA84C5A1-AABF-4BF0-A306-6EE60116EA50}"/>
    <cellStyle name="Currency 3 2 3 7 2 3" xfId="23582" xr:uid="{F89C8B20-2F23-461A-80FF-C96381B80131}"/>
    <cellStyle name="Currency 3 2 3 7 3" xfId="10927" xr:uid="{FBC18E66-2F33-4DFE-8F69-B414D621B2CB}"/>
    <cellStyle name="Currency 3 2 3 7 4" xfId="19365" xr:uid="{AAE33FF2-10B9-4356-A9AB-CA299AC75CBC}"/>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6BDAC2D5-4CF3-45C5-91E3-BDEE47795E63}"/>
    <cellStyle name="Currency 3 2 3 9 2 3" xfId="23899" xr:uid="{0F834AE4-86D9-461C-9138-6D9FD5C05A94}"/>
    <cellStyle name="Currency 3 2 3 9 3" xfId="11244" xr:uid="{8D854DF5-3076-4884-BEF8-EC626776FF52}"/>
    <cellStyle name="Currency 3 2 3 9 4" xfId="19682" xr:uid="{A320A5B1-805C-4270-A642-91ABD796DD0F}"/>
    <cellStyle name="Currency 3 2 4" xfId="184" xr:uid="{00000000-0005-0000-0000-00002C0B0000}"/>
    <cellStyle name="Currency 3 2 4 10" xfId="8863" xr:uid="{2283BDC9-6B2B-4535-94D1-0EC7017916A0}"/>
    <cellStyle name="Currency 3 2 4 11" xfId="17301" xr:uid="{8292A773-CB2E-4C89-AAA6-CD7020D4C390}"/>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5EE9FCED-00CB-4883-8DFF-4EC216032816}"/>
    <cellStyle name="Currency 3 2 4 2 2 2 3" xfId="24077" xr:uid="{C86E8105-A95B-4B2C-A2FA-6E20F6453FB1}"/>
    <cellStyle name="Currency 3 2 4 2 2 3" xfId="11422" xr:uid="{8ADBDFFA-160A-4419-96E1-0027684B2356}"/>
    <cellStyle name="Currency 3 2 4 2 2 4" xfId="19860" xr:uid="{775B7537-7663-429C-8399-DD7ECDCDE429}"/>
    <cellStyle name="Currency 3 2 4 2 3" xfId="5053" xr:uid="{00000000-0005-0000-0000-0000300B0000}"/>
    <cellStyle name="Currency 3 2 4 2 3 2" xfId="13495" xr:uid="{CDD1D486-ABA2-4167-BD57-D95277F688A6}"/>
    <cellStyle name="Currency 3 2 4 2 3 3" xfId="21932" xr:uid="{28D386CA-0757-4908-9D7D-22A2E95D9988}"/>
    <cellStyle name="Currency 3 2 4 2 4" xfId="9277" xr:uid="{653965AF-84CB-4B37-B68A-13DE2651C084}"/>
    <cellStyle name="Currency 3 2 4 2 5" xfId="17715" xr:uid="{8246340C-465E-43B5-9AD5-2F10A5EBBFAF}"/>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29F5E777-0ECB-4269-9F2F-87298A369C38}"/>
    <cellStyle name="Currency 3 2 4 3 2 2 3" xfId="24490" xr:uid="{BCC780CF-8EC4-40D7-A085-378482D5D73B}"/>
    <cellStyle name="Currency 3 2 4 3 2 3" xfId="11835" xr:uid="{230649C8-1AD8-4065-9237-C75D3BF3E141}"/>
    <cellStyle name="Currency 3 2 4 3 2 4" xfId="20273" xr:uid="{1795E301-50F5-45AD-ADF6-F2345973BC27}"/>
    <cellStyle name="Currency 3 2 4 3 3" xfId="5466" xr:uid="{00000000-0005-0000-0000-0000340B0000}"/>
    <cellStyle name="Currency 3 2 4 3 3 2" xfId="13908" xr:uid="{D94BC7E9-B3EB-4F4B-959E-05F86594DC04}"/>
    <cellStyle name="Currency 3 2 4 3 3 3" xfId="22345" xr:uid="{5EBB07C9-EEBF-47A8-818C-8BC0BCB195BF}"/>
    <cellStyle name="Currency 3 2 4 3 4" xfId="9690" xr:uid="{D8344CC9-F612-4528-A760-CEAB3FBAA0ED}"/>
    <cellStyle name="Currency 3 2 4 3 5" xfId="18128" xr:uid="{D1E5ED01-78CE-4C1F-BB0F-E075AE54B306}"/>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5F2F81E1-1AC6-4CB3-8992-83D38A04C66E}"/>
    <cellStyle name="Currency 3 2 4 4 2 2 3" xfId="24903" xr:uid="{6458B1C3-7E75-41B9-BFF9-FC2CC2DDB162}"/>
    <cellStyle name="Currency 3 2 4 4 2 3" xfId="12248" xr:uid="{FDFA476F-70F3-44AD-8744-2BF80D554AAD}"/>
    <cellStyle name="Currency 3 2 4 4 2 4" xfId="20686" xr:uid="{DA5F8632-5595-4393-8FC4-E13E5FEFE0C1}"/>
    <cellStyle name="Currency 3 2 4 4 3" xfId="5879" xr:uid="{00000000-0005-0000-0000-0000380B0000}"/>
    <cellStyle name="Currency 3 2 4 4 3 2" xfId="14321" xr:uid="{BC800C49-8103-4B19-9E06-0D889928D241}"/>
    <cellStyle name="Currency 3 2 4 4 3 3" xfId="22758" xr:uid="{9568B0F3-4167-4F16-9A05-92B78EA70EE1}"/>
    <cellStyle name="Currency 3 2 4 4 4" xfId="10103" xr:uid="{E670A0ED-DF79-4C9E-9453-570EF276F857}"/>
    <cellStyle name="Currency 3 2 4 4 5" xfId="18541" xr:uid="{E934F1BB-CA6D-4397-99AC-0F0FB7C636A0}"/>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9E98CE50-4DA3-4E00-891B-B7D195161855}"/>
    <cellStyle name="Currency 3 2 4 5 2 2 3" xfId="25316" xr:uid="{BC260D4A-2685-4622-9B9F-1AE867135986}"/>
    <cellStyle name="Currency 3 2 4 5 2 3" xfId="12661" xr:uid="{1338C9CF-0292-4979-A525-9829718E18BF}"/>
    <cellStyle name="Currency 3 2 4 5 2 4" xfId="21099" xr:uid="{77AE4458-289A-474D-AAF8-91BCF4567BC7}"/>
    <cellStyle name="Currency 3 2 4 5 3" xfId="6292" xr:uid="{00000000-0005-0000-0000-00003C0B0000}"/>
    <cellStyle name="Currency 3 2 4 5 3 2" xfId="14734" xr:uid="{CC5951BA-0128-482F-8CC7-21F72A3FC67B}"/>
    <cellStyle name="Currency 3 2 4 5 3 3" xfId="23171" xr:uid="{6D80F5C3-14AB-4B0B-A8E4-CFE8EFED643B}"/>
    <cellStyle name="Currency 3 2 4 5 4" xfId="10516" xr:uid="{63D74AFC-5B3A-4216-80B0-FAF5B73B8872}"/>
    <cellStyle name="Currency 3 2 4 5 5" xfId="18954" xr:uid="{6677A364-3076-4209-9F96-36E50D6BA7EB}"/>
    <cellStyle name="Currency 3 2 4 6" xfId="2420" xr:uid="{00000000-0005-0000-0000-00003D0B0000}"/>
    <cellStyle name="Currency 3 2 4 6 2" xfId="6705" xr:uid="{00000000-0005-0000-0000-00003E0B0000}"/>
    <cellStyle name="Currency 3 2 4 6 2 2" xfId="15147" xr:uid="{69A9CF04-82D1-401C-B059-23C1F641A5C7}"/>
    <cellStyle name="Currency 3 2 4 6 2 3" xfId="23584" xr:uid="{B336AB60-21D2-452F-BDB0-3885C7B9CB2C}"/>
    <cellStyle name="Currency 3 2 4 6 3" xfId="10929" xr:uid="{98009255-3C35-49FF-AEFA-6FCD66C16923}"/>
    <cellStyle name="Currency 3 2 4 6 4" xfId="19367" xr:uid="{D5720F97-9658-4890-82FA-C8A62709B5C4}"/>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B4F5924C-DF8D-4936-B7A9-5A18FBC7BAB5}"/>
    <cellStyle name="Currency 3 2 4 8 2 3" xfId="23901" xr:uid="{CAF8B7D7-D4F2-44EE-8EAC-2018C8907F47}"/>
    <cellStyle name="Currency 3 2 4 8 3" xfId="11246" xr:uid="{C2B43F64-CA9C-4904-B8E9-FB6DF6C2F5BB}"/>
    <cellStyle name="Currency 3 2 4 8 4" xfId="19684" xr:uid="{5C34DF46-54C0-4005-98AD-5779BB605A89}"/>
    <cellStyle name="Currency 3 2 4 9" xfId="4639" xr:uid="{00000000-0005-0000-0000-0000420B0000}"/>
    <cellStyle name="Currency 3 2 4 9 2" xfId="13081" xr:uid="{129A26A9-8142-4D8B-8423-6F33F3B0B06D}"/>
    <cellStyle name="Currency 3 2 4 9 3" xfId="21518" xr:uid="{8AC9E8E1-91D8-4D9B-BC57-8D09864D151C}"/>
    <cellStyle name="Currency 3 2 5" xfId="185" xr:uid="{00000000-0005-0000-0000-0000430B0000}"/>
    <cellStyle name="Currency 3 2 5 10" xfId="8864" xr:uid="{495832ED-1F75-49BB-AE3F-A338CDFE1715}"/>
    <cellStyle name="Currency 3 2 5 11" xfId="17302" xr:uid="{57A6DB68-82B1-4748-88BD-CBF5AC4D1CDB}"/>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9B9B0EE0-3DC7-4ED3-98D0-2B4C874F5CEF}"/>
    <cellStyle name="Currency 3 2 5 2 2 2 3" xfId="24078" xr:uid="{94409A60-7967-4A0E-9E82-7D1739E5B888}"/>
    <cellStyle name="Currency 3 2 5 2 2 3" xfId="11423" xr:uid="{EF5B8275-84C4-4D5D-9A70-9851876B7F67}"/>
    <cellStyle name="Currency 3 2 5 2 2 4" xfId="19861" xr:uid="{E8987BC7-DA83-4FC4-A403-BE5042D018A2}"/>
    <cellStyle name="Currency 3 2 5 2 3" xfId="5054" xr:uid="{00000000-0005-0000-0000-0000470B0000}"/>
    <cellStyle name="Currency 3 2 5 2 3 2" xfId="13496" xr:uid="{80B30319-EA73-4A10-ABAD-A8A5F75F1C15}"/>
    <cellStyle name="Currency 3 2 5 2 3 3" xfId="21933" xr:uid="{5B78CF33-7C50-4912-A853-D9BAFE57A25C}"/>
    <cellStyle name="Currency 3 2 5 2 4" xfId="9278" xr:uid="{BED30D51-B94A-438F-8075-1C5E808506E1}"/>
    <cellStyle name="Currency 3 2 5 2 5" xfId="17716" xr:uid="{A2AA2828-4F21-497B-9A9D-01B796729039}"/>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B272C54A-B09C-44D6-A9B3-488604B60ACE}"/>
    <cellStyle name="Currency 3 2 5 3 2 2 3" xfId="24491" xr:uid="{136CBEE2-4081-4DB7-96E4-06FC017E4DFD}"/>
    <cellStyle name="Currency 3 2 5 3 2 3" xfId="11836" xr:uid="{E3506314-1B4D-430F-B12C-D04460595641}"/>
    <cellStyle name="Currency 3 2 5 3 2 4" xfId="20274" xr:uid="{FD46B778-C1CC-4516-BC5D-BF5FF239F7C7}"/>
    <cellStyle name="Currency 3 2 5 3 3" xfId="5467" xr:uid="{00000000-0005-0000-0000-00004B0B0000}"/>
    <cellStyle name="Currency 3 2 5 3 3 2" xfId="13909" xr:uid="{772CAB23-82C0-4114-953F-46667CA7AECE}"/>
    <cellStyle name="Currency 3 2 5 3 3 3" xfId="22346" xr:uid="{D8A489C1-8A82-4B67-BFA6-0EB4CE7555C7}"/>
    <cellStyle name="Currency 3 2 5 3 4" xfId="9691" xr:uid="{341B1029-9770-4296-A673-AF9FA8AEFEC6}"/>
    <cellStyle name="Currency 3 2 5 3 5" xfId="18129" xr:uid="{5FEF13AE-88FB-48F4-9F71-121C68EF212A}"/>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197880C1-14F1-4A14-ADC5-5D71E9D4EC2F}"/>
    <cellStyle name="Currency 3 2 5 4 2 2 3" xfId="24904" xr:uid="{2C36A5FB-4FD6-47D3-A864-CE5281BDE238}"/>
    <cellStyle name="Currency 3 2 5 4 2 3" xfId="12249" xr:uid="{9A84D149-3C09-4981-9FBA-0AC867A93954}"/>
    <cellStyle name="Currency 3 2 5 4 2 4" xfId="20687" xr:uid="{82F5906B-E661-48B9-B98F-81A52ABE02FE}"/>
    <cellStyle name="Currency 3 2 5 4 3" xfId="5880" xr:uid="{00000000-0005-0000-0000-00004F0B0000}"/>
    <cellStyle name="Currency 3 2 5 4 3 2" xfId="14322" xr:uid="{D1EF51DE-2E57-4265-8C6E-C8F5355CDA3A}"/>
    <cellStyle name="Currency 3 2 5 4 3 3" xfId="22759" xr:uid="{31E8E58D-4915-443D-B262-60B7BFA2D912}"/>
    <cellStyle name="Currency 3 2 5 4 4" xfId="10104" xr:uid="{822086EB-62DE-458F-8E4F-5565E108B6FE}"/>
    <cellStyle name="Currency 3 2 5 4 5" xfId="18542" xr:uid="{729C6355-DE14-4A19-822E-2E2CDEBAEF3B}"/>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3836B4AA-91EA-4014-9F1C-F4A57B9AC844}"/>
    <cellStyle name="Currency 3 2 5 5 2 2 3" xfId="25317" xr:uid="{D6AD9FE3-73B5-4D90-B1B5-2A839C8065E7}"/>
    <cellStyle name="Currency 3 2 5 5 2 3" xfId="12662" xr:uid="{214648D1-591F-4A34-A762-9E5C5E78E352}"/>
    <cellStyle name="Currency 3 2 5 5 2 4" xfId="21100" xr:uid="{07DE08D2-5921-4594-BF23-60719061D788}"/>
    <cellStyle name="Currency 3 2 5 5 3" xfId="6293" xr:uid="{00000000-0005-0000-0000-0000530B0000}"/>
    <cellStyle name="Currency 3 2 5 5 3 2" xfId="14735" xr:uid="{736B1F06-6178-4E27-AFED-E3D23BFDB163}"/>
    <cellStyle name="Currency 3 2 5 5 3 3" xfId="23172" xr:uid="{0FA2888E-EED0-4D19-8C37-5CED298BCFE6}"/>
    <cellStyle name="Currency 3 2 5 5 4" xfId="10517" xr:uid="{C2949B2D-3F92-4735-94D7-B58609D2A974}"/>
    <cellStyle name="Currency 3 2 5 5 5" xfId="18955" xr:uid="{68C2E928-1E9D-4864-B4DA-E9DF4EE0CA39}"/>
    <cellStyle name="Currency 3 2 5 6" xfId="2421" xr:uid="{00000000-0005-0000-0000-0000540B0000}"/>
    <cellStyle name="Currency 3 2 5 6 2" xfId="6706" xr:uid="{00000000-0005-0000-0000-0000550B0000}"/>
    <cellStyle name="Currency 3 2 5 6 2 2" xfId="15148" xr:uid="{A1045B11-F352-4198-ADA5-6CC8B031F485}"/>
    <cellStyle name="Currency 3 2 5 6 2 3" xfId="23585" xr:uid="{596C5E82-7935-4692-B0A5-CB7A668039D3}"/>
    <cellStyle name="Currency 3 2 5 6 3" xfId="10930" xr:uid="{AA33F99F-3547-4593-B1DA-9B4AF9800B2E}"/>
    <cellStyle name="Currency 3 2 5 6 4" xfId="19368" xr:uid="{7DFA3FAA-B269-46DE-9D0B-FE58F19F4046}"/>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9A466F99-A9A9-46EC-973A-556B1B342C1B}"/>
    <cellStyle name="Currency 3 2 5 8 2 3" xfId="23902" xr:uid="{048E88A5-B47C-4DEA-8FD1-2B7F2EF0B2B3}"/>
    <cellStyle name="Currency 3 2 5 8 3" xfId="11247" xr:uid="{81E037A3-E28F-49F1-BCE0-8D9C7A4D8243}"/>
    <cellStyle name="Currency 3 2 5 8 4" xfId="19685" xr:uid="{2E530DC6-4499-4571-B783-81FE1BE81F39}"/>
    <cellStyle name="Currency 3 2 5 9" xfId="4640" xr:uid="{00000000-0005-0000-0000-0000590B0000}"/>
    <cellStyle name="Currency 3 2 5 9 2" xfId="13082" xr:uid="{85997910-6F80-4431-A6CC-5ABBAD640295}"/>
    <cellStyle name="Currency 3 2 5 9 3" xfId="21519" xr:uid="{491EEB90-E7A0-440E-BE4E-C1AB076A7437}"/>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F823723A-6D08-47AA-87ED-B082EC61ACCA}"/>
    <cellStyle name="Currency 5 2 2 2 10 2 3" xfId="23903" xr:uid="{74AE050E-E2CE-455E-B730-7E1878A3636D}"/>
    <cellStyle name="Currency 5 2 2 2 10 3" xfId="11248" xr:uid="{B4C93B84-8724-43B3-8F03-A6D15C00A74B}"/>
    <cellStyle name="Currency 5 2 2 2 10 4" xfId="19686" xr:uid="{3A0117DB-6395-4FC1-BF4D-BA31E9D22EA4}"/>
    <cellStyle name="Currency 5 2 2 2 11" xfId="4641" xr:uid="{00000000-0005-0000-0000-00006C0B0000}"/>
    <cellStyle name="Currency 5 2 2 2 11 2" xfId="13083" xr:uid="{7AFCD67D-EE92-44BF-93CC-7B2D8D7A4525}"/>
    <cellStyle name="Currency 5 2 2 2 11 3" xfId="21520" xr:uid="{0F969DBB-09C2-4A0B-9D3D-69ABC90EE415}"/>
    <cellStyle name="Currency 5 2 2 2 12" xfId="8865" xr:uid="{4C2FB322-982F-44D9-8951-47DC02E20A85}"/>
    <cellStyle name="Currency 5 2 2 2 13" xfId="17303" xr:uid="{CB3B080C-75C5-4293-AC54-9264FAE9C6F3}"/>
    <cellStyle name="Currency 5 2 2 2 2" xfId="197" xr:uid="{00000000-0005-0000-0000-00006D0B0000}"/>
    <cellStyle name="Currency 5 2 2 2 2 10" xfId="4642" xr:uid="{00000000-0005-0000-0000-00006E0B0000}"/>
    <cellStyle name="Currency 5 2 2 2 2 10 2" xfId="13084" xr:uid="{646E9F17-5265-488C-9B5F-11DDD034B3DC}"/>
    <cellStyle name="Currency 5 2 2 2 2 10 3" xfId="21521" xr:uid="{4F34A1DF-6F81-44FA-8EF0-D7A93A8E8B38}"/>
    <cellStyle name="Currency 5 2 2 2 2 11" xfId="8866" xr:uid="{3D8A13C6-9FCC-4A9E-9EF1-2F6A7F8D6EEC}"/>
    <cellStyle name="Currency 5 2 2 2 2 12" xfId="17304" xr:uid="{73176CDD-FCF9-4563-988A-0CF284EE7D3C}"/>
    <cellStyle name="Currency 5 2 2 2 2 2" xfId="198" xr:uid="{00000000-0005-0000-0000-00006F0B0000}"/>
    <cellStyle name="Currency 5 2 2 2 2 2 10" xfId="8867" xr:uid="{CC6D088C-7519-4F3F-A33A-98DF958298E2}"/>
    <cellStyle name="Currency 5 2 2 2 2 2 11" xfId="17305" xr:uid="{687DF0D5-26FD-414E-900C-0BF99BE26C93}"/>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ECC39499-CEAA-468E-B9B4-38E502A33D64}"/>
    <cellStyle name="Currency 5 2 2 2 2 2 2 2 2 3" xfId="24081" xr:uid="{E1E9F6A0-7FF5-4730-9CBE-6DD817E9DBFC}"/>
    <cellStyle name="Currency 5 2 2 2 2 2 2 2 3" xfId="11426" xr:uid="{C48B8FDE-FB62-4C8C-8A6E-7FE8E4F3B863}"/>
    <cellStyle name="Currency 5 2 2 2 2 2 2 2 4" xfId="19864" xr:uid="{0DD7C0DC-B6B6-4022-A559-872D5730F881}"/>
    <cellStyle name="Currency 5 2 2 2 2 2 2 3" xfId="5057" xr:uid="{00000000-0005-0000-0000-0000730B0000}"/>
    <cellStyle name="Currency 5 2 2 2 2 2 2 3 2" xfId="13499" xr:uid="{1FEB5FFB-B4C2-4FC7-89DD-2089C8AE69BD}"/>
    <cellStyle name="Currency 5 2 2 2 2 2 2 3 3" xfId="21936" xr:uid="{A307C4B3-7564-4406-808C-5F2CB9698B3B}"/>
    <cellStyle name="Currency 5 2 2 2 2 2 2 4" xfId="9281" xr:uid="{8E4C9318-30E2-4B44-BC6B-FCF6D2CDD2F2}"/>
    <cellStyle name="Currency 5 2 2 2 2 2 2 5" xfId="17719" xr:uid="{8EB678EA-8386-4A59-9EED-74E3DF8D78E2}"/>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FAA3BEDD-9216-4F4B-9ED3-04C99A612302}"/>
    <cellStyle name="Currency 5 2 2 2 2 2 3 2 2 3" xfId="24494" xr:uid="{14721A9B-DE02-4ED7-9FF4-0222F15C77D6}"/>
    <cellStyle name="Currency 5 2 2 2 2 2 3 2 3" xfId="11839" xr:uid="{6B7B819D-9795-4916-8BFD-AA1B3FBA64EA}"/>
    <cellStyle name="Currency 5 2 2 2 2 2 3 2 4" xfId="20277" xr:uid="{5E5CD13D-8F3B-4CBE-864B-ED2D62A7AC12}"/>
    <cellStyle name="Currency 5 2 2 2 2 2 3 3" xfId="5470" xr:uid="{00000000-0005-0000-0000-0000770B0000}"/>
    <cellStyle name="Currency 5 2 2 2 2 2 3 3 2" xfId="13912" xr:uid="{F94D1E3B-AD43-4AE7-9F54-0741FFC19995}"/>
    <cellStyle name="Currency 5 2 2 2 2 2 3 3 3" xfId="22349" xr:uid="{3F275224-CDC3-4CC6-AA4E-BD8AA08A0501}"/>
    <cellStyle name="Currency 5 2 2 2 2 2 3 4" xfId="9694" xr:uid="{D4321056-0E4E-43EA-8E2D-4FB83C126F12}"/>
    <cellStyle name="Currency 5 2 2 2 2 2 3 5" xfId="18132" xr:uid="{47F77758-B0A2-4C6B-A927-6EDF4C4A372B}"/>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7DA36858-C848-4711-B611-AFB8F6371773}"/>
    <cellStyle name="Currency 5 2 2 2 2 2 4 2 2 3" xfId="24907" xr:uid="{3764DAB3-E42E-404F-AB89-8A763C2552DF}"/>
    <cellStyle name="Currency 5 2 2 2 2 2 4 2 3" xfId="12252" xr:uid="{DB7D6A52-EF3D-4575-8C84-6B21F6301195}"/>
    <cellStyle name="Currency 5 2 2 2 2 2 4 2 4" xfId="20690" xr:uid="{8B3C5C26-96A1-4D1F-886A-2A2CFF68BE4B}"/>
    <cellStyle name="Currency 5 2 2 2 2 2 4 3" xfId="5883" xr:uid="{00000000-0005-0000-0000-00007B0B0000}"/>
    <cellStyle name="Currency 5 2 2 2 2 2 4 3 2" xfId="14325" xr:uid="{BDDEB2B6-66FD-4C61-AF1A-ABE96312BB65}"/>
    <cellStyle name="Currency 5 2 2 2 2 2 4 3 3" xfId="22762" xr:uid="{1D09C159-3F22-40DE-A87D-4AF93312546B}"/>
    <cellStyle name="Currency 5 2 2 2 2 2 4 4" xfId="10107" xr:uid="{C3D1B97C-3065-48B3-AC22-3AFFC19DEF55}"/>
    <cellStyle name="Currency 5 2 2 2 2 2 4 5" xfId="18545" xr:uid="{4009C121-4A13-49AB-9A76-5213E93C96B6}"/>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2E069703-6C03-4668-8BFA-7593F0351949}"/>
    <cellStyle name="Currency 5 2 2 2 2 2 5 2 2 3" xfId="25320" xr:uid="{7BCEA6D7-BB0B-4B3A-8F4F-0A7F296B5957}"/>
    <cellStyle name="Currency 5 2 2 2 2 2 5 2 3" xfId="12665" xr:uid="{C0C3EBCA-224C-412F-AAD9-B8E2F1A9A7DB}"/>
    <cellStyle name="Currency 5 2 2 2 2 2 5 2 4" xfId="21103" xr:uid="{FA90BAD0-421A-47BF-BEDB-1F48A29B0689}"/>
    <cellStyle name="Currency 5 2 2 2 2 2 5 3" xfId="6296" xr:uid="{00000000-0005-0000-0000-00007F0B0000}"/>
    <cellStyle name="Currency 5 2 2 2 2 2 5 3 2" xfId="14738" xr:uid="{935DDC71-D476-4988-B919-BF6FDCD46A96}"/>
    <cellStyle name="Currency 5 2 2 2 2 2 5 3 3" xfId="23175" xr:uid="{C49A9446-B224-4BAF-AE1A-18D6180F592A}"/>
    <cellStyle name="Currency 5 2 2 2 2 2 5 4" xfId="10520" xr:uid="{7487E46C-3DD4-41E3-9BEF-EFF956EAA687}"/>
    <cellStyle name="Currency 5 2 2 2 2 2 5 5" xfId="18958" xr:uid="{4C6C7070-38EE-4002-B285-1D034BEB3D05}"/>
    <cellStyle name="Currency 5 2 2 2 2 2 6" xfId="2424" xr:uid="{00000000-0005-0000-0000-0000800B0000}"/>
    <cellStyle name="Currency 5 2 2 2 2 2 6 2" xfId="6709" xr:uid="{00000000-0005-0000-0000-0000810B0000}"/>
    <cellStyle name="Currency 5 2 2 2 2 2 6 2 2" xfId="15151" xr:uid="{A6C5AFBA-A36B-4BDA-8A82-1B446F180D19}"/>
    <cellStyle name="Currency 5 2 2 2 2 2 6 2 3" xfId="23588" xr:uid="{8A8E7964-515E-44DA-8BF5-F5B5E20E3EBE}"/>
    <cellStyle name="Currency 5 2 2 2 2 2 6 3" xfId="10933" xr:uid="{91F440DF-B9C7-491A-96DB-A9BF6E09A8FF}"/>
    <cellStyle name="Currency 5 2 2 2 2 2 6 4" xfId="19371" xr:uid="{A6A2538C-71E4-4DDB-A2E5-5126DD37202A}"/>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1B2A423C-4D0F-419D-82E8-C77A0E6B33A8}"/>
    <cellStyle name="Currency 5 2 2 2 2 2 8 2 3" xfId="23905" xr:uid="{5B9AAAF1-857E-439A-A356-8ACD901731C2}"/>
    <cellStyle name="Currency 5 2 2 2 2 2 8 3" xfId="11250" xr:uid="{F4CC6656-CDD5-4A57-99CC-86BAC025835D}"/>
    <cellStyle name="Currency 5 2 2 2 2 2 8 4" xfId="19688" xr:uid="{17603ABA-E5AB-4748-B751-38E00CF82AFC}"/>
    <cellStyle name="Currency 5 2 2 2 2 2 9" xfId="4643" xr:uid="{00000000-0005-0000-0000-0000850B0000}"/>
    <cellStyle name="Currency 5 2 2 2 2 2 9 2" xfId="13085" xr:uid="{395463AE-3624-4EF9-8D24-AF4E4F10C0F7}"/>
    <cellStyle name="Currency 5 2 2 2 2 2 9 3" xfId="21522" xr:uid="{007621DE-7E6B-4337-BB0A-8B818D5D2A58}"/>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DB8ED8DE-86A8-418C-97FD-8984D4EA8ED9}"/>
    <cellStyle name="Currency 5 2 2 2 2 3 2 2 3" xfId="24080" xr:uid="{30AE0153-7440-401C-9C8C-E08291127F94}"/>
    <cellStyle name="Currency 5 2 2 2 2 3 2 3" xfId="11425" xr:uid="{B64C5855-9CF3-4923-8433-1B68677B7ABA}"/>
    <cellStyle name="Currency 5 2 2 2 2 3 2 4" xfId="19863" xr:uid="{2BDAE3E5-1DF4-4851-BB23-0B8DB221093F}"/>
    <cellStyle name="Currency 5 2 2 2 2 3 3" xfId="5056" xr:uid="{00000000-0005-0000-0000-0000890B0000}"/>
    <cellStyle name="Currency 5 2 2 2 2 3 3 2" xfId="13498" xr:uid="{9D36AE01-6FCC-4E44-9970-980D0F898BFF}"/>
    <cellStyle name="Currency 5 2 2 2 2 3 3 3" xfId="21935" xr:uid="{98D6EFF3-1CE4-4BCE-A615-7970E1DDDD4A}"/>
    <cellStyle name="Currency 5 2 2 2 2 3 4" xfId="9280" xr:uid="{8DDAD7B4-1343-4AD9-B6EE-17BF2C0AD94D}"/>
    <cellStyle name="Currency 5 2 2 2 2 3 5" xfId="17718" xr:uid="{1938D353-8DC3-4B61-958D-079B3946F832}"/>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BD43A006-51C3-440A-B28D-B8D3940AE5AF}"/>
    <cellStyle name="Currency 5 2 2 2 2 4 2 2 3" xfId="24493" xr:uid="{7CE31E5A-8BF8-4CC2-B4B4-EE76ED8FB393}"/>
    <cellStyle name="Currency 5 2 2 2 2 4 2 3" xfId="11838" xr:uid="{8AC0B980-704A-4542-8EBF-02B2BEFB9658}"/>
    <cellStyle name="Currency 5 2 2 2 2 4 2 4" xfId="20276" xr:uid="{9B46823B-9B68-4668-8B7E-A48D01449182}"/>
    <cellStyle name="Currency 5 2 2 2 2 4 3" xfId="5469" xr:uid="{00000000-0005-0000-0000-00008D0B0000}"/>
    <cellStyle name="Currency 5 2 2 2 2 4 3 2" xfId="13911" xr:uid="{7982AA07-EC61-4124-AD5B-A7ED1A309AF8}"/>
    <cellStyle name="Currency 5 2 2 2 2 4 3 3" xfId="22348" xr:uid="{6DE3474E-BF77-4C07-BF52-39B78DA0E42A}"/>
    <cellStyle name="Currency 5 2 2 2 2 4 4" xfId="9693" xr:uid="{0241F4FE-0BE9-44C6-9C3F-43C3C07405C4}"/>
    <cellStyle name="Currency 5 2 2 2 2 4 5" xfId="18131" xr:uid="{FDF2700D-21D8-4538-8D8B-720F671DD291}"/>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B6255CCD-D030-4293-B323-4AEDAC0638FD}"/>
    <cellStyle name="Currency 5 2 2 2 2 5 2 2 3" xfId="24906" xr:uid="{D3E1FE9F-815B-43D1-9814-9F6F7BEFFC0B}"/>
    <cellStyle name="Currency 5 2 2 2 2 5 2 3" xfId="12251" xr:uid="{8D7AA2BA-84E7-435F-87C0-B51FECFFB77A}"/>
    <cellStyle name="Currency 5 2 2 2 2 5 2 4" xfId="20689" xr:uid="{5C689178-2618-481A-8E8E-C80083806343}"/>
    <cellStyle name="Currency 5 2 2 2 2 5 3" xfId="5882" xr:uid="{00000000-0005-0000-0000-0000910B0000}"/>
    <cellStyle name="Currency 5 2 2 2 2 5 3 2" xfId="14324" xr:uid="{24343BF1-8703-47C1-807A-A510AE08839A}"/>
    <cellStyle name="Currency 5 2 2 2 2 5 3 3" xfId="22761" xr:uid="{73568FA8-73C4-4613-B7AE-9813BB9753FA}"/>
    <cellStyle name="Currency 5 2 2 2 2 5 4" xfId="10106" xr:uid="{A1837CB8-A846-4A58-B5EF-31B81F9AE5C3}"/>
    <cellStyle name="Currency 5 2 2 2 2 5 5" xfId="18544" xr:uid="{0B3BF017-488E-4E07-A691-1619879EC91A}"/>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E8364C1A-2CC3-4ABC-BEB2-8E63210331F1}"/>
    <cellStyle name="Currency 5 2 2 2 2 6 2 2 3" xfId="25319" xr:uid="{C9D7353C-6910-4D80-B6A2-791E828BD579}"/>
    <cellStyle name="Currency 5 2 2 2 2 6 2 3" xfId="12664" xr:uid="{732894EF-98B4-428B-AADA-488C432913DE}"/>
    <cellStyle name="Currency 5 2 2 2 2 6 2 4" xfId="21102" xr:uid="{6C37932A-D251-4750-A9A3-6F6836E046C9}"/>
    <cellStyle name="Currency 5 2 2 2 2 6 3" xfId="6295" xr:uid="{00000000-0005-0000-0000-0000950B0000}"/>
    <cellStyle name="Currency 5 2 2 2 2 6 3 2" xfId="14737" xr:uid="{8DB38223-8B41-4F5A-8991-370471CDF95E}"/>
    <cellStyle name="Currency 5 2 2 2 2 6 3 3" xfId="23174" xr:uid="{A4A2BDA4-0FD9-4428-BBDA-F116DB9F1FFD}"/>
    <cellStyle name="Currency 5 2 2 2 2 6 4" xfId="10519" xr:uid="{B1837373-C29D-4AF0-B32A-2F9929AC5A39}"/>
    <cellStyle name="Currency 5 2 2 2 2 6 5" xfId="18957" xr:uid="{727994FB-78B0-4CC6-BA6F-E0C5F9CEAD07}"/>
    <cellStyle name="Currency 5 2 2 2 2 7" xfId="2423" xr:uid="{00000000-0005-0000-0000-0000960B0000}"/>
    <cellStyle name="Currency 5 2 2 2 2 7 2" xfId="6708" xr:uid="{00000000-0005-0000-0000-0000970B0000}"/>
    <cellStyle name="Currency 5 2 2 2 2 7 2 2" xfId="15150" xr:uid="{F25AAD66-1389-4F5E-B74F-F3125F6A3B46}"/>
    <cellStyle name="Currency 5 2 2 2 2 7 2 3" xfId="23587" xr:uid="{04D96EB0-A7E6-4CCD-AD17-EAF5577677DE}"/>
    <cellStyle name="Currency 5 2 2 2 2 7 3" xfId="10932" xr:uid="{C843B511-A80C-47C2-A8D6-C6176DC40D87}"/>
    <cellStyle name="Currency 5 2 2 2 2 7 4" xfId="19370" xr:uid="{3F43DA18-4FDF-410D-9FDC-7AEA67EDE6CC}"/>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213F549A-7825-40C9-9A39-2DD1F7170EB7}"/>
    <cellStyle name="Currency 5 2 2 2 2 9 2 3" xfId="23904" xr:uid="{FCE90139-57F0-4443-B0D7-59A0A5F73AE9}"/>
    <cellStyle name="Currency 5 2 2 2 2 9 3" xfId="11249" xr:uid="{93EE1180-9BA0-4262-84D0-D8CDA66FCC86}"/>
    <cellStyle name="Currency 5 2 2 2 2 9 4" xfId="19687" xr:uid="{1B4E33C4-7A71-4565-A3DF-1464C033FFB8}"/>
    <cellStyle name="Currency 5 2 2 2 3" xfId="199" xr:uid="{00000000-0005-0000-0000-00009B0B0000}"/>
    <cellStyle name="Currency 5 2 2 2 3 10" xfId="8868" xr:uid="{F68A1523-DE70-4BD4-AFE9-8BD1D0DD628C}"/>
    <cellStyle name="Currency 5 2 2 2 3 11" xfId="17306" xr:uid="{E0871C6A-7301-431C-AB3E-1E021A1B752C}"/>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F3E4312E-06DC-4977-9F9D-28E243BDF853}"/>
    <cellStyle name="Currency 5 2 2 2 3 2 2 2 3" xfId="24082" xr:uid="{A00F249D-99AE-43F1-AB1B-E8F959F80365}"/>
    <cellStyle name="Currency 5 2 2 2 3 2 2 3" xfId="11427" xr:uid="{2C214D74-3963-49CE-88BA-95BA4F4758F7}"/>
    <cellStyle name="Currency 5 2 2 2 3 2 2 4" xfId="19865" xr:uid="{288C0C5D-4ECD-4F24-91BE-00BC6E37AC93}"/>
    <cellStyle name="Currency 5 2 2 2 3 2 3" xfId="5058" xr:uid="{00000000-0005-0000-0000-00009F0B0000}"/>
    <cellStyle name="Currency 5 2 2 2 3 2 3 2" xfId="13500" xr:uid="{395DA312-72F8-48C5-8D6D-840336286011}"/>
    <cellStyle name="Currency 5 2 2 2 3 2 3 3" xfId="21937" xr:uid="{47E599CF-E064-4AC3-8A6D-A7E259321960}"/>
    <cellStyle name="Currency 5 2 2 2 3 2 4" xfId="9282" xr:uid="{9F90B23F-529D-4BAA-8D04-D38719711BC9}"/>
    <cellStyle name="Currency 5 2 2 2 3 2 5" xfId="17720" xr:uid="{911257A9-8ABD-4C92-9CA2-CB85599BE2AA}"/>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8CE73F8A-442D-4549-9A95-CA31D7815DE9}"/>
    <cellStyle name="Currency 5 2 2 2 3 3 2 2 3" xfId="24495" xr:uid="{75B6196A-C38D-401E-B6DD-715055670055}"/>
    <cellStyle name="Currency 5 2 2 2 3 3 2 3" xfId="11840" xr:uid="{8CF3A3C4-87ED-4614-98FA-B9D922C8E9D9}"/>
    <cellStyle name="Currency 5 2 2 2 3 3 2 4" xfId="20278" xr:uid="{AFFD81D1-7710-4ECD-B56B-7E155A6BA00C}"/>
    <cellStyle name="Currency 5 2 2 2 3 3 3" xfId="5471" xr:uid="{00000000-0005-0000-0000-0000A30B0000}"/>
    <cellStyle name="Currency 5 2 2 2 3 3 3 2" xfId="13913" xr:uid="{58DFF81A-9211-4158-844F-29E288B918B3}"/>
    <cellStyle name="Currency 5 2 2 2 3 3 3 3" xfId="22350" xr:uid="{5385D5E1-A348-4CF1-B58D-9A7F3CD6AA76}"/>
    <cellStyle name="Currency 5 2 2 2 3 3 4" xfId="9695" xr:uid="{A89598D8-009F-45A9-90B8-6ADDE639AA35}"/>
    <cellStyle name="Currency 5 2 2 2 3 3 5" xfId="18133" xr:uid="{7182CE72-ACD5-47BC-ABA8-21E203A368D7}"/>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9F02FC5F-74C4-4A67-B169-4300AB00982B}"/>
    <cellStyle name="Currency 5 2 2 2 3 4 2 2 3" xfId="24908" xr:uid="{512D60E1-41FA-4917-AA1E-380DAE5C6699}"/>
    <cellStyle name="Currency 5 2 2 2 3 4 2 3" xfId="12253" xr:uid="{5ED98DAA-C166-496C-A3F4-89D7BCB72184}"/>
    <cellStyle name="Currency 5 2 2 2 3 4 2 4" xfId="20691" xr:uid="{E276075A-5A0A-4788-9F98-86BC33D5B906}"/>
    <cellStyle name="Currency 5 2 2 2 3 4 3" xfId="5884" xr:uid="{00000000-0005-0000-0000-0000A70B0000}"/>
    <cellStyle name="Currency 5 2 2 2 3 4 3 2" xfId="14326" xr:uid="{AFD0DF1B-EDEC-4C45-9D7A-BE95FF62034A}"/>
    <cellStyle name="Currency 5 2 2 2 3 4 3 3" xfId="22763" xr:uid="{BBC0C2E8-40AB-40A1-A544-54A723A379CD}"/>
    <cellStyle name="Currency 5 2 2 2 3 4 4" xfId="10108" xr:uid="{DCF25D50-0C9B-42CD-92C9-D14339A8FFC6}"/>
    <cellStyle name="Currency 5 2 2 2 3 4 5" xfId="18546" xr:uid="{2D3ABA95-F32C-446E-845F-296F0774CF9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F65CFC5E-ABA9-431C-AE1A-4FAB8CD599E4}"/>
    <cellStyle name="Currency 5 2 2 2 3 5 2 2 3" xfId="25321" xr:uid="{891C3720-6F54-4C1E-BA79-B4B4C73074D3}"/>
    <cellStyle name="Currency 5 2 2 2 3 5 2 3" xfId="12666" xr:uid="{35659CC3-70B6-47C6-B182-B999ACEB3C62}"/>
    <cellStyle name="Currency 5 2 2 2 3 5 2 4" xfId="21104" xr:uid="{63DFFDA0-AD72-4B0A-A367-84FFE1C3B82F}"/>
    <cellStyle name="Currency 5 2 2 2 3 5 3" xfId="6297" xr:uid="{00000000-0005-0000-0000-0000AB0B0000}"/>
    <cellStyle name="Currency 5 2 2 2 3 5 3 2" xfId="14739" xr:uid="{B36541DE-44E3-415B-A7BA-298E16BCF11C}"/>
    <cellStyle name="Currency 5 2 2 2 3 5 3 3" xfId="23176" xr:uid="{ED18F4D6-E36E-404C-98C2-2C728D594081}"/>
    <cellStyle name="Currency 5 2 2 2 3 5 4" xfId="10521" xr:uid="{652EF613-25BB-42C8-8C74-6E088D24DC60}"/>
    <cellStyle name="Currency 5 2 2 2 3 5 5" xfId="18959" xr:uid="{4042A43F-A308-4F46-890D-7E5F773F2EDE}"/>
    <cellStyle name="Currency 5 2 2 2 3 6" xfId="2425" xr:uid="{00000000-0005-0000-0000-0000AC0B0000}"/>
    <cellStyle name="Currency 5 2 2 2 3 6 2" xfId="6710" xr:uid="{00000000-0005-0000-0000-0000AD0B0000}"/>
    <cellStyle name="Currency 5 2 2 2 3 6 2 2" xfId="15152" xr:uid="{BBEC0CD3-4B1F-4FEC-B2DC-477754E33E0B}"/>
    <cellStyle name="Currency 5 2 2 2 3 6 2 3" xfId="23589" xr:uid="{19E1B20A-4373-4119-8C52-93C6885BE068}"/>
    <cellStyle name="Currency 5 2 2 2 3 6 3" xfId="10934" xr:uid="{07B910CB-A7F6-4E99-9FB5-116687F0F189}"/>
    <cellStyle name="Currency 5 2 2 2 3 6 4" xfId="19372" xr:uid="{7814A354-A541-46FD-85F3-85BF7D9D1F1F}"/>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ABB78FBE-5921-46B3-B6C4-194377CDB01D}"/>
    <cellStyle name="Currency 5 2 2 2 3 8 2 3" xfId="23906" xr:uid="{43C08272-76C9-46FB-AA90-98FB6C43144D}"/>
    <cellStyle name="Currency 5 2 2 2 3 8 3" xfId="11251" xr:uid="{C61E6E74-46D9-42B3-961F-026838934183}"/>
    <cellStyle name="Currency 5 2 2 2 3 8 4" xfId="19689" xr:uid="{3D4C31DB-B583-4483-8019-CBC93B8B18CC}"/>
    <cellStyle name="Currency 5 2 2 2 3 9" xfId="4644" xr:uid="{00000000-0005-0000-0000-0000B10B0000}"/>
    <cellStyle name="Currency 5 2 2 2 3 9 2" xfId="13086" xr:uid="{C62D6E24-C9FE-49A3-AE34-BB5F19A222A6}"/>
    <cellStyle name="Currency 5 2 2 2 3 9 3" xfId="21523" xr:uid="{C0394729-707A-45E8-A030-FC2FCDCBD727}"/>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2544A97F-6A55-4B8D-B28A-9D03D13FB19C}"/>
    <cellStyle name="Currency 5 2 2 2 4 2 2 3" xfId="24079" xr:uid="{9B6FD7CE-9415-420A-B5E7-CD537846D40A}"/>
    <cellStyle name="Currency 5 2 2 2 4 2 3" xfId="11424" xr:uid="{89CAABEC-C58C-4798-9ED5-983833D5B838}"/>
    <cellStyle name="Currency 5 2 2 2 4 2 4" xfId="19862" xr:uid="{005A16C7-3208-44C6-93B9-F18465860A68}"/>
    <cellStyle name="Currency 5 2 2 2 4 3" xfId="5055" xr:uid="{00000000-0005-0000-0000-0000B50B0000}"/>
    <cellStyle name="Currency 5 2 2 2 4 3 2" xfId="13497" xr:uid="{6CDB4903-AAED-4791-A9FD-6D25A98D05FE}"/>
    <cellStyle name="Currency 5 2 2 2 4 3 3" xfId="21934" xr:uid="{4420EA98-0576-4152-91E4-74F2E67D408F}"/>
    <cellStyle name="Currency 5 2 2 2 4 4" xfId="9279" xr:uid="{213B4C2E-0480-4B42-98DC-1B203A6D1C4B}"/>
    <cellStyle name="Currency 5 2 2 2 4 5" xfId="17717" xr:uid="{DF7603A8-BD03-4E6A-A55C-41C29FACFB18}"/>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205D2027-C881-4B1F-AD8E-7285C37C5E61}"/>
    <cellStyle name="Currency 5 2 2 2 5 2 2 3" xfId="24492" xr:uid="{EDEA5C22-B8FF-44CC-98FA-ABCC717C95B6}"/>
    <cellStyle name="Currency 5 2 2 2 5 2 3" xfId="11837" xr:uid="{BF411C03-C13A-4404-889A-ACC491415C7C}"/>
    <cellStyle name="Currency 5 2 2 2 5 2 4" xfId="20275" xr:uid="{BFC92907-AC96-46BB-BCE9-9A43D4B90637}"/>
    <cellStyle name="Currency 5 2 2 2 5 3" xfId="5468" xr:uid="{00000000-0005-0000-0000-0000B90B0000}"/>
    <cellStyle name="Currency 5 2 2 2 5 3 2" xfId="13910" xr:uid="{42E94D6D-5546-4ECF-AA31-8FAF753D5BC5}"/>
    <cellStyle name="Currency 5 2 2 2 5 3 3" xfId="22347" xr:uid="{BCCF8169-C5DA-4576-80D8-BF51410CFDB2}"/>
    <cellStyle name="Currency 5 2 2 2 5 4" xfId="9692" xr:uid="{AFD8602B-F017-4750-960E-A9D684B91175}"/>
    <cellStyle name="Currency 5 2 2 2 5 5" xfId="18130" xr:uid="{6B3A39C9-4213-43A6-BC55-CC7899735454}"/>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E26C7F5C-E767-493D-95C4-706D7EEBBDFF}"/>
    <cellStyle name="Currency 5 2 2 2 6 2 2 3" xfId="24905" xr:uid="{496C41FF-4E41-4EE6-AAE1-36E3D475F900}"/>
    <cellStyle name="Currency 5 2 2 2 6 2 3" xfId="12250" xr:uid="{0B1D612E-0176-43EA-9E79-57FD4F52646B}"/>
    <cellStyle name="Currency 5 2 2 2 6 2 4" xfId="20688" xr:uid="{0691DFDC-E6DA-4367-8AD4-444D6DEB192A}"/>
    <cellStyle name="Currency 5 2 2 2 6 3" xfId="5881" xr:uid="{00000000-0005-0000-0000-0000BD0B0000}"/>
    <cellStyle name="Currency 5 2 2 2 6 3 2" xfId="14323" xr:uid="{888C453E-BB77-4D28-81F6-EC8EF149F682}"/>
    <cellStyle name="Currency 5 2 2 2 6 3 3" xfId="22760" xr:uid="{30B1187B-5698-415B-BB89-FA9CC2F17C5D}"/>
    <cellStyle name="Currency 5 2 2 2 6 4" xfId="10105" xr:uid="{69F48FAD-B2D5-4C71-B6F3-9BC81ECDBEC3}"/>
    <cellStyle name="Currency 5 2 2 2 6 5" xfId="18543" xr:uid="{9C2BA1E6-05EE-44E6-A64B-2FE78E6E5D17}"/>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AF6877B3-F11D-4EED-BFAA-AC733C0D51CF}"/>
    <cellStyle name="Currency 5 2 2 2 7 2 2 3" xfId="25318" xr:uid="{72ADFD1D-D119-4A67-9D31-8BB13E8A58A5}"/>
    <cellStyle name="Currency 5 2 2 2 7 2 3" xfId="12663" xr:uid="{C36B0CD3-0605-458B-95AB-E57D26C21995}"/>
    <cellStyle name="Currency 5 2 2 2 7 2 4" xfId="21101" xr:uid="{6A83768F-EC65-4F3B-BBD4-3A4D1576592A}"/>
    <cellStyle name="Currency 5 2 2 2 7 3" xfId="6294" xr:uid="{00000000-0005-0000-0000-0000C10B0000}"/>
    <cellStyle name="Currency 5 2 2 2 7 3 2" xfId="14736" xr:uid="{B12886C3-ABDA-49EA-97E0-37B4EEBA38E6}"/>
    <cellStyle name="Currency 5 2 2 2 7 3 3" xfId="23173" xr:uid="{1EDEA79C-8B75-4440-A6CA-C567D28BDA00}"/>
    <cellStyle name="Currency 5 2 2 2 7 4" xfId="10518" xr:uid="{0A247861-9196-47F5-B88F-95E13016DF47}"/>
    <cellStyle name="Currency 5 2 2 2 7 5" xfId="18956" xr:uid="{F9213611-956E-40EF-A49D-859522924A5F}"/>
    <cellStyle name="Currency 5 2 2 2 8" xfId="2422" xr:uid="{00000000-0005-0000-0000-0000C20B0000}"/>
    <cellStyle name="Currency 5 2 2 2 8 2" xfId="6707" xr:uid="{00000000-0005-0000-0000-0000C30B0000}"/>
    <cellStyle name="Currency 5 2 2 2 8 2 2" xfId="15149" xr:uid="{4901621C-52B6-4EA9-BA14-80E9102B80E0}"/>
    <cellStyle name="Currency 5 2 2 2 8 2 3" xfId="23586" xr:uid="{A3781E17-BC2C-4D4C-9D35-81CB3AACDB99}"/>
    <cellStyle name="Currency 5 2 2 2 8 3" xfId="10931" xr:uid="{DB1A6587-2A1A-4660-B434-A2E03D9A2E72}"/>
    <cellStyle name="Currency 5 2 2 2 8 4" xfId="19369" xr:uid="{C9C74458-9F39-4FA9-825B-242361AF3137}"/>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DB2ACF35-3150-4C69-B6AA-255DFD37D58A}"/>
    <cellStyle name="Currency 5 2 2 3 10 3" xfId="21524" xr:uid="{5C5B9249-85E6-44C8-930D-A39632D65820}"/>
    <cellStyle name="Currency 5 2 2 3 11" xfId="8869" xr:uid="{6A975C29-4950-4AC3-B9E5-23E0A2A52DC9}"/>
    <cellStyle name="Currency 5 2 2 3 12" xfId="17307" xr:uid="{BB3FFFA4-06A1-4ADE-9ED0-53745BDA0491}"/>
    <cellStyle name="Currency 5 2 2 3 2" xfId="201" xr:uid="{00000000-0005-0000-0000-0000C70B0000}"/>
    <cellStyle name="Currency 5 2 2 3 2 10" xfId="8870" xr:uid="{97A2AD42-6242-4239-8877-6D1C05766756}"/>
    <cellStyle name="Currency 5 2 2 3 2 11" xfId="17308" xr:uid="{B00FD87C-B978-4F2A-9EF1-8111B545A3F7}"/>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D6FC8A20-15BC-41AD-93B9-FB8714DA057D}"/>
    <cellStyle name="Currency 5 2 2 3 2 2 2 2 3" xfId="24084" xr:uid="{71890CF8-DF4C-4A5D-9DBB-CE18D73F082A}"/>
    <cellStyle name="Currency 5 2 2 3 2 2 2 3" xfId="11429" xr:uid="{98B046D9-15CD-46C4-82FB-6B58172D4E71}"/>
    <cellStyle name="Currency 5 2 2 3 2 2 2 4" xfId="19867" xr:uid="{C5364AB9-3267-4CAF-BEEF-BE416FE20AE4}"/>
    <cellStyle name="Currency 5 2 2 3 2 2 3" xfId="5060" xr:uid="{00000000-0005-0000-0000-0000CB0B0000}"/>
    <cellStyle name="Currency 5 2 2 3 2 2 3 2" xfId="13502" xr:uid="{E9221D5F-CBA2-4182-8DC0-6E73E36631E9}"/>
    <cellStyle name="Currency 5 2 2 3 2 2 3 3" xfId="21939" xr:uid="{CDA81950-E2B3-4232-8C07-07BF06375461}"/>
    <cellStyle name="Currency 5 2 2 3 2 2 4" xfId="9284" xr:uid="{B840C8D5-D91F-483E-AFB1-0A5C3B62BC90}"/>
    <cellStyle name="Currency 5 2 2 3 2 2 5" xfId="17722" xr:uid="{B28BF343-1692-4EA9-A224-F69CE9BC31F9}"/>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A62A096A-E3FB-4474-B39B-677329815FAA}"/>
    <cellStyle name="Currency 5 2 2 3 2 3 2 2 3" xfId="24497" xr:uid="{C188BFBA-5F4F-46CA-9C1D-882B1B2D37AE}"/>
    <cellStyle name="Currency 5 2 2 3 2 3 2 3" xfId="11842" xr:uid="{0488CD15-AC71-4D33-B15A-2A10B2816C6C}"/>
    <cellStyle name="Currency 5 2 2 3 2 3 2 4" xfId="20280" xr:uid="{36B7F8C8-65B0-46FB-AF79-A10389F97F01}"/>
    <cellStyle name="Currency 5 2 2 3 2 3 3" xfId="5473" xr:uid="{00000000-0005-0000-0000-0000CF0B0000}"/>
    <cellStyle name="Currency 5 2 2 3 2 3 3 2" xfId="13915" xr:uid="{A7590191-B48E-461B-9459-30222E749F87}"/>
    <cellStyle name="Currency 5 2 2 3 2 3 3 3" xfId="22352" xr:uid="{D12B27C5-2D5F-4248-AA31-A7A545FC449F}"/>
    <cellStyle name="Currency 5 2 2 3 2 3 4" xfId="9697" xr:uid="{E2E4E8D6-6930-4C04-97E7-801859FC9555}"/>
    <cellStyle name="Currency 5 2 2 3 2 3 5" xfId="18135" xr:uid="{09307076-F28B-4511-8EB6-2102CD6EF767}"/>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387B8157-7594-4F51-B429-2FAFC52C33FC}"/>
    <cellStyle name="Currency 5 2 2 3 2 4 2 2 3" xfId="24910" xr:uid="{21A1EB08-985E-44A6-96E3-D45EC5FF4CC3}"/>
    <cellStyle name="Currency 5 2 2 3 2 4 2 3" xfId="12255" xr:uid="{D01F5C5E-F487-4DEA-9181-AEA567B9321B}"/>
    <cellStyle name="Currency 5 2 2 3 2 4 2 4" xfId="20693" xr:uid="{B625B527-B92B-4D4C-B3FF-03E4512C804E}"/>
    <cellStyle name="Currency 5 2 2 3 2 4 3" xfId="5886" xr:uid="{00000000-0005-0000-0000-0000D30B0000}"/>
    <cellStyle name="Currency 5 2 2 3 2 4 3 2" xfId="14328" xr:uid="{A2A7CBF2-E3C1-47FF-AF56-E54036774E3D}"/>
    <cellStyle name="Currency 5 2 2 3 2 4 3 3" xfId="22765" xr:uid="{B1AE2F16-2866-4718-9C40-4320B3B9CAFD}"/>
    <cellStyle name="Currency 5 2 2 3 2 4 4" xfId="10110" xr:uid="{07E5EB69-4402-470E-AC99-16516524D822}"/>
    <cellStyle name="Currency 5 2 2 3 2 4 5" xfId="18548" xr:uid="{BB0EA3D0-8289-43B8-8E0A-D61B781EE785}"/>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3A2E58FD-53CF-4CD4-B3D9-0F477D0E9878}"/>
    <cellStyle name="Currency 5 2 2 3 2 5 2 2 3" xfId="25323" xr:uid="{C2D323B0-4022-4C7F-9375-A5958D1EBEB5}"/>
    <cellStyle name="Currency 5 2 2 3 2 5 2 3" xfId="12668" xr:uid="{809A220D-D7BB-435C-A320-A0DDE2E91B05}"/>
    <cellStyle name="Currency 5 2 2 3 2 5 2 4" xfId="21106" xr:uid="{4D2B5806-5CFE-4D2B-8A5E-094EF878FC6B}"/>
    <cellStyle name="Currency 5 2 2 3 2 5 3" xfId="6299" xr:uid="{00000000-0005-0000-0000-0000D70B0000}"/>
    <cellStyle name="Currency 5 2 2 3 2 5 3 2" xfId="14741" xr:uid="{A3CFD80C-1CAB-44B9-9F69-4819346812AA}"/>
    <cellStyle name="Currency 5 2 2 3 2 5 3 3" xfId="23178" xr:uid="{1084249B-7498-44F6-A135-2ABFEFF40990}"/>
    <cellStyle name="Currency 5 2 2 3 2 5 4" xfId="10523" xr:uid="{33AC9ED4-DCEB-4A23-A80A-985A9270E674}"/>
    <cellStyle name="Currency 5 2 2 3 2 5 5" xfId="18961" xr:uid="{4E1C4A59-39CA-4CCE-BD79-772DB694EE31}"/>
    <cellStyle name="Currency 5 2 2 3 2 6" xfId="2427" xr:uid="{00000000-0005-0000-0000-0000D80B0000}"/>
    <cellStyle name="Currency 5 2 2 3 2 6 2" xfId="6712" xr:uid="{00000000-0005-0000-0000-0000D90B0000}"/>
    <cellStyle name="Currency 5 2 2 3 2 6 2 2" xfId="15154" xr:uid="{8F4F2D50-37F8-4DC9-8955-5A884F6D27C7}"/>
    <cellStyle name="Currency 5 2 2 3 2 6 2 3" xfId="23591" xr:uid="{5F2DA00E-D71C-4E61-A9E9-CF187290C655}"/>
    <cellStyle name="Currency 5 2 2 3 2 6 3" xfId="10936" xr:uid="{E5E60EDB-D0CA-4F26-9BD8-3A2E4E6B7E39}"/>
    <cellStyle name="Currency 5 2 2 3 2 6 4" xfId="19374" xr:uid="{F1B84EAC-4DA9-4150-9AD7-E515BD05F2AD}"/>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497DD898-4DB0-4EEA-B21E-2BB4EF265F62}"/>
    <cellStyle name="Currency 5 2 2 3 2 8 2 3" xfId="23908" xr:uid="{87FA627D-371B-499C-AF36-9EF01F472B90}"/>
    <cellStyle name="Currency 5 2 2 3 2 8 3" xfId="11253" xr:uid="{D6DF2413-18CB-4F39-8755-7F9ABF607341}"/>
    <cellStyle name="Currency 5 2 2 3 2 8 4" xfId="19691" xr:uid="{45E64F46-75CE-45A8-9FED-CAC73A68D770}"/>
    <cellStyle name="Currency 5 2 2 3 2 9" xfId="4646" xr:uid="{00000000-0005-0000-0000-0000DD0B0000}"/>
    <cellStyle name="Currency 5 2 2 3 2 9 2" xfId="13088" xr:uid="{32553DBB-4972-423C-B466-011BCF5E719D}"/>
    <cellStyle name="Currency 5 2 2 3 2 9 3" xfId="21525" xr:uid="{4CBDE272-05BE-4BD0-829E-3E6DEE51B8EE}"/>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57D01F58-720F-4715-948F-4FEF9EDFE75E}"/>
    <cellStyle name="Currency 5 2 2 3 3 2 2 3" xfId="24083" xr:uid="{C81FDFCB-9A9F-459C-9CE5-655C37FD3DD2}"/>
    <cellStyle name="Currency 5 2 2 3 3 2 3" xfId="11428" xr:uid="{C248DE49-17F9-4AC6-B2C1-C49BD38D68B6}"/>
    <cellStyle name="Currency 5 2 2 3 3 2 4" xfId="19866" xr:uid="{942A6221-9E44-499E-8B50-BE7B9DEFEFD8}"/>
    <cellStyle name="Currency 5 2 2 3 3 3" xfId="5059" xr:uid="{00000000-0005-0000-0000-0000E10B0000}"/>
    <cellStyle name="Currency 5 2 2 3 3 3 2" xfId="13501" xr:uid="{1C40DA51-A7D9-42F5-BEA0-02F69E8BDC14}"/>
    <cellStyle name="Currency 5 2 2 3 3 3 3" xfId="21938" xr:uid="{24FCBA48-BDB7-4C4F-823F-63BB2B40CF26}"/>
    <cellStyle name="Currency 5 2 2 3 3 4" xfId="9283" xr:uid="{E1A74AE2-944F-4704-B15B-3029357581CA}"/>
    <cellStyle name="Currency 5 2 2 3 3 5" xfId="17721" xr:uid="{D2A100CA-78E9-4994-BF18-5D7FC882E19C}"/>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D8F4EB3B-D1AE-454E-8986-58B5296C4D10}"/>
    <cellStyle name="Currency 5 2 2 3 4 2 2 3" xfId="24496" xr:uid="{E84D1374-381C-43A6-8CB7-68016AD8815A}"/>
    <cellStyle name="Currency 5 2 2 3 4 2 3" xfId="11841" xr:uid="{BBD8DEE2-EC06-41B4-BFBE-3AD81095DCF3}"/>
    <cellStyle name="Currency 5 2 2 3 4 2 4" xfId="20279" xr:uid="{300621DD-E6FC-430F-A559-2254D48A5EBE}"/>
    <cellStyle name="Currency 5 2 2 3 4 3" xfId="5472" xr:uid="{00000000-0005-0000-0000-0000E50B0000}"/>
    <cellStyle name="Currency 5 2 2 3 4 3 2" xfId="13914" xr:uid="{10601747-E3B2-477A-AED9-752E60FB5118}"/>
    <cellStyle name="Currency 5 2 2 3 4 3 3" xfId="22351" xr:uid="{DF77F722-2492-4F27-959D-809F98C37BA0}"/>
    <cellStyle name="Currency 5 2 2 3 4 4" xfId="9696" xr:uid="{0E2AE45A-CBCD-43B3-A598-B7892B58A72E}"/>
    <cellStyle name="Currency 5 2 2 3 4 5" xfId="18134" xr:uid="{131C5E70-E2EF-4168-9B7E-FE1EEF865FE1}"/>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077288F6-ACC0-478E-9C81-F76F5754F6CB}"/>
    <cellStyle name="Currency 5 2 2 3 5 2 2 3" xfId="24909" xr:uid="{29C0F027-88BE-4BF1-B328-4C28BB571980}"/>
    <cellStyle name="Currency 5 2 2 3 5 2 3" xfId="12254" xr:uid="{399ED1B1-4636-4856-8605-7681B5AD718C}"/>
    <cellStyle name="Currency 5 2 2 3 5 2 4" xfId="20692" xr:uid="{B5DB913D-9282-4493-8A99-1B0278176B3B}"/>
    <cellStyle name="Currency 5 2 2 3 5 3" xfId="5885" xr:uid="{00000000-0005-0000-0000-0000E90B0000}"/>
    <cellStyle name="Currency 5 2 2 3 5 3 2" xfId="14327" xr:uid="{12BF01B1-1502-48FA-920C-BBFEE6640866}"/>
    <cellStyle name="Currency 5 2 2 3 5 3 3" xfId="22764" xr:uid="{7087524A-A89B-427F-B88D-BF06672AC8E8}"/>
    <cellStyle name="Currency 5 2 2 3 5 4" xfId="10109" xr:uid="{01AD326F-0852-4898-8B5B-C49AAD72C8F2}"/>
    <cellStyle name="Currency 5 2 2 3 5 5" xfId="18547" xr:uid="{CC49A914-0095-4DD1-B505-CFCA9071DF02}"/>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DA1F5B79-B925-45DC-9A34-4B38A51814D9}"/>
    <cellStyle name="Currency 5 2 2 3 6 2 2 3" xfId="25322" xr:uid="{7458DD93-AD34-4BFB-BDE7-2E07033BE094}"/>
    <cellStyle name="Currency 5 2 2 3 6 2 3" xfId="12667" xr:uid="{365A1FEF-2BE6-4110-8481-1453D2EF13C7}"/>
    <cellStyle name="Currency 5 2 2 3 6 2 4" xfId="21105" xr:uid="{A8669915-DC8D-4FD0-8C89-853E805C63D2}"/>
    <cellStyle name="Currency 5 2 2 3 6 3" xfId="6298" xr:uid="{00000000-0005-0000-0000-0000ED0B0000}"/>
    <cellStyle name="Currency 5 2 2 3 6 3 2" xfId="14740" xr:uid="{2E5D0DA9-AA70-457B-829B-DBF6C5826F08}"/>
    <cellStyle name="Currency 5 2 2 3 6 3 3" xfId="23177" xr:uid="{BA6FCB74-F35D-4C10-9352-7E7449A738E7}"/>
    <cellStyle name="Currency 5 2 2 3 6 4" xfId="10522" xr:uid="{6A5DAC8D-AAAB-407C-8499-E37B404A3D2A}"/>
    <cellStyle name="Currency 5 2 2 3 6 5" xfId="18960" xr:uid="{7589E048-A575-42E2-BDF1-5BC0BCE43E96}"/>
    <cellStyle name="Currency 5 2 2 3 7" xfId="2426" xr:uid="{00000000-0005-0000-0000-0000EE0B0000}"/>
    <cellStyle name="Currency 5 2 2 3 7 2" xfId="6711" xr:uid="{00000000-0005-0000-0000-0000EF0B0000}"/>
    <cellStyle name="Currency 5 2 2 3 7 2 2" xfId="15153" xr:uid="{83D78A14-702F-403D-9E32-20C4B313CDCF}"/>
    <cellStyle name="Currency 5 2 2 3 7 2 3" xfId="23590" xr:uid="{C62D88A8-2E2F-4B7E-8807-E6FB33C892AC}"/>
    <cellStyle name="Currency 5 2 2 3 7 3" xfId="10935" xr:uid="{1199BD5F-1347-4EB2-BA66-27B800FAE6D9}"/>
    <cellStyle name="Currency 5 2 2 3 7 4" xfId="19373" xr:uid="{2252104C-6343-49D4-8279-5174EB838E23}"/>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2E92271E-3E43-4428-9DEC-9BDE79CB59E8}"/>
    <cellStyle name="Currency 5 2 2 3 9 2 3" xfId="23907" xr:uid="{A2DB5D88-1664-479C-A08D-7AF8006517A8}"/>
    <cellStyle name="Currency 5 2 2 3 9 3" xfId="11252" xr:uid="{1C5B2E5F-11D8-49B9-9C2C-2F087FBC569D}"/>
    <cellStyle name="Currency 5 2 2 3 9 4" xfId="19690" xr:uid="{C987785D-FE89-4DBF-826C-40FE80EFADD0}"/>
    <cellStyle name="Currency 5 2 2 4" xfId="202" xr:uid="{00000000-0005-0000-0000-0000F30B0000}"/>
    <cellStyle name="Currency 5 2 2 4 10" xfId="8871" xr:uid="{DEC434D4-A044-4D93-933B-8CB2C675A459}"/>
    <cellStyle name="Currency 5 2 2 4 11" xfId="17309" xr:uid="{AC91AEDB-9708-4BB2-A268-D94916EAD126}"/>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14EA392D-B50C-412D-BF1F-8ADD64C83B9C}"/>
    <cellStyle name="Currency 5 2 2 4 2 2 2 3" xfId="24085" xr:uid="{70B1B42B-C476-4533-9AFC-16C48B158D12}"/>
    <cellStyle name="Currency 5 2 2 4 2 2 3" xfId="11430" xr:uid="{0408C28D-53EC-4AC6-9FEC-4D1F47D89A19}"/>
    <cellStyle name="Currency 5 2 2 4 2 2 4" xfId="19868" xr:uid="{3F91D5A2-F98D-427B-B802-33C023BCC80A}"/>
    <cellStyle name="Currency 5 2 2 4 2 3" xfId="5061" xr:uid="{00000000-0005-0000-0000-0000F70B0000}"/>
    <cellStyle name="Currency 5 2 2 4 2 3 2" xfId="13503" xr:uid="{E3690337-48AB-4BB1-9340-356311AA73D9}"/>
    <cellStyle name="Currency 5 2 2 4 2 3 3" xfId="21940" xr:uid="{2DEA4E3D-16AC-426D-A7CA-6A25E14952E5}"/>
    <cellStyle name="Currency 5 2 2 4 2 4" xfId="9285" xr:uid="{DDA1AFBB-FC7A-4C84-A846-E0FC70EC7D0E}"/>
    <cellStyle name="Currency 5 2 2 4 2 5" xfId="17723" xr:uid="{5EC14784-F47E-48C4-A898-A0042B33E311}"/>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835ECD76-6285-4412-B806-65A99B7BA9A1}"/>
    <cellStyle name="Currency 5 2 2 4 3 2 2 3" xfId="24498" xr:uid="{328926A3-98C2-4CFB-AAFF-EA2FE827BBF1}"/>
    <cellStyle name="Currency 5 2 2 4 3 2 3" xfId="11843" xr:uid="{D4594CFF-D679-4D9C-B7A1-23D7F8DDF7E0}"/>
    <cellStyle name="Currency 5 2 2 4 3 2 4" xfId="20281" xr:uid="{8EAF0481-83FA-4F9D-A468-94252D8E73C3}"/>
    <cellStyle name="Currency 5 2 2 4 3 3" xfId="5474" xr:uid="{00000000-0005-0000-0000-0000FB0B0000}"/>
    <cellStyle name="Currency 5 2 2 4 3 3 2" xfId="13916" xr:uid="{F8DC3400-635A-45A7-BC10-8CFB5947B4B5}"/>
    <cellStyle name="Currency 5 2 2 4 3 3 3" xfId="22353" xr:uid="{FFA3E377-0416-44F2-80AF-71B8E2C49D0F}"/>
    <cellStyle name="Currency 5 2 2 4 3 4" xfId="9698" xr:uid="{DF5F8DE9-176D-4DAA-8509-F7E49F472840}"/>
    <cellStyle name="Currency 5 2 2 4 3 5" xfId="18136" xr:uid="{D729F215-32D9-4400-AEC4-57FCA98592CD}"/>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822D8999-74FC-4956-8FE7-14A91290CC3E}"/>
    <cellStyle name="Currency 5 2 2 4 4 2 2 3" xfId="24911" xr:uid="{EF251560-6F77-410F-B6F2-C5DCB5EAD59B}"/>
    <cellStyle name="Currency 5 2 2 4 4 2 3" xfId="12256" xr:uid="{4EA83D59-D6A1-4594-A643-DEDAD5BCC9F7}"/>
    <cellStyle name="Currency 5 2 2 4 4 2 4" xfId="20694" xr:uid="{7E1094AB-0273-4366-A075-F24631188D19}"/>
    <cellStyle name="Currency 5 2 2 4 4 3" xfId="5887" xr:uid="{00000000-0005-0000-0000-0000FF0B0000}"/>
    <cellStyle name="Currency 5 2 2 4 4 3 2" xfId="14329" xr:uid="{25515035-D803-46A2-AB50-BBDDAAD51C09}"/>
    <cellStyle name="Currency 5 2 2 4 4 3 3" xfId="22766" xr:uid="{FBFC1EFD-E737-4587-9307-BD4CBB0EBEFA}"/>
    <cellStyle name="Currency 5 2 2 4 4 4" xfId="10111" xr:uid="{4702976B-7062-4E44-989D-F831E79C52F1}"/>
    <cellStyle name="Currency 5 2 2 4 4 5" xfId="18549" xr:uid="{BEA1DA30-1296-46C1-B360-21EBB8DCC56D}"/>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584A1E3D-C72B-417B-BDB2-A581D3FF3D5D}"/>
    <cellStyle name="Currency 5 2 2 4 5 2 2 3" xfId="25324" xr:uid="{ED019270-AF30-444C-8060-E163874CAB6E}"/>
    <cellStyle name="Currency 5 2 2 4 5 2 3" xfId="12669" xr:uid="{69225C73-E3B3-4D79-98B5-421DDB263E0F}"/>
    <cellStyle name="Currency 5 2 2 4 5 2 4" xfId="21107" xr:uid="{C804A7CD-31AA-49EC-A888-E3589A449DF4}"/>
    <cellStyle name="Currency 5 2 2 4 5 3" xfId="6300" xr:uid="{00000000-0005-0000-0000-0000030C0000}"/>
    <cellStyle name="Currency 5 2 2 4 5 3 2" xfId="14742" xr:uid="{E0EA09B9-69DC-4910-B38A-18AB6C2BD8F3}"/>
    <cellStyle name="Currency 5 2 2 4 5 3 3" xfId="23179" xr:uid="{15EF1B86-290F-4483-BBD5-A2102D99D059}"/>
    <cellStyle name="Currency 5 2 2 4 5 4" xfId="10524" xr:uid="{842B127E-4A15-4BC2-A868-1B90C438528F}"/>
    <cellStyle name="Currency 5 2 2 4 5 5" xfId="18962" xr:uid="{DE31E7F9-9729-42A1-8588-38046F3E526D}"/>
    <cellStyle name="Currency 5 2 2 4 6" xfId="2428" xr:uid="{00000000-0005-0000-0000-0000040C0000}"/>
    <cellStyle name="Currency 5 2 2 4 6 2" xfId="6713" xr:uid="{00000000-0005-0000-0000-0000050C0000}"/>
    <cellStyle name="Currency 5 2 2 4 6 2 2" xfId="15155" xr:uid="{29AE709A-15AD-4E3B-A010-1EB9DEB8C90D}"/>
    <cellStyle name="Currency 5 2 2 4 6 2 3" xfId="23592" xr:uid="{69217C78-737C-4F7D-A13F-6243D2F4DB06}"/>
    <cellStyle name="Currency 5 2 2 4 6 3" xfId="10937" xr:uid="{87E8A471-BD38-4B51-A142-22BB0FF03523}"/>
    <cellStyle name="Currency 5 2 2 4 6 4" xfId="19375" xr:uid="{F05320A9-BA9C-49DD-BF70-9E18B46C2364}"/>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7BA282A7-34E1-40EA-B992-4D96AD5D6064}"/>
    <cellStyle name="Currency 5 2 2 4 8 2 3" xfId="23909" xr:uid="{5CCC88C8-D6F6-49EE-BBAF-7722EF82E2FA}"/>
    <cellStyle name="Currency 5 2 2 4 8 3" xfId="11254" xr:uid="{BBCA4E16-6773-4D26-94A8-976506ECEB89}"/>
    <cellStyle name="Currency 5 2 2 4 8 4" xfId="19692" xr:uid="{F2B94456-80DF-4D25-A8B4-01447A5F7311}"/>
    <cellStyle name="Currency 5 2 2 4 9" xfId="4647" xr:uid="{00000000-0005-0000-0000-0000090C0000}"/>
    <cellStyle name="Currency 5 2 2 4 9 2" xfId="13089" xr:uid="{48497C6C-CAA7-4CD9-B329-411ED6DA244B}"/>
    <cellStyle name="Currency 5 2 2 4 9 3" xfId="21526" xr:uid="{AD10DFEA-1CE5-40A9-A461-53C74B22E8AC}"/>
    <cellStyle name="Currency 5 2 2 5" xfId="203" xr:uid="{00000000-0005-0000-0000-00000A0C0000}"/>
    <cellStyle name="Currency 5 2 2 5 10" xfId="8872" xr:uid="{B1ADF477-1C18-45F2-B6A5-927833641CBF}"/>
    <cellStyle name="Currency 5 2 2 5 11" xfId="17310" xr:uid="{EB687C46-341C-4219-8E63-DD1D2D8489FE}"/>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39E0AEA4-895C-4345-A6BC-44145F00CD5C}"/>
    <cellStyle name="Currency 5 2 2 5 2 2 2 3" xfId="24086" xr:uid="{619CF559-2DAE-4178-9CDF-920E04DFE57A}"/>
    <cellStyle name="Currency 5 2 2 5 2 2 3" xfId="11431" xr:uid="{C6C794C0-F035-4A0B-9D95-117712E3445B}"/>
    <cellStyle name="Currency 5 2 2 5 2 2 4" xfId="19869" xr:uid="{5512771E-ADF0-4125-AC7D-37FD683C80B8}"/>
    <cellStyle name="Currency 5 2 2 5 2 3" xfId="5062" xr:uid="{00000000-0005-0000-0000-00000E0C0000}"/>
    <cellStyle name="Currency 5 2 2 5 2 3 2" xfId="13504" xr:uid="{BDCA6510-06C0-420B-AB66-B12E6C1C8EBC}"/>
    <cellStyle name="Currency 5 2 2 5 2 3 3" xfId="21941" xr:uid="{985FBBEC-82A1-4942-B47E-08163668D67B}"/>
    <cellStyle name="Currency 5 2 2 5 2 4" xfId="9286" xr:uid="{493C23E3-C81D-4BBF-A967-D4E9FF13E48F}"/>
    <cellStyle name="Currency 5 2 2 5 2 5" xfId="17724" xr:uid="{04549387-97E6-4A2D-B8C1-02E22E584572}"/>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743414FC-EB3A-48B8-9A28-AD7491C41194}"/>
    <cellStyle name="Currency 5 2 2 5 3 2 2 3" xfId="24499" xr:uid="{4CAEFE63-07B9-430A-90A9-9C687746D44F}"/>
    <cellStyle name="Currency 5 2 2 5 3 2 3" xfId="11844" xr:uid="{139677AC-E810-47D1-88A5-D4336CC931E3}"/>
    <cellStyle name="Currency 5 2 2 5 3 2 4" xfId="20282" xr:uid="{5B4EE247-88C7-463A-9FAE-0A881D7AE77B}"/>
    <cellStyle name="Currency 5 2 2 5 3 3" xfId="5475" xr:uid="{00000000-0005-0000-0000-0000120C0000}"/>
    <cellStyle name="Currency 5 2 2 5 3 3 2" xfId="13917" xr:uid="{7E82FC5E-3CA0-40D4-B3EA-F15F2A590321}"/>
    <cellStyle name="Currency 5 2 2 5 3 3 3" xfId="22354" xr:uid="{82C5B7E3-F426-48F0-B5AA-F9C6638881F6}"/>
    <cellStyle name="Currency 5 2 2 5 3 4" xfId="9699" xr:uid="{13F90D7D-87B9-48C6-8FF6-EAFA36AAFA52}"/>
    <cellStyle name="Currency 5 2 2 5 3 5" xfId="18137" xr:uid="{CEBE72A4-535E-45C3-84B6-785E2A23AAB3}"/>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90B347C4-5FE4-43E9-B9FE-042719CFE1F2}"/>
    <cellStyle name="Currency 5 2 2 5 4 2 2 3" xfId="24912" xr:uid="{CC08D777-2721-447E-AC68-4320B4588272}"/>
    <cellStyle name="Currency 5 2 2 5 4 2 3" xfId="12257" xr:uid="{1987FC91-FE81-4C76-89CF-4C02DB1E9B36}"/>
    <cellStyle name="Currency 5 2 2 5 4 2 4" xfId="20695" xr:uid="{A52710C7-88E5-4F2D-8796-066B585842C0}"/>
    <cellStyle name="Currency 5 2 2 5 4 3" xfId="5888" xr:uid="{00000000-0005-0000-0000-0000160C0000}"/>
    <cellStyle name="Currency 5 2 2 5 4 3 2" xfId="14330" xr:uid="{A646505D-3E76-4F68-840C-D99A2EBA72E0}"/>
    <cellStyle name="Currency 5 2 2 5 4 3 3" xfId="22767" xr:uid="{D26EBD90-9561-4C7A-A383-EDB91464B6E0}"/>
    <cellStyle name="Currency 5 2 2 5 4 4" xfId="10112" xr:uid="{921C2C4A-E7CF-40AA-A5FD-9393ADE5D0FD}"/>
    <cellStyle name="Currency 5 2 2 5 4 5" xfId="18550" xr:uid="{6C1EBE33-6002-4712-9A51-C79639D5E8C3}"/>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0894A572-7A98-444B-8BA1-5301295D65CF}"/>
    <cellStyle name="Currency 5 2 2 5 5 2 2 3" xfId="25325" xr:uid="{09A00D19-A1FD-44F2-928F-D3E694390E67}"/>
    <cellStyle name="Currency 5 2 2 5 5 2 3" xfId="12670" xr:uid="{1A58EC7C-D5A4-45BD-986E-E26ECE9DA51D}"/>
    <cellStyle name="Currency 5 2 2 5 5 2 4" xfId="21108" xr:uid="{C8ACDE1B-19AC-47AE-B3DB-9C2B13328DAC}"/>
    <cellStyle name="Currency 5 2 2 5 5 3" xfId="6301" xr:uid="{00000000-0005-0000-0000-00001A0C0000}"/>
    <cellStyle name="Currency 5 2 2 5 5 3 2" xfId="14743" xr:uid="{6EEC5742-34B7-4CC8-931D-C19C23042653}"/>
    <cellStyle name="Currency 5 2 2 5 5 3 3" xfId="23180" xr:uid="{E180236F-0FAF-430B-A272-1E90FC8223D1}"/>
    <cellStyle name="Currency 5 2 2 5 5 4" xfId="10525" xr:uid="{7F3CD017-6723-42AC-B170-32C0093C41D5}"/>
    <cellStyle name="Currency 5 2 2 5 5 5" xfId="18963" xr:uid="{6327C074-A8D5-4674-B826-39ABCC574E29}"/>
    <cellStyle name="Currency 5 2 2 5 6" xfId="2429" xr:uid="{00000000-0005-0000-0000-00001B0C0000}"/>
    <cellStyle name="Currency 5 2 2 5 6 2" xfId="6714" xr:uid="{00000000-0005-0000-0000-00001C0C0000}"/>
    <cellStyle name="Currency 5 2 2 5 6 2 2" xfId="15156" xr:uid="{396BF935-A98E-4E52-B987-A3875CD265EE}"/>
    <cellStyle name="Currency 5 2 2 5 6 2 3" xfId="23593" xr:uid="{F12DDDB6-066B-48B5-8023-AA4397C626AA}"/>
    <cellStyle name="Currency 5 2 2 5 6 3" xfId="10938" xr:uid="{D9714051-E9A4-45CA-AD28-AF52FA6B2BD4}"/>
    <cellStyle name="Currency 5 2 2 5 6 4" xfId="19376" xr:uid="{1136CC3C-D227-4D8F-AC22-4CD4C3DD12F4}"/>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D127575B-84BE-4C23-A45C-B14E85B7169D}"/>
    <cellStyle name="Currency 5 2 2 5 8 2 3" xfId="23910" xr:uid="{0D2EA7CF-8DD0-4055-B97C-087A1957DD8D}"/>
    <cellStyle name="Currency 5 2 2 5 8 3" xfId="11255" xr:uid="{9AE16184-A52C-4114-82CA-63331D83BCB7}"/>
    <cellStyle name="Currency 5 2 2 5 8 4" xfId="19693" xr:uid="{3A4F287F-D2B8-4A74-8F55-EA8AE8FAA7F5}"/>
    <cellStyle name="Currency 5 2 2 5 9" xfId="4648" xr:uid="{00000000-0005-0000-0000-0000200C0000}"/>
    <cellStyle name="Currency 5 2 2 5 9 2" xfId="13090" xr:uid="{4435846D-3DAA-47A1-A9F1-F296A66BCE09}"/>
    <cellStyle name="Currency 5 2 2 5 9 3" xfId="21527" xr:uid="{81828D2B-75FF-4BD7-BC0A-2291F5AEE6F3}"/>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4E700AB4-6FED-4745-A95C-4323C6F19C97}"/>
    <cellStyle name="Currency 5 2 4 10 3" xfId="21528" xr:uid="{254CF372-B756-4F66-A851-232EE986180C}"/>
    <cellStyle name="Currency 5 2 4 11" xfId="8873" xr:uid="{D3DB2ACB-1FAD-4CD8-9B1C-D8D8133403D7}"/>
    <cellStyle name="Currency 5 2 4 12" xfId="17311" xr:uid="{073C80B6-D6E4-44FE-A28D-07CFCA33F169}"/>
    <cellStyle name="Currency 5 2 4 2" xfId="206" xr:uid="{00000000-0005-0000-0000-0000250C0000}"/>
    <cellStyle name="Currency 5 2 4 2 10" xfId="8874" xr:uid="{25A58706-8238-41FA-80FC-28899AC86836}"/>
    <cellStyle name="Currency 5 2 4 2 11" xfId="17312" xr:uid="{2C8E634D-C8BA-43FD-B4C5-229642FE0936}"/>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54D80051-F006-4ABF-8313-24F9B6306106}"/>
    <cellStyle name="Currency 5 2 4 2 2 2 2 3" xfId="24088" xr:uid="{38917FAB-ECDE-453D-B17E-651241DB8D53}"/>
    <cellStyle name="Currency 5 2 4 2 2 2 3" xfId="11433" xr:uid="{FEA9CE0D-29DE-4582-BE24-9E3FFDDC0F3A}"/>
    <cellStyle name="Currency 5 2 4 2 2 2 4" xfId="19871" xr:uid="{ABD63412-DA13-4941-926E-64E186C6BAC9}"/>
    <cellStyle name="Currency 5 2 4 2 2 3" xfId="5064" xr:uid="{00000000-0005-0000-0000-0000290C0000}"/>
    <cellStyle name="Currency 5 2 4 2 2 3 2" xfId="13506" xr:uid="{5400B8A5-DEC5-4176-84DC-A6B1E5A385FB}"/>
    <cellStyle name="Currency 5 2 4 2 2 3 3" xfId="21943" xr:uid="{AB620DC3-0E45-4A34-AE3A-4A2E114488C7}"/>
    <cellStyle name="Currency 5 2 4 2 2 4" xfId="9288" xr:uid="{7BBF50E3-26BD-4B5F-8CF2-87232CAA4156}"/>
    <cellStyle name="Currency 5 2 4 2 2 5" xfId="17726" xr:uid="{A07419CC-A479-445A-A128-7458A53D4A52}"/>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164B9270-C82E-4D8B-AA2B-06433446D1C3}"/>
    <cellStyle name="Currency 5 2 4 2 3 2 2 3" xfId="24501" xr:uid="{B9BCAD63-EC3F-4D75-9E1F-8A941B3A4A6E}"/>
    <cellStyle name="Currency 5 2 4 2 3 2 3" xfId="11846" xr:uid="{A6A0C46B-1470-4950-B348-2960801E8E14}"/>
    <cellStyle name="Currency 5 2 4 2 3 2 4" xfId="20284" xr:uid="{23951B54-6BBB-4300-AF5A-E2D56510B990}"/>
    <cellStyle name="Currency 5 2 4 2 3 3" xfId="5477" xr:uid="{00000000-0005-0000-0000-00002D0C0000}"/>
    <cellStyle name="Currency 5 2 4 2 3 3 2" xfId="13919" xr:uid="{A48877C5-D056-4163-92D8-5CB84EBD6560}"/>
    <cellStyle name="Currency 5 2 4 2 3 3 3" xfId="22356" xr:uid="{AB4BB6CB-391D-4AA8-B61A-C10746A91D7C}"/>
    <cellStyle name="Currency 5 2 4 2 3 4" xfId="9701" xr:uid="{08649CB2-46ED-4483-88E5-94D1C922E01C}"/>
    <cellStyle name="Currency 5 2 4 2 3 5" xfId="18139" xr:uid="{E36DE14D-D655-490E-A698-045ABEF90703}"/>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1FAE2201-0A06-4D6F-8D5B-BE4BCE2D2CEC}"/>
    <cellStyle name="Currency 5 2 4 2 4 2 2 3" xfId="24914" xr:uid="{5D6D145A-2D8C-4F9B-8111-071F6167EF67}"/>
    <cellStyle name="Currency 5 2 4 2 4 2 3" xfId="12259" xr:uid="{A12A535B-D7FB-4BD3-BD60-897AA017F1F4}"/>
    <cellStyle name="Currency 5 2 4 2 4 2 4" xfId="20697" xr:uid="{CAB98D45-E604-4F0E-BCF4-FF188C2B1DD2}"/>
    <cellStyle name="Currency 5 2 4 2 4 3" xfId="5890" xr:uid="{00000000-0005-0000-0000-0000310C0000}"/>
    <cellStyle name="Currency 5 2 4 2 4 3 2" xfId="14332" xr:uid="{30C3E77D-083B-4B8D-B42C-74B905C6EE12}"/>
    <cellStyle name="Currency 5 2 4 2 4 3 3" xfId="22769" xr:uid="{D18CCC31-F459-4DD2-9E8B-60D14A9C8F72}"/>
    <cellStyle name="Currency 5 2 4 2 4 4" xfId="10114" xr:uid="{CF94F14A-02FD-4CD2-BE8E-8C6C2B51DAB7}"/>
    <cellStyle name="Currency 5 2 4 2 4 5" xfId="18552" xr:uid="{125CC386-6A40-4BA0-A4FE-33538156515F}"/>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532BBCAA-90EC-4910-9C4F-B2CC8C7074FD}"/>
    <cellStyle name="Currency 5 2 4 2 5 2 2 3" xfId="25327" xr:uid="{F987961F-14D3-4F0B-84C4-6A184D851256}"/>
    <cellStyle name="Currency 5 2 4 2 5 2 3" xfId="12672" xr:uid="{D4CD40AA-3701-4A2F-8EB0-8F2FC8D28F9F}"/>
    <cellStyle name="Currency 5 2 4 2 5 2 4" xfId="21110" xr:uid="{4ECE3E15-A7F1-4272-B2A3-F99C1F27A1A9}"/>
    <cellStyle name="Currency 5 2 4 2 5 3" xfId="6303" xr:uid="{00000000-0005-0000-0000-0000350C0000}"/>
    <cellStyle name="Currency 5 2 4 2 5 3 2" xfId="14745" xr:uid="{7500CA9E-9908-40B0-86B0-18E91580E24C}"/>
    <cellStyle name="Currency 5 2 4 2 5 3 3" xfId="23182" xr:uid="{5BA67A4B-46FC-429F-916E-6481C523C4D1}"/>
    <cellStyle name="Currency 5 2 4 2 5 4" xfId="10527" xr:uid="{597AE7DB-C276-4AF3-9194-F393960BB42D}"/>
    <cellStyle name="Currency 5 2 4 2 5 5" xfId="18965" xr:uid="{1666E671-5E28-4CE2-951D-748221F9B7E7}"/>
    <cellStyle name="Currency 5 2 4 2 6" xfId="2431" xr:uid="{00000000-0005-0000-0000-0000360C0000}"/>
    <cellStyle name="Currency 5 2 4 2 6 2" xfId="6716" xr:uid="{00000000-0005-0000-0000-0000370C0000}"/>
    <cellStyle name="Currency 5 2 4 2 6 2 2" xfId="15158" xr:uid="{A59D723A-1202-4702-8AD7-77B8AA031E04}"/>
    <cellStyle name="Currency 5 2 4 2 6 2 3" xfId="23595" xr:uid="{B6958331-B635-410E-A693-C42796300F2B}"/>
    <cellStyle name="Currency 5 2 4 2 6 3" xfId="10940" xr:uid="{30A91341-842C-441D-8162-2158570A13EE}"/>
    <cellStyle name="Currency 5 2 4 2 6 4" xfId="19378" xr:uid="{DAFB7831-249A-4E60-A491-51BFAF0AA706}"/>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FEE306F6-ECEF-472C-BCCE-B076B4EC3594}"/>
    <cellStyle name="Currency 5 2 4 2 8 2 3" xfId="23912" xr:uid="{1B388288-364C-4322-B3E3-60B1AFB560F1}"/>
    <cellStyle name="Currency 5 2 4 2 8 3" xfId="11257" xr:uid="{4A7F91EE-0B76-49BC-9669-FA4A4FA0D701}"/>
    <cellStyle name="Currency 5 2 4 2 8 4" xfId="19695" xr:uid="{6D033602-5DE5-4C5D-B4DE-E29D021A5820}"/>
    <cellStyle name="Currency 5 2 4 2 9" xfId="4650" xr:uid="{00000000-0005-0000-0000-00003B0C0000}"/>
    <cellStyle name="Currency 5 2 4 2 9 2" xfId="13092" xr:uid="{5D735A1E-1C4C-434A-8B5D-FD87B42BACD9}"/>
    <cellStyle name="Currency 5 2 4 2 9 3" xfId="21529" xr:uid="{55806616-E3F6-4204-89DE-01F5F58271D4}"/>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2965B5D9-F15D-4093-A808-481ADECCD0F3}"/>
    <cellStyle name="Currency 5 2 4 3 2 2 3" xfId="24087" xr:uid="{3B078CDA-4503-4711-9E96-F77FA77CA588}"/>
    <cellStyle name="Currency 5 2 4 3 2 3" xfId="11432" xr:uid="{FCAA3F0A-A58A-4875-A9F6-13DC612C67EA}"/>
    <cellStyle name="Currency 5 2 4 3 2 4" xfId="19870" xr:uid="{6F238FA9-3C6E-4B36-89D2-67197DAF4706}"/>
    <cellStyle name="Currency 5 2 4 3 3" xfId="5063" xr:uid="{00000000-0005-0000-0000-00003F0C0000}"/>
    <cellStyle name="Currency 5 2 4 3 3 2" xfId="13505" xr:uid="{891E9F24-309C-4BF9-9E5A-B92880840AB0}"/>
    <cellStyle name="Currency 5 2 4 3 3 3" xfId="21942" xr:uid="{07040FE8-12A3-4E1B-8980-7835F96AB956}"/>
    <cellStyle name="Currency 5 2 4 3 4" xfId="9287" xr:uid="{A0B324E5-013E-4C59-B2B1-5977FB78AA8E}"/>
    <cellStyle name="Currency 5 2 4 3 5" xfId="17725" xr:uid="{FEE7960D-AD1C-4328-9CD4-3CD789DD2992}"/>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82FE9BA1-6D52-474D-B5C2-9C1EC0D80455}"/>
    <cellStyle name="Currency 5 2 4 4 2 2 3" xfId="24500" xr:uid="{D7FEA08F-8B9F-4DA8-B61D-A5AB0200D0B3}"/>
    <cellStyle name="Currency 5 2 4 4 2 3" xfId="11845" xr:uid="{B4795472-C964-4F84-BF2D-91C7255DE23A}"/>
    <cellStyle name="Currency 5 2 4 4 2 4" xfId="20283" xr:uid="{C9443344-EA5F-4773-AA65-A304510BC178}"/>
    <cellStyle name="Currency 5 2 4 4 3" xfId="5476" xr:uid="{00000000-0005-0000-0000-0000430C0000}"/>
    <cellStyle name="Currency 5 2 4 4 3 2" xfId="13918" xr:uid="{6469887C-5523-4810-8AD0-7FF1AF23B5AF}"/>
    <cellStyle name="Currency 5 2 4 4 3 3" xfId="22355" xr:uid="{255155C5-DADA-4376-A042-D6493700DA0F}"/>
    <cellStyle name="Currency 5 2 4 4 4" xfId="9700" xr:uid="{BCB0DAE5-003B-43D7-87EC-AB824A2888CB}"/>
    <cellStyle name="Currency 5 2 4 4 5" xfId="18138" xr:uid="{8722AE4F-1B07-43F7-A576-2F8E13833169}"/>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1193ADA5-D0DD-4479-B691-BA5E78B1F4CC}"/>
    <cellStyle name="Currency 5 2 4 5 2 2 3" xfId="24913" xr:uid="{1042B19E-8B69-45E3-AC0A-918E7E3A5A24}"/>
    <cellStyle name="Currency 5 2 4 5 2 3" xfId="12258" xr:uid="{A0FCADE4-474E-414B-B775-B6D006DFDCA4}"/>
    <cellStyle name="Currency 5 2 4 5 2 4" xfId="20696" xr:uid="{A3AB9D3D-D310-4F8D-8F22-81A02C0DB978}"/>
    <cellStyle name="Currency 5 2 4 5 3" xfId="5889" xr:uid="{00000000-0005-0000-0000-0000470C0000}"/>
    <cellStyle name="Currency 5 2 4 5 3 2" xfId="14331" xr:uid="{F0CAE297-8C92-4EE9-977F-D29C06268F32}"/>
    <cellStyle name="Currency 5 2 4 5 3 3" xfId="22768" xr:uid="{37227BBD-6D4F-4DE5-83B0-CD190E902632}"/>
    <cellStyle name="Currency 5 2 4 5 4" xfId="10113" xr:uid="{9BA0F70A-A38C-44BA-A801-4F0010BDFC63}"/>
    <cellStyle name="Currency 5 2 4 5 5" xfId="18551" xr:uid="{2CC0DBAF-3B6F-4FBC-8DB0-217161DCC59B}"/>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9CDE1C6E-0E04-4339-80EC-4E882BFB0ECA}"/>
    <cellStyle name="Currency 5 2 4 6 2 2 3" xfId="25326" xr:uid="{F618B693-A1E4-424C-8A3E-93337AA2A95D}"/>
    <cellStyle name="Currency 5 2 4 6 2 3" xfId="12671" xr:uid="{30ECFE22-A778-4499-81DE-B4CB877E65E2}"/>
    <cellStyle name="Currency 5 2 4 6 2 4" xfId="21109" xr:uid="{4213925D-8513-4308-9DC7-09E23F52F5F4}"/>
    <cellStyle name="Currency 5 2 4 6 3" xfId="6302" xr:uid="{00000000-0005-0000-0000-00004B0C0000}"/>
    <cellStyle name="Currency 5 2 4 6 3 2" xfId="14744" xr:uid="{25709B91-B381-4E4F-A318-20917DAC2804}"/>
    <cellStyle name="Currency 5 2 4 6 3 3" xfId="23181" xr:uid="{734C6304-CF92-40C3-B143-2EDE0D72AF01}"/>
    <cellStyle name="Currency 5 2 4 6 4" xfId="10526" xr:uid="{22225E36-6E7A-4206-85C6-01D4943BA44D}"/>
    <cellStyle name="Currency 5 2 4 6 5" xfId="18964" xr:uid="{898E2078-3DD0-4653-A454-28F13F9CB161}"/>
    <cellStyle name="Currency 5 2 4 7" xfId="2430" xr:uid="{00000000-0005-0000-0000-00004C0C0000}"/>
    <cellStyle name="Currency 5 2 4 7 2" xfId="6715" xr:uid="{00000000-0005-0000-0000-00004D0C0000}"/>
    <cellStyle name="Currency 5 2 4 7 2 2" xfId="15157" xr:uid="{B8FA0D12-DFCF-4FA2-BB94-5C45866A9261}"/>
    <cellStyle name="Currency 5 2 4 7 2 3" xfId="23594" xr:uid="{B9B0B688-ACCC-4B43-B27E-ED48434DDDFD}"/>
    <cellStyle name="Currency 5 2 4 7 3" xfId="10939" xr:uid="{44EC1F21-E6FD-4B34-99A3-B16CD7336A07}"/>
    <cellStyle name="Currency 5 2 4 7 4" xfId="19377" xr:uid="{5F69E5CC-C88A-4962-80E2-1D41D4574246}"/>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383F12F0-787F-440F-A811-E5DCA7EAD97A}"/>
    <cellStyle name="Currency 5 2 4 9 2 3" xfId="23911" xr:uid="{A578226E-AE1A-4391-AE2D-2EF1B9B55673}"/>
    <cellStyle name="Currency 5 2 4 9 3" xfId="11256" xr:uid="{7433D415-EB3A-4B50-8A8E-5FEF910D88AE}"/>
    <cellStyle name="Currency 5 2 4 9 4" xfId="19694" xr:uid="{A83D47DA-FF99-4815-A9C2-57CC6E9CE48B}"/>
    <cellStyle name="Currency 5 2 5" xfId="207" xr:uid="{00000000-0005-0000-0000-0000510C0000}"/>
    <cellStyle name="Currency 5 2 5 10" xfId="8875" xr:uid="{A95A201D-31C4-41D9-8208-17A587B8684A}"/>
    <cellStyle name="Currency 5 2 5 11" xfId="17313" xr:uid="{D2D345D5-424C-4745-B0F1-2A9D9BD3F8D4}"/>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E130A76E-82D2-4412-B462-0ED7501CC207}"/>
    <cellStyle name="Currency 5 2 5 2 2 2 3" xfId="24089" xr:uid="{63046AF1-AED9-4632-B183-B9CD3F9EFB7F}"/>
    <cellStyle name="Currency 5 2 5 2 2 3" xfId="11434" xr:uid="{ACC14BEB-DBD1-468B-8D55-4BCC2429B83C}"/>
    <cellStyle name="Currency 5 2 5 2 2 4" xfId="19872" xr:uid="{A681CE44-F13C-48AD-AC80-5F09BB9B7355}"/>
    <cellStyle name="Currency 5 2 5 2 3" xfId="5065" xr:uid="{00000000-0005-0000-0000-0000550C0000}"/>
    <cellStyle name="Currency 5 2 5 2 3 2" xfId="13507" xr:uid="{0E5BBBB6-65BE-4624-BD99-C311478219DD}"/>
    <cellStyle name="Currency 5 2 5 2 3 3" xfId="21944" xr:uid="{B1884C41-4569-44AC-9E5C-714845610857}"/>
    <cellStyle name="Currency 5 2 5 2 4" xfId="9289" xr:uid="{07DAB3BA-C4DB-4E94-96FE-0079554B83A3}"/>
    <cellStyle name="Currency 5 2 5 2 5" xfId="17727" xr:uid="{1E7C20C8-B7BD-4CF7-B758-735B730389A3}"/>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189D3AFB-7DA4-4C13-A3D4-86907B7F4DA7}"/>
    <cellStyle name="Currency 5 2 5 3 2 2 3" xfId="24502" xr:uid="{82CCE5BB-22AF-428C-A43D-475F3FBC6178}"/>
    <cellStyle name="Currency 5 2 5 3 2 3" xfId="11847" xr:uid="{567B4336-697F-405B-B091-ED9512A83B35}"/>
    <cellStyle name="Currency 5 2 5 3 2 4" xfId="20285" xr:uid="{48EBF266-CFC9-4025-8DF0-0A18A37CCE14}"/>
    <cellStyle name="Currency 5 2 5 3 3" xfId="5478" xr:uid="{00000000-0005-0000-0000-0000590C0000}"/>
    <cellStyle name="Currency 5 2 5 3 3 2" xfId="13920" xr:uid="{0ED05B66-7788-4C43-9260-6D5ED9D10AD8}"/>
    <cellStyle name="Currency 5 2 5 3 3 3" xfId="22357" xr:uid="{24E86516-B791-4760-9E65-242F38E7EB50}"/>
    <cellStyle name="Currency 5 2 5 3 4" xfId="9702" xr:uid="{884B4CE8-D984-4869-99B0-D739BB2EEDBE}"/>
    <cellStyle name="Currency 5 2 5 3 5" xfId="18140" xr:uid="{CB2ABE64-5D14-4761-86DA-BFCA6633635B}"/>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CEFEF958-47A2-40D3-BFD3-7B242578C504}"/>
    <cellStyle name="Currency 5 2 5 4 2 2 3" xfId="24915" xr:uid="{EF893EAE-6C4D-4F34-96A8-1D94DB7126ED}"/>
    <cellStyle name="Currency 5 2 5 4 2 3" xfId="12260" xr:uid="{57D3A5A6-E92C-4FA9-B233-95143FDF52ED}"/>
    <cellStyle name="Currency 5 2 5 4 2 4" xfId="20698" xr:uid="{E85891D0-6E3E-4130-B48E-B0B2F6EC0655}"/>
    <cellStyle name="Currency 5 2 5 4 3" xfId="5891" xr:uid="{00000000-0005-0000-0000-00005D0C0000}"/>
    <cellStyle name="Currency 5 2 5 4 3 2" xfId="14333" xr:uid="{F22B1670-4AAD-4F87-9A6D-83730FBD5F5A}"/>
    <cellStyle name="Currency 5 2 5 4 3 3" xfId="22770" xr:uid="{7B92EE8F-32AD-484F-B380-7ABFDF6A0652}"/>
    <cellStyle name="Currency 5 2 5 4 4" xfId="10115" xr:uid="{AEACD05F-7B52-44E2-BFDB-51D9AEA1655F}"/>
    <cellStyle name="Currency 5 2 5 4 5" xfId="18553" xr:uid="{BBF7CBB3-3964-40A9-A04C-9ED9DCBC9209}"/>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A5674398-B92D-4155-B95A-40593F48A81C}"/>
    <cellStyle name="Currency 5 2 5 5 2 2 3" xfId="25328" xr:uid="{EB92DF5F-3668-4A73-8408-612B1AE0DE4F}"/>
    <cellStyle name="Currency 5 2 5 5 2 3" xfId="12673" xr:uid="{AE7463E5-4FC3-4C79-A832-AAEC1AD852A3}"/>
    <cellStyle name="Currency 5 2 5 5 2 4" xfId="21111" xr:uid="{2D7CC989-2108-4331-ABD6-5BFECD8D26F1}"/>
    <cellStyle name="Currency 5 2 5 5 3" xfId="6304" xr:uid="{00000000-0005-0000-0000-0000610C0000}"/>
    <cellStyle name="Currency 5 2 5 5 3 2" xfId="14746" xr:uid="{6C45AC1A-6270-40C2-85AB-CBE30FC3419A}"/>
    <cellStyle name="Currency 5 2 5 5 3 3" xfId="23183" xr:uid="{D5847A28-23A9-4039-8E7C-CFBDCDBA87E8}"/>
    <cellStyle name="Currency 5 2 5 5 4" xfId="10528" xr:uid="{565DD9CA-B54D-4E07-B9B8-B6E9E2FE1214}"/>
    <cellStyle name="Currency 5 2 5 5 5" xfId="18966" xr:uid="{5A487D65-F7F3-4B28-AF48-B6A7CAEA19C0}"/>
    <cellStyle name="Currency 5 2 5 6" xfId="2432" xr:uid="{00000000-0005-0000-0000-0000620C0000}"/>
    <cellStyle name="Currency 5 2 5 6 2" xfId="6717" xr:uid="{00000000-0005-0000-0000-0000630C0000}"/>
    <cellStyle name="Currency 5 2 5 6 2 2" xfId="15159" xr:uid="{F615B8F1-8E27-401A-A33B-2A5E99F57E53}"/>
    <cellStyle name="Currency 5 2 5 6 2 3" xfId="23596" xr:uid="{D684CC96-0D4A-495F-8BBA-1CB555212AA7}"/>
    <cellStyle name="Currency 5 2 5 6 3" xfId="10941" xr:uid="{63448D07-7464-4138-99E9-D0189013BB2A}"/>
    <cellStyle name="Currency 5 2 5 6 4" xfId="19379" xr:uid="{C57BFFDA-A833-441D-9FCE-821C3498F009}"/>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98CF48FF-674C-4D53-9C69-859E3872C849}"/>
    <cellStyle name="Currency 5 2 5 8 2 3" xfId="23913" xr:uid="{5CDE9AF5-4553-4C80-8C91-02A2E85FA564}"/>
    <cellStyle name="Currency 5 2 5 8 3" xfId="11258" xr:uid="{21DA4824-FF29-446F-9C5A-184EF73FEFB4}"/>
    <cellStyle name="Currency 5 2 5 8 4" xfId="19696" xr:uid="{D841A065-CE15-4E97-8E9A-17F6DBFDEEC6}"/>
    <cellStyle name="Currency 5 2 5 9" xfId="4651" xr:uid="{00000000-0005-0000-0000-0000670C0000}"/>
    <cellStyle name="Currency 5 2 5 9 2" xfId="13093" xr:uid="{1F9DC02B-B6AD-4DE0-84CA-7C044C46B616}"/>
    <cellStyle name="Currency 5 2 5 9 3" xfId="21530" xr:uid="{2F5D2666-3FE7-4935-BA01-802FB8F7EB7C}"/>
    <cellStyle name="Currency 5 2 6" xfId="208" xr:uid="{00000000-0005-0000-0000-0000680C0000}"/>
    <cellStyle name="Currency 5 2 6 10" xfId="8876" xr:uid="{CBDC4609-55E7-44A8-9557-D767AF78E029}"/>
    <cellStyle name="Currency 5 2 6 11" xfId="17314" xr:uid="{928774F6-6749-43B6-8FFA-D6A40553293E}"/>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9096C5CD-21A0-4F93-8443-1B2E37D257AF}"/>
    <cellStyle name="Currency 5 2 6 2 2 2 3" xfId="24090" xr:uid="{EB7C98FE-788C-4255-A9E4-12FB2C6B2410}"/>
    <cellStyle name="Currency 5 2 6 2 2 3" xfId="11435" xr:uid="{926D8628-8B84-4C76-B85E-EF60DC6F5EA8}"/>
    <cellStyle name="Currency 5 2 6 2 2 4" xfId="19873" xr:uid="{4BE5927D-4DC3-4123-A81C-0DC40A909C50}"/>
    <cellStyle name="Currency 5 2 6 2 3" xfId="5066" xr:uid="{00000000-0005-0000-0000-00006C0C0000}"/>
    <cellStyle name="Currency 5 2 6 2 3 2" xfId="13508" xr:uid="{FE7A1016-2B60-49AA-A756-A952CED86911}"/>
    <cellStyle name="Currency 5 2 6 2 3 3" xfId="21945" xr:uid="{CD327AA6-1A48-4553-8FAC-B4EC341798F9}"/>
    <cellStyle name="Currency 5 2 6 2 4" xfId="9290" xr:uid="{D9F87245-75AC-46FE-8039-DAB334F0A0EF}"/>
    <cellStyle name="Currency 5 2 6 2 5" xfId="17728" xr:uid="{11C3C0B2-A32B-4870-804D-EC9B795701F5}"/>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9168B9E5-149E-447E-B621-EBAFAA2556B7}"/>
    <cellStyle name="Currency 5 2 6 3 2 2 3" xfId="24503" xr:uid="{A84AAFCF-237D-40C2-B745-8ECE8C3CE874}"/>
    <cellStyle name="Currency 5 2 6 3 2 3" xfId="11848" xr:uid="{F4B3919D-1C96-41A9-98B0-75B481B3129E}"/>
    <cellStyle name="Currency 5 2 6 3 2 4" xfId="20286" xr:uid="{16D7197D-3FAB-42F0-9BA2-5AF50208EDC7}"/>
    <cellStyle name="Currency 5 2 6 3 3" xfId="5479" xr:uid="{00000000-0005-0000-0000-0000700C0000}"/>
    <cellStyle name="Currency 5 2 6 3 3 2" xfId="13921" xr:uid="{90722C40-A992-4911-8C87-5A21EF875041}"/>
    <cellStyle name="Currency 5 2 6 3 3 3" xfId="22358" xr:uid="{8F2E8C3D-6E1E-4E0D-B2FF-F1A69A8AB78A}"/>
    <cellStyle name="Currency 5 2 6 3 4" xfId="9703" xr:uid="{AF7E67B0-52A4-413D-97F5-0E974437684E}"/>
    <cellStyle name="Currency 5 2 6 3 5" xfId="18141" xr:uid="{EF4A1102-266C-4EC3-9AB5-293AB8DF88A0}"/>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E3F84776-39B2-4653-81CA-2193365E42D2}"/>
    <cellStyle name="Currency 5 2 6 4 2 2 3" xfId="24916" xr:uid="{B738B58E-DFD8-4748-A3AE-F233F0AA2F5E}"/>
    <cellStyle name="Currency 5 2 6 4 2 3" xfId="12261" xr:uid="{0584A536-809A-45C6-9EE1-4AFA810D15CD}"/>
    <cellStyle name="Currency 5 2 6 4 2 4" xfId="20699" xr:uid="{3352466F-1C38-48AA-9F63-F2F58765D495}"/>
    <cellStyle name="Currency 5 2 6 4 3" xfId="5892" xr:uid="{00000000-0005-0000-0000-0000740C0000}"/>
    <cellStyle name="Currency 5 2 6 4 3 2" xfId="14334" xr:uid="{086E83EE-D86B-49E1-9E71-9B9788B0D817}"/>
    <cellStyle name="Currency 5 2 6 4 3 3" xfId="22771" xr:uid="{EC9B8F6E-ED38-42E5-8571-8964C67B379C}"/>
    <cellStyle name="Currency 5 2 6 4 4" xfId="10116" xr:uid="{7C45B8A8-D243-41DE-A617-F3D2F4D277D7}"/>
    <cellStyle name="Currency 5 2 6 4 5" xfId="18554" xr:uid="{00844221-BF00-4851-BB03-E5BA73FB2277}"/>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A8D927C8-2E92-4364-B22B-3887C0A515FA}"/>
    <cellStyle name="Currency 5 2 6 5 2 2 3" xfId="25329" xr:uid="{44EDF3F5-F5AA-4343-AD1A-16A65AF73119}"/>
    <cellStyle name="Currency 5 2 6 5 2 3" xfId="12674" xr:uid="{ED08FC74-5DBF-44CF-806D-69769E212B6E}"/>
    <cellStyle name="Currency 5 2 6 5 2 4" xfId="21112" xr:uid="{1F2E5542-5B53-4B64-B772-E8688FD95808}"/>
    <cellStyle name="Currency 5 2 6 5 3" xfId="6305" xr:uid="{00000000-0005-0000-0000-0000780C0000}"/>
    <cellStyle name="Currency 5 2 6 5 3 2" xfId="14747" xr:uid="{F3ADCE63-73A7-44EB-A76E-50B946D855AF}"/>
    <cellStyle name="Currency 5 2 6 5 3 3" xfId="23184" xr:uid="{43391872-1E4C-4834-BE87-2EEE87193F1B}"/>
    <cellStyle name="Currency 5 2 6 5 4" xfId="10529" xr:uid="{CBD4A362-4140-4429-A4FB-AE70904C1FA5}"/>
    <cellStyle name="Currency 5 2 6 5 5" xfId="18967" xr:uid="{4932355E-A84A-4226-BDD7-F239F067EF6B}"/>
    <cellStyle name="Currency 5 2 6 6" xfId="2433" xr:uid="{00000000-0005-0000-0000-0000790C0000}"/>
    <cellStyle name="Currency 5 2 6 6 2" xfId="6718" xr:uid="{00000000-0005-0000-0000-00007A0C0000}"/>
    <cellStyle name="Currency 5 2 6 6 2 2" xfId="15160" xr:uid="{A5D987A5-3312-4944-9E0A-BC20F8406C30}"/>
    <cellStyle name="Currency 5 2 6 6 2 3" xfId="23597" xr:uid="{80BAD1C1-265D-417A-8BD2-C509BA3EC012}"/>
    <cellStyle name="Currency 5 2 6 6 3" xfId="10942" xr:uid="{1CA63BEA-599E-43F7-813D-95F48F593A2F}"/>
    <cellStyle name="Currency 5 2 6 6 4" xfId="19380" xr:uid="{52EC1D37-9D64-4345-A0D3-254A30A6DDE5}"/>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08AF647C-AB38-40F5-8CEF-8A1B8309C75B}"/>
    <cellStyle name="Currency 5 2 6 8 2 3" xfId="23914" xr:uid="{E69BC602-7D76-475F-8788-BC9D128A29F7}"/>
    <cellStyle name="Currency 5 2 6 8 3" xfId="11259" xr:uid="{FF3DAA25-F15C-4666-8051-5C63B3EE2B9E}"/>
    <cellStyle name="Currency 5 2 6 8 4" xfId="19697" xr:uid="{2B726232-9A46-4EC7-B978-1EBCDC6F1B61}"/>
    <cellStyle name="Currency 5 2 6 9" xfId="4652" xr:uid="{00000000-0005-0000-0000-00007E0C0000}"/>
    <cellStyle name="Currency 5 2 6 9 2" xfId="13094" xr:uid="{6AE81AE8-BC73-4DAD-B17D-FEED53E7BBB1}"/>
    <cellStyle name="Currency 5 2 6 9 3" xfId="21531" xr:uid="{4D28737D-2F20-40C9-BA69-1DDA0084D83D}"/>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A67FBDE5-BE7A-4F39-9247-611368C0A280}"/>
    <cellStyle name="Currency 5 3 2 10 2 3" xfId="23915" xr:uid="{17AA5F5D-E643-4CCD-8283-314380F15284}"/>
    <cellStyle name="Currency 5 3 2 10 3" xfId="11260" xr:uid="{DB4B6744-9BDD-41F9-9045-C6A5EAA7A4E4}"/>
    <cellStyle name="Currency 5 3 2 10 4" xfId="19698" xr:uid="{CC2DF3B3-9ED3-4539-8081-B0A1F41444D2}"/>
    <cellStyle name="Currency 5 3 2 11" xfId="4653" xr:uid="{00000000-0005-0000-0000-0000840C0000}"/>
    <cellStyle name="Currency 5 3 2 11 2" xfId="13095" xr:uid="{369AC4F2-8CB6-4720-B9C6-50AB9D6AED46}"/>
    <cellStyle name="Currency 5 3 2 11 3" xfId="21532" xr:uid="{E367A7F7-5672-474C-B623-AD927AD4D225}"/>
    <cellStyle name="Currency 5 3 2 12" xfId="8877" xr:uid="{DC5C4C8E-F357-41E1-9DA6-C20D84A2020D}"/>
    <cellStyle name="Currency 5 3 2 13" xfId="17315" xr:uid="{03A8699D-9B44-4E7D-8B28-0B7F3BF06BEA}"/>
    <cellStyle name="Currency 5 3 2 2" xfId="211" xr:uid="{00000000-0005-0000-0000-0000850C0000}"/>
    <cellStyle name="Currency 5 3 2 2 10" xfId="4654" xr:uid="{00000000-0005-0000-0000-0000860C0000}"/>
    <cellStyle name="Currency 5 3 2 2 10 2" xfId="13096" xr:uid="{6A4297FD-9B1E-49C5-ABEB-DB36099460AF}"/>
    <cellStyle name="Currency 5 3 2 2 10 3" xfId="21533" xr:uid="{60203E15-B8BE-42A2-B019-426026FFE4EC}"/>
    <cellStyle name="Currency 5 3 2 2 11" xfId="8878" xr:uid="{0B5901A9-02EC-4F4F-BBC6-94CAD8933D76}"/>
    <cellStyle name="Currency 5 3 2 2 12" xfId="17316" xr:uid="{4105B947-4F8D-44B1-8758-31B385422FCB}"/>
    <cellStyle name="Currency 5 3 2 2 2" xfId="212" xr:uid="{00000000-0005-0000-0000-0000870C0000}"/>
    <cellStyle name="Currency 5 3 2 2 2 10" xfId="8879" xr:uid="{1215460A-9E4A-419D-9EB4-F6975DBB741A}"/>
    <cellStyle name="Currency 5 3 2 2 2 11" xfId="17317" xr:uid="{D9FFA4F4-23D1-4D8C-88E7-8FE29B333AAF}"/>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E0AC150C-92F5-48D6-BBC2-E8215DEA795E}"/>
    <cellStyle name="Currency 5 3 2 2 2 2 2 2 3" xfId="24093" xr:uid="{1BBC600F-D544-4F10-B630-6CBE677CD66A}"/>
    <cellStyle name="Currency 5 3 2 2 2 2 2 3" xfId="11438" xr:uid="{A299E185-5902-455C-8E44-725062A1A325}"/>
    <cellStyle name="Currency 5 3 2 2 2 2 2 4" xfId="19876" xr:uid="{200B42E0-29AE-4200-B5A9-CB499D46354E}"/>
    <cellStyle name="Currency 5 3 2 2 2 2 3" xfId="5069" xr:uid="{00000000-0005-0000-0000-00008B0C0000}"/>
    <cellStyle name="Currency 5 3 2 2 2 2 3 2" xfId="13511" xr:uid="{3E1B1F94-AB4D-47A5-9C6F-AAA988292A22}"/>
    <cellStyle name="Currency 5 3 2 2 2 2 3 3" xfId="21948" xr:uid="{1DE5F0EF-A5AC-4CB9-9A73-4061EF30EDAA}"/>
    <cellStyle name="Currency 5 3 2 2 2 2 4" xfId="9293" xr:uid="{94CE66CF-8C5C-4710-84AF-CE98D03639A3}"/>
    <cellStyle name="Currency 5 3 2 2 2 2 5" xfId="17731" xr:uid="{83F3F294-4AD6-4C6F-AE5E-BEEBC92B0343}"/>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49ADD5B3-8F3A-486B-ABE9-EB71741DDF5D}"/>
    <cellStyle name="Currency 5 3 2 2 2 3 2 2 3" xfId="24506" xr:uid="{5D6A40E1-47F2-43F5-9ACE-1F603670162D}"/>
    <cellStyle name="Currency 5 3 2 2 2 3 2 3" xfId="11851" xr:uid="{7F7FEA16-3317-4AB7-BBC3-D83A729F4925}"/>
    <cellStyle name="Currency 5 3 2 2 2 3 2 4" xfId="20289" xr:uid="{7A556A78-69E2-492F-8004-B06AF6DFCE35}"/>
    <cellStyle name="Currency 5 3 2 2 2 3 3" xfId="5482" xr:uid="{00000000-0005-0000-0000-00008F0C0000}"/>
    <cellStyle name="Currency 5 3 2 2 2 3 3 2" xfId="13924" xr:uid="{EAA253B9-39C4-498D-9FB6-080493E3A2A9}"/>
    <cellStyle name="Currency 5 3 2 2 2 3 3 3" xfId="22361" xr:uid="{8A8ED780-8F35-47C1-90A7-A1F82AB3E2BF}"/>
    <cellStyle name="Currency 5 3 2 2 2 3 4" xfId="9706" xr:uid="{9BEA0BB7-79F0-4339-9FDE-704F7398340F}"/>
    <cellStyle name="Currency 5 3 2 2 2 3 5" xfId="18144" xr:uid="{21F4E310-A284-423D-BA50-6D4FAC75C6F8}"/>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56AC0C69-5BFC-46C1-AC8B-6936BA609682}"/>
    <cellStyle name="Currency 5 3 2 2 2 4 2 2 3" xfId="24919" xr:uid="{6E0D4C89-1DD5-44F2-8F6A-1AAB9082078A}"/>
    <cellStyle name="Currency 5 3 2 2 2 4 2 3" xfId="12264" xr:uid="{190D6573-9D4F-4629-AE70-45D93956C2DA}"/>
    <cellStyle name="Currency 5 3 2 2 2 4 2 4" xfId="20702" xr:uid="{EB80C0A1-D216-477E-A6B4-F66C95449FAE}"/>
    <cellStyle name="Currency 5 3 2 2 2 4 3" xfId="5895" xr:uid="{00000000-0005-0000-0000-0000930C0000}"/>
    <cellStyle name="Currency 5 3 2 2 2 4 3 2" xfId="14337" xr:uid="{400B7F08-E03E-4D8E-8D25-A723F8EC3EFC}"/>
    <cellStyle name="Currency 5 3 2 2 2 4 3 3" xfId="22774" xr:uid="{250CDFD4-701B-4E8F-B366-75B0EEB5F1AC}"/>
    <cellStyle name="Currency 5 3 2 2 2 4 4" xfId="10119" xr:uid="{B262838D-0F57-4BAE-87E1-1CAC8ABCB14F}"/>
    <cellStyle name="Currency 5 3 2 2 2 4 5" xfId="18557" xr:uid="{F60BBEF1-7388-4577-ACA4-DFAEA0B3FE83}"/>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CEC4547E-DB1E-41B2-979A-5CC60DC4D911}"/>
    <cellStyle name="Currency 5 3 2 2 2 5 2 2 3" xfId="25332" xr:uid="{F3724E0B-1057-483A-ABE8-B1D6D852DECD}"/>
    <cellStyle name="Currency 5 3 2 2 2 5 2 3" xfId="12677" xr:uid="{DFD034EB-320B-40B3-937A-9AE884C45C96}"/>
    <cellStyle name="Currency 5 3 2 2 2 5 2 4" xfId="21115" xr:uid="{C2E5BA84-974E-4CB4-95D1-746666D6C858}"/>
    <cellStyle name="Currency 5 3 2 2 2 5 3" xfId="6308" xr:uid="{00000000-0005-0000-0000-0000970C0000}"/>
    <cellStyle name="Currency 5 3 2 2 2 5 3 2" xfId="14750" xr:uid="{F01B11F3-8169-4C84-90F9-358013980270}"/>
    <cellStyle name="Currency 5 3 2 2 2 5 3 3" xfId="23187" xr:uid="{927C8337-E16F-449D-A693-0AB52F8106AA}"/>
    <cellStyle name="Currency 5 3 2 2 2 5 4" xfId="10532" xr:uid="{986BF053-09D3-487C-92C8-D8B341114F0B}"/>
    <cellStyle name="Currency 5 3 2 2 2 5 5" xfId="18970" xr:uid="{C8513F0C-5571-4090-B726-2B6047E2C1D0}"/>
    <cellStyle name="Currency 5 3 2 2 2 6" xfId="2436" xr:uid="{00000000-0005-0000-0000-0000980C0000}"/>
    <cellStyle name="Currency 5 3 2 2 2 6 2" xfId="6721" xr:uid="{00000000-0005-0000-0000-0000990C0000}"/>
    <cellStyle name="Currency 5 3 2 2 2 6 2 2" xfId="15163" xr:uid="{A312989B-D766-4787-8CA8-21A462189A31}"/>
    <cellStyle name="Currency 5 3 2 2 2 6 2 3" xfId="23600" xr:uid="{C12CCF36-E0BD-4950-9A86-1362BAF8BEFC}"/>
    <cellStyle name="Currency 5 3 2 2 2 6 3" xfId="10945" xr:uid="{58E03519-B9B8-4625-8EE0-C1EE612F85CB}"/>
    <cellStyle name="Currency 5 3 2 2 2 6 4" xfId="19383" xr:uid="{0FEF9346-A90D-487C-A4A3-A2432F18A0E2}"/>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270C29EE-0A81-4982-B717-35DB3FBFE4C0}"/>
    <cellStyle name="Currency 5 3 2 2 2 8 2 3" xfId="23917" xr:uid="{205A7595-A03A-4CA9-8657-B48D8C4C03FD}"/>
    <cellStyle name="Currency 5 3 2 2 2 8 3" xfId="11262" xr:uid="{4A278473-16A2-42D3-AE13-FC4FCA359C09}"/>
    <cellStyle name="Currency 5 3 2 2 2 8 4" xfId="19700" xr:uid="{21E4F7D9-551F-427F-8E1A-067E99B2A9CD}"/>
    <cellStyle name="Currency 5 3 2 2 2 9" xfId="4655" xr:uid="{00000000-0005-0000-0000-00009D0C0000}"/>
    <cellStyle name="Currency 5 3 2 2 2 9 2" xfId="13097" xr:uid="{6B16B7CC-1FB2-4106-8796-8CD0C22C725B}"/>
    <cellStyle name="Currency 5 3 2 2 2 9 3" xfId="21534" xr:uid="{24688958-2E5D-42B1-8B20-2ECEFB7CDBF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C022EF34-0D26-453B-953A-95685EFBC184}"/>
    <cellStyle name="Currency 5 3 2 2 3 2 2 3" xfId="24092" xr:uid="{EF87B484-A29F-4BA5-904B-80E73654F7C7}"/>
    <cellStyle name="Currency 5 3 2 2 3 2 3" xfId="11437" xr:uid="{2A9B37C3-71A3-4168-9849-852651EE0E68}"/>
    <cellStyle name="Currency 5 3 2 2 3 2 4" xfId="19875" xr:uid="{290621EB-6AA9-4598-946B-348732887624}"/>
    <cellStyle name="Currency 5 3 2 2 3 3" xfId="5068" xr:uid="{00000000-0005-0000-0000-0000A10C0000}"/>
    <cellStyle name="Currency 5 3 2 2 3 3 2" xfId="13510" xr:uid="{C3E2F3D4-3573-4D42-B140-832C6DAC602D}"/>
    <cellStyle name="Currency 5 3 2 2 3 3 3" xfId="21947" xr:uid="{85D8909E-C496-4A52-BAC2-9A653B5B455D}"/>
    <cellStyle name="Currency 5 3 2 2 3 4" xfId="9292" xr:uid="{6C8CEDF8-6149-418D-B32E-7359CE20F40D}"/>
    <cellStyle name="Currency 5 3 2 2 3 5" xfId="17730" xr:uid="{5AC0C9BC-F454-457A-AB3A-DCB7270F8A53}"/>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B1F6992C-9337-4423-96D1-7875CDFE35CF}"/>
    <cellStyle name="Currency 5 3 2 2 4 2 2 3" xfId="24505" xr:uid="{47695ADE-D85F-44D4-8DFB-08E164F9E3FA}"/>
    <cellStyle name="Currency 5 3 2 2 4 2 3" xfId="11850" xr:uid="{576B0E10-63B1-40BB-B00E-A87FE12B4616}"/>
    <cellStyle name="Currency 5 3 2 2 4 2 4" xfId="20288" xr:uid="{6BFD5879-0EEC-4352-BF27-18E793B541CD}"/>
    <cellStyle name="Currency 5 3 2 2 4 3" xfId="5481" xr:uid="{00000000-0005-0000-0000-0000A50C0000}"/>
    <cellStyle name="Currency 5 3 2 2 4 3 2" xfId="13923" xr:uid="{1791F672-5A3F-4A20-9630-65556A70F53A}"/>
    <cellStyle name="Currency 5 3 2 2 4 3 3" xfId="22360" xr:uid="{520DE362-18E5-4DAD-A767-C0F9450B9FB3}"/>
    <cellStyle name="Currency 5 3 2 2 4 4" xfId="9705" xr:uid="{73318A79-ADBA-483A-A951-E4C24CD3F60B}"/>
    <cellStyle name="Currency 5 3 2 2 4 5" xfId="18143" xr:uid="{E9AA8698-46E7-4A70-BB50-80421EFA5088}"/>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270C9103-3EAB-4BC5-8CC0-0CBB69066138}"/>
    <cellStyle name="Currency 5 3 2 2 5 2 2 3" xfId="24918" xr:uid="{4E7AA2A7-C9CE-4329-9306-E48D0E221592}"/>
    <cellStyle name="Currency 5 3 2 2 5 2 3" xfId="12263" xr:uid="{8E7C9338-8DF6-49E5-811E-0A53803F7510}"/>
    <cellStyle name="Currency 5 3 2 2 5 2 4" xfId="20701" xr:uid="{F5D5ACDE-E292-41AF-BA25-5DA91AB61BB3}"/>
    <cellStyle name="Currency 5 3 2 2 5 3" xfId="5894" xr:uid="{00000000-0005-0000-0000-0000A90C0000}"/>
    <cellStyle name="Currency 5 3 2 2 5 3 2" xfId="14336" xr:uid="{146596C7-0169-4D6E-A18E-1137673E35B1}"/>
    <cellStyle name="Currency 5 3 2 2 5 3 3" xfId="22773" xr:uid="{779E6A43-0824-4705-8C39-8D81FD7F4406}"/>
    <cellStyle name="Currency 5 3 2 2 5 4" xfId="10118" xr:uid="{9A018E2E-AF9A-4FEC-AF98-37930674953A}"/>
    <cellStyle name="Currency 5 3 2 2 5 5" xfId="18556" xr:uid="{52E44973-4F0B-4131-AACF-087F70A4104B}"/>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9FDEACB3-87D7-4762-9F46-CAB0A1D74D1B}"/>
    <cellStyle name="Currency 5 3 2 2 6 2 2 3" xfId="25331" xr:uid="{C50B3B3B-8B21-4CAD-B487-D4C08FE23869}"/>
    <cellStyle name="Currency 5 3 2 2 6 2 3" xfId="12676" xr:uid="{8A1D8020-A1B3-4303-9911-52A47BF557CD}"/>
    <cellStyle name="Currency 5 3 2 2 6 2 4" xfId="21114" xr:uid="{78F485F1-9FAD-454B-94CF-EA0BE749E452}"/>
    <cellStyle name="Currency 5 3 2 2 6 3" xfId="6307" xr:uid="{00000000-0005-0000-0000-0000AD0C0000}"/>
    <cellStyle name="Currency 5 3 2 2 6 3 2" xfId="14749" xr:uid="{2EF0DFE3-58AB-40F8-A6DF-233E0711A024}"/>
    <cellStyle name="Currency 5 3 2 2 6 3 3" xfId="23186" xr:uid="{B1400D6D-7473-4BE3-BA5B-F5E651AB2559}"/>
    <cellStyle name="Currency 5 3 2 2 6 4" xfId="10531" xr:uid="{4005AEE7-E6C9-4FD8-99E8-5914A468A10C}"/>
    <cellStyle name="Currency 5 3 2 2 6 5" xfId="18969" xr:uid="{7E2D0140-842A-4DAC-86DB-69311429FDB5}"/>
    <cellStyle name="Currency 5 3 2 2 7" xfId="2435" xr:uid="{00000000-0005-0000-0000-0000AE0C0000}"/>
    <cellStyle name="Currency 5 3 2 2 7 2" xfId="6720" xr:uid="{00000000-0005-0000-0000-0000AF0C0000}"/>
    <cellStyle name="Currency 5 3 2 2 7 2 2" xfId="15162" xr:uid="{D6A01BDA-EF0E-44B0-8707-A82EE70C0383}"/>
    <cellStyle name="Currency 5 3 2 2 7 2 3" xfId="23599" xr:uid="{E3E34139-C6E7-4B5F-953F-32F2285DD0B6}"/>
    <cellStyle name="Currency 5 3 2 2 7 3" xfId="10944" xr:uid="{8D47DD50-563B-450B-A45B-723934B1A8B2}"/>
    <cellStyle name="Currency 5 3 2 2 7 4" xfId="19382" xr:uid="{B274EEF0-F607-4C7F-A149-7E7C06A51CB6}"/>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54298211-3734-4F93-A01F-9E1435134A25}"/>
    <cellStyle name="Currency 5 3 2 2 9 2 3" xfId="23916" xr:uid="{B8544FEE-178B-47CE-935B-B528DBA4B593}"/>
    <cellStyle name="Currency 5 3 2 2 9 3" xfId="11261" xr:uid="{554C2A55-930C-41DF-883C-B8E20894564B}"/>
    <cellStyle name="Currency 5 3 2 2 9 4" xfId="19699" xr:uid="{E9B2A317-A2E3-4538-B8F9-60FD65A8AE76}"/>
    <cellStyle name="Currency 5 3 2 3" xfId="213" xr:uid="{00000000-0005-0000-0000-0000B30C0000}"/>
    <cellStyle name="Currency 5 3 2 3 10" xfId="8880" xr:uid="{9BA8FE22-19F3-4A9D-AD08-4EC87AA5D24F}"/>
    <cellStyle name="Currency 5 3 2 3 11" xfId="17318" xr:uid="{E59BDCFA-AAEA-456D-9FD3-015CDEBACD6D}"/>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C93891F0-D854-425E-8AD0-E0EF13A7B4A4}"/>
    <cellStyle name="Currency 5 3 2 3 2 2 2 3" xfId="24094" xr:uid="{F9D2552D-03B4-4189-9E9C-F5848F476115}"/>
    <cellStyle name="Currency 5 3 2 3 2 2 3" xfId="11439" xr:uid="{15E260E8-DFA7-4EB3-84D1-8000643BB193}"/>
    <cellStyle name="Currency 5 3 2 3 2 2 4" xfId="19877" xr:uid="{E454D1F1-F705-4562-9256-0FB463390004}"/>
    <cellStyle name="Currency 5 3 2 3 2 3" xfId="5070" xr:uid="{00000000-0005-0000-0000-0000B70C0000}"/>
    <cellStyle name="Currency 5 3 2 3 2 3 2" xfId="13512" xr:uid="{39FC53C7-6973-4285-A77B-56FAF492AA64}"/>
    <cellStyle name="Currency 5 3 2 3 2 3 3" xfId="21949" xr:uid="{C04B637E-04D6-45BC-B823-A378F441DCFE}"/>
    <cellStyle name="Currency 5 3 2 3 2 4" xfId="9294" xr:uid="{20B01995-658A-470E-9DD5-DE789977B1D9}"/>
    <cellStyle name="Currency 5 3 2 3 2 5" xfId="17732" xr:uid="{8973C3DE-9E8A-4B74-84C3-7366BB396F76}"/>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AE158B61-EA6C-4376-AC26-484BB3B12E28}"/>
    <cellStyle name="Currency 5 3 2 3 3 2 2 3" xfId="24507" xr:uid="{88A4208C-E31C-4DD2-A727-AB5DE56D0AC3}"/>
    <cellStyle name="Currency 5 3 2 3 3 2 3" xfId="11852" xr:uid="{743174D6-B3E4-4FCC-A543-160FE87AA96C}"/>
    <cellStyle name="Currency 5 3 2 3 3 2 4" xfId="20290" xr:uid="{93DF7DA0-9501-47A9-B1D2-FDAC966684E8}"/>
    <cellStyle name="Currency 5 3 2 3 3 3" xfId="5483" xr:uid="{00000000-0005-0000-0000-0000BB0C0000}"/>
    <cellStyle name="Currency 5 3 2 3 3 3 2" xfId="13925" xr:uid="{CF9BABBD-AF6D-45D4-8CDD-8C062CAC72B2}"/>
    <cellStyle name="Currency 5 3 2 3 3 3 3" xfId="22362" xr:uid="{70355DEF-AE37-4F36-9BC2-AE8228E5932D}"/>
    <cellStyle name="Currency 5 3 2 3 3 4" xfId="9707" xr:uid="{B15197F5-D627-42AB-B394-8019295425D2}"/>
    <cellStyle name="Currency 5 3 2 3 3 5" xfId="18145" xr:uid="{FD4A09C4-9FE5-478D-A7A9-17D4053FB3BE}"/>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080509E3-A07A-46EE-8DEE-DC1783B08CAD}"/>
    <cellStyle name="Currency 5 3 2 3 4 2 2 3" xfId="24920" xr:uid="{244E8DED-81F0-4FC8-8FCC-1EC6A3859D26}"/>
    <cellStyle name="Currency 5 3 2 3 4 2 3" xfId="12265" xr:uid="{62733A31-5580-4711-8EEC-78B0344C4943}"/>
    <cellStyle name="Currency 5 3 2 3 4 2 4" xfId="20703" xr:uid="{0BD75F60-8AA5-419A-A80E-1F8F14E1687B}"/>
    <cellStyle name="Currency 5 3 2 3 4 3" xfId="5896" xr:uid="{00000000-0005-0000-0000-0000BF0C0000}"/>
    <cellStyle name="Currency 5 3 2 3 4 3 2" xfId="14338" xr:uid="{702F070B-9E03-471B-A944-FA997B736214}"/>
    <cellStyle name="Currency 5 3 2 3 4 3 3" xfId="22775" xr:uid="{70C6AFFE-F878-4471-ADD0-C1F46009673A}"/>
    <cellStyle name="Currency 5 3 2 3 4 4" xfId="10120" xr:uid="{9A3A6270-1BDF-4E4B-8826-BDB923C0B1CC}"/>
    <cellStyle name="Currency 5 3 2 3 4 5" xfId="18558" xr:uid="{9F05BCEB-9AD4-4C7D-B8E6-98562F14113E}"/>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CD7B7FF2-B8FD-4FA7-9A7F-73CC92569D54}"/>
    <cellStyle name="Currency 5 3 2 3 5 2 2 3" xfId="25333" xr:uid="{46B68903-B7EB-424E-8318-3F6003395CE9}"/>
    <cellStyle name="Currency 5 3 2 3 5 2 3" xfId="12678" xr:uid="{AFB9F852-8D25-4C75-953E-4A94CE900FDF}"/>
    <cellStyle name="Currency 5 3 2 3 5 2 4" xfId="21116" xr:uid="{CC7E5B3C-80E6-4A24-9969-A53C91D99DE0}"/>
    <cellStyle name="Currency 5 3 2 3 5 3" xfId="6309" xr:uid="{00000000-0005-0000-0000-0000C30C0000}"/>
    <cellStyle name="Currency 5 3 2 3 5 3 2" xfId="14751" xr:uid="{F2CA6392-155E-432F-AE29-34F4961A7F08}"/>
    <cellStyle name="Currency 5 3 2 3 5 3 3" xfId="23188" xr:uid="{5B416CD4-977B-431F-B69F-1DFCF0F9AFDB}"/>
    <cellStyle name="Currency 5 3 2 3 5 4" xfId="10533" xr:uid="{1EA5343D-E0CD-43C5-991E-75186EBD974C}"/>
    <cellStyle name="Currency 5 3 2 3 5 5" xfId="18971" xr:uid="{14E24837-25AA-492C-B00A-78DA324D027F}"/>
    <cellStyle name="Currency 5 3 2 3 6" xfId="2437" xr:uid="{00000000-0005-0000-0000-0000C40C0000}"/>
    <cellStyle name="Currency 5 3 2 3 6 2" xfId="6722" xr:uid="{00000000-0005-0000-0000-0000C50C0000}"/>
    <cellStyle name="Currency 5 3 2 3 6 2 2" xfId="15164" xr:uid="{59FE14CE-96E5-4AF3-BE81-04C06BE3AD56}"/>
    <cellStyle name="Currency 5 3 2 3 6 2 3" xfId="23601" xr:uid="{0D562200-8201-4B50-8B3B-40F959577190}"/>
    <cellStyle name="Currency 5 3 2 3 6 3" xfId="10946" xr:uid="{55D26618-BFD0-44AD-A291-661443D84E97}"/>
    <cellStyle name="Currency 5 3 2 3 6 4" xfId="19384" xr:uid="{2C9578BF-8237-42A4-9FAB-9907B566553A}"/>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86A2D43E-2F25-48AC-862F-6960ABB24ABB}"/>
    <cellStyle name="Currency 5 3 2 3 8 2 3" xfId="23918" xr:uid="{23AE59D2-12E9-4E77-9898-F85F7F6DE0E1}"/>
    <cellStyle name="Currency 5 3 2 3 8 3" xfId="11263" xr:uid="{336F0839-9CB9-4368-8F62-122F0DC158CD}"/>
    <cellStyle name="Currency 5 3 2 3 8 4" xfId="19701" xr:uid="{BFBAA2A4-8D57-444A-BCF6-3BBE7262CBC7}"/>
    <cellStyle name="Currency 5 3 2 3 9" xfId="4656" xr:uid="{00000000-0005-0000-0000-0000C90C0000}"/>
    <cellStyle name="Currency 5 3 2 3 9 2" xfId="13098" xr:uid="{D2E06843-01DC-4382-BCC5-88BEE0530FC9}"/>
    <cellStyle name="Currency 5 3 2 3 9 3" xfId="21535" xr:uid="{07DE1B22-2F8C-48B8-8091-165259DF2041}"/>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071F1F51-0773-44C3-B4FE-78D1CAB35DD2}"/>
    <cellStyle name="Currency 5 3 2 4 2 2 3" xfId="24091" xr:uid="{87D2BCF7-9DDD-495F-BE01-7B76B9AD0DBB}"/>
    <cellStyle name="Currency 5 3 2 4 2 3" xfId="11436" xr:uid="{C5A0C4EC-0740-42BB-8AE1-77CFEBB528EF}"/>
    <cellStyle name="Currency 5 3 2 4 2 4" xfId="19874" xr:uid="{90562FC1-C52C-43BD-A4D6-5B4E96BE9CFB}"/>
    <cellStyle name="Currency 5 3 2 4 3" xfId="5067" xr:uid="{00000000-0005-0000-0000-0000CD0C0000}"/>
    <cellStyle name="Currency 5 3 2 4 3 2" xfId="13509" xr:uid="{4F8F26D3-C93D-459B-BA00-4A8BC1767572}"/>
    <cellStyle name="Currency 5 3 2 4 3 3" xfId="21946" xr:uid="{76191F30-C2F8-4688-A9B7-F9E529094802}"/>
    <cellStyle name="Currency 5 3 2 4 4" xfId="9291" xr:uid="{E9549081-8F35-4949-88B5-9589CC79AE95}"/>
    <cellStyle name="Currency 5 3 2 4 5" xfId="17729" xr:uid="{BDD4A48A-C2B2-4D21-9711-E5C6F64DC725}"/>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5C08C55F-B703-4207-83F4-574DB3C11630}"/>
    <cellStyle name="Currency 5 3 2 5 2 2 3" xfId="24504" xr:uid="{6E6F3CD4-F171-4CA8-8BD7-C8F2B75D0CDD}"/>
    <cellStyle name="Currency 5 3 2 5 2 3" xfId="11849" xr:uid="{5EB2EB1F-95E5-44D7-AEB0-985328D5A0E1}"/>
    <cellStyle name="Currency 5 3 2 5 2 4" xfId="20287" xr:uid="{564E6B2D-D3BD-419C-9152-B64DD465C2BB}"/>
    <cellStyle name="Currency 5 3 2 5 3" xfId="5480" xr:uid="{00000000-0005-0000-0000-0000D10C0000}"/>
    <cellStyle name="Currency 5 3 2 5 3 2" xfId="13922" xr:uid="{7C1557E1-7894-4EED-B0DD-49435F7588A5}"/>
    <cellStyle name="Currency 5 3 2 5 3 3" xfId="22359" xr:uid="{FE0A24AC-7A90-47BE-86DC-2DC82ED97B94}"/>
    <cellStyle name="Currency 5 3 2 5 4" xfId="9704" xr:uid="{A273E83C-7D17-42EF-870D-4D9D2F321484}"/>
    <cellStyle name="Currency 5 3 2 5 5" xfId="18142" xr:uid="{A15E9969-8A3B-49B7-933C-CE61EE22915E}"/>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71BFEABF-EA50-4CEF-9497-882A0D19E0E6}"/>
    <cellStyle name="Currency 5 3 2 6 2 2 3" xfId="24917" xr:uid="{EA6A0BEC-288D-4821-8483-CAC7E479496A}"/>
    <cellStyle name="Currency 5 3 2 6 2 3" xfId="12262" xr:uid="{B4D1698A-24A1-452F-BD6B-17C4EA69C217}"/>
    <cellStyle name="Currency 5 3 2 6 2 4" xfId="20700" xr:uid="{E6E325F5-C2B3-4309-9428-59BE85D5C5A1}"/>
    <cellStyle name="Currency 5 3 2 6 3" xfId="5893" xr:uid="{00000000-0005-0000-0000-0000D50C0000}"/>
    <cellStyle name="Currency 5 3 2 6 3 2" xfId="14335" xr:uid="{DD6220AB-5632-4DEC-A8AE-703BB1623410}"/>
    <cellStyle name="Currency 5 3 2 6 3 3" xfId="22772" xr:uid="{A9F18EC1-5A12-4930-90F5-FB63286F1A1A}"/>
    <cellStyle name="Currency 5 3 2 6 4" xfId="10117" xr:uid="{4F1FE559-7031-4600-B46A-E398E287ECA4}"/>
    <cellStyle name="Currency 5 3 2 6 5" xfId="18555" xr:uid="{AB095346-C4B6-48E4-B421-359F87B8D42A}"/>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0FDDA4C6-51EB-43A3-92B0-6FAA3908F307}"/>
    <cellStyle name="Currency 5 3 2 7 2 2 3" xfId="25330" xr:uid="{B1B117EF-D319-4A7C-9525-A8868F665F99}"/>
    <cellStyle name="Currency 5 3 2 7 2 3" xfId="12675" xr:uid="{A4F5689F-C957-4BC7-A537-AF24ABEEE901}"/>
    <cellStyle name="Currency 5 3 2 7 2 4" xfId="21113" xr:uid="{70F81123-8B06-42F9-B4BE-5DC427503D90}"/>
    <cellStyle name="Currency 5 3 2 7 3" xfId="6306" xr:uid="{00000000-0005-0000-0000-0000D90C0000}"/>
    <cellStyle name="Currency 5 3 2 7 3 2" xfId="14748" xr:uid="{6031D4BA-C1E4-4918-8922-1F6C52F13F99}"/>
    <cellStyle name="Currency 5 3 2 7 3 3" xfId="23185" xr:uid="{75F0A89C-CF5C-4B1E-A65B-F1E494A8FB43}"/>
    <cellStyle name="Currency 5 3 2 7 4" xfId="10530" xr:uid="{E89E942B-0BE3-43BD-B23D-49332FDF4B9F}"/>
    <cellStyle name="Currency 5 3 2 7 5" xfId="18968" xr:uid="{AC1B6512-5BED-42C0-BB60-964484D628D0}"/>
    <cellStyle name="Currency 5 3 2 8" xfId="2434" xr:uid="{00000000-0005-0000-0000-0000DA0C0000}"/>
    <cellStyle name="Currency 5 3 2 8 2" xfId="6719" xr:uid="{00000000-0005-0000-0000-0000DB0C0000}"/>
    <cellStyle name="Currency 5 3 2 8 2 2" xfId="15161" xr:uid="{A9E0DC0C-E1CB-43C2-A419-64C2986734A2}"/>
    <cellStyle name="Currency 5 3 2 8 2 3" xfId="23598" xr:uid="{EBF59E0E-90F5-4F40-9BFE-6E327063D995}"/>
    <cellStyle name="Currency 5 3 2 8 3" xfId="10943" xr:uid="{8B83B934-6E3F-4612-968D-14FDDF68F45E}"/>
    <cellStyle name="Currency 5 3 2 8 4" xfId="19381" xr:uid="{88C65162-A713-4D21-9DAE-E8FA87931BA0}"/>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65F3924F-D46C-43AF-BE45-7798A2C99723}"/>
    <cellStyle name="Currency 5 3 3 10 3" xfId="21536" xr:uid="{CC517B85-8A86-4DCF-82AA-5F2BFF8D81A6}"/>
    <cellStyle name="Currency 5 3 3 11" xfId="8881" xr:uid="{09BED5C2-BBD8-4042-91C5-D26C0100A9C8}"/>
    <cellStyle name="Currency 5 3 3 12" xfId="17319" xr:uid="{C0C525F1-29CF-4C56-8C63-B5DBE4FB4BC3}"/>
    <cellStyle name="Currency 5 3 3 2" xfId="215" xr:uid="{00000000-0005-0000-0000-0000DF0C0000}"/>
    <cellStyle name="Currency 5 3 3 2 10" xfId="8882" xr:uid="{16979B92-7179-4D3B-BF35-83E1FE624589}"/>
    <cellStyle name="Currency 5 3 3 2 11" xfId="17320" xr:uid="{637640DC-8719-4F47-ABE0-9FE625AD2537}"/>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63406301-2F92-47AD-91E2-A5AFDFD61926}"/>
    <cellStyle name="Currency 5 3 3 2 2 2 2 3" xfId="24096" xr:uid="{973277B5-0FC7-4581-88D8-D9B803585B8E}"/>
    <cellStyle name="Currency 5 3 3 2 2 2 3" xfId="11441" xr:uid="{6BB83E31-C229-473A-8CFC-B6FBDDC4507D}"/>
    <cellStyle name="Currency 5 3 3 2 2 2 4" xfId="19879" xr:uid="{6978AF4F-5859-450B-AEB0-A1322D6F3E44}"/>
    <cellStyle name="Currency 5 3 3 2 2 3" xfId="5072" xr:uid="{00000000-0005-0000-0000-0000E30C0000}"/>
    <cellStyle name="Currency 5 3 3 2 2 3 2" xfId="13514" xr:uid="{5CD5993A-E2F8-4DEE-B48F-C7A1A2426C17}"/>
    <cellStyle name="Currency 5 3 3 2 2 3 3" xfId="21951" xr:uid="{7591278B-9787-4C9E-A334-AC92528CC23C}"/>
    <cellStyle name="Currency 5 3 3 2 2 4" xfId="9296" xr:uid="{F0B9F2DF-AED2-4699-9DAC-1F031F7549CB}"/>
    <cellStyle name="Currency 5 3 3 2 2 5" xfId="17734" xr:uid="{05C78237-3C60-4C6B-B83B-2D62307F5CCE}"/>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2E8E25A3-4863-41C0-A0AF-4DBC3549C92C}"/>
    <cellStyle name="Currency 5 3 3 2 3 2 2 3" xfId="24509" xr:uid="{75506630-020F-4226-83CF-FE68B4C5ADF6}"/>
    <cellStyle name="Currency 5 3 3 2 3 2 3" xfId="11854" xr:uid="{D80CDF6A-6E92-4E3A-95FD-520629CF558F}"/>
    <cellStyle name="Currency 5 3 3 2 3 2 4" xfId="20292" xr:uid="{DDC07A34-24CC-419A-A32A-992AD3FD929F}"/>
    <cellStyle name="Currency 5 3 3 2 3 3" xfId="5485" xr:uid="{00000000-0005-0000-0000-0000E70C0000}"/>
    <cellStyle name="Currency 5 3 3 2 3 3 2" xfId="13927" xr:uid="{21C67355-D3A1-4ACA-BC69-BFF82DAEAD06}"/>
    <cellStyle name="Currency 5 3 3 2 3 3 3" xfId="22364" xr:uid="{77248694-A649-4545-B56C-421E870974AA}"/>
    <cellStyle name="Currency 5 3 3 2 3 4" xfId="9709" xr:uid="{FADDDF8D-5DCF-4319-90D5-6F4528623D46}"/>
    <cellStyle name="Currency 5 3 3 2 3 5" xfId="18147" xr:uid="{97D6C6C5-1E15-467E-87BC-4240D0F21631}"/>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33EC2302-C539-4CC8-B431-B4B1BFF395BF}"/>
    <cellStyle name="Currency 5 3 3 2 4 2 2 3" xfId="24922" xr:uid="{78D5B071-BB93-4B0F-B7CC-F527631FF4B8}"/>
    <cellStyle name="Currency 5 3 3 2 4 2 3" xfId="12267" xr:uid="{C9D03F3C-E977-4F97-94CE-67124CCAA349}"/>
    <cellStyle name="Currency 5 3 3 2 4 2 4" xfId="20705" xr:uid="{26587F68-E8FF-426C-910F-A0B765B66F5A}"/>
    <cellStyle name="Currency 5 3 3 2 4 3" xfId="5898" xr:uid="{00000000-0005-0000-0000-0000EB0C0000}"/>
    <cellStyle name="Currency 5 3 3 2 4 3 2" xfId="14340" xr:uid="{23F0DDDC-8E96-4B97-A14D-91C87C399ADE}"/>
    <cellStyle name="Currency 5 3 3 2 4 3 3" xfId="22777" xr:uid="{47E7EE21-A003-459E-8ED4-8C069F77D438}"/>
    <cellStyle name="Currency 5 3 3 2 4 4" xfId="10122" xr:uid="{02C24FBA-480C-45D5-86E5-D14D50B3CF2E}"/>
    <cellStyle name="Currency 5 3 3 2 4 5" xfId="18560" xr:uid="{0E9EE12A-80BF-4BAB-AE30-F3FD46EAFEDC}"/>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9BCB6FCB-C01E-49CC-AE10-03C009F1F25E}"/>
    <cellStyle name="Currency 5 3 3 2 5 2 2 3" xfId="25335" xr:uid="{BD1D921F-A231-4A72-8D79-C4F30D1B7147}"/>
    <cellStyle name="Currency 5 3 3 2 5 2 3" xfId="12680" xr:uid="{03A1E68B-82D8-443F-A9E0-92FEF8DE1B48}"/>
    <cellStyle name="Currency 5 3 3 2 5 2 4" xfId="21118" xr:uid="{B76767B9-4291-49EB-B628-65824BAA30E3}"/>
    <cellStyle name="Currency 5 3 3 2 5 3" xfId="6311" xr:uid="{00000000-0005-0000-0000-0000EF0C0000}"/>
    <cellStyle name="Currency 5 3 3 2 5 3 2" xfId="14753" xr:uid="{67080A5C-4342-491B-A6EF-C9CF780E2534}"/>
    <cellStyle name="Currency 5 3 3 2 5 3 3" xfId="23190" xr:uid="{743314AF-89CD-4E6D-9B5B-113958A356F3}"/>
    <cellStyle name="Currency 5 3 3 2 5 4" xfId="10535" xr:uid="{27322C53-F260-4822-B8C6-B0478B42F66C}"/>
    <cellStyle name="Currency 5 3 3 2 5 5" xfId="18973" xr:uid="{5A7EA686-F5D9-498C-B3AF-183AE0F23741}"/>
    <cellStyle name="Currency 5 3 3 2 6" xfId="2439" xr:uid="{00000000-0005-0000-0000-0000F00C0000}"/>
    <cellStyle name="Currency 5 3 3 2 6 2" xfId="6724" xr:uid="{00000000-0005-0000-0000-0000F10C0000}"/>
    <cellStyle name="Currency 5 3 3 2 6 2 2" xfId="15166" xr:uid="{BA15CBC1-D3E6-40B5-BBB9-621F6EF1062E}"/>
    <cellStyle name="Currency 5 3 3 2 6 2 3" xfId="23603" xr:uid="{323A1A77-AE91-414D-A5C0-6CC5A17A095C}"/>
    <cellStyle name="Currency 5 3 3 2 6 3" xfId="10948" xr:uid="{355E497D-B8B3-4B4B-BA88-91A9119C1A18}"/>
    <cellStyle name="Currency 5 3 3 2 6 4" xfId="19386" xr:uid="{976A01A9-C608-492B-A238-B5E1D4F44220}"/>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BBB2ED96-0ACE-4BD5-A4A5-510864AE718E}"/>
    <cellStyle name="Currency 5 3 3 2 8 2 3" xfId="23920" xr:uid="{BFD04770-4287-4E5B-AFE0-77CCB12D1C46}"/>
    <cellStyle name="Currency 5 3 3 2 8 3" xfId="11265" xr:uid="{55505FF7-085E-4C9D-85E7-CCD376C49DF7}"/>
    <cellStyle name="Currency 5 3 3 2 8 4" xfId="19703" xr:uid="{6882F032-C182-4EB3-A725-430E287EA9AF}"/>
    <cellStyle name="Currency 5 3 3 2 9" xfId="4658" xr:uid="{00000000-0005-0000-0000-0000F50C0000}"/>
    <cellStyle name="Currency 5 3 3 2 9 2" xfId="13100" xr:uid="{B5556ACC-3553-402C-B1C2-F44F29032BF2}"/>
    <cellStyle name="Currency 5 3 3 2 9 3" xfId="21537" xr:uid="{8D7F49DE-063C-4ED3-AF05-CF5B0373F69E}"/>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85C288F5-9E05-4D1B-910A-BEABBF1626AD}"/>
    <cellStyle name="Currency 5 3 3 3 2 2 3" xfId="24095" xr:uid="{2F2B456A-0119-41CB-A1F0-B56AE255C5D4}"/>
    <cellStyle name="Currency 5 3 3 3 2 3" xfId="11440" xr:uid="{8279868C-D2DE-4460-96F8-089CD9526CCD}"/>
    <cellStyle name="Currency 5 3 3 3 2 4" xfId="19878" xr:uid="{0922724D-E2FB-4D34-9581-E92A1DC6EF44}"/>
    <cellStyle name="Currency 5 3 3 3 3" xfId="5071" xr:uid="{00000000-0005-0000-0000-0000F90C0000}"/>
    <cellStyle name="Currency 5 3 3 3 3 2" xfId="13513" xr:uid="{85E7702E-1485-44B3-8DBD-5DB3A486129A}"/>
    <cellStyle name="Currency 5 3 3 3 3 3" xfId="21950" xr:uid="{1122D37E-3024-40AA-B25D-332EC8624A02}"/>
    <cellStyle name="Currency 5 3 3 3 4" xfId="9295" xr:uid="{CFF7C87C-7FF4-463F-9D95-4B964C0A87D2}"/>
    <cellStyle name="Currency 5 3 3 3 5" xfId="17733" xr:uid="{785C031A-4812-43FB-8FB1-672D7C9F128E}"/>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EF822021-9610-4A55-8B6E-FD347CDD9785}"/>
    <cellStyle name="Currency 5 3 3 4 2 2 3" xfId="24508" xr:uid="{79EB80D4-1CBB-4D61-9F30-53BD62F77A3C}"/>
    <cellStyle name="Currency 5 3 3 4 2 3" xfId="11853" xr:uid="{1F67B319-426D-440E-8074-AFC360761EF9}"/>
    <cellStyle name="Currency 5 3 3 4 2 4" xfId="20291" xr:uid="{37377071-2F9D-409B-88DF-AAF7CA465A90}"/>
    <cellStyle name="Currency 5 3 3 4 3" xfId="5484" xr:uid="{00000000-0005-0000-0000-0000FD0C0000}"/>
    <cellStyle name="Currency 5 3 3 4 3 2" xfId="13926" xr:uid="{3D9E9B6B-681F-4481-8F21-A27C4CB74AD9}"/>
    <cellStyle name="Currency 5 3 3 4 3 3" xfId="22363" xr:uid="{239F63B8-263A-4FBD-8A04-87A63DB428B0}"/>
    <cellStyle name="Currency 5 3 3 4 4" xfId="9708" xr:uid="{7C70F9A2-17A6-4923-98E2-98227EB30600}"/>
    <cellStyle name="Currency 5 3 3 4 5" xfId="18146" xr:uid="{12AAB123-543C-44EB-9A16-060CB05A158F}"/>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73E38757-AE20-4CD3-A429-A8CB27A38A4D}"/>
    <cellStyle name="Currency 5 3 3 5 2 2 3" xfId="24921" xr:uid="{46049DF6-6E10-4EDC-88BC-728D06F1B781}"/>
    <cellStyle name="Currency 5 3 3 5 2 3" xfId="12266" xr:uid="{561A9AAA-6E13-4797-A6A1-E00DEDDCAC78}"/>
    <cellStyle name="Currency 5 3 3 5 2 4" xfId="20704" xr:uid="{503A6A43-2BE1-4F50-A327-3568E646399B}"/>
    <cellStyle name="Currency 5 3 3 5 3" xfId="5897" xr:uid="{00000000-0005-0000-0000-0000010D0000}"/>
    <cellStyle name="Currency 5 3 3 5 3 2" xfId="14339" xr:uid="{B21CA388-C902-4797-84A1-BA25B807D230}"/>
    <cellStyle name="Currency 5 3 3 5 3 3" xfId="22776" xr:uid="{C5E3ED73-8704-4368-A7F4-88F76462DBDD}"/>
    <cellStyle name="Currency 5 3 3 5 4" xfId="10121" xr:uid="{6BD81BD1-0497-4B39-A907-D36B43D4F763}"/>
    <cellStyle name="Currency 5 3 3 5 5" xfId="18559" xr:uid="{591F742A-BDFF-4D11-BEA7-8A1D5EF4D4F0}"/>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46A15E6B-0E82-49BD-B527-EE2F0427369F}"/>
    <cellStyle name="Currency 5 3 3 6 2 2 3" xfId="25334" xr:uid="{85476065-A99F-4378-AB63-305F337FDAD8}"/>
    <cellStyle name="Currency 5 3 3 6 2 3" xfId="12679" xr:uid="{DC8BB0D8-6FE0-4DE2-9C64-D614398502F1}"/>
    <cellStyle name="Currency 5 3 3 6 2 4" xfId="21117" xr:uid="{C7494CE1-E153-47B7-BB69-382765650D1E}"/>
    <cellStyle name="Currency 5 3 3 6 3" xfId="6310" xr:uid="{00000000-0005-0000-0000-0000050D0000}"/>
    <cellStyle name="Currency 5 3 3 6 3 2" xfId="14752" xr:uid="{6BD770B8-2B45-40EB-A8F1-F070AA5FE94F}"/>
    <cellStyle name="Currency 5 3 3 6 3 3" xfId="23189" xr:uid="{09846D12-77BD-417C-B45E-B7BD3786CA32}"/>
    <cellStyle name="Currency 5 3 3 6 4" xfId="10534" xr:uid="{EBC09DE6-D98D-4D54-8F3A-7F6F4183D1A9}"/>
    <cellStyle name="Currency 5 3 3 6 5" xfId="18972" xr:uid="{F9544185-414B-4E3F-B209-37CEC510FC39}"/>
    <cellStyle name="Currency 5 3 3 7" xfId="2438" xr:uid="{00000000-0005-0000-0000-0000060D0000}"/>
    <cellStyle name="Currency 5 3 3 7 2" xfId="6723" xr:uid="{00000000-0005-0000-0000-0000070D0000}"/>
    <cellStyle name="Currency 5 3 3 7 2 2" xfId="15165" xr:uid="{AFCEF1B1-B2EA-41D9-B165-3231E4411901}"/>
    <cellStyle name="Currency 5 3 3 7 2 3" xfId="23602" xr:uid="{0A1CA00A-94D4-4374-8878-02C85A21CEC0}"/>
    <cellStyle name="Currency 5 3 3 7 3" xfId="10947" xr:uid="{D29445E5-F6EA-4C1F-BAA1-FCD12ACC4D81}"/>
    <cellStyle name="Currency 5 3 3 7 4" xfId="19385" xr:uid="{9B13DE3C-15D1-4AEA-A2B8-B1EECF72E714}"/>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1D524FA8-15F9-4194-84C1-78F31AE30A4D}"/>
    <cellStyle name="Currency 5 3 3 9 2 3" xfId="23919" xr:uid="{29B02586-30BF-4CE3-9E39-F28BE321F900}"/>
    <cellStyle name="Currency 5 3 3 9 3" xfId="11264" xr:uid="{E0F30DB4-AF6A-4672-ABD6-BD33AD9E95EE}"/>
    <cellStyle name="Currency 5 3 3 9 4" xfId="19702" xr:uid="{A818FCFA-FA59-4BE3-AA49-EE58389A7F3D}"/>
    <cellStyle name="Currency 5 3 4" xfId="216" xr:uid="{00000000-0005-0000-0000-00000B0D0000}"/>
    <cellStyle name="Currency 5 3 4 10" xfId="8883" xr:uid="{C5FD04BA-5BEC-4B0D-BA3C-B231E5064DB6}"/>
    <cellStyle name="Currency 5 3 4 11" xfId="17321" xr:uid="{0D370D69-A609-4AAB-9D0F-DFFA20CE7BF1}"/>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78F424C8-7943-4753-B46F-5E89C653F77A}"/>
    <cellStyle name="Currency 5 3 4 2 2 2 3" xfId="24097" xr:uid="{8A417B68-C5B0-4081-864A-CAA4EBFAB284}"/>
    <cellStyle name="Currency 5 3 4 2 2 3" xfId="11442" xr:uid="{267E3F26-CA96-48AE-AA2E-FAF940CD3139}"/>
    <cellStyle name="Currency 5 3 4 2 2 4" xfId="19880" xr:uid="{5404C573-AA75-448A-9544-820ED79F1EF7}"/>
    <cellStyle name="Currency 5 3 4 2 3" xfId="5073" xr:uid="{00000000-0005-0000-0000-00000F0D0000}"/>
    <cellStyle name="Currency 5 3 4 2 3 2" xfId="13515" xr:uid="{C5C63AF9-47AC-47CB-847C-F49C5D06E4D5}"/>
    <cellStyle name="Currency 5 3 4 2 3 3" xfId="21952" xr:uid="{77EAFCC5-2507-49E9-8432-6BC931B7A9D9}"/>
    <cellStyle name="Currency 5 3 4 2 4" xfId="9297" xr:uid="{DAF9B8F9-5576-42D1-BB34-40599AEED218}"/>
    <cellStyle name="Currency 5 3 4 2 5" xfId="17735" xr:uid="{1F75D184-1B2A-45A3-868C-A12B7AB366A4}"/>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426FA3A8-F319-4C65-932F-777F2D0107CC}"/>
    <cellStyle name="Currency 5 3 4 3 2 2 3" xfId="24510" xr:uid="{B9F217EF-6E42-43BA-BA4C-F89F717650BB}"/>
    <cellStyle name="Currency 5 3 4 3 2 3" xfId="11855" xr:uid="{854BB3E7-A158-44A6-BD37-8C37EAB164E8}"/>
    <cellStyle name="Currency 5 3 4 3 2 4" xfId="20293" xr:uid="{95A721C3-6858-46C4-95B0-3929B270823A}"/>
    <cellStyle name="Currency 5 3 4 3 3" xfId="5486" xr:uid="{00000000-0005-0000-0000-0000130D0000}"/>
    <cellStyle name="Currency 5 3 4 3 3 2" xfId="13928" xr:uid="{33531804-74E7-47A6-84AD-B9F01FAD0B75}"/>
    <cellStyle name="Currency 5 3 4 3 3 3" xfId="22365" xr:uid="{F68C2374-BDED-4FD1-B87F-734575260F52}"/>
    <cellStyle name="Currency 5 3 4 3 4" xfId="9710" xr:uid="{7FE8E0B9-2B93-45A8-BF5D-B639265828DD}"/>
    <cellStyle name="Currency 5 3 4 3 5" xfId="18148" xr:uid="{BA9A5FA1-65DF-40D7-8004-6FF88CA585C8}"/>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EB049C5E-F555-4C0C-BDDC-B07B18526D4B}"/>
    <cellStyle name="Currency 5 3 4 4 2 2 3" xfId="24923" xr:uid="{B9D1E62D-C53E-4D41-854D-DACD4F41820F}"/>
    <cellStyle name="Currency 5 3 4 4 2 3" xfId="12268" xr:uid="{277245FB-154F-4134-9535-6279D62535EB}"/>
    <cellStyle name="Currency 5 3 4 4 2 4" xfId="20706" xr:uid="{F5412335-3C14-4568-A643-0F8E0A5A816A}"/>
    <cellStyle name="Currency 5 3 4 4 3" xfId="5899" xr:uid="{00000000-0005-0000-0000-0000170D0000}"/>
    <cellStyle name="Currency 5 3 4 4 3 2" xfId="14341" xr:uid="{FDB252A4-499A-4D51-8D34-6696463DE339}"/>
    <cellStyle name="Currency 5 3 4 4 3 3" xfId="22778" xr:uid="{BE8BDE81-9441-4283-8202-C17189A1A5AD}"/>
    <cellStyle name="Currency 5 3 4 4 4" xfId="10123" xr:uid="{60967CB9-B9CF-480A-BD02-0432B618A7D8}"/>
    <cellStyle name="Currency 5 3 4 4 5" xfId="18561" xr:uid="{F0AB42FD-6E8C-440E-99E1-CDD0B190DED5}"/>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FD22423C-9929-47D8-AD91-A3367971731B}"/>
    <cellStyle name="Currency 5 3 4 5 2 2 3" xfId="25336" xr:uid="{C1D40E07-AD3D-4FE6-A311-A0D5E633B779}"/>
    <cellStyle name="Currency 5 3 4 5 2 3" xfId="12681" xr:uid="{16D7C3A7-F33D-4074-A84B-B269089C8445}"/>
    <cellStyle name="Currency 5 3 4 5 2 4" xfId="21119" xr:uid="{993F3D67-5005-410E-8F75-435D7A745164}"/>
    <cellStyle name="Currency 5 3 4 5 3" xfId="6312" xr:uid="{00000000-0005-0000-0000-00001B0D0000}"/>
    <cellStyle name="Currency 5 3 4 5 3 2" xfId="14754" xr:uid="{64F0E0A9-AED0-4744-A97A-D263E2434CC9}"/>
    <cellStyle name="Currency 5 3 4 5 3 3" xfId="23191" xr:uid="{57B4A0B8-D235-41B1-A580-B015716D1335}"/>
    <cellStyle name="Currency 5 3 4 5 4" xfId="10536" xr:uid="{4EAD697F-BFDB-46EB-AA15-25470AC28297}"/>
    <cellStyle name="Currency 5 3 4 5 5" xfId="18974" xr:uid="{36673EE5-4B78-498D-AD13-636B0458F8EB}"/>
    <cellStyle name="Currency 5 3 4 6" xfId="2440" xr:uid="{00000000-0005-0000-0000-00001C0D0000}"/>
    <cellStyle name="Currency 5 3 4 6 2" xfId="6725" xr:uid="{00000000-0005-0000-0000-00001D0D0000}"/>
    <cellStyle name="Currency 5 3 4 6 2 2" xfId="15167" xr:uid="{831FA6E5-8AD9-46CA-92C3-033F38B891A0}"/>
    <cellStyle name="Currency 5 3 4 6 2 3" xfId="23604" xr:uid="{B0FDC775-B7ED-498A-8D22-BBAD86C419FA}"/>
    <cellStyle name="Currency 5 3 4 6 3" xfId="10949" xr:uid="{E4E4D21B-BD72-4EAE-A1B5-A01642A2657C}"/>
    <cellStyle name="Currency 5 3 4 6 4" xfId="19387" xr:uid="{5E715E15-B5C0-4354-A86A-E26CB1B0BEC9}"/>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850C8E2D-3ED7-4FCB-9B02-C27E171D5C7D}"/>
    <cellStyle name="Currency 5 3 4 8 2 3" xfId="23921" xr:uid="{EBA2680D-6F86-4461-9EAD-66BB434A152F}"/>
    <cellStyle name="Currency 5 3 4 8 3" xfId="11266" xr:uid="{8FE88088-7DB0-463D-A84B-B30B2302B0F2}"/>
    <cellStyle name="Currency 5 3 4 8 4" xfId="19704" xr:uid="{36F32AAA-A795-4016-B16D-AE14F1B9D790}"/>
    <cellStyle name="Currency 5 3 4 9" xfId="4659" xr:uid="{00000000-0005-0000-0000-0000210D0000}"/>
    <cellStyle name="Currency 5 3 4 9 2" xfId="13101" xr:uid="{3514F52B-EB4A-4D48-9033-4920D1ED59A9}"/>
    <cellStyle name="Currency 5 3 4 9 3" xfId="21538" xr:uid="{F8B1758B-252A-4AF6-AD0B-75C911A8D56A}"/>
    <cellStyle name="Currency 5 3 5" xfId="217" xr:uid="{00000000-0005-0000-0000-0000220D0000}"/>
    <cellStyle name="Currency 5 3 5 10" xfId="8884" xr:uid="{8ACD72DA-A89D-4F0E-8188-38E8B991F4E0}"/>
    <cellStyle name="Currency 5 3 5 11" xfId="17322" xr:uid="{7F13D0D9-11BA-4A31-B2A4-0A1F4DC16921}"/>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73C27618-5FD2-4C99-A45F-79A83F89FDC9}"/>
    <cellStyle name="Currency 5 3 5 2 2 2 3" xfId="24098" xr:uid="{EBD89148-ADE3-47F2-B01B-7019C6956DDB}"/>
    <cellStyle name="Currency 5 3 5 2 2 3" xfId="11443" xr:uid="{4434AE62-62E0-457A-B1D3-3E83B5C5D62A}"/>
    <cellStyle name="Currency 5 3 5 2 2 4" xfId="19881" xr:uid="{31DCBB87-0F2E-4666-8E91-4A6A4F117F9B}"/>
    <cellStyle name="Currency 5 3 5 2 3" xfId="5074" xr:uid="{00000000-0005-0000-0000-0000260D0000}"/>
    <cellStyle name="Currency 5 3 5 2 3 2" xfId="13516" xr:uid="{8167C984-1BED-4FFD-88C9-F2DA91975FFB}"/>
    <cellStyle name="Currency 5 3 5 2 3 3" xfId="21953" xr:uid="{263E4249-EBFA-4A68-AE8F-BDE1CB1E9676}"/>
    <cellStyle name="Currency 5 3 5 2 4" xfId="9298" xr:uid="{389A8159-EB5D-4909-8EC3-2210083C4819}"/>
    <cellStyle name="Currency 5 3 5 2 5" xfId="17736" xr:uid="{CDE5239C-4494-441E-ABBA-C836AA3C5111}"/>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0EB447F5-8A0C-4CFA-A6E4-72C69F2701F5}"/>
    <cellStyle name="Currency 5 3 5 3 2 2 3" xfId="24511" xr:uid="{E01B2E28-CB13-4572-9B16-52F2816D2BF5}"/>
    <cellStyle name="Currency 5 3 5 3 2 3" xfId="11856" xr:uid="{51624A3C-3B12-4A93-A1A0-F37372FDB252}"/>
    <cellStyle name="Currency 5 3 5 3 2 4" xfId="20294" xr:uid="{94A3A6C0-51E2-45F8-8B82-F15F4E54C501}"/>
    <cellStyle name="Currency 5 3 5 3 3" xfId="5487" xr:uid="{00000000-0005-0000-0000-00002A0D0000}"/>
    <cellStyle name="Currency 5 3 5 3 3 2" xfId="13929" xr:uid="{5ECA74D9-E221-40A7-999C-4A837DC576C2}"/>
    <cellStyle name="Currency 5 3 5 3 3 3" xfId="22366" xr:uid="{0753AE82-2681-4C36-BEAF-B119A7CA2BAF}"/>
    <cellStyle name="Currency 5 3 5 3 4" xfId="9711" xr:uid="{DF31392C-B271-4427-9907-FF6D8E3EA009}"/>
    <cellStyle name="Currency 5 3 5 3 5" xfId="18149" xr:uid="{C8C529BB-7E31-4BC5-8D12-A56F2FC6BF5F}"/>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758DF0A9-D1C8-4860-863F-56BCDF80948F}"/>
    <cellStyle name="Currency 5 3 5 4 2 2 3" xfId="24924" xr:uid="{E841D706-C98C-4DDC-8ED0-04E41273F6C2}"/>
    <cellStyle name="Currency 5 3 5 4 2 3" xfId="12269" xr:uid="{3914319F-1836-4479-B2B2-BC5016E2CF8C}"/>
    <cellStyle name="Currency 5 3 5 4 2 4" xfId="20707" xr:uid="{A49BE630-6BF7-4372-8E9E-90D68F45A757}"/>
    <cellStyle name="Currency 5 3 5 4 3" xfId="5900" xr:uid="{00000000-0005-0000-0000-00002E0D0000}"/>
    <cellStyle name="Currency 5 3 5 4 3 2" xfId="14342" xr:uid="{56DBC2DA-2824-4D90-8158-5F6D745FB04E}"/>
    <cellStyle name="Currency 5 3 5 4 3 3" xfId="22779" xr:uid="{9CCAE06A-16DC-43DA-9332-1A24FAB0E5D8}"/>
    <cellStyle name="Currency 5 3 5 4 4" xfId="10124" xr:uid="{D00E3740-4AC7-4950-8CC5-E904F43290F8}"/>
    <cellStyle name="Currency 5 3 5 4 5" xfId="18562" xr:uid="{9349E7DA-D8A8-46BC-B9B8-81AE8DDDD8FB}"/>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0B4AF655-0250-44CF-8ACC-14D754A7272E}"/>
    <cellStyle name="Currency 5 3 5 5 2 2 3" xfId="25337" xr:uid="{5C3D7A59-4A40-4424-B648-E97C08DF4E49}"/>
    <cellStyle name="Currency 5 3 5 5 2 3" xfId="12682" xr:uid="{5185D21D-E9FE-4632-BBD5-133A0E4A7B6F}"/>
    <cellStyle name="Currency 5 3 5 5 2 4" xfId="21120" xr:uid="{9CB0EEC3-60BB-4968-8EF0-23FE3A65C44D}"/>
    <cellStyle name="Currency 5 3 5 5 3" xfId="6313" xr:uid="{00000000-0005-0000-0000-0000320D0000}"/>
    <cellStyle name="Currency 5 3 5 5 3 2" xfId="14755" xr:uid="{4DF063BF-78F8-458F-9967-FC4D66C025A1}"/>
    <cellStyle name="Currency 5 3 5 5 3 3" xfId="23192" xr:uid="{D12D61B3-96FF-458E-AA79-CA4F0EF34583}"/>
    <cellStyle name="Currency 5 3 5 5 4" xfId="10537" xr:uid="{D4D633F2-E7F5-4CB4-8B86-C10489A6713B}"/>
    <cellStyle name="Currency 5 3 5 5 5" xfId="18975" xr:uid="{C9A1DF78-44A8-4B01-95B7-7B2B8C7F1657}"/>
    <cellStyle name="Currency 5 3 5 6" xfId="2441" xr:uid="{00000000-0005-0000-0000-0000330D0000}"/>
    <cellStyle name="Currency 5 3 5 6 2" xfId="6726" xr:uid="{00000000-0005-0000-0000-0000340D0000}"/>
    <cellStyle name="Currency 5 3 5 6 2 2" xfId="15168" xr:uid="{3742211F-A690-4D9A-8E10-C5DD63856EA5}"/>
    <cellStyle name="Currency 5 3 5 6 2 3" xfId="23605" xr:uid="{D474CFA3-5552-4EBF-AF1D-87A92E4DCCD7}"/>
    <cellStyle name="Currency 5 3 5 6 3" xfId="10950" xr:uid="{5B3B3B7B-C4CE-4E6F-9579-785FC2D45DDC}"/>
    <cellStyle name="Currency 5 3 5 6 4" xfId="19388" xr:uid="{30C1B166-E5F7-4BB4-B655-EE4E938795B3}"/>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64F33596-EB4D-4371-B27A-8117C37628C9}"/>
    <cellStyle name="Currency 5 3 5 8 2 3" xfId="23922" xr:uid="{C3F156D9-9A5F-4362-B030-988FCDEFAD3C}"/>
    <cellStyle name="Currency 5 3 5 8 3" xfId="11267" xr:uid="{3BBC254A-010B-400C-8ADB-DE6BEB332A6A}"/>
    <cellStyle name="Currency 5 3 5 8 4" xfId="19705" xr:uid="{AF8506FA-3814-411C-9854-B2E64302C19A}"/>
    <cellStyle name="Currency 5 3 5 9" xfId="4660" xr:uid="{00000000-0005-0000-0000-0000380D0000}"/>
    <cellStyle name="Currency 5 3 5 9 2" xfId="13102" xr:uid="{D54A2972-238E-497A-8588-114843C71D25}"/>
    <cellStyle name="Currency 5 3 5 9 3" xfId="21539" xr:uid="{A0B92857-9F1E-4640-A9A4-9F1CCB4085D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56B9AF0D-8342-427E-8CB6-0D7BC608DD64}"/>
    <cellStyle name="Currency 5 5 10 3" xfId="21540" xr:uid="{60B89CD6-2FF3-4EC8-9A18-60C699BE32FE}"/>
    <cellStyle name="Currency 5 5 11" xfId="8885" xr:uid="{E5195602-F776-4F34-8668-CC6DA1E626A2}"/>
    <cellStyle name="Currency 5 5 12" xfId="17323" xr:uid="{4E3D2252-4C1D-4890-92B3-3253FAB62D10}"/>
    <cellStyle name="Currency 5 5 2" xfId="220" xr:uid="{00000000-0005-0000-0000-00003D0D0000}"/>
    <cellStyle name="Currency 5 5 2 10" xfId="8886" xr:uid="{046F3DD9-9614-4325-9A1C-C261D350BCE7}"/>
    <cellStyle name="Currency 5 5 2 11" xfId="17324" xr:uid="{15D6F26D-3F8D-4A68-9231-BF22FD09B889}"/>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6A37898C-A402-495A-A5C1-81880A26A8F4}"/>
    <cellStyle name="Currency 5 5 2 2 2 2 3" xfId="24100" xr:uid="{0F545613-0DB9-4EE5-9ACC-892DFD4A99EF}"/>
    <cellStyle name="Currency 5 5 2 2 2 3" xfId="11445" xr:uid="{019B5282-7FCE-46F7-81D4-29D15B86A06D}"/>
    <cellStyle name="Currency 5 5 2 2 2 4" xfId="19883" xr:uid="{A11E4D21-EC4E-4ADC-BC8B-A07A2B6958F6}"/>
    <cellStyle name="Currency 5 5 2 2 3" xfId="5076" xr:uid="{00000000-0005-0000-0000-0000410D0000}"/>
    <cellStyle name="Currency 5 5 2 2 3 2" xfId="13518" xr:uid="{3ABF7428-3AAD-4728-A00E-0C17FB66EFC4}"/>
    <cellStyle name="Currency 5 5 2 2 3 3" xfId="21955" xr:uid="{6307C20E-0C76-43F3-BF07-7B41D8EB105D}"/>
    <cellStyle name="Currency 5 5 2 2 4" xfId="9300" xr:uid="{B4A028CA-E95B-44FD-A026-3FCEE5D64D04}"/>
    <cellStyle name="Currency 5 5 2 2 5" xfId="17738" xr:uid="{29ABBCDD-2609-4A33-A868-96CCDCC61DBB}"/>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95F944F2-9CAB-439E-AF5C-4618E579FC46}"/>
    <cellStyle name="Currency 5 5 2 3 2 2 3" xfId="24513" xr:uid="{54DCCD2E-AD8A-4A31-B4AE-5E0F3AE9F2D9}"/>
    <cellStyle name="Currency 5 5 2 3 2 3" xfId="11858" xr:uid="{2BFB7970-6337-4223-892A-CC8BCB868760}"/>
    <cellStyle name="Currency 5 5 2 3 2 4" xfId="20296" xr:uid="{CFC72A15-DF1A-4782-B03F-1837CDE4D861}"/>
    <cellStyle name="Currency 5 5 2 3 3" xfId="5489" xr:uid="{00000000-0005-0000-0000-0000450D0000}"/>
    <cellStyle name="Currency 5 5 2 3 3 2" xfId="13931" xr:uid="{59C3773A-6944-4CD7-9C80-0CD8213E230F}"/>
    <cellStyle name="Currency 5 5 2 3 3 3" xfId="22368" xr:uid="{52001AE0-43AF-4CF1-910A-3323FA29E1F1}"/>
    <cellStyle name="Currency 5 5 2 3 4" xfId="9713" xr:uid="{5914C1D6-A2BA-4BF4-86E9-E4DF84DEBE7E}"/>
    <cellStyle name="Currency 5 5 2 3 5" xfId="18151" xr:uid="{3CF61212-E39C-4A08-8997-736F6B84AF8B}"/>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2EEBBAD6-15E3-469A-B3C7-CE8F8BE71B37}"/>
    <cellStyle name="Currency 5 5 2 4 2 2 3" xfId="24926" xr:uid="{489D6366-7091-4DDB-B210-7241C03A921D}"/>
    <cellStyle name="Currency 5 5 2 4 2 3" xfId="12271" xr:uid="{2595DF03-6A0E-4A1C-8C2D-D2EEBB050F71}"/>
    <cellStyle name="Currency 5 5 2 4 2 4" xfId="20709" xr:uid="{4E178359-ADD7-4F90-8150-5660EA71880A}"/>
    <cellStyle name="Currency 5 5 2 4 3" xfId="5902" xr:uid="{00000000-0005-0000-0000-0000490D0000}"/>
    <cellStyle name="Currency 5 5 2 4 3 2" xfId="14344" xr:uid="{B12A22C4-F1FD-4ACB-A9E7-E29B316236EB}"/>
    <cellStyle name="Currency 5 5 2 4 3 3" xfId="22781" xr:uid="{E25AC6E2-9347-4CD4-9896-DB71515AD468}"/>
    <cellStyle name="Currency 5 5 2 4 4" xfId="10126" xr:uid="{C0868087-D05A-40CD-8CE2-2F00537C01E8}"/>
    <cellStyle name="Currency 5 5 2 4 5" xfId="18564" xr:uid="{718B8658-91D3-498E-AA61-969575C7AC9D}"/>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D9BCE65A-A412-46F7-91A1-87036FE192C3}"/>
    <cellStyle name="Currency 5 5 2 5 2 2 3" xfId="25339" xr:uid="{A66AB6F1-20D1-4C10-82D5-C8D168B6D58C}"/>
    <cellStyle name="Currency 5 5 2 5 2 3" xfId="12684" xr:uid="{219F6A96-D673-45C7-9C16-7B13E36CC3BF}"/>
    <cellStyle name="Currency 5 5 2 5 2 4" xfId="21122" xr:uid="{F549A4D3-2B4C-428B-A2B7-A09511057F60}"/>
    <cellStyle name="Currency 5 5 2 5 3" xfId="6315" xr:uid="{00000000-0005-0000-0000-00004D0D0000}"/>
    <cellStyle name="Currency 5 5 2 5 3 2" xfId="14757" xr:uid="{E37C943A-95E8-4489-9542-118A4BB5068F}"/>
    <cellStyle name="Currency 5 5 2 5 3 3" xfId="23194" xr:uid="{8752DC19-9B16-446D-9537-9BCEB812C146}"/>
    <cellStyle name="Currency 5 5 2 5 4" xfId="10539" xr:uid="{D8F43CB8-CFDD-4AED-89E2-328D7A9D2426}"/>
    <cellStyle name="Currency 5 5 2 5 5" xfId="18977" xr:uid="{265F3186-478F-4B28-827B-1DE1EF8C9C6D}"/>
    <cellStyle name="Currency 5 5 2 6" xfId="2443" xr:uid="{00000000-0005-0000-0000-00004E0D0000}"/>
    <cellStyle name="Currency 5 5 2 6 2" xfId="6728" xr:uid="{00000000-0005-0000-0000-00004F0D0000}"/>
    <cellStyle name="Currency 5 5 2 6 2 2" xfId="15170" xr:uid="{36F7C77E-6B27-46F6-8893-0C44129182C9}"/>
    <cellStyle name="Currency 5 5 2 6 2 3" xfId="23607" xr:uid="{73679AD1-021C-4A05-98B0-CA722245857D}"/>
    <cellStyle name="Currency 5 5 2 6 3" xfId="10952" xr:uid="{21CB1363-6101-46E9-87B4-989C89A9D3F0}"/>
    <cellStyle name="Currency 5 5 2 6 4" xfId="19390" xr:uid="{1098222F-1694-433D-B02D-52477B94CCD6}"/>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9D426152-1506-4460-A660-F2B33340EDEC}"/>
    <cellStyle name="Currency 5 5 2 8 2 3" xfId="23924" xr:uid="{EE0614F1-9A45-414C-8674-4820EF49F2EE}"/>
    <cellStyle name="Currency 5 5 2 8 3" xfId="11269" xr:uid="{206883BA-1209-4D6D-9F11-7036D8438C3F}"/>
    <cellStyle name="Currency 5 5 2 8 4" xfId="19707" xr:uid="{B92D959C-5676-4062-9851-54BB4DB7C997}"/>
    <cellStyle name="Currency 5 5 2 9" xfId="4662" xr:uid="{00000000-0005-0000-0000-0000530D0000}"/>
    <cellStyle name="Currency 5 5 2 9 2" xfId="13104" xr:uid="{AE169E78-AD5E-42A8-B73D-CC8D97C1C605}"/>
    <cellStyle name="Currency 5 5 2 9 3" xfId="21541" xr:uid="{FC0B72EA-8B56-48A2-94DB-2ABD742183DC}"/>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2D7AFD8B-EBA4-42A4-A66A-E7CBA9974B51}"/>
    <cellStyle name="Currency 5 5 3 2 2 3" xfId="24099" xr:uid="{EE55345B-4E4D-4CF6-9777-597A233D4F61}"/>
    <cellStyle name="Currency 5 5 3 2 3" xfId="11444" xr:uid="{CF1D17D9-BB26-4E16-AF43-767A7F8EE7A5}"/>
    <cellStyle name="Currency 5 5 3 2 4" xfId="19882" xr:uid="{B0CE44F7-87AF-496A-A445-34A4FE4F2D88}"/>
    <cellStyle name="Currency 5 5 3 3" xfId="5075" xr:uid="{00000000-0005-0000-0000-0000570D0000}"/>
    <cellStyle name="Currency 5 5 3 3 2" xfId="13517" xr:uid="{CADFBC82-CF09-4FA3-A68B-011AB38E8F40}"/>
    <cellStyle name="Currency 5 5 3 3 3" xfId="21954" xr:uid="{32F1B37E-61FB-45E7-9246-8D8C2351E963}"/>
    <cellStyle name="Currency 5 5 3 4" xfId="9299" xr:uid="{3AE329C5-0604-40D6-A7F1-97A8957C1443}"/>
    <cellStyle name="Currency 5 5 3 5" xfId="17737" xr:uid="{2421EC97-F9DB-4C39-93EF-09B47EEC502A}"/>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0BD087CF-F947-48AF-A74D-8BFECB83962E}"/>
    <cellStyle name="Currency 5 5 4 2 2 3" xfId="24512" xr:uid="{DFE40DA2-5CDD-431F-8216-C831886CC4DF}"/>
    <cellStyle name="Currency 5 5 4 2 3" xfId="11857" xr:uid="{60A81496-7A30-41E8-AF34-BE7B40DD96CE}"/>
    <cellStyle name="Currency 5 5 4 2 4" xfId="20295" xr:uid="{4E939D6A-7812-4411-8E6A-D8B9CF9C51E5}"/>
    <cellStyle name="Currency 5 5 4 3" xfId="5488" xr:uid="{00000000-0005-0000-0000-00005B0D0000}"/>
    <cellStyle name="Currency 5 5 4 3 2" xfId="13930" xr:uid="{C90E2C0F-D237-432D-9FB9-89ED772494D6}"/>
    <cellStyle name="Currency 5 5 4 3 3" xfId="22367" xr:uid="{9F33B5D9-3ABD-4001-9954-7119739F31CE}"/>
    <cellStyle name="Currency 5 5 4 4" xfId="9712" xr:uid="{8DBD6AB1-D4BE-4D5F-B024-F0DEEAD212CA}"/>
    <cellStyle name="Currency 5 5 4 5" xfId="18150" xr:uid="{40A63BA9-8440-4169-967C-9483C2EE5703}"/>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FCD8661F-99DD-481C-99D3-EE13EC8DCEEC}"/>
    <cellStyle name="Currency 5 5 5 2 2 3" xfId="24925" xr:uid="{DAC70FA4-8B41-4A9E-9DEA-DD90EB3886F0}"/>
    <cellStyle name="Currency 5 5 5 2 3" xfId="12270" xr:uid="{A50C8A1A-7354-4FA3-B69A-2EF3FAAF1292}"/>
    <cellStyle name="Currency 5 5 5 2 4" xfId="20708" xr:uid="{E1231115-B179-4CE7-9B04-279492DCF7C9}"/>
    <cellStyle name="Currency 5 5 5 3" xfId="5901" xr:uid="{00000000-0005-0000-0000-00005F0D0000}"/>
    <cellStyle name="Currency 5 5 5 3 2" xfId="14343" xr:uid="{8B890625-B413-4F11-99FC-C4388F6B9002}"/>
    <cellStyle name="Currency 5 5 5 3 3" xfId="22780" xr:uid="{F8CBCA1F-6684-4DD1-AD9F-4152A815B40D}"/>
    <cellStyle name="Currency 5 5 5 4" xfId="10125" xr:uid="{6172A404-A4FB-4336-B86F-03FBF7A08424}"/>
    <cellStyle name="Currency 5 5 5 5" xfId="18563" xr:uid="{F78A462E-849A-4E56-B948-4AB89B511B70}"/>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305F6F26-2419-458A-8B9F-788527969487}"/>
    <cellStyle name="Currency 5 5 6 2 2 3" xfId="25338" xr:uid="{B507FEC3-C944-48D1-BEBD-C8545325A5E7}"/>
    <cellStyle name="Currency 5 5 6 2 3" xfId="12683" xr:uid="{EE98FA32-1C0A-4328-8261-C20913BD0CE0}"/>
    <cellStyle name="Currency 5 5 6 2 4" xfId="21121" xr:uid="{F970ABF3-DFD3-4B3D-A696-1282EA86E89C}"/>
    <cellStyle name="Currency 5 5 6 3" xfId="6314" xr:uid="{00000000-0005-0000-0000-0000630D0000}"/>
    <cellStyle name="Currency 5 5 6 3 2" xfId="14756" xr:uid="{3B5467D4-9FE2-4B5A-BE9D-05464DCA7F16}"/>
    <cellStyle name="Currency 5 5 6 3 3" xfId="23193" xr:uid="{66D87754-20A2-4BBE-A203-504515583116}"/>
    <cellStyle name="Currency 5 5 6 4" xfId="10538" xr:uid="{78ACC1C4-D2D5-4C32-8236-314792933C42}"/>
    <cellStyle name="Currency 5 5 6 5" xfId="18976" xr:uid="{C0220EE2-D96C-40C1-95D2-AAC945423DF3}"/>
    <cellStyle name="Currency 5 5 7" xfId="2442" xr:uid="{00000000-0005-0000-0000-0000640D0000}"/>
    <cellStyle name="Currency 5 5 7 2" xfId="6727" xr:uid="{00000000-0005-0000-0000-0000650D0000}"/>
    <cellStyle name="Currency 5 5 7 2 2" xfId="15169" xr:uid="{ED329CA0-0C03-4DA2-9898-A7A3377FA005}"/>
    <cellStyle name="Currency 5 5 7 2 3" xfId="23606" xr:uid="{69BA7FED-50BA-4595-A3CF-2626279D9571}"/>
    <cellStyle name="Currency 5 5 7 3" xfId="10951" xr:uid="{22D642FC-B51F-4945-8510-897B9C81D566}"/>
    <cellStyle name="Currency 5 5 7 4" xfId="19389" xr:uid="{7E0B3D58-21C2-4F70-9380-BB182BEA711C}"/>
    <cellStyle name="Currency 5 5 8" xfId="2739" xr:uid="{00000000-0005-0000-0000-0000660D0000}"/>
    <cellStyle name="Currency 5 5 9" xfId="2820" xr:uid="{00000000-0005-0000-0000-0000670D0000}"/>
    <cellStyle name="Currency 5 5 9 2" xfId="7044" xr:uid="{00000000-0005-0000-0000-0000680D0000}"/>
    <cellStyle name="Currency 5 5 9 2 2" xfId="15486" xr:uid="{315F1820-49A6-4371-B850-B81294A7EDA4}"/>
    <cellStyle name="Currency 5 5 9 2 3" xfId="23923" xr:uid="{B7F604F5-ACEB-4C50-8114-85133ABFD57C}"/>
    <cellStyle name="Currency 5 5 9 3" xfId="11268" xr:uid="{B42BEA09-3EBE-448D-A686-6403F2B5EAD4}"/>
    <cellStyle name="Currency 5 5 9 4" xfId="19706" xr:uid="{3F5F39AD-6F5D-4A51-9269-29F9D4DA4FD1}"/>
    <cellStyle name="Currency 5 6" xfId="221" xr:uid="{00000000-0005-0000-0000-0000690D0000}"/>
    <cellStyle name="Currency 5 6 10" xfId="8887" xr:uid="{B5F6F82A-9DFB-44A1-A85D-E454DC4B5D4A}"/>
    <cellStyle name="Currency 5 6 11" xfId="17325" xr:uid="{A4BD8655-8CDF-4FD3-A209-2BECB2CB8889}"/>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374143E1-83A9-4B43-97C0-9AB8464F8BA9}"/>
    <cellStyle name="Currency 5 6 2 2 2 3" xfId="24101" xr:uid="{E4683EE9-DBE2-4E71-BF22-6EAD22BBCF34}"/>
    <cellStyle name="Currency 5 6 2 2 3" xfId="11446" xr:uid="{209828AF-CA07-42EF-BBF1-AC411047E573}"/>
    <cellStyle name="Currency 5 6 2 2 4" xfId="19884" xr:uid="{FF8819BD-106D-4E5A-B818-C4B436D3808F}"/>
    <cellStyle name="Currency 5 6 2 3" xfId="5077" xr:uid="{00000000-0005-0000-0000-00006D0D0000}"/>
    <cellStyle name="Currency 5 6 2 3 2" xfId="13519" xr:uid="{1EECDE70-6B96-4DC2-B40F-1627001BF40B}"/>
    <cellStyle name="Currency 5 6 2 3 3" xfId="21956" xr:uid="{72CC6111-1C9C-472A-B358-05A9812C9CA1}"/>
    <cellStyle name="Currency 5 6 2 4" xfId="9301" xr:uid="{10971FBA-625E-4CA7-9544-FDA29C2615D2}"/>
    <cellStyle name="Currency 5 6 2 5" xfId="17739" xr:uid="{2BE6E656-9D18-41F4-8AEC-0678C4530BDB}"/>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9494BF1A-6788-45CE-A14B-8AD32B36E2CD}"/>
    <cellStyle name="Currency 5 6 3 2 2 3" xfId="24514" xr:uid="{C524169D-AD1E-4C05-ADAA-94043623F35A}"/>
    <cellStyle name="Currency 5 6 3 2 3" xfId="11859" xr:uid="{14B59C36-7850-4BBD-9933-36B56A38EBE4}"/>
    <cellStyle name="Currency 5 6 3 2 4" xfId="20297" xr:uid="{29415D4C-0D59-4FFD-A118-DD34E0CB850E}"/>
    <cellStyle name="Currency 5 6 3 3" xfId="5490" xr:uid="{00000000-0005-0000-0000-0000710D0000}"/>
    <cellStyle name="Currency 5 6 3 3 2" xfId="13932" xr:uid="{CD4EF1D9-67CD-4BC3-B0AC-18D0FE834704}"/>
    <cellStyle name="Currency 5 6 3 3 3" xfId="22369" xr:uid="{9C6E59D9-A853-4963-B071-C59B19B33532}"/>
    <cellStyle name="Currency 5 6 3 4" xfId="9714" xr:uid="{32D30136-2916-415B-BCB3-9F557042ECBA}"/>
    <cellStyle name="Currency 5 6 3 5" xfId="18152" xr:uid="{43EA5E2E-7CF1-4DF3-A7A1-60A39293BC1D}"/>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B752C879-3257-491C-912C-DB536CA057CD}"/>
    <cellStyle name="Currency 5 6 4 2 2 3" xfId="24927" xr:uid="{87CDFE5E-889F-499B-BC60-348AFE81415A}"/>
    <cellStyle name="Currency 5 6 4 2 3" xfId="12272" xr:uid="{8224BA0B-AF41-46CC-8786-45DD4173885C}"/>
    <cellStyle name="Currency 5 6 4 2 4" xfId="20710" xr:uid="{AEEE56F6-58E7-4912-8881-EA8250423B19}"/>
    <cellStyle name="Currency 5 6 4 3" xfId="5903" xr:uid="{00000000-0005-0000-0000-0000750D0000}"/>
    <cellStyle name="Currency 5 6 4 3 2" xfId="14345" xr:uid="{50B25597-3400-44FC-A7FC-ABF13AF99C05}"/>
    <cellStyle name="Currency 5 6 4 3 3" xfId="22782" xr:uid="{55744727-616F-421A-8158-AFCA46DD144E}"/>
    <cellStyle name="Currency 5 6 4 4" xfId="10127" xr:uid="{A37D6608-08E1-413D-8C56-14139F853422}"/>
    <cellStyle name="Currency 5 6 4 5" xfId="18565" xr:uid="{B39AB56C-0EF9-4A56-B29D-2CC649A4E8A9}"/>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15C058B7-1646-4B4B-9852-872CE6472719}"/>
    <cellStyle name="Currency 5 6 5 2 2 3" xfId="25340" xr:uid="{04D96BEE-C986-4BC2-9947-6C416CFE8AE2}"/>
    <cellStyle name="Currency 5 6 5 2 3" xfId="12685" xr:uid="{5CFEF270-4719-41A0-8A99-349307E77511}"/>
    <cellStyle name="Currency 5 6 5 2 4" xfId="21123" xr:uid="{18FB1E29-33E0-4199-BA90-56E142C8BA30}"/>
    <cellStyle name="Currency 5 6 5 3" xfId="6316" xr:uid="{00000000-0005-0000-0000-0000790D0000}"/>
    <cellStyle name="Currency 5 6 5 3 2" xfId="14758" xr:uid="{8870B598-1B99-472C-AA9F-7E99FEF1D297}"/>
    <cellStyle name="Currency 5 6 5 3 3" xfId="23195" xr:uid="{CBE19870-BC0B-4DD1-BB4A-0A860142CC1F}"/>
    <cellStyle name="Currency 5 6 5 4" xfId="10540" xr:uid="{4593FFFC-8BC9-4C7B-AD31-ED1C62F3B461}"/>
    <cellStyle name="Currency 5 6 5 5" xfId="18978" xr:uid="{30AFE1C5-8263-48F1-81EB-3E6EF2EDF8A7}"/>
    <cellStyle name="Currency 5 6 6" xfId="2444" xr:uid="{00000000-0005-0000-0000-00007A0D0000}"/>
    <cellStyle name="Currency 5 6 6 2" xfId="6729" xr:uid="{00000000-0005-0000-0000-00007B0D0000}"/>
    <cellStyle name="Currency 5 6 6 2 2" xfId="15171" xr:uid="{7346C3E1-33F2-486A-A4FA-0A7E3E815E2F}"/>
    <cellStyle name="Currency 5 6 6 2 3" xfId="23608" xr:uid="{5CD32C45-9257-4676-9371-55D7973CDE53}"/>
    <cellStyle name="Currency 5 6 6 3" xfId="10953" xr:uid="{853C83D4-DBF8-496D-A87D-19CB4882FAB3}"/>
    <cellStyle name="Currency 5 6 6 4" xfId="19391" xr:uid="{8DBE4823-F4B5-487F-B666-8FBB29D1770D}"/>
    <cellStyle name="Currency 5 6 7" xfId="2741" xr:uid="{00000000-0005-0000-0000-00007C0D0000}"/>
    <cellStyle name="Currency 5 6 8" xfId="2822" xr:uid="{00000000-0005-0000-0000-00007D0D0000}"/>
    <cellStyle name="Currency 5 6 8 2" xfId="7046" xr:uid="{00000000-0005-0000-0000-00007E0D0000}"/>
    <cellStyle name="Currency 5 6 8 2 2" xfId="15488" xr:uid="{9EBDC83C-B6AA-498F-9208-664B6B1A9A20}"/>
    <cellStyle name="Currency 5 6 8 2 3" xfId="23925" xr:uid="{CBE74466-090E-42D6-A89E-5A7A3EE6DDBF}"/>
    <cellStyle name="Currency 5 6 8 3" xfId="11270" xr:uid="{68A2728E-0EB9-45B6-9C02-E4399D220B5E}"/>
    <cellStyle name="Currency 5 6 8 4" xfId="19708" xr:uid="{F100E8E8-6E7C-4B88-AE10-E70D80F39922}"/>
    <cellStyle name="Currency 5 6 9" xfId="4663" xr:uid="{00000000-0005-0000-0000-00007F0D0000}"/>
    <cellStyle name="Currency 5 6 9 2" xfId="13105" xr:uid="{7E7A55ED-3B8B-4535-9D30-E0B7B06CBB1C}"/>
    <cellStyle name="Currency 5 6 9 3" xfId="21542" xr:uid="{834A2FA5-4974-49BF-B2A0-BF52ECE060BE}"/>
    <cellStyle name="Currency 5 7" xfId="222" xr:uid="{00000000-0005-0000-0000-0000800D0000}"/>
    <cellStyle name="Currency 5 7 10" xfId="8888" xr:uid="{470D3E69-E74B-492F-88CE-3C443D7B98A7}"/>
    <cellStyle name="Currency 5 7 11" xfId="17326" xr:uid="{FAE9B83D-C677-4148-A1DA-521DBBDD20AD}"/>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902DBA1F-33E0-43EF-90B1-DFA8E3792CD7}"/>
    <cellStyle name="Currency 5 7 2 2 2 3" xfId="24102" xr:uid="{03110C7F-1C68-4334-810D-4BEEC003B439}"/>
    <cellStyle name="Currency 5 7 2 2 3" xfId="11447" xr:uid="{0015AF01-DADD-43F9-94EA-23CF07A7BE63}"/>
    <cellStyle name="Currency 5 7 2 2 4" xfId="19885" xr:uid="{C3E1D976-FCDF-4B37-B393-D23FFCB32E2C}"/>
    <cellStyle name="Currency 5 7 2 3" xfId="5078" xr:uid="{00000000-0005-0000-0000-0000840D0000}"/>
    <cellStyle name="Currency 5 7 2 3 2" xfId="13520" xr:uid="{4C4525FB-BDB4-4164-B23A-988CCAB8D6FB}"/>
    <cellStyle name="Currency 5 7 2 3 3" xfId="21957" xr:uid="{A82EECD2-7604-4ACA-8351-DDA51661BCA7}"/>
    <cellStyle name="Currency 5 7 2 4" xfId="9302" xr:uid="{16480D83-8A59-420D-B2AC-3A52F9A5EE5C}"/>
    <cellStyle name="Currency 5 7 2 5" xfId="17740" xr:uid="{3B443E79-6300-486D-B569-DECF92E8B9F4}"/>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C9E5C19F-6330-41C4-A1D4-0AC493749A0A}"/>
    <cellStyle name="Currency 5 7 3 2 2 3" xfId="24515" xr:uid="{ACC4E98B-8348-41C8-9B97-13C8BA9C488E}"/>
    <cellStyle name="Currency 5 7 3 2 3" xfId="11860" xr:uid="{1D6A2643-ECC3-4E65-BFCF-6C14EAB3D5E3}"/>
    <cellStyle name="Currency 5 7 3 2 4" xfId="20298" xr:uid="{9327EB32-0F33-4A39-BC96-95E2F7276B10}"/>
    <cellStyle name="Currency 5 7 3 3" xfId="5491" xr:uid="{00000000-0005-0000-0000-0000880D0000}"/>
    <cellStyle name="Currency 5 7 3 3 2" xfId="13933" xr:uid="{15C082C7-8FFD-4D82-AAF9-25B6FC4F52C6}"/>
    <cellStyle name="Currency 5 7 3 3 3" xfId="22370" xr:uid="{D33E3BE3-523B-47D6-84B2-99F46FDC7F82}"/>
    <cellStyle name="Currency 5 7 3 4" xfId="9715" xr:uid="{F489637F-FE97-4437-8CED-1D92E4CE38BF}"/>
    <cellStyle name="Currency 5 7 3 5" xfId="18153" xr:uid="{95145772-5BF3-4559-8BE8-91E2B4EDD509}"/>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7A259A52-2256-404D-8167-2BF1126FFC78}"/>
    <cellStyle name="Currency 5 7 4 2 2 3" xfId="24928" xr:uid="{EDFC9A5D-6F21-4C14-B862-9AE9E93FB11F}"/>
    <cellStyle name="Currency 5 7 4 2 3" xfId="12273" xr:uid="{7FE4DA4C-C3BB-4956-AE77-550E1441BA4E}"/>
    <cellStyle name="Currency 5 7 4 2 4" xfId="20711" xr:uid="{70378B08-8CAF-4746-90E1-08ADBEED6CE4}"/>
    <cellStyle name="Currency 5 7 4 3" xfId="5904" xr:uid="{00000000-0005-0000-0000-00008C0D0000}"/>
    <cellStyle name="Currency 5 7 4 3 2" xfId="14346" xr:uid="{28E842B4-396C-41DC-9AB1-D2AFEA382897}"/>
    <cellStyle name="Currency 5 7 4 3 3" xfId="22783" xr:uid="{FA7DFFB7-C99E-45CB-96DD-B5213CD42555}"/>
    <cellStyle name="Currency 5 7 4 4" xfId="10128" xr:uid="{E2887357-1BDB-4A06-991F-27A7D08B91BD}"/>
    <cellStyle name="Currency 5 7 4 5" xfId="18566" xr:uid="{7C1768B2-0BF5-4BEE-B70D-247C51B8F3A3}"/>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0223FB18-EDD7-41D1-A939-E233CBC2C650}"/>
    <cellStyle name="Currency 5 7 5 2 2 3" xfId="25341" xr:uid="{A9469E89-C8FF-4480-BB89-D415A64C85E7}"/>
    <cellStyle name="Currency 5 7 5 2 3" xfId="12686" xr:uid="{8586C3CD-ACC0-4E2B-A477-AE984CD0FE55}"/>
    <cellStyle name="Currency 5 7 5 2 4" xfId="21124" xr:uid="{A80AA7FE-1360-4B47-953E-4B2B0C5B3FEF}"/>
    <cellStyle name="Currency 5 7 5 3" xfId="6317" xr:uid="{00000000-0005-0000-0000-0000900D0000}"/>
    <cellStyle name="Currency 5 7 5 3 2" xfId="14759" xr:uid="{016A6F6C-A7EE-41FF-BF21-19D62A50DC57}"/>
    <cellStyle name="Currency 5 7 5 3 3" xfId="23196" xr:uid="{B42E0262-94D3-47C0-BD23-A8A3642D794F}"/>
    <cellStyle name="Currency 5 7 5 4" xfId="10541" xr:uid="{F314DBBD-1C62-4158-91E8-E6CFD5E4C88C}"/>
    <cellStyle name="Currency 5 7 5 5" xfId="18979" xr:uid="{8672C0FD-3A86-4947-BAA3-302EABD63B23}"/>
    <cellStyle name="Currency 5 7 6" xfId="2445" xr:uid="{00000000-0005-0000-0000-0000910D0000}"/>
    <cellStyle name="Currency 5 7 6 2" xfId="6730" xr:uid="{00000000-0005-0000-0000-0000920D0000}"/>
    <cellStyle name="Currency 5 7 6 2 2" xfId="15172" xr:uid="{F003AE97-9143-4CDB-B904-3FAD4970EF67}"/>
    <cellStyle name="Currency 5 7 6 2 3" xfId="23609" xr:uid="{0FDCCCBB-57D2-45F6-8C4E-CF1ABD5AC304}"/>
    <cellStyle name="Currency 5 7 6 3" xfId="10954" xr:uid="{76DC8538-327E-4AF9-99C2-4C1AF7395ED4}"/>
    <cellStyle name="Currency 5 7 6 4" xfId="19392" xr:uid="{467516FF-9D2D-428F-AF71-77CEE50A9AD6}"/>
    <cellStyle name="Currency 5 7 7" xfId="2742" xr:uid="{00000000-0005-0000-0000-0000930D0000}"/>
    <cellStyle name="Currency 5 7 8" xfId="2823" xr:uid="{00000000-0005-0000-0000-0000940D0000}"/>
    <cellStyle name="Currency 5 7 8 2" xfId="7047" xr:uid="{00000000-0005-0000-0000-0000950D0000}"/>
    <cellStyle name="Currency 5 7 8 2 2" xfId="15489" xr:uid="{7EE662B2-0C03-43DC-BC30-E87E0DDD0C04}"/>
    <cellStyle name="Currency 5 7 8 2 3" xfId="23926" xr:uid="{A11B4CDE-F918-4FF1-83E0-D7A413CBD561}"/>
    <cellStyle name="Currency 5 7 8 3" xfId="11271" xr:uid="{DB4506BF-AA85-4B9E-B4BC-3B866455E438}"/>
    <cellStyle name="Currency 5 7 8 4" xfId="19709" xr:uid="{3A00AFA2-CAFC-4ABA-A094-961B7136FDD2}"/>
    <cellStyle name="Currency 5 7 9" xfId="4664" xr:uid="{00000000-0005-0000-0000-0000960D0000}"/>
    <cellStyle name="Currency 5 7 9 2" xfId="13106" xr:uid="{1FBD9536-1FF5-44A1-A244-7D150CF67386}"/>
    <cellStyle name="Currency 5 7 9 3" xfId="21543" xr:uid="{138884FA-25EC-4FAF-9FA9-D64250968486}"/>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3CC8309A-B269-44AC-9157-CF014CEA1BBA}"/>
    <cellStyle name="Normal 12 10 2 3" xfId="23610" xr:uid="{3A3E11E3-697A-4647-93C1-714AAF7B383E}"/>
    <cellStyle name="Normal 12 10 3" xfId="10955" xr:uid="{B06A2F2A-25F1-4448-B5CB-20387313D8DC}"/>
    <cellStyle name="Normal 12 10 4" xfId="19393" xr:uid="{9D0CA4F5-8477-443C-9156-D6CD024020C5}"/>
    <cellStyle name="Normal 12 11" xfId="4665" xr:uid="{00000000-0005-0000-0000-0000CC0D0000}"/>
    <cellStyle name="Normal 12 11 2" xfId="13107" xr:uid="{56B3E28A-39C1-496C-8DC3-4BFD60A2B529}"/>
    <cellStyle name="Normal 12 11 3" xfId="21544" xr:uid="{3D130074-A995-4578-A541-684604F4EB06}"/>
    <cellStyle name="Normal 12 12" xfId="8889" xr:uid="{4829511E-1A15-4A3B-AE5E-AB319EC3C2AE}"/>
    <cellStyle name="Normal 12 13" xfId="17327" xr:uid="{24E78E43-F3F2-4D7A-905D-ACA4F9086DA2}"/>
    <cellStyle name="Normal 12 2" xfId="260" xr:uid="{00000000-0005-0000-0000-0000CD0D0000}"/>
    <cellStyle name="Normal 12 2 10" xfId="8890" xr:uid="{14533A08-A845-4623-B9D5-9A5BC728F086}"/>
    <cellStyle name="Normal 12 2 11" xfId="17328" xr:uid="{3CCA5645-D71E-4835-9296-32C95C684F35}"/>
    <cellStyle name="Normal 12 2 2" xfId="261" xr:uid="{00000000-0005-0000-0000-0000CE0D0000}"/>
    <cellStyle name="Normal 12 2 2 10" xfId="17329" xr:uid="{E4F99B3D-D00B-4BDB-83B1-7E612B802182}"/>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A188138A-4C05-4E0F-8154-6BCD6C9F5B93}"/>
    <cellStyle name="Normal 12 2 2 2 2 2 2 3" xfId="24106" xr:uid="{BC2E62D1-58B1-4963-93E6-7BBF8D5867EE}"/>
    <cellStyle name="Normal 12 2 2 2 2 2 3" xfId="11451" xr:uid="{DBF6A1A0-5C48-4CE9-88AB-70BB10F38AB3}"/>
    <cellStyle name="Normal 12 2 2 2 2 2 4" xfId="19889" xr:uid="{BB132036-D1CB-4CA1-8519-6B9788EC6B59}"/>
    <cellStyle name="Normal 12 2 2 2 2 3" xfId="5082" xr:uid="{00000000-0005-0000-0000-0000D30D0000}"/>
    <cellStyle name="Normal 12 2 2 2 2 3 2" xfId="13524" xr:uid="{D5C3343B-8FF0-414A-9574-65E248F718DD}"/>
    <cellStyle name="Normal 12 2 2 2 2 3 3" xfId="21961" xr:uid="{C4FFB9A6-740A-488D-82FA-D6D41524CACC}"/>
    <cellStyle name="Normal 12 2 2 2 2 4" xfId="9306" xr:uid="{37CB1AB9-B9C2-454F-B6C0-458680BCC258}"/>
    <cellStyle name="Normal 12 2 2 2 2 5" xfId="17744" xr:uid="{7F5A9890-29B3-44B3-A52F-5AD6F64BC6D1}"/>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1810CF7F-B64C-4EFE-9FE1-C46E07D40D10}"/>
    <cellStyle name="Normal 12 2 2 2 3 2 2 3" xfId="24519" xr:uid="{6ECDCC6F-7A4D-4BB3-8B40-8828A81F339C}"/>
    <cellStyle name="Normal 12 2 2 2 3 2 3" xfId="11864" xr:uid="{FE678D96-562E-4C0B-88E0-76B9A53E863D}"/>
    <cellStyle name="Normal 12 2 2 2 3 2 4" xfId="20302" xr:uid="{B500CD53-97D0-47FE-817A-2A951E6A8714}"/>
    <cellStyle name="Normal 12 2 2 2 3 3" xfId="5495" xr:uid="{00000000-0005-0000-0000-0000D70D0000}"/>
    <cellStyle name="Normal 12 2 2 2 3 3 2" xfId="13937" xr:uid="{F5EF7699-B7E8-4DD0-B2CB-1B1ED8D13039}"/>
    <cellStyle name="Normal 12 2 2 2 3 3 3" xfId="22374" xr:uid="{59EE66A0-823E-4D79-B2DF-A15471B600E7}"/>
    <cellStyle name="Normal 12 2 2 2 3 4" xfId="9719" xr:uid="{000D62E0-4A7E-4C97-AAF0-8C1F57E4974C}"/>
    <cellStyle name="Normal 12 2 2 2 3 5" xfId="18157" xr:uid="{9513DBB7-FE08-4593-9220-E231D87D5B8B}"/>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32DEC649-A679-4728-9A0F-911AC0C2C6AF}"/>
    <cellStyle name="Normal 12 2 2 2 4 2 2 3" xfId="24932" xr:uid="{78EB55AC-4D08-42C2-85D9-A360EAC5757E}"/>
    <cellStyle name="Normal 12 2 2 2 4 2 3" xfId="12277" xr:uid="{A1778FE8-028A-4280-9A6F-2DDAA97F3CAD}"/>
    <cellStyle name="Normal 12 2 2 2 4 2 4" xfId="20715" xr:uid="{241BAE34-2B6C-4CE8-BDC2-01882EA30CE2}"/>
    <cellStyle name="Normal 12 2 2 2 4 3" xfId="5908" xr:uid="{00000000-0005-0000-0000-0000DB0D0000}"/>
    <cellStyle name="Normal 12 2 2 2 4 3 2" xfId="14350" xr:uid="{8231768B-25CF-4769-96A3-BCD3DE940536}"/>
    <cellStyle name="Normal 12 2 2 2 4 3 3" xfId="22787" xr:uid="{9B67FDFC-5429-46AA-A2D1-C4CBA67F0E38}"/>
    <cellStyle name="Normal 12 2 2 2 4 4" xfId="10132" xr:uid="{392AC309-06A1-445E-8962-83A7732A9259}"/>
    <cellStyle name="Normal 12 2 2 2 4 5" xfId="18570" xr:uid="{DCAC7995-5281-4DD6-B603-6A50A1C3E391}"/>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7D2317BB-A126-4749-ADC7-6AEBAA95EBED}"/>
    <cellStyle name="Normal 12 2 2 2 5 2 2 3" xfId="25345" xr:uid="{CC67E634-106D-4967-99AE-439D994DAE0C}"/>
    <cellStyle name="Normal 12 2 2 2 5 2 3" xfId="12690" xr:uid="{6A180A18-37D8-44B2-8998-48A9A04CE725}"/>
    <cellStyle name="Normal 12 2 2 2 5 2 4" xfId="21128" xr:uid="{1B9F4DCA-09DE-4D08-AAA5-A015CBDD4D4E}"/>
    <cellStyle name="Normal 12 2 2 2 5 3" xfId="6321" xr:uid="{00000000-0005-0000-0000-0000DF0D0000}"/>
    <cellStyle name="Normal 12 2 2 2 5 3 2" xfId="14763" xr:uid="{7AB359B4-294C-4B10-A8DD-1A2E2AC8C521}"/>
    <cellStyle name="Normal 12 2 2 2 5 3 3" xfId="23200" xr:uid="{96FC08FF-1DD7-4C2E-8B58-86CD9661775D}"/>
    <cellStyle name="Normal 12 2 2 2 5 4" xfId="10545" xr:uid="{07130E52-8C3B-465A-82BF-F36AA143EE5C}"/>
    <cellStyle name="Normal 12 2 2 2 5 5" xfId="18983" xr:uid="{43FC8909-39DA-48A2-A8B9-44A58A5CC855}"/>
    <cellStyle name="Normal 12 2 2 2 6" xfId="2450" xr:uid="{00000000-0005-0000-0000-0000E00D0000}"/>
    <cellStyle name="Normal 12 2 2 2 6 2" xfId="6734" xr:uid="{00000000-0005-0000-0000-0000E10D0000}"/>
    <cellStyle name="Normal 12 2 2 2 6 2 2" xfId="15176" xr:uid="{DB2940A4-0B80-430A-A527-EFE247B5F814}"/>
    <cellStyle name="Normal 12 2 2 2 6 2 3" xfId="23613" xr:uid="{CA4395D8-74C4-4635-AD17-525F10DF73D7}"/>
    <cellStyle name="Normal 12 2 2 2 6 3" xfId="10958" xr:uid="{0E1EF70C-6B21-4BD5-B58B-4259E593C694}"/>
    <cellStyle name="Normal 12 2 2 2 6 4" xfId="19396" xr:uid="{1819F0D6-3719-44F3-823E-CE2215D85402}"/>
    <cellStyle name="Normal 12 2 2 2 7" xfId="4668" xr:uid="{00000000-0005-0000-0000-0000E20D0000}"/>
    <cellStyle name="Normal 12 2 2 2 7 2" xfId="13110" xr:uid="{BDC94092-9BA8-4021-B74E-66ADE5038321}"/>
    <cellStyle name="Normal 12 2 2 2 7 3" xfId="21547" xr:uid="{DD9ACF1D-BD77-41B3-92F5-4A67C517A689}"/>
    <cellStyle name="Normal 12 2 2 2 8" xfId="8892" xr:uid="{D5889E60-E6CC-4939-B490-175AC7D729C8}"/>
    <cellStyle name="Normal 12 2 2 2 9" xfId="17330" xr:uid="{760A1FF4-0B0D-481C-B02B-A7EE7E0A7052}"/>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EF749C4F-005D-402E-A4B3-977B32E50FC5}"/>
    <cellStyle name="Normal 12 2 2 3 2 2 3" xfId="24105" xr:uid="{BB34B083-D279-4065-B702-A7850417032B}"/>
    <cellStyle name="Normal 12 2 2 3 2 3" xfId="11450" xr:uid="{2C0446EA-842E-4729-9E7F-5DB5279C4EE7}"/>
    <cellStyle name="Normal 12 2 2 3 2 4" xfId="19888" xr:uid="{A7092C97-E099-4A0F-831E-DCA4D035D78E}"/>
    <cellStyle name="Normal 12 2 2 3 3" xfId="5081" xr:uid="{00000000-0005-0000-0000-0000E60D0000}"/>
    <cellStyle name="Normal 12 2 2 3 3 2" xfId="13523" xr:uid="{6D6B9E85-29EB-4BE7-94DD-2D26344E3DE8}"/>
    <cellStyle name="Normal 12 2 2 3 3 3" xfId="21960" xr:uid="{F994B114-82B3-4786-A428-57D43033E839}"/>
    <cellStyle name="Normal 12 2 2 3 4" xfId="9305" xr:uid="{27DE43EC-3896-4C52-9BA3-812BE636A6FE}"/>
    <cellStyle name="Normal 12 2 2 3 5" xfId="17743" xr:uid="{EB31F1CA-1552-4CA9-8A49-99B016EAA68E}"/>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89ACBBDD-1F2A-439E-B53A-A80DD1F484DF}"/>
    <cellStyle name="Normal 12 2 2 4 2 2 3" xfId="24518" xr:uid="{D32F2B3D-15EE-4B7C-B1C1-F3D116EF88CE}"/>
    <cellStyle name="Normal 12 2 2 4 2 3" xfId="11863" xr:uid="{E015836A-C905-4ED6-BA95-EDE8AEEE4BB6}"/>
    <cellStyle name="Normal 12 2 2 4 2 4" xfId="20301" xr:uid="{670DAC6C-5A1C-4E12-B580-6696A2F8495B}"/>
    <cellStyle name="Normal 12 2 2 4 3" xfId="5494" xr:uid="{00000000-0005-0000-0000-0000EA0D0000}"/>
    <cellStyle name="Normal 12 2 2 4 3 2" xfId="13936" xr:uid="{A55DCD55-5AC8-470C-91B9-A9C4495202C7}"/>
    <cellStyle name="Normal 12 2 2 4 3 3" xfId="22373" xr:uid="{33CEACBB-A70D-480F-81E0-C25416F181E7}"/>
    <cellStyle name="Normal 12 2 2 4 4" xfId="9718" xr:uid="{8C0C3B26-FC58-4E3E-9214-0288CFEB7697}"/>
    <cellStyle name="Normal 12 2 2 4 5" xfId="18156" xr:uid="{62056464-1002-4859-9B00-5C94C63A6AB6}"/>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BDFE41F2-E590-461A-9F70-F0DF775163C6}"/>
    <cellStyle name="Normal 12 2 2 5 2 2 3" xfId="24931" xr:uid="{8930FF00-3CEA-4B70-BC29-F68EE7D9948C}"/>
    <cellStyle name="Normal 12 2 2 5 2 3" xfId="12276" xr:uid="{676DF523-A038-4C9F-A1F0-5795DFEC7A1D}"/>
    <cellStyle name="Normal 12 2 2 5 2 4" xfId="20714" xr:uid="{CF451685-A2F2-4BEC-8C19-82C5147EDAE4}"/>
    <cellStyle name="Normal 12 2 2 5 3" xfId="5907" xr:uid="{00000000-0005-0000-0000-0000EE0D0000}"/>
    <cellStyle name="Normal 12 2 2 5 3 2" xfId="14349" xr:uid="{DA056B5F-126E-4716-8C09-C786C4DCC750}"/>
    <cellStyle name="Normal 12 2 2 5 3 3" xfId="22786" xr:uid="{D6A3A4CB-D9D4-4416-8A38-D5E82DAA8FBC}"/>
    <cellStyle name="Normal 12 2 2 5 4" xfId="10131" xr:uid="{2267EB78-E49C-4983-9081-D6B29C8CED74}"/>
    <cellStyle name="Normal 12 2 2 5 5" xfId="18569" xr:uid="{506CA176-AD54-45F2-897A-AFF2109AB7FF}"/>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94D2A094-B868-4392-AE07-FA99D46780F3}"/>
    <cellStyle name="Normal 12 2 2 6 2 2 3" xfId="25344" xr:uid="{5B26A0F8-E6B8-4907-81A6-39668A551DFB}"/>
    <cellStyle name="Normal 12 2 2 6 2 3" xfId="12689" xr:uid="{A4AE8E70-0967-4E1F-8D26-73D78427DA69}"/>
    <cellStyle name="Normal 12 2 2 6 2 4" xfId="21127" xr:uid="{16A74C22-E174-4D00-BE9D-B04ED6DCE15B}"/>
    <cellStyle name="Normal 12 2 2 6 3" xfId="6320" xr:uid="{00000000-0005-0000-0000-0000F20D0000}"/>
    <cellStyle name="Normal 12 2 2 6 3 2" xfId="14762" xr:uid="{F9E2D358-5F00-44F1-910D-EB2C1B46527D}"/>
    <cellStyle name="Normal 12 2 2 6 3 3" xfId="23199" xr:uid="{AADF465D-70B3-4A70-9A59-2E1F028D8A22}"/>
    <cellStyle name="Normal 12 2 2 6 4" xfId="10544" xr:uid="{1F19AE82-B50C-4F6C-AAC9-C5D063311410}"/>
    <cellStyle name="Normal 12 2 2 6 5" xfId="18982" xr:uid="{851F7E53-2B78-4F06-8D77-53950369A193}"/>
    <cellStyle name="Normal 12 2 2 7" xfId="2449" xr:uid="{00000000-0005-0000-0000-0000F30D0000}"/>
    <cellStyle name="Normal 12 2 2 7 2" xfId="6733" xr:uid="{00000000-0005-0000-0000-0000F40D0000}"/>
    <cellStyle name="Normal 12 2 2 7 2 2" xfId="15175" xr:uid="{1C0809E7-5285-483D-BBA0-B4AB9C2BCBC9}"/>
    <cellStyle name="Normal 12 2 2 7 2 3" xfId="23612" xr:uid="{4DF8DA0B-238E-4E3C-8DA3-C702E2663306}"/>
    <cellStyle name="Normal 12 2 2 7 3" xfId="10957" xr:uid="{19480A8D-7792-4F19-B8D1-E7BAA9C821C4}"/>
    <cellStyle name="Normal 12 2 2 7 4" xfId="19395" xr:uid="{36BE85EC-9F4E-4EB5-A30E-5C911E9A7716}"/>
    <cellStyle name="Normal 12 2 2 8" xfId="4667" xr:uid="{00000000-0005-0000-0000-0000F50D0000}"/>
    <cellStyle name="Normal 12 2 2 8 2" xfId="13109" xr:uid="{29BB4B4D-BF58-45E7-BDBE-15B85EF88BCB}"/>
    <cellStyle name="Normal 12 2 2 8 3" xfId="21546" xr:uid="{FAAC9F05-D506-4C2C-A9BD-FD200A11B5BD}"/>
    <cellStyle name="Normal 12 2 2 9" xfId="8891" xr:uid="{71C4B27E-4056-48BB-9746-193CFA362ACB}"/>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7E817DEE-1153-4F63-99BC-EC4BF5F4C283}"/>
    <cellStyle name="Normal 12 2 3 2 2 2 3" xfId="24107" xr:uid="{CC433F35-75A3-48E0-9B9C-0C89945AFE24}"/>
    <cellStyle name="Normal 12 2 3 2 2 3" xfId="11452" xr:uid="{F926D17A-8DC3-4B91-BB36-05094A13907F}"/>
    <cellStyle name="Normal 12 2 3 2 2 4" xfId="19890" xr:uid="{BE6240CB-332A-41D3-97CF-AB28FFA2C28C}"/>
    <cellStyle name="Normal 12 2 3 2 3" xfId="5083" xr:uid="{00000000-0005-0000-0000-0000FA0D0000}"/>
    <cellStyle name="Normal 12 2 3 2 3 2" xfId="13525" xr:uid="{C781FB60-DDC5-45D2-A52C-082E671CEAC9}"/>
    <cellStyle name="Normal 12 2 3 2 3 3" xfId="21962" xr:uid="{471914E5-1D4B-4D17-89DE-524D7B7CE845}"/>
    <cellStyle name="Normal 12 2 3 2 4" xfId="9307" xr:uid="{41EA581E-F214-4481-9774-30FE28029156}"/>
    <cellStyle name="Normal 12 2 3 2 5" xfId="17745" xr:uid="{CD7BBC49-EC9D-43C6-A3CB-E09CEF2FAA4F}"/>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DEEC175D-592E-4B48-B517-450B9D33BE04}"/>
    <cellStyle name="Normal 12 2 3 3 2 2 3" xfId="24520" xr:uid="{16261991-9D12-477C-9561-0620055845C4}"/>
    <cellStyle name="Normal 12 2 3 3 2 3" xfId="11865" xr:uid="{94C8DC22-1FAB-4512-954B-94BCDF1C06B8}"/>
    <cellStyle name="Normal 12 2 3 3 2 4" xfId="20303" xr:uid="{0C4735D4-945F-4B17-916F-CDB8325E0906}"/>
    <cellStyle name="Normal 12 2 3 3 3" xfId="5496" xr:uid="{00000000-0005-0000-0000-0000FE0D0000}"/>
    <cellStyle name="Normal 12 2 3 3 3 2" xfId="13938" xr:uid="{A1DB02AC-E36B-4551-AD33-0BF4B4DD1DF8}"/>
    <cellStyle name="Normal 12 2 3 3 3 3" xfId="22375" xr:uid="{E148B51F-63A2-4CB1-882F-26DE93B7273A}"/>
    <cellStyle name="Normal 12 2 3 3 4" xfId="9720" xr:uid="{FC5D0C34-5A2C-44BC-B6AD-D32A2C6B717C}"/>
    <cellStyle name="Normal 12 2 3 3 5" xfId="18158" xr:uid="{2F5E6AD5-42B3-438F-9470-56E47CEC2558}"/>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F471D8B7-C6A8-47D9-BCBE-5C573AC44CF7}"/>
    <cellStyle name="Normal 12 2 3 4 2 2 3" xfId="24933" xr:uid="{9CF7E778-2337-47DD-A4AE-1AAEA53C71AF}"/>
    <cellStyle name="Normal 12 2 3 4 2 3" xfId="12278" xr:uid="{4E76979B-8D62-4815-9D01-40E3FFAEDD2E}"/>
    <cellStyle name="Normal 12 2 3 4 2 4" xfId="20716" xr:uid="{7D97BC82-E572-4ED5-9483-1685A00B4A2B}"/>
    <cellStyle name="Normal 12 2 3 4 3" xfId="5909" xr:uid="{00000000-0005-0000-0000-0000020E0000}"/>
    <cellStyle name="Normal 12 2 3 4 3 2" xfId="14351" xr:uid="{11023819-E79C-4D84-9A8E-C5C641F86097}"/>
    <cellStyle name="Normal 12 2 3 4 3 3" xfId="22788" xr:uid="{404FED91-5C8F-4CFC-B384-A9AB8089316A}"/>
    <cellStyle name="Normal 12 2 3 4 4" xfId="10133" xr:uid="{AEE8C032-BAB1-446B-AE92-7A07D05012D7}"/>
    <cellStyle name="Normal 12 2 3 4 5" xfId="18571" xr:uid="{B6A5E82D-8040-4D96-AD7E-75FA98CA6A83}"/>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14851969-348A-4D91-BB0E-699428BA6884}"/>
    <cellStyle name="Normal 12 2 3 5 2 2 3" xfId="25346" xr:uid="{6B2E51B7-3649-4FB8-A8BF-1D2541A18067}"/>
    <cellStyle name="Normal 12 2 3 5 2 3" xfId="12691" xr:uid="{A1B2620D-9528-4444-B5BD-2F46B5D81DB5}"/>
    <cellStyle name="Normal 12 2 3 5 2 4" xfId="21129" xr:uid="{A96B6C89-D8F4-470D-985F-DBFC8E295BCA}"/>
    <cellStyle name="Normal 12 2 3 5 3" xfId="6322" xr:uid="{00000000-0005-0000-0000-0000060E0000}"/>
    <cellStyle name="Normal 12 2 3 5 3 2" xfId="14764" xr:uid="{B15AA0ED-1E0D-462B-80EB-55F004A453BF}"/>
    <cellStyle name="Normal 12 2 3 5 3 3" xfId="23201" xr:uid="{FC5E11C6-E178-42FB-BB24-157063D51C08}"/>
    <cellStyle name="Normal 12 2 3 5 4" xfId="10546" xr:uid="{B4A44596-9C3B-4900-BD78-84A35EDA162C}"/>
    <cellStyle name="Normal 12 2 3 5 5" xfId="18984" xr:uid="{8E7D18D9-35CF-4B34-9250-D13121DBB244}"/>
    <cellStyle name="Normal 12 2 3 6" xfId="2451" xr:uid="{00000000-0005-0000-0000-0000070E0000}"/>
    <cellStyle name="Normal 12 2 3 6 2" xfId="6735" xr:uid="{00000000-0005-0000-0000-0000080E0000}"/>
    <cellStyle name="Normal 12 2 3 6 2 2" xfId="15177" xr:uid="{6099C850-E688-4815-BA21-EB13DABC2941}"/>
    <cellStyle name="Normal 12 2 3 6 2 3" xfId="23614" xr:uid="{199C733D-A8A8-4D6A-9B6F-657621AC519E}"/>
    <cellStyle name="Normal 12 2 3 6 3" xfId="10959" xr:uid="{8280D9D9-3D9F-4155-AADE-02586EADAF3A}"/>
    <cellStyle name="Normal 12 2 3 6 4" xfId="19397" xr:uid="{BD5FC72F-746C-40EC-A68E-823A2D0A4026}"/>
    <cellStyle name="Normal 12 2 3 7" xfId="4669" xr:uid="{00000000-0005-0000-0000-0000090E0000}"/>
    <cellStyle name="Normal 12 2 3 7 2" xfId="13111" xr:uid="{7EBBE157-EEED-4B5F-B00E-00AFB214C0BB}"/>
    <cellStyle name="Normal 12 2 3 7 3" xfId="21548" xr:uid="{27D910C6-0C1F-4F6B-91F1-D51842783C86}"/>
    <cellStyle name="Normal 12 2 3 8" xfId="8893" xr:uid="{ED135224-26C8-44D7-8222-0DB76B100B47}"/>
    <cellStyle name="Normal 12 2 3 9" xfId="17331" xr:uid="{A08C0719-78F8-42D1-AA8F-9402028EB4E7}"/>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3BE39F4A-9529-414B-9DB9-EE963D4A06B7}"/>
    <cellStyle name="Normal 12 2 4 2 2 3" xfId="24104" xr:uid="{9CFD9671-CE9E-4124-9291-285E7F47B992}"/>
    <cellStyle name="Normal 12 2 4 2 3" xfId="11449" xr:uid="{D004AD87-C317-4B57-9C96-DBE20366E9B9}"/>
    <cellStyle name="Normal 12 2 4 2 4" xfId="19887" xr:uid="{FE612110-0070-4B34-A966-03A25F89436C}"/>
    <cellStyle name="Normal 12 2 4 3" xfId="5080" xr:uid="{00000000-0005-0000-0000-00000D0E0000}"/>
    <cellStyle name="Normal 12 2 4 3 2" xfId="13522" xr:uid="{C3839DF3-7BBE-449B-9959-77683F483A57}"/>
    <cellStyle name="Normal 12 2 4 3 3" xfId="21959" xr:uid="{72540CC6-549C-4D65-BEFC-4A356AB52857}"/>
    <cellStyle name="Normal 12 2 4 4" xfId="9304" xr:uid="{9465FA59-F69B-43A2-9F0E-EC56B0D7C42F}"/>
    <cellStyle name="Normal 12 2 4 5" xfId="17742" xr:uid="{843400E2-4126-426F-B63A-BD57CD03FF89}"/>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032745BC-410A-4AFB-B296-CAB60282BFB8}"/>
    <cellStyle name="Normal 12 2 5 2 2 3" xfId="24517" xr:uid="{91AB7E8F-E82C-4C06-B5F8-C35FE10A24DB}"/>
    <cellStyle name="Normal 12 2 5 2 3" xfId="11862" xr:uid="{E7BADD9F-8E32-4949-9B45-FCE1C7C8BD37}"/>
    <cellStyle name="Normal 12 2 5 2 4" xfId="20300" xr:uid="{EBFEA60D-4867-4FCC-994C-5D85C394A9FD}"/>
    <cellStyle name="Normal 12 2 5 3" xfId="5493" xr:uid="{00000000-0005-0000-0000-0000110E0000}"/>
    <cellStyle name="Normal 12 2 5 3 2" xfId="13935" xr:uid="{0E3712F6-0D46-48C6-A5BD-32EBF4048DE5}"/>
    <cellStyle name="Normal 12 2 5 3 3" xfId="22372" xr:uid="{50F7B77E-EB73-440D-BEBE-3F1F1D3AF49F}"/>
    <cellStyle name="Normal 12 2 5 4" xfId="9717" xr:uid="{95D2C127-5918-4809-AC1B-1FE88CB65BD3}"/>
    <cellStyle name="Normal 12 2 5 5" xfId="18155" xr:uid="{CDDCA71D-1B63-4B5D-A2DF-FA969CEDC140}"/>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D1A4C3A6-62F5-4207-912C-010AD5527880}"/>
    <cellStyle name="Normal 12 2 6 2 2 3" xfId="24930" xr:uid="{D6368DFD-4C2C-437C-8DFB-3543CD446066}"/>
    <cellStyle name="Normal 12 2 6 2 3" xfId="12275" xr:uid="{B5101BE3-0916-48BA-A36C-819C9E11FEB7}"/>
    <cellStyle name="Normal 12 2 6 2 4" xfId="20713" xr:uid="{6725C575-3FD9-4587-B8C8-4A6CC30D7115}"/>
    <cellStyle name="Normal 12 2 6 3" xfId="5906" xr:uid="{00000000-0005-0000-0000-0000150E0000}"/>
    <cellStyle name="Normal 12 2 6 3 2" xfId="14348" xr:uid="{770CD7D7-5C7D-44E4-8E57-1227447D0CFA}"/>
    <cellStyle name="Normal 12 2 6 3 3" xfId="22785" xr:uid="{7E463738-4678-467A-9FD9-A67105320978}"/>
    <cellStyle name="Normal 12 2 6 4" xfId="10130" xr:uid="{0DB59A15-B34A-41D3-A021-DAB0EA5EAA70}"/>
    <cellStyle name="Normal 12 2 6 5" xfId="18568" xr:uid="{35B1A193-9551-4A9C-83A9-E721651B98D4}"/>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BDDB601A-6509-4A51-9A88-953C5882EA38}"/>
    <cellStyle name="Normal 12 2 7 2 2 3" xfId="25343" xr:uid="{DA659556-C178-4913-A7AC-581008C22B58}"/>
    <cellStyle name="Normal 12 2 7 2 3" xfId="12688" xr:uid="{9C497EE0-61CC-44F2-8CAE-DA13BC7B6CDF}"/>
    <cellStyle name="Normal 12 2 7 2 4" xfId="21126" xr:uid="{B5D55A0C-B83A-4C4E-9738-AA373B31A1C1}"/>
    <cellStyle name="Normal 12 2 7 3" xfId="6319" xr:uid="{00000000-0005-0000-0000-0000190E0000}"/>
    <cellStyle name="Normal 12 2 7 3 2" xfId="14761" xr:uid="{C9A1E8B5-B1DB-4FAB-8067-55464BB25B5B}"/>
    <cellStyle name="Normal 12 2 7 3 3" xfId="23198" xr:uid="{B03D0A20-07B0-4941-900B-43F9D08A74E1}"/>
    <cellStyle name="Normal 12 2 7 4" xfId="10543" xr:uid="{8A7C2810-94D0-4C3B-A191-C07DDCEFEB7C}"/>
    <cellStyle name="Normal 12 2 7 5" xfId="18981" xr:uid="{19356D7B-4119-403C-B378-C0373A0F01DB}"/>
    <cellStyle name="Normal 12 2 8" xfId="2448" xr:uid="{00000000-0005-0000-0000-00001A0E0000}"/>
    <cellStyle name="Normal 12 2 8 2" xfId="6732" xr:uid="{00000000-0005-0000-0000-00001B0E0000}"/>
    <cellStyle name="Normal 12 2 8 2 2" xfId="15174" xr:uid="{91B8B202-234F-4627-97F7-15B574AD57DF}"/>
    <cellStyle name="Normal 12 2 8 2 3" xfId="23611" xr:uid="{F207574F-D663-4A48-8C4E-6916B881F548}"/>
    <cellStyle name="Normal 12 2 8 3" xfId="10956" xr:uid="{9AF2ED9C-7E02-47C4-9422-955F1CCEDA85}"/>
    <cellStyle name="Normal 12 2 8 4" xfId="19394" xr:uid="{F78EDC11-2F5B-4B39-AC7D-7867CF0AEB7A}"/>
    <cellStyle name="Normal 12 2 9" xfId="4666" xr:uid="{00000000-0005-0000-0000-00001C0E0000}"/>
    <cellStyle name="Normal 12 2 9 2" xfId="13108" xr:uid="{C38D1418-B8E6-4C7E-9EDC-A145EDE826DB}"/>
    <cellStyle name="Normal 12 2 9 3" xfId="21545" xr:uid="{7C89139C-EFC2-4479-90D1-0E0524F92EF0}"/>
    <cellStyle name="Normal 12 3" xfId="264" xr:uid="{00000000-0005-0000-0000-00001D0E0000}"/>
    <cellStyle name="Normal 12 3 10" xfId="17332" xr:uid="{8E3D8DF9-2F12-4756-8702-EE1D4EBC08A8}"/>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F7C3AB96-47C8-4055-A7F8-9098F0FAC5EF}"/>
    <cellStyle name="Normal 12 3 2 2 2 2 3" xfId="24109" xr:uid="{5B74DE9F-5D3B-4CEC-8711-2D0E7D6FB06C}"/>
    <cellStyle name="Normal 12 3 2 2 2 3" xfId="11454" xr:uid="{747F13CD-B44A-48CC-B201-7BEA19980B57}"/>
    <cellStyle name="Normal 12 3 2 2 2 4" xfId="19892" xr:uid="{716FD04D-D88F-497F-A301-DD9CE804D9D9}"/>
    <cellStyle name="Normal 12 3 2 2 3" xfId="5085" xr:uid="{00000000-0005-0000-0000-0000220E0000}"/>
    <cellStyle name="Normal 12 3 2 2 3 2" xfId="13527" xr:uid="{F312AA99-6236-4E50-A0B5-C2F270682CA6}"/>
    <cellStyle name="Normal 12 3 2 2 3 3" xfId="21964" xr:uid="{1967331C-E1AD-40B8-B1A5-24F952226B46}"/>
    <cellStyle name="Normal 12 3 2 2 4" xfId="9309" xr:uid="{C8477397-82B5-499F-8CBA-6BBF948285F7}"/>
    <cellStyle name="Normal 12 3 2 2 5" xfId="17747" xr:uid="{CA374E80-ED22-4009-BA41-6FD295D6C68D}"/>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594CC7AA-09B1-41B3-8AB8-449B7581BCFF}"/>
    <cellStyle name="Normal 12 3 2 3 2 2 3" xfId="24522" xr:uid="{80E2FB19-09AA-4F6B-8956-086F06FD6CB8}"/>
    <cellStyle name="Normal 12 3 2 3 2 3" xfId="11867" xr:uid="{400796E7-F9CB-46D6-8BD9-5324ADA47291}"/>
    <cellStyle name="Normal 12 3 2 3 2 4" xfId="20305" xr:uid="{2D5E9B59-E5DA-431B-B433-55E3E2238A2C}"/>
    <cellStyle name="Normal 12 3 2 3 3" xfId="5498" xr:uid="{00000000-0005-0000-0000-0000260E0000}"/>
    <cellStyle name="Normal 12 3 2 3 3 2" xfId="13940" xr:uid="{11BD05DB-74B8-471E-8BE5-2038D5C8D017}"/>
    <cellStyle name="Normal 12 3 2 3 3 3" xfId="22377" xr:uid="{9E85FBB6-42EF-4BF7-8FB9-BD835528DDBA}"/>
    <cellStyle name="Normal 12 3 2 3 4" xfId="9722" xr:uid="{C2B44240-BF03-4C77-A045-B0926EDA022E}"/>
    <cellStyle name="Normal 12 3 2 3 5" xfId="18160" xr:uid="{99F81620-524F-4FBF-8A15-11EA8E1CFDEB}"/>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17E50A26-B38A-4776-87B3-7943BD30C1CC}"/>
    <cellStyle name="Normal 12 3 2 4 2 2 3" xfId="24935" xr:uid="{5163C633-E17A-43EA-9017-A8F7D066920E}"/>
    <cellStyle name="Normal 12 3 2 4 2 3" xfId="12280" xr:uid="{153418AA-3DAF-49B2-82FF-0BD6D91B7C7D}"/>
    <cellStyle name="Normal 12 3 2 4 2 4" xfId="20718" xr:uid="{068A3A7F-08ED-4E33-B0B7-8F6BEF22D946}"/>
    <cellStyle name="Normal 12 3 2 4 3" xfId="5911" xr:uid="{00000000-0005-0000-0000-00002A0E0000}"/>
    <cellStyle name="Normal 12 3 2 4 3 2" xfId="14353" xr:uid="{757A888B-891F-4CC0-9697-928CC3F7AF40}"/>
    <cellStyle name="Normal 12 3 2 4 3 3" xfId="22790" xr:uid="{214D2755-D37F-4F4B-B2A9-55EA0AF15326}"/>
    <cellStyle name="Normal 12 3 2 4 4" xfId="10135" xr:uid="{8D020DC8-52C6-479A-82AB-2F12A9006190}"/>
    <cellStyle name="Normal 12 3 2 4 5" xfId="18573" xr:uid="{B0D99AB6-940B-4999-B995-F9B8744ABCF3}"/>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27E2D955-5439-456A-92AC-12CDBE414E81}"/>
    <cellStyle name="Normal 12 3 2 5 2 2 3" xfId="25348" xr:uid="{049459E9-BB57-4B0E-919E-CA2739995A3A}"/>
    <cellStyle name="Normal 12 3 2 5 2 3" xfId="12693" xr:uid="{D2334688-3CD9-4AB4-9AD2-F0D15223B651}"/>
    <cellStyle name="Normal 12 3 2 5 2 4" xfId="21131" xr:uid="{0F305E3D-862E-48B4-A133-362EAB895630}"/>
    <cellStyle name="Normal 12 3 2 5 3" xfId="6324" xr:uid="{00000000-0005-0000-0000-00002E0E0000}"/>
    <cellStyle name="Normal 12 3 2 5 3 2" xfId="14766" xr:uid="{CFFE695F-C727-4414-BEAC-192328E96B61}"/>
    <cellStyle name="Normal 12 3 2 5 3 3" xfId="23203" xr:uid="{96CC0160-F331-4B44-8070-89D1E6DF0AA3}"/>
    <cellStyle name="Normal 12 3 2 5 4" xfId="10548" xr:uid="{7979A395-5B1B-478A-BB7A-0FFFC2725A6C}"/>
    <cellStyle name="Normal 12 3 2 5 5" xfId="18986" xr:uid="{1EB5CB0F-E24F-4EEE-A185-AD63424BAEDD}"/>
    <cellStyle name="Normal 12 3 2 6" xfId="2453" xr:uid="{00000000-0005-0000-0000-00002F0E0000}"/>
    <cellStyle name="Normal 12 3 2 6 2" xfId="6737" xr:uid="{00000000-0005-0000-0000-0000300E0000}"/>
    <cellStyle name="Normal 12 3 2 6 2 2" xfId="15179" xr:uid="{6B91182C-A991-4ACC-8AD1-C3B353C306AD}"/>
    <cellStyle name="Normal 12 3 2 6 2 3" xfId="23616" xr:uid="{B2FEBD42-B2E4-4A77-9966-436FD64D0C79}"/>
    <cellStyle name="Normal 12 3 2 6 3" xfId="10961" xr:uid="{BF18D310-E7A2-4FF8-904F-CECEB2D52490}"/>
    <cellStyle name="Normal 12 3 2 6 4" xfId="19399" xr:uid="{C9F04BEA-0618-4B97-95CE-33F84A047332}"/>
    <cellStyle name="Normal 12 3 2 7" xfId="4671" xr:uid="{00000000-0005-0000-0000-0000310E0000}"/>
    <cellStyle name="Normal 12 3 2 7 2" xfId="13113" xr:uid="{4C0063E4-F6E5-4099-9EE9-BE1CF8D0E6AE}"/>
    <cellStyle name="Normal 12 3 2 7 3" xfId="21550" xr:uid="{B6B8454C-EDC3-41D9-B4AF-361A100C7360}"/>
    <cellStyle name="Normal 12 3 2 8" xfId="8895" xr:uid="{6227511B-AE94-4431-BDCD-68742353D07B}"/>
    <cellStyle name="Normal 12 3 2 9" xfId="17333" xr:uid="{4574A342-430A-47E1-8904-6EBE783CAA3C}"/>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7437FFD2-AF90-4119-9286-871D5CE41644}"/>
    <cellStyle name="Normal 12 3 3 2 2 3" xfId="24108" xr:uid="{D29EE0F6-A6B8-4E52-A771-1D66CCD0CEC6}"/>
    <cellStyle name="Normal 12 3 3 2 3" xfId="11453" xr:uid="{8DD5605B-C61E-470D-87CF-ACECDF97AFC2}"/>
    <cellStyle name="Normal 12 3 3 2 4" xfId="19891" xr:uid="{E64E05DA-1B49-4C43-9FDF-FF9D427CC5E3}"/>
    <cellStyle name="Normal 12 3 3 3" xfId="5084" xr:uid="{00000000-0005-0000-0000-0000350E0000}"/>
    <cellStyle name="Normal 12 3 3 3 2" xfId="13526" xr:uid="{7D1F6131-DED6-4993-B0AE-BABEEF724A6F}"/>
    <cellStyle name="Normal 12 3 3 3 3" xfId="21963" xr:uid="{4C3C64E9-9068-40AF-89EE-804A21EDA1B9}"/>
    <cellStyle name="Normal 12 3 3 4" xfId="9308" xr:uid="{1F067225-D28A-43C6-AA5A-D7F07D7BB057}"/>
    <cellStyle name="Normal 12 3 3 5" xfId="17746" xr:uid="{BA44C950-1B07-437C-A835-359040DD1A1B}"/>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347BB6BF-24EC-47D5-A377-4C2BD5821ECA}"/>
    <cellStyle name="Normal 12 3 4 2 2 3" xfId="24521" xr:uid="{F56031A3-3810-4FE1-91B3-AFA060EB8F1F}"/>
    <cellStyle name="Normal 12 3 4 2 3" xfId="11866" xr:uid="{95E60D1A-2FD1-42DE-8773-0D2746BC1DE9}"/>
    <cellStyle name="Normal 12 3 4 2 4" xfId="20304" xr:uid="{28586A3B-6543-4FDF-8B95-67493082C581}"/>
    <cellStyle name="Normal 12 3 4 3" xfId="5497" xr:uid="{00000000-0005-0000-0000-0000390E0000}"/>
    <cellStyle name="Normal 12 3 4 3 2" xfId="13939" xr:uid="{3D597C6C-B17E-49A7-AA1D-C330B7C5D8D0}"/>
    <cellStyle name="Normal 12 3 4 3 3" xfId="22376" xr:uid="{BBA839C9-57D5-4138-B0E0-481227DE0FCB}"/>
    <cellStyle name="Normal 12 3 4 4" xfId="9721" xr:uid="{C4F9DD04-5C65-40EB-B2FE-52DAFDA9D57A}"/>
    <cellStyle name="Normal 12 3 4 5" xfId="18159" xr:uid="{70E78A61-CA65-4B08-9B05-833EA865D269}"/>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5816CE1D-A0BC-4546-9F7D-74A97523385C}"/>
    <cellStyle name="Normal 12 3 5 2 2 3" xfId="24934" xr:uid="{D798E059-863F-486B-8BC9-895048E90CF6}"/>
    <cellStyle name="Normal 12 3 5 2 3" xfId="12279" xr:uid="{68008DCD-A444-4989-8B03-F0673A3BC480}"/>
    <cellStyle name="Normal 12 3 5 2 4" xfId="20717" xr:uid="{4176A755-D508-4A13-94C6-EC0EE630F081}"/>
    <cellStyle name="Normal 12 3 5 3" xfId="5910" xr:uid="{00000000-0005-0000-0000-00003D0E0000}"/>
    <cellStyle name="Normal 12 3 5 3 2" xfId="14352" xr:uid="{548028F2-0F55-4D5B-A0D8-9A6284915713}"/>
    <cellStyle name="Normal 12 3 5 3 3" xfId="22789" xr:uid="{09F657C8-0081-4A68-AF92-92855C78E3DB}"/>
    <cellStyle name="Normal 12 3 5 4" xfId="10134" xr:uid="{7BBE666A-F4BC-4594-BFB3-A474FC592C47}"/>
    <cellStyle name="Normal 12 3 5 5" xfId="18572" xr:uid="{A6B51CF0-08EA-48B9-8638-CF8F7E6C496A}"/>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682BF321-2BA6-4850-B429-C852F07EB5E8}"/>
    <cellStyle name="Normal 12 3 6 2 2 3" xfId="25347" xr:uid="{4551644C-DE5E-4286-91EB-1BCDB168ED54}"/>
    <cellStyle name="Normal 12 3 6 2 3" xfId="12692" xr:uid="{B8ED3A13-EC38-4078-B8DB-D8A7A8D5A08B}"/>
    <cellStyle name="Normal 12 3 6 2 4" xfId="21130" xr:uid="{4A5AA12B-C414-41C1-AE4C-E22966D3B0C6}"/>
    <cellStyle name="Normal 12 3 6 3" xfId="6323" xr:uid="{00000000-0005-0000-0000-0000410E0000}"/>
    <cellStyle name="Normal 12 3 6 3 2" xfId="14765" xr:uid="{141143B6-C0EE-46E9-98F3-109F7A974FD6}"/>
    <cellStyle name="Normal 12 3 6 3 3" xfId="23202" xr:uid="{97C3DE55-AB00-4293-ADDA-BF0A25A8A16A}"/>
    <cellStyle name="Normal 12 3 6 4" xfId="10547" xr:uid="{338FA2A1-CDF2-41D5-AF2C-E822B1ADA81F}"/>
    <cellStyle name="Normal 12 3 6 5" xfId="18985" xr:uid="{5C0D2AEA-4A06-4F42-B8B3-BFE505318D35}"/>
    <cellStyle name="Normal 12 3 7" xfId="2452" xr:uid="{00000000-0005-0000-0000-0000420E0000}"/>
    <cellStyle name="Normal 12 3 7 2" xfId="6736" xr:uid="{00000000-0005-0000-0000-0000430E0000}"/>
    <cellStyle name="Normal 12 3 7 2 2" xfId="15178" xr:uid="{35F66E24-400F-4810-8304-7AD09ED51824}"/>
    <cellStyle name="Normal 12 3 7 2 3" xfId="23615" xr:uid="{3A9C662E-A8B8-4263-9CAB-D66DCD5A66E2}"/>
    <cellStyle name="Normal 12 3 7 3" xfId="10960" xr:uid="{D45CB4A8-7A9E-4160-A09F-82E81C0CE5C8}"/>
    <cellStyle name="Normal 12 3 7 4" xfId="19398" xr:uid="{6ECA2C7B-EE19-4C4D-ACAC-69DCC39130FB}"/>
    <cellStyle name="Normal 12 3 8" xfId="4670" xr:uid="{00000000-0005-0000-0000-0000440E0000}"/>
    <cellStyle name="Normal 12 3 8 2" xfId="13112" xr:uid="{A9D70BCF-9A60-4FB3-BFFE-D21E60FC7A8F}"/>
    <cellStyle name="Normal 12 3 8 3" xfId="21549" xr:uid="{7D3207F4-D73C-4D99-A6FB-756B6E795D3E}"/>
    <cellStyle name="Normal 12 3 9" xfId="8894" xr:uid="{628FFA74-EA58-41B7-95A1-6BE7B5213863}"/>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37CF4EA3-B8AD-43F2-9790-8F84A05A0C55}"/>
    <cellStyle name="Normal 12 4 2 2 2 3" xfId="24110" xr:uid="{810858BE-942D-46D2-A02A-2483FC497C21}"/>
    <cellStyle name="Normal 12 4 2 2 3" xfId="11455" xr:uid="{0DB2369A-D365-481D-B8B6-02B3F0600285}"/>
    <cellStyle name="Normal 12 4 2 2 4" xfId="19893" xr:uid="{687FD36E-7E74-4FA9-A36A-17CBDBDE50C9}"/>
    <cellStyle name="Normal 12 4 2 3" xfId="5086" xr:uid="{00000000-0005-0000-0000-0000490E0000}"/>
    <cellStyle name="Normal 12 4 2 3 2" xfId="13528" xr:uid="{1D2D03E5-9A5E-476B-A8A9-E9A8302C7269}"/>
    <cellStyle name="Normal 12 4 2 3 3" xfId="21965" xr:uid="{28D6BF98-267E-43D2-AA28-AAE1F28063F5}"/>
    <cellStyle name="Normal 12 4 2 4" xfId="9310" xr:uid="{8495961D-ED65-4298-A9B3-2705AFD1C930}"/>
    <cellStyle name="Normal 12 4 2 5" xfId="17748" xr:uid="{B8B273F6-582C-4909-8012-D5DC4F2A2A9A}"/>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490D1982-A6B3-4165-A43F-7B1383F8BF7F}"/>
    <cellStyle name="Normal 12 4 3 2 2 3" xfId="24523" xr:uid="{346836D5-C8D6-4FFE-BAFA-39BE61BE91B5}"/>
    <cellStyle name="Normal 12 4 3 2 3" xfId="11868" xr:uid="{E00D314C-3073-4ED5-ABD7-E943440FA466}"/>
    <cellStyle name="Normal 12 4 3 2 4" xfId="20306" xr:uid="{409C790D-790D-4F2E-9AE6-FDBE6BDE2C95}"/>
    <cellStyle name="Normal 12 4 3 3" xfId="5499" xr:uid="{00000000-0005-0000-0000-00004D0E0000}"/>
    <cellStyle name="Normal 12 4 3 3 2" xfId="13941" xr:uid="{5A2155A8-C7B5-4D09-87E4-D1535EF33B32}"/>
    <cellStyle name="Normal 12 4 3 3 3" xfId="22378" xr:uid="{73829262-4C43-4CDF-B0C3-E1872258EA32}"/>
    <cellStyle name="Normal 12 4 3 4" xfId="9723" xr:uid="{24B83B49-6B3C-4603-AB10-B980B6163851}"/>
    <cellStyle name="Normal 12 4 3 5" xfId="18161" xr:uid="{02B257A6-56FA-408F-8E12-E41795CA458F}"/>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AAFD9B41-6AA7-4353-B5C8-27C1B1F84C81}"/>
    <cellStyle name="Normal 12 4 4 2 2 3" xfId="24936" xr:uid="{B34B4B96-C989-413F-A47D-0F8C78F0DA93}"/>
    <cellStyle name="Normal 12 4 4 2 3" xfId="12281" xr:uid="{5E0CD06E-5156-48AC-9B0A-E2B05964C35C}"/>
    <cellStyle name="Normal 12 4 4 2 4" xfId="20719" xr:uid="{1B20955F-5E14-45EF-AF86-D5668722B65F}"/>
    <cellStyle name="Normal 12 4 4 3" xfId="5912" xr:uid="{00000000-0005-0000-0000-0000510E0000}"/>
    <cellStyle name="Normal 12 4 4 3 2" xfId="14354" xr:uid="{8A84090B-B7C8-4788-AB42-F3BEEE7E339D}"/>
    <cellStyle name="Normal 12 4 4 3 3" xfId="22791" xr:uid="{7EA0FE8C-0417-42BA-9621-B7E01EBE3BC5}"/>
    <cellStyle name="Normal 12 4 4 4" xfId="10136" xr:uid="{C603E7AD-166B-4947-BB6D-A1B745709672}"/>
    <cellStyle name="Normal 12 4 4 5" xfId="18574" xr:uid="{C2008EB6-E376-4BDC-B5D6-5975FDF32E17}"/>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06CF3060-F26A-4BAB-879D-C0CFB2DF10CF}"/>
    <cellStyle name="Normal 12 4 5 2 2 3" xfId="25349" xr:uid="{C4F20C0D-53E9-4A9E-9508-68DE52B02DB7}"/>
    <cellStyle name="Normal 12 4 5 2 3" xfId="12694" xr:uid="{902BDABD-030C-439C-9DC4-B6E5204638F9}"/>
    <cellStyle name="Normal 12 4 5 2 4" xfId="21132" xr:uid="{2F40448F-6907-4EFC-B0C0-D4240E5DC756}"/>
    <cellStyle name="Normal 12 4 5 3" xfId="6325" xr:uid="{00000000-0005-0000-0000-0000550E0000}"/>
    <cellStyle name="Normal 12 4 5 3 2" xfId="14767" xr:uid="{1E909818-D4F1-4104-87DE-1E69A11F04C5}"/>
    <cellStyle name="Normal 12 4 5 3 3" xfId="23204" xr:uid="{65BC9439-98E2-4B86-A376-C01D74B0813B}"/>
    <cellStyle name="Normal 12 4 5 4" xfId="10549" xr:uid="{E590523F-5B05-4F6D-B535-7B9349A95A36}"/>
    <cellStyle name="Normal 12 4 5 5" xfId="18987" xr:uid="{69B9C512-A9A7-466E-BBC6-4A3280495A08}"/>
    <cellStyle name="Normal 12 4 6" xfId="2454" xr:uid="{00000000-0005-0000-0000-0000560E0000}"/>
    <cellStyle name="Normal 12 4 6 2" xfId="6738" xr:uid="{00000000-0005-0000-0000-0000570E0000}"/>
    <cellStyle name="Normal 12 4 6 2 2" xfId="15180" xr:uid="{CA84B317-0ADA-4796-BEDD-5DC08894F21D}"/>
    <cellStyle name="Normal 12 4 6 2 3" xfId="23617" xr:uid="{CD4BC30A-BA78-493D-8B29-238CAB90F59A}"/>
    <cellStyle name="Normal 12 4 6 3" xfId="10962" xr:uid="{5D2CB488-DBB5-4E24-BCC2-C5054F6FB4CE}"/>
    <cellStyle name="Normal 12 4 6 4" xfId="19400" xr:uid="{CF10A245-B0FE-448A-ADAE-25A42DC1FE7B}"/>
    <cellStyle name="Normal 12 4 7" xfId="4672" xr:uid="{00000000-0005-0000-0000-0000580E0000}"/>
    <cellStyle name="Normal 12 4 7 2" xfId="13114" xr:uid="{1BC0A8C4-796B-4E80-B4BF-8C1B7B542B54}"/>
    <cellStyle name="Normal 12 4 7 3" xfId="21551" xr:uid="{25870ED9-32DA-4561-83B2-7281D613CBD0}"/>
    <cellStyle name="Normal 12 4 8" xfId="8896" xr:uid="{256F1514-259A-4DAE-B0C1-65E0133F2823}"/>
    <cellStyle name="Normal 12 4 9" xfId="17334" xr:uid="{D1033A6C-0F07-44B0-83BA-32C0A094A62F}"/>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9566F7A9-DEBD-40CA-9C61-6208FD1B6B8E}"/>
    <cellStyle name="Normal 12 6 2 2 3" xfId="24103" xr:uid="{A32B1B26-A59D-41AE-8542-25F31C67B577}"/>
    <cellStyle name="Normal 12 6 2 3" xfId="11448" xr:uid="{7B7C18C1-233D-4307-A4DE-56F55FB31E8F}"/>
    <cellStyle name="Normal 12 6 2 4" xfId="19886" xr:uid="{56D19C94-F212-452E-A411-2BD61028091D}"/>
    <cellStyle name="Normal 12 6 3" xfId="5079" xr:uid="{00000000-0005-0000-0000-00005D0E0000}"/>
    <cellStyle name="Normal 12 6 3 2" xfId="13521" xr:uid="{539EF866-044D-4CB3-8A08-8A86DB803E88}"/>
    <cellStyle name="Normal 12 6 3 3" xfId="21958" xr:uid="{EFB6C97F-D011-4A1E-A103-0567C1619153}"/>
    <cellStyle name="Normal 12 6 4" xfId="9303" xr:uid="{9437A940-C4DF-42D7-B9CC-61193AB8B8F7}"/>
    <cellStyle name="Normal 12 6 5" xfId="17741" xr:uid="{6FE09122-56FD-4B51-B71F-CCE307FA8BBC}"/>
    <cellStyle name="Normal 12 7" xfId="1183" xr:uid="{00000000-0005-0000-0000-00005E0E0000}"/>
    <cellStyle name="Normal 12 7 2" xfId="3414" xr:uid="{00000000-0005-0000-0000-00005F0E0000}"/>
    <cellStyle name="Normal 12 7 2 2" xfId="7637" xr:uid="{00000000-0005-0000-0000-0000600E0000}"/>
    <cellStyle name="Normal 12 7 2 2 2" xfId="16079" xr:uid="{BC559E23-387D-46BA-9D6C-43D2FAF6D157}"/>
    <cellStyle name="Normal 12 7 2 2 3" xfId="24516" xr:uid="{FD2228A3-6876-4087-8BF7-6887220D808C}"/>
    <cellStyle name="Normal 12 7 2 3" xfId="11861" xr:uid="{C21BE77F-A9A4-4E6E-8BE5-C20162EC13CB}"/>
    <cellStyle name="Normal 12 7 2 4" xfId="20299" xr:uid="{B79580A8-9E3B-4C19-B8B6-24675E8C361D}"/>
    <cellStyle name="Normal 12 7 3" xfId="5492" xr:uid="{00000000-0005-0000-0000-0000610E0000}"/>
    <cellStyle name="Normal 12 7 3 2" xfId="13934" xr:uid="{A65BB96D-520E-4384-A6B1-8B67EB4604CD}"/>
    <cellStyle name="Normal 12 7 3 3" xfId="22371" xr:uid="{47CCF6AD-6D09-491D-AED3-0EF3A9D6E7C5}"/>
    <cellStyle name="Normal 12 7 4" xfId="9716" xr:uid="{F8B6A5C3-52F9-42CF-AB22-3C9AC8A24442}"/>
    <cellStyle name="Normal 12 7 5" xfId="18154" xr:uid="{2A4A5313-CA00-4DFD-8C72-E5E052ABAC12}"/>
    <cellStyle name="Normal 12 8" xfId="1597" xr:uid="{00000000-0005-0000-0000-0000620E0000}"/>
    <cellStyle name="Normal 12 8 2" xfId="3827" xr:uid="{00000000-0005-0000-0000-0000630E0000}"/>
    <cellStyle name="Normal 12 8 2 2" xfId="8050" xr:uid="{00000000-0005-0000-0000-0000640E0000}"/>
    <cellStyle name="Normal 12 8 2 2 2" xfId="16492" xr:uid="{589E2FA4-6260-4C85-A8A3-FA1E06E7153F}"/>
    <cellStyle name="Normal 12 8 2 2 3" xfId="24929" xr:uid="{19B31B01-EFB2-4ECB-BDAE-8637D5291E86}"/>
    <cellStyle name="Normal 12 8 2 3" xfId="12274" xr:uid="{E78CE85C-7CB2-4BAD-900F-BE1428F5B260}"/>
    <cellStyle name="Normal 12 8 2 4" xfId="20712" xr:uid="{0C036936-7B71-4BD5-81D3-BACD1CF38B26}"/>
    <cellStyle name="Normal 12 8 3" xfId="5905" xr:uid="{00000000-0005-0000-0000-0000650E0000}"/>
    <cellStyle name="Normal 12 8 3 2" xfId="14347" xr:uid="{22216485-00B1-4D03-87B0-4A99443015BD}"/>
    <cellStyle name="Normal 12 8 3 3" xfId="22784" xr:uid="{58BC5A2B-055B-4443-8BB7-D5F2A1F365F6}"/>
    <cellStyle name="Normal 12 8 4" xfId="10129" xr:uid="{B3D229D6-A70C-4B5A-9D85-8850593CE521}"/>
    <cellStyle name="Normal 12 8 5" xfId="18567" xr:uid="{A10816DD-9BBA-4258-9909-D27E10AFEAB5}"/>
    <cellStyle name="Normal 12 9" xfId="2011" xr:uid="{00000000-0005-0000-0000-0000660E0000}"/>
    <cellStyle name="Normal 12 9 2" xfId="4240" xr:uid="{00000000-0005-0000-0000-0000670E0000}"/>
    <cellStyle name="Normal 12 9 2 2" xfId="8463" xr:uid="{00000000-0005-0000-0000-0000680E0000}"/>
    <cellStyle name="Normal 12 9 2 2 2" xfId="16905" xr:uid="{D164FAB5-3970-4815-BFA9-9F491F0F8C3B}"/>
    <cellStyle name="Normal 12 9 2 2 3" xfId="25342" xr:uid="{21D76DA4-4C93-469F-B702-B25358B0F394}"/>
    <cellStyle name="Normal 12 9 2 3" xfId="12687" xr:uid="{3DDA95AF-1A2D-49DB-96DA-FB760F919847}"/>
    <cellStyle name="Normal 12 9 2 4" xfId="21125" xr:uid="{C50890F7-C2EE-4F6C-B49E-8F8A169EF46F}"/>
    <cellStyle name="Normal 12 9 3" xfId="6318" xr:uid="{00000000-0005-0000-0000-0000690E0000}"/>
    <cellStyle name="Normal 12 9 3 2" xfId="14760" xr:uid="{A11F49E4-47CE-4A52-BD08-A00AE446B39E}"/>
    <cellStyle name="Normal 12 9 3 3" xfId="23197" xr:uid="{DF4BF34A-F3CB-4DAD-8CF6-36FB52008824}"/>
    <cellStyle name="Normal 12 9 4" xfId="10542" xr:uid="{22564A8B-05F1-4238-9E88-5B37AA39EA6A}"/>
    <cellStyle name="Normal 12 9 5" xfId="18980" xr:uid="{8825CEBC-BE61-4E72-88A1-8558119EF002}"/>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A38E0724-A686-4A56-AC3D-DA3F633E1B4C}"/>
    <cellStyle name="Normal 14 2 2 2 3" xfId="24111" xr:uid="{BE10E085-CE4E-4A1C-9530-EDADF7A03CDC}"/>
    <cellStyle name="Normal 14 2 2 3" xfId="11456" xr:uid="{F7A5EAB7-D426-41BF-9DF4-7CBF96DE7310}"/>
    <cellStyle name="Normal 14 2 2 4" xfId="19894" xr:uid="{A7C90EC7-DD84-486E-B8B3-3851067AE61D}"/>
    <cellStyle name="Normal 14 2 3" xfId="5087" xr:uid="{00000000-0005-0000-0000-0000700E0000}"/>
    <cellStyle name="Normal 14 2 3 2" xfId="13529" xr:uid="{6F20CCE0-15DF-4AE2-A732-64B768C29F83}"/>
    <cellStyle name="Normal 14 2 3 3" xfId="21966" xr:uid="{62051FCA-6182-4798-93D3-3F6E3A7A1DE4}"/>
    <cellStyle name="Normal 14 2 4" xfId="9311" xr:uid="{D131BA87-3135-4B17-9BB9-838E60CDD34B}"/>
    <cellStyle name="Normal 14 2 5" xfId="17749" xr:uid="{3F4FE17C-A189-450B-A7FA-E9C4938211E6}"/>
    <cellStyle name="Normal 14 3" xfId="1191" xr:uid="{00000000-0005-0000-0000-0000710E0000}"/>
    <cellStyle name="Normal 14 3 2" xfId="3422" xr:uid="{00000000-0005-0000-0000-0000720E0000}"/>
    <cellStyle name="Normal 14 3 2 2" xfId="7645" xr:uid="{00000000-0005-0000-0000-0000730E0000}"/>
    <cellStyle name="Normal 14 3 2 2 2" xfId="16087" xr:uid="{788F228E-DF65-45B4-8D43-7A1D0FDAC222}"/>
    <cellStyle name="Normal 14 3 2 2 3" xfId="24524" xr:uid="{0587DA3A-9A3E-4C32-96DF-612FDF5FC9BF}"/>
    <cellStyle name="Normal 14 3 2 3" xfId="11869" xr:uid="{2833883F-91CB-4B14-90B1-3EA4C0659C96}"/>
    <cellStyle name="Normal 14 3 2 4" xfId="20307" xr:uid="{F981543E-390A-4073-8FF3-B0C0A061C5B4}"/>
    <cellStyle name="Normal 14 3 3" xfId="5500" xr:uid="{00000000-0005-0000-0000-0000740E0000}"/>
    <cellStyle name="Normal 14 3 3 2" xfId="13942" xr:uid="{AAC6F564-805F-47AB-BA40-9D1B6771C9AA}"/>
    <cellStyle name="Normal 14 3 3 3" xfId="22379" xr:uid="{61C7ADFA-7BE3-40FB-9087-3CAB78841DA2}"/>
    <cellStyle name="Normal 14 3 4" xfId="9724" xr:uid="{5363254F-D597-4624-991F-B9D23DEBC70B}"/>
    <cellStyle name="Normal 14 3 5" xfId="18162" xr:uid="{A5DE6F4F-2A33-4081-B8E9-DC656FDFCD07}"/>
    <cellStyle name="Normal 14 4" xfId="1605" xr:uid="{00000000-0005-0000-0000-0000750E0000}"/>
    <cellStyle name="Normal 14 4 2" xfId="3835" xr:uid="{00000000-0005-0000-0000-0000760E0000}"/>
    <cellStyle name="Normal 14 4 2 2" xfId="8058" xr:uid="{00000000-0005-0000-0000-0000770E0000}"/>
    <cellStyle name="Normal 14 4 2 2 2" xfId="16500" xr:uid="{5702A894-547C-40E7-86E1-A15F0C05C474}"/>
    <cellStyle name="Normal 14 4 2 2 3" xfId="24937" xr:uid="{3D58049C-2490-4C3F-AA83-FB85ED6BB78C}"/>
    <cellStyle name="Normal 14 4 2 3" xfId="12282" xr:uid="{8518F439-6862-4522-9BE7-3A72D1E302B4}"/>
    <cellStyle name="Normal 14 4 2 4" xfId="20720" xr:uid="{C0D1022C-9B59-4A15-8F53-CEC68894949F}"/>
    <cellStyle name="Normal 14 4 3" xfId="5913" xr:uid="{00000000-0005-0000-0000-0000780E0000}"/>
    <cellStyle name="Normal 14 4 3 2" xfId="14355" xr:uid="{E366BEB8-2F55-4044-93CE-342E1B7D7067}"/>
    <cellStyle name="Normal 14 4 3 3" xfId="22792" xr:uid="{5A74E6B9-7659-4FA6-A76F-34CFE602E175}"/>
    <cellStyle name="Normal 14 4 4" xfId="10137" xr:uid="{ED451913-F22A-4D63-A08A-AC826880636D}"/>
    <cellStyle name="Normal 14 4 5" xfId="18575" xr:uid="{F3F7BDCA-5C3B-4189-834E-C2F26AAA32FE}"/>
    <cellStyle name="Normal 14 5" xfId="2019" xr:uid="{00000000-0005-0000-0000-0000790E0000}"/>
    <cellStyle name="Normal 14 5 2" xfId="4248" xr:uid="{00000000-0005-0000-0000-00007A0E0000}"/>
    <cellStyle name="Normal 14 5 2 2" xfId="8471" xr:uid="{00000000-0005-0000-0000-00007B0E0000}"/>
    <cellStyle name="Normal 14 5 2 2 2" xfId="16913" xr:uid="{3CFA0220-4710-4940-A738-923E6F51BF71}"/>
    <cellStyle name="Normal 14 5 2 2 3" xfId="25350" xr:uid="{D10ECA18-D13E-4C42-9FFC-5F038EB58EA2}"/>
    <cellStyle name="Normal 14 5 2 3" xfId="12695" xr:uid="{1687FA7B-D209-4375-99BD-4908A0FAC720}"/>
    <cellStyle name="Normal 14 5 2 4" xfId="21133" xr:uid="{8F0326DF-5803-4217-8212-944E425E5B18}"/>
    <cellStyle name="Normal 14 5 3" xfId="6326" xr:uid="{00000000-0005-0000-0000-00007C0E0000}"/>
    <cellStyle name="Normal 14 5 3 2" xfId="14768" xr:uid="{0EB932C0-7520-4DD6-9AA4-2FCD916A2B7C}"/>
    <cellStyle name="Normal 14 5 3 3" xfId="23205" xr:uid="{EA13D082-6A02-4973-A7CB-D01FD652277A}"/>
    <cellStyle name="Normal 14 5 4" xfId="10550" xr:uid="{2A197179-BD6A-4FAD-8197-E11CDB5F6D72}"/>
    <cellStyle name="Normal 14 5 5" xfId="18988" xr:uid="{02D80DA8-40B3-43EF-9CD4-090B65993031}"/>
    <cellStyle name="Normal 14 6" xfId="2455" xr:uid="{00000000-0005-0000-0000-00007D0E0000}"/>
    <cellStyle name="Normal 14 6 2" xfId="6739" xr:uid="{00000000-0005-0000-0000-00007E0E0000}"/>
    <cellStyle name="Normal 14 6 2 2" xfId="15181" xr:uid="{7C9B784B-D898-430A-8046-E1FF1B1370AD}"/>
    <cellStyle name="Normal 14 6 2 3" xfId="23618" xr:uid="{0E972AA9-6EAF-4396-9864-9406492C8288}"/>
    <cellStyle name="Normal 14 6 3" xfId="10963" xr:uid="{667239E5-F30C-4A8B-979C-9F3612EC8D88}"/>
    <cellStyle name="Normal 14 6 4" xfId="19401" xr:uid="{C21BF823-0406-49A7-BEAE-3709652EEB7F}"/>
    <cellStyle name="Normal 14 7" xfId="4673" xr:uid="{00000000-0005-0000-0000-00007F0E0000}"/>
    <cellStyle name="Normal 14 7 2" xfId="13115" xr:uid="{4ADCA234-54F3-45D0-A413-883651B6A8AF}"/>
    <cellStyle name="Normal 14 7 3" xfId="21552" xr:uid="{95FD2007-A346-4E82-9A9C-BFABE6659B12}"/>
    <cellStyle name="Normal 14 8" xfId="8897" xr:uid="{B634C77D-7107-40D3-8254-1769B3D2C71D}"/>
    <cellStyle name="Normal 14 9" xfId="17335" xr:uid="{390276E4-4C01-44AE-8E7C-6F193084BA13}"/>
    <cellStyle name="Normal 15" xfId="4496" xr:uid="{00000000-0005-0000-0000-0000800E0000}"/>
    <cellStyle name="Normal 15 2" xfId="12941" xr:uid="{63F0E272-1CBA-4067-A859-2E4163A70B8B}"/>
    <cellStyle name="Normal 15 3" xfId="21378" xr:uid="{A29A2F4B-890B-421C-942B-A54CCE59E0C1}"/>
    <cellStyle name="Normal 16" xfId="4500" xr:uid="{00000000-0005-0000-0000-0000810E0000}"/>
    <cellStyle name="Normal 16 2" xfId="8716" xr:uid="{00000000-0005-0000-0000-0000820E0000}"/>
    <cellStyle name="Normal 16 2 2" xfId="17158" xr:uid="{F73B143C-3CE0-4A2F-8961-8E8456F9D204}"/>
    <cellStyle name="Normal 16 2 3" xfId="25595" xr:uid="{6C501CA7-A3E2-4340-8DE7-1DA2CB776882}"/>
    <cellStyle name="Normal 16 3" xfId="8719" xr:uid="{3DE1BEEB-61FA-4094-B10F-9E0444F68763}"/>
    <cellStyle name="Normal 16 3 2" xfId="8723" xr:uid="{FE0BC069-4698-40B2-814D-8E09719245E9}"/>
    <cellStyle name="Normal 16 3 2 2" xfId="8726" xr:uid="{D3E9609F-293A-4CFC-B194-1FF2F92D621D}"/>
    <cellStyle name="Normal 16 3 2 3" xfId="17164" xr:uid="{ABF80A87-E623-46BF-9228-0D71340454C3}"/>
    <cellStyle name="Normal 16 3 2 4" xfId="25601" xr:uid="{5D9E4908-B27A-4BF1-A10B-C88B12B50559}"/>
    <cellStyle name="Normal 16 3 3" xfId="17161" xr:uid="{76BEE041-C1CD-4A15-89E5-36810C239778}"/>
    <cellStyle name="Normal 16 3 4" xfId="25598" xr:uid="{A6E5848A-4D46-4160-B433-FE50F761A911}"/>
    <cellStyle name="Normal 16 4" xfId="12944" xr:uid="{F6816756-938B-40DA-AE46-733314D488A2}"/>
    <cellStyle name="Normal 16 5" xfId="21381" xr:uid="{6337D15D-1434-43D2-AA8A-BD2D5D5C06E6}"/>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82163BAA-ACF1-4523-98EE-048D5014FF77}"/>
    <cellStyle name="Normal 2 4 2 10 2 2 3" xfId="25351" xr:uid="{2357B373-1331-4F3A-A02E-FA47E4E9DE36}"/>
    <cellStyle name="Normal 2 4 2 10 2 3" xfId="12696" xr:uid="{6FD737B3-03D5-44F1-8D73-6B432C3218B5}"/>
    <cellStyle name="Normal 2 4 2 10 2 4" xfId="21134" xr:uid="{EC090694-55A5-4478-B695-4BB3FE0E8A6A}"/>
    <cellStyle name="Normal 2 4 2 10 3" xfId="6327" xr:uid="{00000000-0005-0000-0000-0000910E0000}"/>
    <cellStyle name="Normal 2 4 2 10 3 2" xfId="14769" xr:uid="{05F4AE65-A1E6-4277-A71F-F257FEB1AAEE}"/>
    <cellStyle name="Normal 2 4 2 10 3 3" xfId="23206" xr:uid="{468B0907-4EED-4A17-B6ED-C800519A586F}"/>
    <cellStyle name="Normal 2 4 2 10 4" xfId="10551" xr:uid="{81ADFE4A-E237-4744-84CA-C9C074938BE6}"/>
    <cellStyle name="Normal 2 4 2 10 5" xfId="18989" xr:uid="{7147EA11-2815-49D1-894B-00CF7DE5E9C0}"/>
    <cellStyle name="Normal 2 4 2 11" xfId="2456" xr:uid="{00000000-0005-0000-0000-0000920E0000}"/>
    <cellStyle name="Normal 2 4 2 11 2" xfId="6740" xr:uid="{00000000-0005-0000-0000-0000930E0000}"/>
    <cellStyle name="Normal 2 4 2 11 2 2" xfId="15182" xr:uid="{7C4E9826-567A-48FA-9F72-50E3ED169B4A}"/>
    <cellStyle name="Normal 2 4 2 11 2 3" xfId="23619" xr:uid="{5B883D2F-1ABE-4D73-BD38-711194D65BF7}"/>
    <cellStyle name="Normal 2 4 2 11 3" xfId="10964" xr:uid="{17858CBC-27F9-4C14-80FF-652CBE1ECD6C}"/>
    <cellStyle name="Normal 2 4 2 11 4" xfId="19402" xr:uid="{A08D39CA-817C-43F3-A746-0659E56CB7E2}"/>
    <cellStyle name="Normal 2 4 2 12" xfId="4674" xr:uid="{00000000-0005-0000-0000-0000940E0000}"/>
    <cellStyle name="Normal 2 4 2 12 2" xfId="13116" xr:uid="{EABE7A92-5FAC-46F4-828D-6F29981D72A9}"/>
    <cellStyle name="Normal 2 4 2 12 3" xfId="21553" xr:uid="{0F2A8321-22E8-456C-B874-278C58624AA4}"/>
    <cellStyle name="Normal 2 4 2 13" xfId="8898" xr:uid="{32F7F32C-9065-4547-9B11-088E56F9665B}"/>
    <cellStyle name="Normal 2 4 2 14" xfId="17336" xr:uid="{10ECC1FD-845D-4CA8-ADA0-29EA316B5ECA}"/>
    <cellStyle name="Normal 2 4 2 2" xfId="280" xr:uid="{00000000-0005-0000-0000-0000950E0000}"/>
    <cellStyle name="Normal 2 4 2 3" xfId="281" xr:uid="{00000000-0005-0000-0000-0000960E0000}"/>
    <cellStyle name="Normal 2 4 2 3 10" xfId="4675" xr:uid="{00000000-0005-0000-0000-0000970E0000}"/>
    <cellStyle name="Normal 2 4 2 3 10 2" xfId="13117" xr:uid="{1D1D53AF-4E53-47C2-8A0A-FB2091B3C8A7}"/>
    <cellStyle name="Normal 2 4 2 3 10 3" xfId="21554" xr:uid="{D529BEF9-3F61-407C-A297-C6ACB857CBD0}"/>
    <cellStyle name="Normal 2 4 2 3 11" xfId="8899" xr:uid="{F94E2962-316E-4540-A6D7-9F69C38F8A07}"/>
    <cellStyle name="Normal 2 4 2 3 12" xfId="17337" xr:uid="{E8D0AB7D-E038-4DFC-AB5D-5041DAE2C10D}"/>
    <cellStyle name="Normal 2 4 2 3 2" xfId="282" xr:uid="{00000000-0005-0000-0000-0000980E0000}"/>
    <cellStyle name="Normal 2 4 2 3 2 10" xfId="8900" xr:uid="{23862500-97E5-427F-BD16-2AC4FDA17367}"/>
    <cellStyle name="Normal 2 4 2 3 2 11" xfId="17338" xr:uid="{44A33527-427C-4BE4-9C0F-A1F506A3A152}"/>
    <cellStyle name="Normal 2 4 2 3 2 2" xfId="283" xr:uid="{00000000-0005-0000-0000-0000990E0000}"/>
    <cellStyle name="Normal 2 4 2 3 2 2 10" xfId="17339" xr:uid="{57C67E63-8122-419F-BE9E-23E84BA7E0A7}"/>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022A2707-C311-4049-BE08-1A2014B60754}"/>
    <cellStyle name="Normal 2 4 2 3 2 2 2 2 2 2 3" xfId="24116" xr:uid="{45D185F4-9E72-4537-97AD-B93D47E95A9E}"/>
    <cellStyle name="Normal 2 4 2 3 2 2 2 2 2 3" xfId="11461" xr:uid="{2AC0750C-B3EB-4DC4-9B50-C2CC02C263EB}"/>
    <cellStyle name="Normal 2 4 2 3 2 2 2 2 2 4" xfId="19899" xr:uid="{CA3DFA07-657F-47F1-B5A3-D3E95195404C}"/>
    <cellStyle name="Normal 2 4 2 3 2 2 2 2 3" xfId="5092" xr:uid="{00000000-0005-0000-0000-00009E0E0000}"/>
    <cellStyle name="Normal 2 4 2 3 2 2 2 2 3 2" xfId="13534" xr:uid="{3AE533C4-CF73-4E6C-B45E-42E6CA7BF183}"/>
    <cellStyle name="Normal 2 4 2 3 2 2 2 2 3 3" xfId="21971" xr:uid="{BD8EAB66-35C0-4822-8846-A72F10091C6D}"/>
    <cellStyle name="Normal 2 4 2 3 2 2 2 2 4" xfId="9316" xr:uid="{97A859FE-7DC5-4327-8DDF-9D70340C6DCC}"/>
    <cellStyle name="Normal 2 4 2 3 2 2 2 2 5" xfId="17754" xr:uid="{C0926ED6-CD4E-48F9-B46B-6A7A2BD49256}"/>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704FA413-849A-404A-BAF8-BF5CD064F78C}"/>
    <cellStyle name="Normal 2 4 2 3 2 2 2 3 2 2 3" xfId="24529" xr:uid="{907E4C14-83F4-4C27-B94F-4824D847E879}"/>
    <cellStyle name="Normal 2 4 2 3 2 2 2 3 2 3" xfId="11874" xr:uid="{0AD08AD9-9AAD-42B7-AD60-61DA7A987F9A}"/>
    <cellStyle name="Normal 2 4 2 3 2 2 2 3 2 4" xfId="20312" xr:uid="{32ADFC66-6CF7-4E72-A982-2A7108092315}"/>
    <cellStyle name="Normal 2 4 2 3 2 2 2 3 3" xfId="5505" xr:uid="{00000000-0005-0000-0000-0000A20E0000}"/>
    <cellStyle name="Normal 2 4 2 3 2 2 2 3 3 2" xfId="13947" xr:uid="{9A1482C4-188D-441A-AF30-0BC3917E585B}"/>
    <cellStyle name="Normal 2 4 2 3 2 2 2 3 3 3" xfId="22384" xr:uid="{FBDBD1AB-F7C0-47AD-B810-7CE93CBEDF41}"/>
    <cellStyle name="Normal 2 4 2 3 2 2 2 3 4" xfId="9729" xr:uid="{44B356B3-4D29-47FD-B677-68850C402935}"/>
    <cellStyle name="Normal 2 4 2 3 2 2 2 3 5" xfId="18167" xr:uid="{7AA0EE4D-B582-47F0-B746-D8FFA937283E}"/>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F7B6833D-03BD-4831-99B5-0EB1E4180ED1}"/>
    <cellStyle name="Normal 2 4 2 3 2 2 2 4 2 2 3" xfId="24942" xr:uid="{908E3901-78BD-4140-B1DE-3B1112B1CE59}"/>
    <cellStyle name="Normal 2 4 2 3 2 2 2 4 2 3" xfId="12287" xr:uid="{D8A1EA28-3387-48E9-A0BC-324928BDA907}"/>
    <cellStyle name="Normal 2 4 2 3 2 2 2 4 2 4" xfId="20725" xr:uid="{7DDE0EC7-D50F-41B3-8EAC-CB1FC92ADAA2}"/>
    <cellStyle name="Normal 2 4 2 3 2 2 2 4 3" xfId="5918" xr:uid="{00000000-0005-0000-0000-0000A60E0000}"/>
    <cellStyle name="Normal 2 4 2 3 2 2 2 4 3 2" xfId="14360" xr:uid="{84CEF886-3F14-4EC0-8CF0-A9632B3C0973}"/>
    <cellStyle name="Normal 2 4 2 3 2 2 2 4 3 3" xfId="22797" xr:uid="{2E6FBACB-460F-4760-B95F-E8687C70C29D}"/>
    <cellStyle name="Normal 2 4 2 3 2 2 2 4 4" xfId="10142" xr:uid="{C77B245F-D971-4EEA-B180-2DE8427AC7B6}"/>
    <cellStyle name="Normal 2 4 2 3 2 2 2 4 5" xfId="18580" xr:uid="{A403C467-E223-44C1-806D-D60CA94A090F}"/>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A649ACE4-6F69-40C7-9A88-37FA1DACF0D1}"/>
    <cellStyle name="Normal 2 4 2 3 2 2 2 5 2 2 3" xfId="25355" xr:uid="{9776E72A-B5EE-49AA-812F-1AB46BCE5E62}"/>
    <cellStyle name="Normal 2 4 2 3 2 2 2 5 2 3" xfId="12700" xr:uid="{34BBC359-62CB-4EFF-B6F2-E19B3289B11B}"/>
    <cellStyle name="Normal 2 4 2 3 2 2 2 5 2 4" xfId="21138" xr:uid="{34E12F42-F4D1-44A4-961B-3B968E209BBC}"/>
    <cellStyle name="Normal 2 4 2 3 2 2 2 5 3" xfId="6331" xr:uid="{00000000-0005-0000-0000-0000AA0E0000}"/>
    <cellStyle name="Normal 2 4 2 3 2 2 2 5 3 2" xfId="14773" xr:uid="{D082459D-5CD4-48AF-B37B-581B16EAE389}"/>
    <cellStyle name="Normal 2 4 2 3 2 2 2 5 3 3" xfId="23210" xr:uid="{80CB7429-3F75-43D8-BE03-3AD891CBEB68}"/>
    <cellStyle name="Normal 2 4 2 3 2 2 2 5 4" xfId="10555" xr:uid="{9E09689C-7221-4A64-9F84-C0A6A386043D}"/>
    <cellStyle name="Normal 2 4 2 3 2 2 2 5 5" xfId="18993" xr:uid="{C701FC5F-38F5-49DE-AF64-66D5E18A5CE8}"/>
    <cellStyle name="Normal 2 4 2 3 2 2 2 6" xfId="2460" xr:uid="{00000000-0005-0000-0000-0000AB0E0000}"/>
    <cellStyle name="Normal 2 4 2 3 2 2 2 6 2" xfId="6744" xr:uid="{00000000-0005-0000-0000-0000AC0E0000}"/>
    <cellStyle name="Normal 2 4 2 3 2 2 2 6 2 2" xfId="15186" xr:uid="{BEBAE045-0944-45F3-A62F-11F658D7EA59}"/>
    <cellStyle name="Normal 2 4 2 3 2 2 2 6 2 3" xfId="23623" xr:uid="{0FFDF2F3-4A2F-4DD3-AD7C-A53F9ABC9E29}"/>
    <cellStyle name="Normal 2 4 2 3 2 2 2 6 3" xfId="10968" xr:uid="{0DD1C690-FE4F-4873-844C-C5847B832736}"/>
    <cellStyle name="Normal 2 4 2 3 2 2 2 6 4" xfId="19406" xr:uid="{B45940A1-AE93-4084-8F4F-AEF0C1321B0E}"/>
    <cellStyle name="Normal 2 4 2 3 2 2 2 7" xfId="4678" xr:uid="{00000000-0005-0000-0000-0000AD0E0000}"/>
    <cellStyle name="Normal 2 4 2 3 2 2 2 7 2" xfId="13120" xr:uid="{FF5C1733-B478-473D-B011-163598D7F305}"/>
    <cellStyle name="Normal 2 4 2 3 2 2 2 7 3" xfId="21557" xr:uid="{FB640F69-F8F3-49B0-ADAB-7FD54F4322D6}"/>
    <cellStyle name="Normal 2 4 2 3 2 2 2 8" xfId="8902" xr:uid="{AE223D20-280F-4842-B25A-E41DFEB3DA54}"/>
    <cellStyle name="Normal 2 4 2 3 2 2 2 9" xfId="17340" xr:uid="{8485617C-DA14-4214-A49D-D14143F05FC8}"/>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67FD9629-F9A0-4941-9B32-1A266C90F730}"/>
    <cellStyle name="Normal 2 4 2 3 2 2 3 2 2 3" xfId="24115" xr:uid="{0BFB064A-99CB-491B-B01D-F02CB0BD2657}"/>
    <cellStyle name="Normal 2 4 2 3 2 2 3 2 3" xfId="11460" xr:uid="{2DBCC9AB-12F2-4E8B-87B8-D378CCD35D98}"/>
    <cellStyle name="Normal 2 4 2 3 2 2 3 2 4" xfId="19898" xr:uid="{A0D00A4B-BD61-4300-A0CB-96BD05A53297}"/>
    <cellStyle name="Normal 2 4 2 3 2 2 3 3" xfId="5091" xr:uid="{00000000-0005-0000-0000-0000B10E0000}"/>
    <cellStyle name="Normal 2 4 2 3 2 2 3 3 2" xfId="13533" xr:uid="{B614267F-5BBE-4525-8960-9D618E082241}"/>
    <cellStyle name="Normal 2 4 2 3 2 2 3 3 3" xfId="21970" xr:uid="{4525A715-A4B3-4EAD-BAAE-B2F45360EA49}"/>
    <cellStyle name="Normal 2 4 2 3 2 2 3 4" xfId="9315" xr:uid="{9417FDBF-9BDB-4152-A42A-5DF73221CBE7}"/>
    <cellStyle name="Normal 2 4 2 3 2 2 3 5" xfId="17753" xr:uid="{46C6D828-2A2D-4864-A3AF-37DC0DC8AD24}"/>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B360DF38-5C93-41C6-ACC2-3193C16849B2}"/>
    <cellStyle name="Normal 2 4 2 3 2 2 4 2 2 3" xfId="24528" xr:uid="{BD37FE6D-DAEE-4153-BBA7-26E6C9E0AC74}"/>
    <cellStyle name="Normal 2 4 2 3 2 2 4 2 3" xfId="11873" xr:uid="{773E38A8-14FC-41C1-A343-A99719A54B7B}"/>
    <cellStyle name="Normal 2 4 2 3 2 2 4 2 4" xfId="20311" xr:uid="{A5B394FB-CBF5-4ECA-BCF6-9F91F99B4D13}"/>
    <cellStyle name="Normal 2 4 2 3 2 2 4 3" xfId="5504" xr:uid="{00000000-0005-0000-0000-0000B50E0000}"/>
    <cellStyle name="Normal 2 4 2 3 2 2 4 3 2" xfId="13946" xr:uid="{8B9FD3B4-0C7C-4486-AA5B-3AC0A702044E}"/>
    <cellStyle name="Normal 2 4 2 3 2 2 4 3 3" xfId="22383" xr:uid="{015FF98B-408F-49C0-8502-5F1359A4C568}"/>
    <cellStyle name="Normal 2 4 2 3 2 2 4 4" xfId="9728" xr:uid="{A319C75B-FC64-4F31-A5DF-FBCEA8D8CFA1}"/>
    <cellStyle name="Normal 2 4 2 3 2 2 4 5" xfId="18166" xr:uid="{459FCC9C-B321-464C-BC05-45C4EF40D7B6}"/>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E732BF70-C5F3-4F4E-B726-F86500A3C14D}"/>
    <cellStyle name="Normal 2 4 2 3 2 2 5 2 2 3" xfId="24941" xr:uid="{48DE0917-6D25-4880-8F64-DF8477EE306D}"/>
    <cellStyle name="Normal 2 4 2 3 2 2 5 2 3" xfId="12286" xr:uid="{4ADBA467-2DAD-4927-BDAC-B1B7FCBFFB67}"/>
    <cellStyle name="Normal 2 4 2 3 2 2 5 2 4" xfId="20724" xr:uid="{B89E3DB1-3A59-4B7E-9C62-FB5461DA0164}"/>
    <cellStyle name="Normal 2 4 2 3 2 2 5 3" xfId="5917" xr:uid="{00000000-0005-0000-0000-0000B90E0000}"/>
    <cellStyle name="Normal 2 4 2 3 2 2 5 3 2" xfId="14359" xr:uid="{D4E632CB-7767-402B-8ACE-024127FBDE42}"/>
    <cellStyle name="Normal 2 4 2 3 2 2 5 3 3" xfId="22796" xr:uid="{51C7ED81-37B2-42AF-B46C-6BA4B72757A6}"/>
    <cellStyle name="Normal 2 4 2 3 2 2 5 4" xfId="10141" xr:uid="{04361FE1-ECD2-4B40-96E2-547718F5E25D}"/>
    <cellStyle name="Normal 2 4 2 3 2 2 5 5" xfId="18579" xr:uid="{8E94779D-DCA6-4E16-8745-50D2D234D89D}"/>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7611D9FB-C7D0-40D2-8D18-260908CE6D93}"/>
    <cellStyle name="Normal 2 4 2 3 2 2 6 2 2 3" xfId="25354" xr:uid="{DA81089D-58A2-4A4D-A8A6-1F17587BE536}"/>
    <cellStyle name="Normal 2 4 2 3 2 2 6 2 3" xfId="12699" xr:uid="{17C10570-14D4-41FD-AA0A-9B37BDBB8D7A}"/>
    <cellStyle name="Normal 2 4 2 3 2 2 6 2 4" xfId="21137" xr:uid="{CF26DBC1-14A9-413D-B2DF-9FC917EB1FFF}"/>
    <cellStyle name="Normal 2 4 2 3 2 2 6 3" xfId="6330" xr:uid="{00000000-0005-0000-0000-0000BD0E0000}"/>
    <cellStyle name="Normal 2 4 2 3 2 2 6 3 2" xfId="14772" xr:uid="{F70C9D06-286A-49D1-B534-61E6A6E021CF}"/>
    <cellStyle name="Normal 2 4 2 3 2 2 6 3 3" xfId="23209" xr:uid="{0397CBDB-A816-44E9-8469-05F251479CBA}"/>
    <cellStyle name="Normal 2 4 2 3 2 2 6 4" xfId="10554" xr:uid="{02203EA3-0570-4D64-94E4-8460E02E04EA}"/>
    <cellStyle name="Normal 2 4 2 3 2 2 6 5" xfId="18992" xr:uid="{FBACE7AF-71AD-4A17-A4D9-4F79047290C9}"/>
    <cellStyle name="Normal 2 4 2 3 2 2 7" xfId="2459" xr:uid="{00000000-0005-0000-0000-0000BE0E0000}"/>
    <cellStyle name="Normal 2 4 2 3 2 2 7 2" xfId="6743" xr:uid="{00000000-0005-0000-0000-0000BF0E0000}"/>
    <cellStyle name="Normal 2 4 2 3 2 2 7 2 2" xfId="15185" xr:uid="{DD09F259-62B1-4B4C-8B85-609CAC2D6206}"/>
    <cellStyle name="Normal 2 4 2 3 2 2 7 2 3" xfId="23622" xr:uid="{6586769D-FEF4-4C1D-BF74-4E11C8C67662}"/>
    <cellStyle name="Normal 2 4 2 3 2 2 7 3" xfId="10967" xr:uid="{3C34F7C9-7BDE-4161-80AB-35EAE46BE4D2}"/>
    <cellStyle name="Normal 2 4 2 3 2 2 7 4" xfId="19405" xr:uid="{3013A824-83BB-46AA-B54E-1BA22C97646F}"/>
    <cellStyle name="Normal 2 4 2 3 2 2 8" xfId="4677" xr:uid="{00000000-0005-0000-0000-0000C00E0000}"/>
    <cellStyle name="Normal 2 4 2 3 2 2 8 2" xfId="13119" xr:uid="{F532A091-5A71-46A8-A63D-0B00A9054A5E}"/>
    <cellStyle name="Normal 2 4 2 3 2 2 8 3" xfId="21556" xr:uid="{A846A7A0-AEB0-4C8D-954F-A40370FFCF72}"/>
    <cellStyle name="Normal 2 4 2 3 2 2 9" xfId="8901" xr:uid="{8025232B-B4E7-47BD-8F3D-C1F6A1184C82}"/>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8FFFD701-6102-4939-9748-F2D034FE481B}"/>
    <cellStyle name="Normal 2 4 2 3 2 3 2 2 2 3" xfId="24117" xr:uid="{8C449392-C526-4045-8559-E8CD558B7DF9}"/>
    <cellStyle name="Normal 2 4 2 3 2 3 2 2 3" xfId="11462" xr:uid="{32C4F3FD-DB8C-4089-8978-5F2A703091C9}"/>
    <cellStyle name="Normal 2 4 2 3 2 3 2 2 4" xfId="19900" xr:uid="{461D5616-0B2B-4726-94D3-D9661DBECF9C}"/>
    <cellStyle name="Normal 2 4 2 3 2 3 2 3" xfId="5093" xr:uid="{00000000-0005-0000-0000-0000C50E0000}"/>
    <cellStyle name="Normal 2 4 2 3 2 3 2 3 2" xfId="13535" xr:uid="{933590E3-E611-440A-9711-9EF4DCE29301}"/>
    <cellStyle name="Normal 2 4 2 3 2 3 2 3 3" xfId="21972" xr:uid="{03699BD0-E81B-4DA2-9731-596D7AA18B23}"/>
    <cellStyle name="Normal 2 4 2 3 2 3 2 4" xfId="9317" xr:uid="{233A8CEB-6903-49CB-86C3-4CEBD7A079BC}"/>
    <cellStyle name="Normal 2 4 2 3 2 3 2 5" xfId="17755" xr:uid="{49C94812-B3EC-4E07-BBB5-4F8CE7BB4BE4}"/>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B5787C4A-B3DB-44F1-B01E-E38A33EB5501}"/>
    <cellStyle name="Normal 2 4 2 3 2 3 3 2 2 3" xfId="24530" xr:uid="{E682812B-93A4-44CA-BE71-E279D95D7661}"/>
    <cellStyle name="Normal 2 4 2 3 2 3 3 2 3" xfId="11875" xr:uid="{807D4930-42CB-4827-AF8B-E179DA26E316}"/>
    <cellStyle name="Normal 2 4 2 3 2 3 3 2 4" xfId="20313" xr:uid="{15E06DE9-125B-4819-A8F4-DAE208E1B20B}"/>
    <cellStyle name="Normal 2 4 2 3 2 3 3 3" xfId="5506" xr:uid="{00000000-0005-0000-0000-0000C90E0000}"/>
    <cellStyle name="Normal 2 4 2 3 2 3 3 3 2" xfId="13948" xr:uid="{32EFCD34-FCD9-41D8-9FE2-CB559D49FA72}"/>
    <cellStyle name="Normal 2 4 2 3 2 3 3 3 3" xfId="22385" xr:uid="{ACE6D074-9D76-463D-8422-EA3CE0023612}"/>
    <cellStyle name="Normal 2 4 2 3 2 3 3 4" xfId="9730" xr:uid="{58E00D42-B9A0-4DDD-9665-10C411DC559E}"/>
    <cellStyle name="Normal 2 4 2 3 2 3 3 5" xfId="18168" xr:uid="{0A7923BE-3021-4FAB-9B48-B0A938465A86}"/>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5EB50179-9390-406E-AF3B-61BF16A0C008}"/>
    <cellStyle name="Normal 2 4 2 3 2 3 4 2 2 3" xfId="24943" xr:uid="{0C3244A1-60DD-4EBE-8D38-32B64198049A}"/>
    <cellStyle name="Normal 2 4 2 3 2 3 4 2 3" xfId="12288" xr:uid="{4D65AE11-CE60-4561-B841-0BDB965A3685}"/>
    <cellStyle name="Normal 2 4 2 3 2 3 4 2 4" xfId="20726" xr:uid="{0E885C6B-6365-42BD-B586-84C7740B0271}"/>
    <cellStyle name="Normal 2 4 2 3 2 3 4 3" xfId="5919" xr:uid="{00000000-0005-0000-0000-0000CD0E0000}"/>
    <cellStyle name="Normal 2 4 2 3 2 3 4 3 2" xfId="14361" xr:uid="{0DCF445B-E565-4881-B204-9457E8F35E1F}"/>
    <cellStyle name="Normal 2 4 2 3 2 3 4 3 3" xfId="22798" xr:uid="{54FFF8C3-4164-454E-BA1B-10A8476A60BF}"/>
    <cellStyle name="Normal 2 4 2 3 2 3 4 4" xfId="10143" xr:uid="{9E58FA22-4ACF-43C1-80B7-3A25FB8037B4}"/>
    <cellStyle name="Normal 2 4 2 3 2 3 4 5" xfId="18581" xr:uid="{862DB3F6-73E3-4EB7-A952-9679994E08CB}"/>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A67C48CE-9693-4410-9405-C55B45FE2ABA}"/>
    <cellStyle name="Normal 2 4 2 3 2 3 5 2 2 3" xfId="25356" xr:uid="{C17A138B-2F97-4C13-AD33-2E6B32493E37}"/>
    <cellStyle name="Normal 2 4 2 3 2 3 5 2 3" xfId="12701" xr:uid="{32673156-6768-4FD1-9787-55AC0CA28704}"/>
    <cellStyle name="Normal 2 4 2 3 2 3 5 2 4" xfId="21139" xr:uid="{17F4399A-606D-4CF4-9DBC-7EB0C0D43F80}"/>
    <cellStyle name="Normal 2 4 2 3 2 3 5 3" xfId="6332" xr:uid="{00000000-0005-0000-0000-0000D10E0000}"/>
    <cellStyle name="Normal 2 4 2 3 2 3 5 3 2" xfId="14774" xr:uid="{DC3508E5-784C-499B-A4CD-F98601D10B15}"/>
    <cellStyle name="Normal 2 4 2 3 2 3 5 3 3" xfId="23211" xr:uid="{52645EC7-2354-4F73-B44A-7A0B60744713}"/>
    <cellStyle name="Normal 2 4 2 3 2 3 5 4" xfId="10556" xr:uid="{957F63CC-506A-41CB-9639-A3227D42450F}"/>
    <cellStyle name="Normal 2 4 2 3 2 3 5 5" xfId="18994" xr:uid="{AC612832-5E79-40B7-A629-2F6B87D2991E}"/>
    <cellStyle name="Normal 2 4 2 3 2 3 6" xfId="2461" xr:uid="{00000000-0005-0000-0000-0000D20E0000}"/>
    <cellStyle name="Normal 2 4 2 3 2 3 6 2" xfId="6745" xr:uid="{00000000-0005-0000-0000-0000D30E0000}"/>
    <cellStyle name="Normal 2 4 2 3 2 3 6 2 2" xfId="15187" xr:uid="{0C9DC313-429E-44EE-901B-123D4829A0B5}"/>
    <cellStyle name="Normal 2 4 2 3 2 3 6 2 3" xfId="23624" xr:uid="{039FA965-E238-4FD2-8431-C1A546694D37}"/>
    <cellStyle name="Normal 2 4 2 3 2 3 6 3" xfId="10969" xr:uid="{8129A8F6-A344-49D3-99F8-7360AA648D5C}"/>
    <cellStyle name="Normal 2 4 2 3 2 3 6 4" xfId="19407" xr:uid="{544425E8-EE73-4D31-97BE-F89A0EAE8F78}"/>
    <cellStyle name="Normal 2 4 2 3 2 3 7" xfId="4679" xr:uid="{00000000-0005-0000-0000-0000D40E0000}"/>
    <cellStyle name="Normal 2 4 2 3 2 3 7 2" xfId="13121" xr:uid="{128C460D-539C-47A0-8DF6-611513D059DF}"/>
    <cellStyle name="Normal 2 4 2 3 2 3 7 3" xfId="21558" xr:uid="{83B2DDCF-7E41-423B-98B3-06478F2817BE}"/>
    <cellStyle name="Normal 2 4 2 3 2 3 8" xfId="8903" xr:uid="{4D30D6BD-7868-4801-92CA-BBFED4E8B43B}"/>
    <cellStyle name="Normal 2 4 2 3 2 3 9" xfId="17341" xr:uid="{39A6D5E2-F5D4-49CE-B6B0-086B478B2D9B}"/>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CB607421-3C6C-4C0B-89A8-567C190784B9}"/>
    <cellStyle name="Normal 2 4 2 3 2 4 2 2 3" xfId="24114" xr:uid="{9E82EDD6-16F6-4E13-A99D-5D12FF978483}"/>
    <cellStyle name="Normal 2 4 2 3 2 4 2 3" xfId="11459" xr:uid="{0E72970B-98DB-4E06-9326-8C1694371968}"/>
    <cellStyle name="Normal 2 4 2 3 2 4 2 4" xfId="19897" xr:uid="{20483D2A-AF56-4CE7-A3FD-D7D792FD6731}"/>
    <cellStyle name="Normal 2 4 2 3 2 4 3" xfId="5090" xr:uid="{00000000-0005-0000-0000-0000D80E0000}"/>
    <cellStyle name="Normal 2 4 2 3 2 4 3 2" xfId="13532" xr:uid="{BEA82FFC-19A4-4BFF-8EEC-738CAA91C089}"/>
    <cellStyle name="Normal 2 4 2 3 2 4 3 3" xfId="21969" xr:uid="{70057D36-15A1-4305-9CD2-9CA9539B41E1}"/>
    <cellStyle name="Normal 2 4 2 3 2 4 4" xfId="9314" xr:uid="{FD42B8B6-2698-4B83-B29C-B1DE018CBDE4}"/>
    <cellStyle name="Normal 2 4 2 3 2 4 5" xfId="17752" xr:uid="{4177260D-C0EF-4DE4-9134-8A93BAEDBFF7}"/>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D620CE12-7469-4FC2-9AC0-44AB711F83BD}"/>
    <cellStyle name="Normal 2 4 2 3 2 5 2 2 3" xfId="24527" xr:uid="{FD477FD3-42F0-4732-AE91-E3192664795B}"/>
    <cellStyle name="Normal 2 4 2 3 2 5 2 3" xfId="11872" xr:uid="{F1B6B626-BA94-45CA-B14A-CEF831D41CF2}"/>
    <cellStyle name="Normal 2 4 2 3 2 5 2 4" xfId="20310" xr:uid="{B55552C3-404F-48E1-B848-9694DE261D28}"/>
    <cellStyle name="Normal 2 4 2 3 2 5 3" xfId="5503" xr:uid="{00000000-0005-0000-0000-0000DC0E0000}"/>
    <cellStyle name="Normal 2 4 2 3 2 5 3 2" xfId="13945" xr:uid="{4E85FC23-6B34-47B6-AF33-E11D5F93A8D0}"/>
    <cellStyle name="Normal 2 4 2 3 2 5 3 3" xfId="22382" xr:uid="{55C30FF1-D7B7-452D-B06B-C5D8B8AC870A}"/>
    <cellStyle name="Normal 2 4 2 3 2 5 4" xfId="9727" xr:uid="{FFAB51B2-55A6-4A0D-8725-DED8B17BA7CA}"/>
    <cellStyle name="Normal 2 4 2 3 2 5 5" xfId="18165" xr:uid="{140401BD-9A0D-49E1-B3AD-212761444BE4}"/>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D6935954-91A5-4FCC-8FB2-F4D3AD51A3B5}"/>
    <cellStyle name="Normal 2 4 2 3 2 6 2 2 3" xfId="24940" xr:uid="{9EC22594-73F3-4603-9985-02147895A9DE}"/>
    <cellStyle name="Normal 2 4 2 3 2 6 2 3" xfId="12285" xr:uid="{91699AD9-6443-4990-A971-FEA4FEA980A6}"/>
    <cellStyle name="Normal 2 4 2 3 2 6 2 4" xfId="20723" xr:uid="{786AE126-2E2F-4327-81B1-BD1DAC504083}"/>
    <cellStyle name="Normal 2 4 2 3 2 6 3" xfId="5916" xr:uid="{00000000-0005-0000-0000-0000E00E0000}"/>
    <cellStyle name="Normal 2 4 2 3 2 6 3 2" xfId="14358" xr:uid="{C467585B-3556-4087-8BEE-074887446638}"/>
    <cellStyle name="Normal 2 4 2 3 2 6 3 3" xfId="22795" xr:uid="{A0984480-0470-474D-8808-A8DA0B8A561C}"/>
    <cellStyle name="Normal 2 4 2 3 2 6 4" xfId="10140" xr:uid="{E4DCC211-FC20-43AE-88EA-B926985FBD36}"/>
    <cellStyle name="Normal 2 4 2 3 2 6 5" xfId="18578" xr:uid="{0A676786-164D-4E7C-ACBF-C38E62577D1B}"/>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49EE1172-AEFE-4BD6-8729-08067BBCB243}"/>
    <cellStyle name="Normal 2 4 2 3 2 7 2 2 3" xfId="25353" xr:uid="{58A04C84-3008-485A-872A-2F4A335CF2F1}"/>
    <cellStyle name="Normal 2 4 2 3 2 7 2 3" xfId="12698" xr:uid="{E7F3665D-8BFE-4D22-9D9A-8927FD76618F}"/>
    <cellStyle name="Normal 2 4 2 3 2 7 2 4" xfId="21136" xr:uid="{4C54F08E-8E48-44F5-924A-D9F12D1A7C0F}"/>
    <cellStyle name="Normal 2 4 2 3 2 7 3" xfId="6329" xr:uid="{00000000-0005-0000-0000-0000E40E0000}"/>
    <cellStyle name="Normal 2 4 2 3 2 7 3 2" xfId="14771" xr:uid="{B87DA656-B018-4DDB-BF0A-DFFB2BEB3469}"/>
    <cellStyle name="Normal 2 4 2 3 2 7 3 3" xfId="23208" xr:uid="{68F8ED81-4E32-49CD-8EAC-6AFB09E60A16}"/>
    <cellStyle name="Normal 2 4 2 3 2 7 4" xfId="10553" xr:uid="{0606B8F6-033A-493C-89D0-48565857CE96}"/>
    <cellStyle name="Normal 2 4 2 3 2 7 5" xfId="18991" xr:uid="{364A40E3-D432-4AB5-9758-5AC4D38454AC}"/>
    <cellStyle name="Normal 2 4 2 3 2 8" xfId="2458" xr:uid="{00000000-0005-0000-0000-0000E50E0000}"/>
    <cellStyle name="Normal 2 4 2 3 2 8 2" xfId="6742" xr:uid="{00000000-0005-0000-0000-0000E60E0000}"/>
    <cellStyle name="Normal 2 4 2 3 2 8 2 2" xfId="15184" xr:uid="{80C490B6-95D9-4A9C-8ACF-3E717BF31E6A}"/>
    <cellStyle name="Normal 2 4 2 3 2 8 2 3" xfId="23621" xr:uid="{687848A1-2C9C-488A-A87F-19A69F788DEE}"/>
    <cellStyle name="Normal 2 4 2 3 2 8 3" xfId="10966" xr:uid="{7ABC15F6-31A9-4A8B-BF54-4BD8B5B9BB32}"/>
    <cellStyle name="Normal 2 4 2 3 2 8 4" xfId="19404" xr:uid="{AF0FDBE4-D47B-45AA-845D-B0C9E6B0D61E}"/>
    <cellStyle name="Normal 2 4 2 3 2 9" xfId="4676" xr:uid="{00000000-0005-0000-0000-0000E70E0000}"/>
    <cellStyle name="Normal 2 4 2 3 2 9 2" xfId="13118" xr:uid="{64DCD252-7EF0-46FD-8C9E-49C4A906E72B}"/>
    <cellStyle name="Normal 2 4 2 3 2 9 3" xfId="21555" xr:uid="{F6820F10-3A24-4879-A60B-2E4D479EB740}"/>
    <cellStyle name="Normal 2 4 2 3 3" xfId="286" xr:uid="{00000000-0005-0000-0000-0000E80E0000}"/>
    <cellStyle name="Normal 2 4 2 3 3 10" xfId="17342" xr:uid="{73B76E59-2F6D-493E-98F2-2923AD5D0D62}"/>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3852C931-6FDA-46FA-AF4F-A0BAD9AA1344}"/>
    <cellStyle name="Normal 2 4 2 3 3 2 2 2 2 3" xfId="24119" xr:uid="{16C8BA4D-EB04-4F30-841D-93754197D423}"/>
    <cellStyle name="Normal 2 4 2 3 3 2 2 2 3" xfId="11464" xr:uid="{4E42403E-DB99-42C7-A7F9-D4D22BF0E46C}"/>
    <cellStyle name="Normal 2 4 2 3 3 2 2 2 4" xfId="19902" xr:uid="{E6DFCF5F-BAD7-451E-94AA-F4E3116F28DB}"/>
    <cellStyle name="Normal 2 4 2 3 3 2 2 3" xfId="5095" xr:uid="{00000000-0005-0000-0000-0000ED0E0000}"/>
    <cellStyle name="Normal 2 4 2 3 3 2 2 3 2" xfId="13537" xr:uid="{EAF2A1BF-9F6E-49A8-98F6-2FE8B15550DA}"/>
    <cellStyle name="Normal 2 4 2 3 3 2 2 3 3" xfId="21974" xr:uid="{A1992BCF-82BC-48DC-805B-BF78205E5A81}"/>
    <cellStyle name="Normal 2 4 2 3 3 2 2 4" xfId="9319" xr:uid="{EFCDE0FF-ABC8-4940-91D7-9288A672CF34}"/>
    <cellStyle name="Normal 2 4 2 3 3 2 2 5" xfId="17757" xr:uid="{E0CB17B1-FD9E-4AA1-99D7-8BD0A0EF8EB1}"/>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50AEA7FC-3822-47D6-A2B5-6C399FED20A5}"/>
    <cellStyle name="Normal 2 4 2 3 3 2 3 2 2 3" xfId="24532" xr:uid="{FEDDE3CB-162D-42BC-93A1-1B1AA66C3180}"/>
    <cellStyle name="Normal 2 4 2 3 3 2 3 2 3" xfId="11877" xr:uid="{ED0FA7FC-7849-4E3D-81A9-7F89FB5A86E1}"/>
    <cellStyle name="Normal 2 4 2 3 3 2 3 2 4" xfId="20315" xr:uid="{C3C9146A-9161-4AE4-A9A3-F7030156ECF5}"/>
    <cellStyle name="Normal 2 4 2 3 3 2 3 3" xfId="5508" xr:uid="{00000000-0005-0000-0000-0000F10E0000}"/>
    <cellStyle name="Normal 2 4 2 3 3 2 3 3 2" xfId="13950" xr:uid="{6B2618D4-0FF0-4A7C-B03E-F58767A84E67}"/>
    <cellStyle name="Normal 2 4 2 3 3 2 3 3 3" xfId="22387" xr:uid="{ED0F4DED-5E0E-43EC-8A83-61F9FBE566F4}"/>
    <cellStyle name="Normal 2 4 2 3 3 2 3 4" xfId="9732" xr:uid="{F1B8A7BB-8901-4964-BA45-EAFCA357F93B}"/>
    <cellStyle name="Normal 2 4 2 3 3 2 3 5" xfId="18170" xr:uid="{A1F281A1-F5B9-4AFB-B3A8-DAD8F3C4705B}"/>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FFE62A43-0803-42CA-BBAA-69677F8BDAE1}"/>
    <cellStyle name="Normal 2 4 2 3 3 2 4 2 2 3" xfId="24945" xr:uid="{9D5333A3-9146-4833-A5F1-C1EDBD6BF8AA}"/>
    <cellStyle name="Normal 2 4 2 3 3 2 4 2 3" xfId="12290" xr:uid="{348DACD8-A2A4-4AF9-BA83-528DB9AD2B37}"/>
    <cellStyle name="Normal 2 4 2 3 3 2 4 2 4" xfId="20728" xr:uid="{A79C0D07-6BDA-402D-939C-4D6C95FE6785}"/>
    <cellStyle name="Normal 2 4 2 3 3 2 4 3" xfId="5921" xr:uid="{00000000-0005-0000-0000-0000F50E0000}"/>
    <cellStyle name="Normal 2 4 2 3 3 2 4 3 2" xfId="14363" xr:uid="{F40505F6-AC95-4830-9390-418653FEBCBB}"/>
    <cellStyle name="Normal 2 4 2 3 3 2 4 3 3" xfId="22800" xr:uid="{3BC52D99-E22D-4720-9AAF-4EC35B7E772B}"/>
    <cellStyle name="Normal 2 4 2 3 3 2 4 4" xfId="10145" xr:uid="{C8047B8C-75C8-4A95-81D5-1A630F563DAF}"/>
    <cellStyle name="Normal 2 4 2 3 3 2 4 5" xfId="18583" xr:uid="{65B23FBD-EA89-4901-91CB-536D0A1804FB}"/>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E3FEE304-4638-4D96-99F5-45FC839729BA}"/>
    <cellStyle name="Normal 2 4 2 3 3 2 5 2 2 3" xfId="25358" xr:uid="{16AA1E58-3B72-478C-9B24-64615C966EC3}"/>
    <cellStyle name="Normal 2 4 2 3 3 2 5 2 3" xfId="12703" xr:uid="{472EA264-F659-48A6-A9C7-F3C36F91A1BE}"/>
    <cellStyle name="Normal 2 4 2 3 3 2 5 2 4" xfId="21141" xr:uid="{450F190F-E7E0-4717-9ED1-D56E9FE98DC1}"/>
    <cellStyle name="Normal 2 4 2 3 3 2 5 3" xfId="6334" xr:uid="{00000000-0005-0000-0000-0000F90E0000}"/>
    <cellStyle name="Normal 2 4 2 3 3 2 5 3 2" xfId="14776" xr:uid="{19B5BCD8-3BFA-4BC9-B224-C7A188617BC9}"/>
    <cellStyle name="Normal 2 4 2 3 3 2 5 3 3" xfId="23213" xr:uid="{16EF5072-76AB-427E-81A0-DBDC93111A85}"/>
    <cellStyle name="Normal 2 4 2 3 3 2 5 4" xfId="10558" xr:uid="{255DA492-DF07-4DD8-9893-C24CDD1E9FDE}"/>
    <cellStyle name="Normal 2 4 2 3 3 2 5 5" xfId="18996" xr:uid="{DDB100F6-AA52-4AFF-910D-7D4CB7A6BA5C}"/>
    <cellStyle name="Normal 2 4 2 3 3 2 6" xfId="2463" xr:uid="{00000000-0005-0000-0000-0000FA0E0000}"/>
    <cellStyle name="Normal 2 4 2 3 3 2 6 2" xfId="6747" xr:uid="{00000000-0005-0000-0000-0000FB0E0000}"/>
    <cellStyle name="Normal 2 4 2 3 3 2 6 2 2" xfId="15189" xr:uid="{312ADF30-1534-4D98-BC29-1F03BF5FC3F4}"/>
    <cellStyle name="Normal 2 4 2 3 3 2 6 2 3" xfId="23626" xr:uid="{FD45AAC8-C10B-439A-9C95-016CEFED1589}"/>
    <cellStyle name="Normal 2 4 2 3 3 2 6 3" xfId="10971" xr:uid="{7182CC88-B1DB-42A9-B962-900C39BB6B95}"/>
    <cellStyle name="Normal 2 4 2 3 3 2 6 4" xfId="19409" xr:uid="{37CF7D84-41F3-4E4A-9ADD-C1DB586CCB29}"/>
    <cellStyle name="Normal 2 4 2 3 3 2 7" xfId="4681" xr:uid="{00000000-0005-0000-0000-0000FC0E0000}"/>
    <cellStyle name="Normal 2 4 2 3 3 2 7 2" xfId="13123" xr:uid="{877D2385-BD20-41D3-87C7-78AFDB58CB85}"/>
    <cellStyle name="Normal 2 4 2 3 3 2 7 3" xfId="21560" xr:uid="{D58F5178-E7B2-4C28-AB26-CCB597D2345E}"/>
    <cellStyle name="Normal 2 4 2 3 3 2 8" xfId="8905" xr:uid="{1C12D39A-3523-460C-8EC9-7EB7DDFA6669}"/>
    <cellStyle name="Normal 2 4 2 3 3 2 9" xfId="17343" xr:uid="{2D7FBF84-BB2C-4355-8E87-C6C5F1FEBF66}"/>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A5775210-28B3-43F8-AFA4-F7463D33FF7B}"/>
    <cellStyle name="Normal 2 4 2 3 3 3 2 2 3" xfId="24118" xr:uid="{54F0A48F-3AB5-4A87-8DC6-0499388F4468}"/>
    <cellStyle name="Normal 2 4 2 3 3 3 2 3" xfId="11463" xr:uid="{E30EC87A-22D0-46BE-8BF3-35FC508F77D5}"/>
    <cellStyle name="Normal 2 4 2 3 3 3 2 4" xfId="19901" xr:uid="{BBE75A01-A53E-40FB-940D-26B8104EC81D}"/>
    <cellStyle name="Normal 2 4 2 3 3 3 3" xfId="5094" xr:uid="{00000000-0005-0000-0000-0000000F0000}"/>
    <cellStyle name="Normal 2 4 2 3 3 3 3 2" xfId="13536" xr:uid="{0BFA507B-0082-46E9-A16E-6EDDBE38645A}"/>
    <cellStyle name="Normal 2 4 2 3 3 3 3 3" xfId="21973" xr:uid="{34B4935A-D822-40F7-BF6F-A660E59CF8EB}"/>
    <cellStyle name="Normal 2 4 2 3 3 3 4" xfId="9318" xr:uid="{BC82E4BD-0A09-49E8-9D5E-2658DB647880}"/>
    <cellStyle name="Normal 2 4 2 3 3 3 5" xfId="17756" xr:uid="{8F331D68-4FF0-4B7F-BADC-B19D5ADB38E7}"/>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49F80FCF-75F4-48DD-9439-C5D5CBBA43E9}"/>
    <cellStyle name="Normal 2 4 2 3 3 4 2 2 3" xfId="24531" xr:uid="{94F503AD-DF18-4EBE-BC4B-EBECD0D59172}"/>
    <cellStyle name="Normal 2 4 2 3 3 4 2 3" xfId="11876" xr:uid="{A4F87B3C-D2F5-422B-A029-657322F0A0F5}"/>
    <cellStyle name="Normal 2 4 2 3 3 4 2 4" xfId="20314" xr:uid="{8D4FB663-9B3A-41FD-B9BF-8AC7D35645B4}"/>
    <cellStyle name="Normal 2 4 2 3 3 4 3" xfId="5507" xr:uid="{00000000-0005-0000-0000-0000040F0000}"/>
    <cellStyle name="Normal 2 4 2 3 3 4 3 2" xfId="13949" xr:uid="{1F2F5D34-DF9C-4F71-AD57-CB24F4CA37DC}"/>
    <cellStyle name="Normal 2 4 2 3 3 4 3 3" xfId="22386" xr:uid="{99A5C461-52F4-4AA6-93D9-F9BE0DD69AB1}"/>
    <cellStyle name="Normal 2 4 2 3 3 4 4" xfId="9731" xr:uid="{0AD9C817-1AF0-4F54-9D86-E8C8A203E1E6}"/>
    <cellStyle name="Normal 2 4 2 3 3 4 5" xfId="18169" xr:uid="{704C5A4E-5DAF-4A8E-A281-3A5445E134B1}"/>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FDA2F25B-B13A-406C-8845-CA9568BFA3DD}"/>
    <cellStyle name="Normal 2 4 2 3 3 5 2 2 3" xfId="24944" xr:uid="{836E22DC-17E2-4B77-846E-6CBAFFD4EF5D}"/>
    <cellStyle name="Normal 2 4 2 3 3 5 2 3" xfId="12289" xr:uid="{65466BB1-48A1-45F7-8DE2-B57FA473B96D}"/>
    <cellStyle name="Normal 2 4 2 3 3 5 2 4" xfId="20727" xr:uid="{AEA8305E-66F5-447E-AA11-F5B5C685E4E7}"/>
    <cellStyle name="Normal 2 4 2 3 3 5 3" xfId="5920" xr:uid="{00000000-0005-0000-0000-0000080F0000}"/>
    <cellStyle name="Normal 2 4 2 3 3 5 3 2" xfId="14362" xr:uid="{F9E67901-5315-43BC-AA4F-CB43C6411DF9}"/>
    <cellStyle name="Normal 2 4 2 3 3 5 3 3" xfId="22799" xr:uid="{918B1EB3-8EB3-42F5-9FB2-9F0E1ECC7714}"/>
    <cellStyle name="Normal 2 4 2 3 3 5 4" xfId="10144" xr:uid="{8B285D2A-AD75-4C07-91B7-2DB8EF291D05}"/>
    <cellStyle name="Normal 2 4 2 3 3 5 5" xfId="18582" xr:uid="{C8FAAA19-82FD-4EEC-8028-D89EA5C78726}"/>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415DC480-FEFF-49C9-92D4-320BA9C5D0A5}"/>
    <cellStyle name="Normal 2 4 2 3 3 6 2 2 3" xfId="25357" xr:uid="{BAF9DBD5-2C59-4AE4-AA79-EA39ADDEA04D}"/>
    <cellStyle name="Normal 2 4 2 3 3 6 2 3" xfId="12702" xr:uid="{D5302E71-4DD1-4094-8930-9C4196C91AA2}"/>
    <cellStyle name="Normal 2 4 2 3 3 6 2 4" xfId="21140" xr:uid="{7FE639A1-E0EB-4F3D-AC1D-36BBAF4CCB41}"/>
    <cellStyle name="Normal 2 4 2 3 3 6 3" xfId="6333" xr:uid="{00000000-0005-0000-0000-00000C0F0000}"/>
    <cellStyle name="Normal 2 4 2 3 3 6 3 2" xfId="14775" xr:uid="{FF42936A-BC3F-4586-B8AB-8D37E6A5EDD2}"/>
    <cellStyle name="Normal 2 4 2 3 3 6 3 3" xfId="23212" xr:uid="{3257CD13-845C-49F8-B2A6-03EA3B939390}"/>
    <cellStyle name="Normal 2 4 2 3 3 6 4" xfId="10557" xr:uid="{1F8F0E02-254A-4C6C-B3EF-936916CCCCEE}"/>
    <cellStyle name="Normal 2 4 2 3 3 6 5" xfId="18995" xr:uid="{88B84CC2-EA3F-4B42-AC63-38747C34E6DB}"/>
    <cellStyle name="Normal 2 4 2 3 3 7" xfId="2462" xr:uid="{00000000-0005-0000-0000-00000D0F0000}"/>
    <cellStyle name="Normal 2 4 2 3 3 7 2" xfId="6746" xr:uid="{00000000-0005-0000-0000-00000E0F0000}"/>
    <cellStyle name="Normal 2 4 2 3 3 7 2 2" xfId="15188" xr:uid="{870B7B73-6000-4EEB-8266-EF6049D86E91}"/>
    <cellStyle name="Normal 2 4 2 3 3 7 2 3" xfId="23625" xr:uid="{DA6276B0-BF8A-49CD-AC42-8DC2806CE5E2}"/>
    <cellStyle name="Normal 2 4 2 3 3 7 3" xfId="10970" xr:uid="{27079845-ADD2-447C-B4DA-C06B5DA72ED1}"/>
    <cellStyle name="Normal 2 4 2 3 3 7 4" xfId="19408" xr:uid="{4E1CBCD7-752D-45AA-B347-BC0986238A7E}"/>
    <cellStyle name="Normal 2 4 2 3 3 8" xfId="4680" xr:uid="{00000000-0005-0000-0000-00000F0F0000}"/>
    <cellStyle name="Normal 2 4 2 3 3 8 2" xfId="13122" xr:uid="{A44BA424-250B-475C-A2E1-4067ECC26D7C}"/>
    <cellStyle name="Normal 2 4 2 3 3 8 3" xfId="21559" xr:uid="{A37E45B6-3D3B-4751-9686-418BDF4644DB}"/>
    <cellStyle name="Normal 2 4 2 3 3 9" xfId="8904" xr:uid="{1712C4FF-2EDA-467A-ADBA-FB25B572F60C}"/>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DFAD825F-EB59-4923-9809-044CA9F2E251}"/>
    <cellStyle name="Normal 2 4 2 3 4 2 2 2 3" xfId="24120" xr:uid="{A2C8CB67-3BFA-42CA-9AD4-9FC95EAE5F61}"/>
    <cellStyle name="Normal 2 4 2 3 4 2 2 3" xfId="11465" xr:uid="{7C61F2B7-26B7-4EB2-8BFE-8F06DE1B9E91}"/>
    <cellStyle name="Normal 2 4 2 3 4 2 2 4" xfId="19903" xr:uid="{9260D31C-D31C-4A34-B8C1-859C3B437B19}"/>
    <cellStyle name="Normal 2 4 2 3 4 2 3" xfId="5096" xr:uid="{00000000-0005-0000-0000-0000140F0000}"/>
    <cellStyle name="Normal 2 4 2 3 4 2 3 2" xfId="13538" xr:uid="{B906ECFE-E3C0-4724-A919-C07E1B847E88}"/>
    <cellStyle name="Normal 2 4 2 3 4 2 3 3" xfId="21975" xr:uid="{B1BC6239-B644-4726-A17F-249076E87B57}"/>
    <cellStyle name="Normal 2 4 2 3 4 2 4" xfId="9320" xr:uid="{4A9628B9-CE3D-4755-83EC-2F40140A2040}"/>
    <cellStyle name="Normal 2 4 2 3 4 2 5" xfId="17758" xr:uid="{959F6535-4CAC-4485-BA5D-EC07B23AE574}"/>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BA887F07-3D51-469B-B593-CF5CE23DB2A7}"/>
    <cellStyle name="Normal 2 4 2 3 4 3 2 2 3" xfId="24533" xr:uid="{954ABD76-CF62-45A2-BE7E-FEA966FDEC8D}"/>
    <cellStyle name="Normal 2 4 2 3 4 3 2 3" xfId="11878" xr:uid="{02D19436-CA5A-4964-8E3E-C8080A53D1B6}"/>
    <cellStyle name="Normal 2 4 2 3 4 3 2 4" xfId="20316" xr:uid="{F4EC4CA3-7A2C-4C0F-B7A0-AAAD2FB4A2BC}"/>
    <cellStyle name="Normal 2 4 2 3 4 3 3" xfId="5509" xr:uid="{00000000-0005-0000-0000-0000180F0000}"/>
    <cellStyle name="Normal 2 4 2 3 4 3 3 2" xfId="13951" xr:uid="{D209B8BE-F810-4D00-8426-3C0E9B0F8E57}"/>
    <cellStyle name="Normal 2 4 2 3 4 3 3 3" xfId="22388" xr:uid="{78234E59-3398-4964-97AF-C6C748B4E046}"/>
    <cellStyle name="Normal 2 4 2 3 4 3 4" xfId="9733" xr:uid="{CFAC70C4-1A6E-467F-9674-3874FAFF6266}"/>
    <cellStyle name="Normal 2 4 2 3 4 3 5" xfId="18171" xr:uid="{73574B86-0550-4EE2-9A21-5B3158036B9E}"/>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B052ABCC-DDF1-4E96-9DE6-4FAB2D279E3E}"/>
    <cellStyle name="Normal 2 4 2 3 4 4 2 2 3" xfId="24946" xr:uid="{7770E969-BB5A-412C-9C23-FD5BBC731DCA}"/>
    <cellStyle name="Normal 2 4 2 3 4 4 2 3" xfId="12291" xr:uid="{2561A63A-D181-4101-AD15-81D4737A266D}"/>
    <cellStyle name="Normal 2 4 2 3 4 4 2 4" xfId="20729" xr:uid="{AD732084-0076-4BA4-8AF3-E186D46D8E39}"/>
    <cellStyle name="Normal 2 4 2 3 4 4 3" xfId="5922" xr:uid="{00000000-0005-0000-0000-00001C0F0000}"/>
    <cellStyle name="Normal 2 4 2 3 4 4 3 2" xfId="14364" xr:uid="{EBDA0369-B563-4DA1-BC54-FF042E155462}"/>
    <cellStyle name="Normal 2 4 2 3 4 4 3 3" xfId="22801" xr:uid="{B8FF9E2B-0EAE-42D4-90F3-0C126677462F}"/>
    <cellStyle name="Normal 2 4 2 3 4 4 4" xfId="10146" xr:uid="{E388EE11-2A8C-4ADD-93B0-D9E7AF3F71C8}"/>
    <cellStyle name="Normal 2 4 2 3 4 4 5" xfId="18584" xr:uid="{876257FB-8135-4CA6-BF1B-1253B63AC93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C0833C7F-F77A-45E9-8094-7B64FAC33722}"/>
    <cellStyle name="Normal 2 4 2 3 4 5 2 2 3" xfId="25359" xr:uid="{180ABD57-BAC4-4CB5-A48E-D9215EEAD904}"/>
    <cellStyle name="Normal 2 4 2 3 4 5 2 3" xfId="12704" xr:uid="{A90DB1C8-836B-4ECD-A3C7-842612CD52E1}"/>
    <cellStyle name="Normal 2 4 2 3 4 5 2 4" xfId="21142" xr:uid="{93673F3C-85EC-45D4-9648-2C4638F1E465}"/>
    <cellStyle name="Normal 2 4 2 3 4 5 3" xfId="6335" xr:uid="{00000000-0005-0000-0000-0000200F0000}"/>
    <cellStyle name="Normal 2 4 2 3 4 5 3 2" xfId="14777" xr:uid="{D17DC44F-0E99-4545-8FF2-E8C206A702A8}"/>
    <cellStyle name="Normal 2 4 2 3 4 5 3 3" xfId="23214" xr:uid="{05C4EE21-7FF5-43E5-917D-0647EFB05F61}"/>
    <cellStyle name="Normal 2 4 2 3 4 5 4" xfId="10559" xr:uid="{F5923232-32DD-4102-9CA2-FD1F101E66B4}"/>
    <cellStyle name="Normal 2 4 2 3 4 5 5" xfId="18997" xr:uid="{00BB41BF-65BB-492D-B96E-6875EE756B30}"/>
    <cellStyle name="Normal 2 4 2 3 4 6" xfId="2464" xr:uid="{00000000-0005-0000-0000-0000210F0000}"/>
    <cellStyle name="Normal 2 4 2 3 4 6 2" xfId="6748" xr:uid="{00000000-0005-0000-0000-0000220F0000}"/>
    <cellStyle name="Normal 2 4 2 3 4 6 2 2" xfId="15190" xr:uid="{972A65B5-7F03-43E8-8FAA-A4E2BCC6A76B}"/>
    <cellStyle name="Normal 2 4 2 3 4 6 2 3" xfId="23627" xr:uid="{977888D0-598F-428D-B47D-35255DA74DB8}"/>
    <cellStyle name="Normal 2 4 2 3 4 6 3" xfId="10972" xr:uid="{FAE47EDF-7858-4934-A21A-73AA08135F15}"/>
    <cellStyle name="Normal 2 4 2 3 4 6 4" xfId="19410" xr:uid="{DEBEDEC7-E242-4C2D-B04F-7C1C73C2B234}"/>
    <cellStyle name="Normal 2 4 2 3 4 7" xfId="4682" xr:uid="{00000000-0005-0000-0000-0000230F0000}"/>
    <cellStyle name="Normal 2 4 2 3 4 7 2" xfId="13124" xr:uid="{6ED68243-C017-4184-A600-0B7DFAB84BB0}"/>
    <cellStyle name="Normal 2 4 2 3 4 7 3" xfId="21561" xr:uid="{76C4D228-E7C9-44A5-8133-E9DC6A06BB9B}"/>
    <cellStyle name="Normal 2 4 2 3 4 8" xfId="8906" xr:uid="{432BA144-5F08-4921-9CDC-974075F26509}"/>
    <cellStyle name="Normal 2 4 2 3 4 9" xfId="17344" xr:uid="{F2EE949C-18ED-4A8D-B3A7-E560C9F88012}"/>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328B7A58-FAEE-45C9-B969-DD8867F1B534}"/>
    <cellStyle name="Normal 2 4 2 3 5 2 2 3" xfId="24113" xr:uid="{8162E397-993F-4399-B243-8834E6CC1C7D}"/>
    <cellStyle name="Normal 2 4 2 3 5 2 3" xfId="11458" xr:uid="{CABF01A8-8F18-4A95-BF4E-B6C665927F2D}"/>
    <cellStyle name="Normal 2 4 2 3 5 2 4" xfId="19896" xr:uid="{F435E73D-3D9D-4299-909F-471B4A2BF890}"/>
    <cellStyle name="Normal 2 4 2 3 5 3" xfId="5089" xr:uid="{00000000-0005-0000-0000-0000270F0000}"/>
    <cellStyle name="Normal 2 4 2 3 5 3 2" xfId="13531" xr:uid="{885B317F-D7C2-429C-8594-2C5CB87F8C5A}"/>
    <cellStyle name="Normal 2 4 2 3 5 3 3" xfId="21968" xr:uid="{947E498D-7E04-48CF-80DC-392A242BF6DC}"/>
    <cellStyle name="Normal 2 4 2 3 5 4" xfId="9313" xr:uid="{EA5FED22-D309-42E8-B5F7-C6A41225D943}"/>
    <cellStyle name="Normal 2 4 2 3 5 5" xfId="17751" xr:uid="{B1BC6CDB-26C7-40DC-B9F3-F61B9CFB2685}"/>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04AED631-BBA1-43F3-8A3B-63E19FA45045}"/>
    <cellStyle name="Normal 2 4 2 3 6 2 2 3" xfId="24526" xr:uid="{1FD8D423-8E5A-4B0F-B1BB-86C623B7D04B}"/>
    <cellStyle name="Normal 2 4 2 3 6 2 3" xfId="11871" xr:uid="{D212AEDD-376F-4D0F-8CA7-4B5F1CBD77CF}"/>
    <cellStyle name="Normal 2 4 2 3 6 2 4" xfId="20309" xr:uid="{84F83CEC-64F1-40E7-AE25-E46B608D66E5}"/>
    <cellStyle name="Normal 2 4 2 3 6 3" xfId="5502" xr:uid="{00000000-0005-0000-0000-00002B0F0000}"/>
    <cellStyle name="Normal 2 4 2 3 6 3 2" xfId="13944" xr:uid="{5925651F-93F5-4118-B740-0B60D6D723F4}"/>
    <cellStyle name="Normal 2 4 2 3 6 3 3" xfId="22381" xr:uid="{02C6DD3C-C177-41E7-B660-A382FB5D5086}"/>
    <cellStyle name="Normal 2 4 2 3 6 4" xfId="9726" xr:uid="{B4FF2FEB-B2AD-4C99-939A-42BB983428B3}"/>
    <cellStyle name="Normal 2 4 2 3 6 5" xfId="18164" xr:uid="{4B9D8E86-A35A-4117-93A2-1653AF0C572D}"/>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B56F9138-DC88-42CC-BF04-6F270AB9C08C}"/>
    <cellStyle name="Normal 2 4 2 3 7 2 2 3" xfId="24939" xr:uid="{45BD939A-CC6B-4A12-914D-7AEF3DA98B1B}"/>
    <cellStyle name="Normal 2 4 2 3 7 2 3" xfId="12284" xr:uid="{FDDC53B9-5EBA-424D-908E-307CE34898A6}"/>
    <cellStyle name="Normal 2 4 2 3 7 2 4" xfId="20722" xr:uid="{0B1F0488-F335-45F4-A623-497C88D0A667}"/>
    <cellStyle name="Normal 2 4 2 3 7 3" xfId="5915" xr:uid="{00000000-0005-0000-0000-00002F0F0000}"/>
    <cellStyle name="Normal 2 4 2 3 7 3 2" xfId="14357" xr:uid="{B417C493-8654-414F-AB85-981FC4EE8A1F}"/>
    <cellStyle name="Normal 2 4 2 3 7 3 3" xfId="22794" xr:uid="{F25113AB-C0CF-4B7A-A1F6-C972C9DA1613}"/>
    <cellStyle name="Normal 2 4 2 3 7 4" xfId="10139" xr:uid="{4B376387-41A7-45BA-830C-8A3A560754DE}"/>
    <cellStyle name="Normal 2 4 2 3 7 5" xfId="18577" xr:uid="{DFCFDEF9-4DAC-49E4-B13A-39FCB8410D5F}"/>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34690F58-87BB-47EB-80F6-4E1AC063626E}"/>
    <cellStyle name="Normal 2 4 2 3 8 2 2 3" xfId="25352" xr:uid="{89720B12-3DE4-4529-9511-A4B87E0ACE18}"/>
    <cellStyle name="Normal 2 4 2 3 8 2 3" xfId="12697" xr:uid="{4EE23C74-23A6-4466-8387-16B892F9A247}"/>
    <cellStyle name="Normal 2 4 2 3 8 2 4" xfId="21135" xr:uid="{20145416-2A9A-48A4-AAF5-201BE43FF127}"/>
    <cellStyle name="Normal 2 4 2 3 8 3" xfId="6328" xr:uid="{00000000-0005-0000-0000-0000330F0000}"/>
    <cellStyle name="Normal 2 4 2 3 8 3 2" xfId="14770" xr:uid="{924C5F43-C831-472F-96EF-149F17A35BF6}"/>
    <cellStyle name="Normal 2 4 2 3 8 3 3" xfId="23207" xr:uid="{87E4755A-D3B3-4DF1-A7CA-750839E8E954}"/>
    <cellStyle name="Normal 2 4 2 3 8 4" xfId="10552" xr:uid="{6941E7A8-29D3-4A0C-AC73-B3DCD3ACC6CF}"/>
    <cellStyle name="Normal 2 4 2 3 8 5" xfId="18990" xr:uid="{E1B82F9B-83F2-45BE-B276-FFCC9BA9EB7D}"/>
    <cellStyle name="Normal 2 4 2 3 9" xfId="2457" xr:uid="{00000000-0005-0000-0000-0000340F0000}"/>
    <cellStyle name="Normal 2 4 2 3 9 2" xfId="6741" xr:uid="{00000000-0005-0000-0000-0000350F0000}"/>
    <cellStyle name="Normal 2 4 2 3 9 2 2" xfId="15183" xr:uid="{69D3E312-6B23-4EB9-A74E-427250C5ED44}"/>
    <cellStyle name="Normal 2 4 2 3 9 2 3" xfId="23620" xr:uid="{E222ED77-6167-46B7-A329-789AF26D9F4A}"/>
    <cellStyle name="Normal 2 4 2 3 9 3" xfId="10965" xr:uid="{89FF2167-EAAC-4902-B214-52DD94205249}"/>
    <cellStyle name="Normal 2 4 2 3 9 4" xfId="19403" xr:uid="{38625FB6-1EB5-4242-9124-6CB846B3039E}"/>
    <cellStyle name="Normal 2 4 2 4" xfId="289" xr:uid="{00000000-0005-0000-0000-0000360F0000}"/>
    <cellStyle name="Normal 2 4 2 4 10" xfId="8907" xr:uid="{4165D32B-20A1-499D-BD2A-1921B5B510FB}"/>
    <cellStyle name="Normal 2 4 2 4 11" xfId="17345" xr:uid="{EAFC8693-6700-4BEA-AF3A-E4FDC7992E92}"/>
    <cellStyle name="Normal 2 4 2 4 2" xfId="290" xr:uid="{00000000-0005-0000-0000-0000370F0000}"/>
    <cellStyle name="Normal 2 4 2 4 2 10" xfId="17346" xr:uid="{07B1F3D6-C41E-45CD-A3DF-45A3046D47D9}"/>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3F01DD1B-9890-4D4D-919E-828ADEBA4379}"/>
    <cellStyle name="Normal 2 4 2 4 2 2 2 2 2 3" xfId="24123" xr:uid="{3AA7E915-25E1-49CD-AD50-D7032FF6DC24}"/>
    <cellStyle name="Normal 2 4 2 4 2 2 2 2 3" xfId="11468" xr:uid="{8BAB0B14-23AF-48A7-91AD-E2BB71FF5E1B}"/>
    <cellStyle name="Normal 2 4 2 4 2 2 2 2 4" xfId="19906" xr:uid="{0D12CA08-EF85-4602-BA5F-9AD0D7D2D13E}"/>
    <cellStyle name="Normal 2 4 2 4 2 2 2 3" xfId="5099" xr:uid="{00000000-0005-0000-0000-00003C0F0000}"/>
    <cellStyle name="Normal 2 4 2 4 2 2 2 3 2" xfId="13541" xr:uid="{95678FB3-7F37-489A-BF67-5B209C4AE40E}"/>
    <cellStyle name="Normal 2 4 2 4 2 2 2 3 3" xfId="21978" xr:uid="{63FEBFB4-B39D-4BEF-A155-065BE4D9CAEB}"/>
    <cellStyle name="Normal 2 4 2 4 2 2 2 4" xfId="9323" xr:uid="{A81EAD72-CD3D-4B20-8C0E-DBEA1455AF37}"/>
    <cellStyle name="Normal 2 4 2 4 2 2 2 5" xfId="17761" xr:uid="{F535914C-92DD-45EC-8134-8158C4CB022F}"/>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76E0D4B9-C86A-4B41-8639-B64F1557A50C}"/>
    <cellStyle name="Normal 2 4 2 4 2 2 3 2 2 3" xfId="24536" xr:uid="{5B002838-4D98-4AEE-9811-805446A40815}"/>
    <cellStyle name="Normal 2 4 2 4 2 2 3 2 3" xfId="11881" xr:uid="{A8BAF427-2C21-4733-B09C-E1C4424BB64F}"/>
    <cellStyle name="Normal 2 4 2 4 2 2 3 2 4" xfId="20319" xr:uid="{82B73B99-0291-4CB1-B9DE-3C8A99E27DF1}"/>
    <cellStyle name="Normal 2 4 2 4 2 2 3 3" xfId="5512" xr:uid="{00000000-0005-0000-0000-0000400F0000}"/>
    <cellStyle name="Normal 2 4 2 4 2 2 3 3 2" xfId="13954" xr:uid="{BDAC4DF6-DB1D-4056-AD88-936493400E25}"/>
    <cellStyle name="Normal 2 4 2 4 2 2 3 3 3" xfId="22391" xr:uid="{4CBE23B4-D559-423A-A269-8AFD29124FB4}"/>
    <cellStyle name="Normal 2 4 2 4 2 2 3 4" xfId="9736" xr:uid="{8ED1810A-48DC-49F2-BAC7-9F67A85CC378}"/>
    <cellStyle name="Normal 2 4 2 4 2 2 3 5" xfId="18174" xr:uid="{34D375C6-C4B9-4426-8F3A-C67E73064EBD}"/>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B104B212-3E78-407A-ACAC-E6BD068D8F43}"/>
    <cellStyle name="Normal 2 4 2 4 2 2 4 2 2 3" xfId="24949" xr:uid="{A4E5E7E9-E70A-45FD-BBA2-6D20945C295A}"/>
    <cellStyle name="Normal 2 4 2 4 2 2 4 2 3" xfId="12294" xr:uid="{7E605912-489E-4618-904B-AA78F081E96A}"/>
    <cellStyle name="Normal 2 4 2 4 2 2 4 2 4" xfId="20732" xr:uid="{765A13C3-E744-424D-922D-EBFA0F296381}"/>
    <cellStyle name="Normal 2 4 2 4 2 2 4 3" xfId="5925" xr:uid="{00000000-0005-0000-0000-0000440F0000}"/>
    <cellStyle name="Normal 2 4 2 4 2 2 4 3 2" xfId="14367" xr:uid="{3633477D-93C1-411D-BDCD-9F318493FAF5}"/>
    <cellStyle name="Normal 2 4 2 4 2 2 4 3 3" xfId="22804" xr:uid="{B74B7999-D7B6-43F7-8D2C-ACC0072F56F7}"/>
    <cellStyle name="Normal 2 4 2 4 2 2 4 4" xfId="10149" xr:uid="{285CB124-BA07-468D-972D-26DACC635DD9}"/>
    <cellStyle name="Normal 2 4 2 4 2 2 4 5" xfId="18587" xr:uid="{77847436-853A-42FA-BDEC-48D08FC8052D}"/>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C8162725-C541-4195-8797-228EB9B485A3}"/>
    <cellStyle name="Normal 2 4 2 4 2 2 5 2 2 3" xfId="25362" xr:uid="{F778C8D8-3841-4889-A4A2-4476D06D35F0}"/>
    <cellStyle name="Normal 2 4 2 4 2 2 5 2 3" xfId="12707" xr:uid="{529E3867-1661-4D1B-99BC-E8848823AF0F}"/>
    <cellStyle name="Normal 2 4 2 4 2 2 5 2 4" xfId="21145" xr:uid="{2E60213C-3A0E-4A63-8A62-3A06C4CCD7EC}"/>
    <cellStyle name="Normal 2 4 2 4 2 2 5 3" xfId="6338" xr:uid="{00000000-0005-0000-0000-0000480F0000}"/>
    <cellStyle name="Normal 2 4 2 4 2 2 5 3 2" xfId="14780" xr:uid="{93FE4B35-99CA-4CE7-AC15-12E31AC628FD}"/>
    <cellStyle name="Normal 2 4 2 4 2 2 5 3 3" xfId="23217" xr:uid="{858DA5B6-0D0A-433E-9D2F-E060C9091AC7}"/>
    <cellStyle name="Normal 2 4 2 4 2 2 5 4" xfId="10562" xr:uid="{D19FAC29-9CD2-4B95-9254-5B831F76431E}"/>
    <cellStyle name="Normal 2 4 2 4 2 2 5 5" xfId="19000" xr:uid="{13C4155A-B152-4CA9-BC20-FA70D0E91AAC}"/>
    <cellStyle name="Normal 2 4 2 4 2 2 6" xfId="2467" xr:uid="{00000000-0005-0000-0000-0000490F0000}"/>
    <cellStyle name="Normal 2 4 2 4 2 2 6 2" xfId="6751" xr:uid="{00000000-0005-0000-0000-00004A0F0000}"/>
    <cellStyle name="Normal 2 4 2 4 2 2 6 2 2" xfId="15193" xr:uid="{42AA72D9-25AD-4215-BE07-75A2C8F02A73}"/>
    <cellStyle name="Normal 2 4 2 4 2 2 6 2 3" xfId="23630" xr:uid="{8B9F59D2-C791-42BC-8412-3B674DEA88AB}"/>
    <cellStyle name="Normal 2 4 2 4 2 2 6 3" xfId="10975" xr:uid="{8DEEC262-0055-4D51-B60C-E3155D568BDB}"/>
    <cellStyle name="Normal 2 4 2 4 2 2 6 4" xfId="19413" xr:uid="{5BA61A51-6DB5-4368-87DC-EC5966B9AB65}"/>
    <cellStyle name="Normal 2 4 2 4 2 2 7" xfId="4685" xr:uid="{00000000-0005-0000-0000-00004B0F0000}"/>
    <cellStyle name="Normal 2 4 2 4 2 2 7 2" xfId="13127" xr:uid="{A9AB6C0B-27A6-416C-98B5-2A344E9803E6}"/>
    <cellStyle name="Normal 2 4 2 4 2 2 7 3" xfId="21564" xr:uid="{F8B60EEC-3D9C-4A83-BC63-EAE1A8F1D16E}"/>
    <cellStyle name="Normal 2 4 2 4 2 2 8" xfId="8909" xr:uid="{4C7E96C6-C6A4-431C-B632-E3B9BFA37302}"/>
    <cellStyle name="Normal 2 4 2 4 2 2 9" xfId="17347" xr:uid="{5DC14E7F-56F1-49DD-BB62-411CBBBEEFA7}"/>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3EBF2255-7878-4F81-A513-E71DB36EC199}"/>
    <cellStyle name="Normal 2 4 2 4 2 3 2 2 3" xfId="24122" xr:uid="{A1AB59E6-C62B-48F0-97D2-FC90A4894D5E}"/>
    <cellStyle name="Normal 2 4 2 4 2 3 2 3" xfId="11467" xr:uid="{0252561A-AC5F-4954-A3D3-D4880D755BB3}"/>
    <cellStyle name="Normal 2 4 2 4 2 3 2 4" xfId="19905" xr:uid="{E26F566A-7842-4636-BE08-E47A6C5808DB}"/>
    <cellStyle name="Normal 2 4 2 4 2 3 3" xfId="5098" xr:uid="{00000000-0005-0000-0000-00004F0F0000}"/>
    <cellStyle name="Normal 2 4 2 4 2 3 3 2" xfId="13540" xr:uid="{A1A86BE1-1B25-451F-93C1-004231822C21}"/>
    <cellStyle name="Normal 2 4 2 4 2 3 3 3" xfId="21977" xr:uid="{3A89BB03-4361-4A5D-9DEB-9C404EB30F58}"/>
    <cellStyle name="Normal 2 4 2 4 2 3 4" xfId="9322" xr:uid="{772F9839-4B19-4424-BEFC-B8A575A991D9}"/>
    <cellStyle name="Normal 2 4 2 4 2 3 5" xfId="17760" xr:uid="{BBB3E5FA-2677-4C9C-832A-B65094572E85}"/>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8587AE51-FABC-4B57-BD35-0F10FEE16D70}"/>
    <cellStyle name="Normal 2 4 2 4 2 4 2 2 3" xfId="24535" xr:uid="{B3BE7ACD-3FD9-4186-A75A-7439C76178F8}"/>
    <cellStyle name="Normal 2 4 2 4 2 4 2 3" xfId="11880" xr:uid="{6D86FECD-3883-4A87-9DB4-A9ACF7EB9381}"/>
    <cellStyle name="Normal 2 4 2 4 2 4 2 4" xfId="20318" xr:uid="{ED70A985-07E8-417C-BAFB-073902B26A29}"/>
    <cellStyle name="Normal 2 4 2 4 2 4 3" xfId="5511" xr:uid="{00000000-0005-0000-0000-0000530F0000}"/>
    <cellStyle name="Normal 2 4 2 4 2 4 3 2" xfId="13953" xr:uid="{62F04BAC-6711-4112-B772-13D16651ECCA}"/>
    <cellStyle name="Normal 2 4 2 4 2 4 3 3" xfId="22390" xr:uid="{6301ABFE-5BC6-48F6-AEE8-59FE1B16F6B5}"/>
    <cellStyle name="Normal 2 4 2 4 2 4 4" xfId="9735" xr:uid="{688EEE95-1FCC-4CA6-928B-C8FDA14F2D01}"/>
    <cellStyle name="Normal 2 4 2 4 2 4 5" xfId="18173" xr:uid="{5D740205-E6AE-40C2-96FE-0D11B3F34A5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BDEB6945-5EE2-454E-ACAE-49532B4D616F}"/>
    <cellStyle name="Normal 2 4 2 4 2 5 2 2 3" xfId="24948" xr:uid="{322B196F-2355-4836-B634-0E2EB6D48422}"/>
    <cellStyle name="Normal 2 4 2 4 2 5 2 3" xfId="12293" xr:uid="{0F74C3DD-8CD0-4F45-9E18-92EACCA5C81B}"/>
    <cellStyle name="Normal 2 4 2 4 2 5 2 4" xfId="20731" xr:uid="{9A324D59-E354-4801-88D5-AF33329107A2}"/>
    <cellStyle name="Normal 2 4 2 4 2 5 3" xfId="5924" xr:uid="{00000000-0005-0000-0000-0000570F0000}"/>
    <cellStyle name="Normal 2 4 2 4 2 5 3 2" xfId="14366" xr:uid="{A5ED562C-7FC5-4836-9946-DA5F59E66DCF}"/>
    <cellStyle name="Normal 2 4 2 4 2 5 3 3" xfId="22803" xr:uid="{BA55D764-D9DC-4653-ADA0-50D676AF4A0D}"/>
    <cellStyle name="Normal 2 4 2 4 2 5 4" xfId="10148" xr:uid="{F5BEE0E9-C8F7-469A-BF98-CEB173BB2805}"/>
    <cellStyle name="Normal 2 4 2 4 2 5 5" xfId="18586" xr:uid="{4CAF6E1E-2599-4322-97B8-207EB707EB5D}"/>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2A35CA8E-12A0-4DDE-A7EA-80FDBB9E798F}"/>
    <cellStyle name="Normal 2 4 2 4 2 6 2 2 3" xfId="25361" xr:uid="{FE8C763C-13FF-4805-939C-83B2D04E3596}"/>
    <cellStyle name="Normal 2 4 2 4 2 6 2 3" xfId="12706" xr:uid="{15B6241F-ADF3-4058-AB5D-24F2FBF05974}"/>
    <cellStyle name="Normal 2 4 2 4 2 6 2 4" xfId="21144" xr:uid="{99BDBF38-ACAE-4DF3-B2C4-6460C6D67EDB}"/>
    <cellStyle name="Normal 2 4 2 4 2 6 3" xfId="6337" xr:uid="{00000000-0005-0000-0000-00005B0F0000}"/>
    <cellStyle name="Normal 2 4 2 4 2 6 3 2" xfId="14779" xr:uid="{86408BAF-B46D-4E5D-978B-9390ED445966}"/>
    <cellStyle name="Normal 2 4 2 4 2 6 3 3" xfId="23216" xr:uid="{29C63F15-59B2-4320-AA47-2DBA3F21B14D}"/>
    <cellStyle name="Normal 2 4 2 4 2 6 4" xfId="10561" xr:uid="{1F702459-88CE-4B52-ABDB-590CD8D94B1B}"/>
    <cellStyle name="Normal 2 4 2 4 2 6 5" xfId="18999" xr:uid="{4D197997-8E80-44A0-9F83-2B69884FD756}"/>
    <cellStyle name="Normal 2 4 2 4 2 7" xfId="2466" xr:uid="{00000000-0005-0000-0000-00005C0F0000}"/>
    <cellStyle name="Normal 2 4 2 4 2 7 2" xfId="6750" xr:uid="{00000000-0005-0000-0000-00005D0F0000}"/>
    <cellStyle name="Normal 2 4 2 4 2 7 2 2" xfId="15192" xr:uid="{5372EAFD-3B02-435B-A585-A471FCD78DD3}"/>
    <cellStyle name="Normal 2 4 2 4 2 7 2 3" xfId="23629" xr:uid="{DE0D560C-147F-43DA-9079-5F165DEBB88B}"/>
    <cellStyle name="Normal 2 4 2 4 2 7 3" xfId="10974" xr:uid="{E9FC668F-9FB4-44AB-AD9E-A34F23716902}"/>
    <cellStyle name="Normal 2 4 2 4 2 7 4" xfId="19412" xr:uid="{641EA8CB-8A4E-4CD0-B2F6-1929FEA56FC4}"/>
    <cellStyle name="Normal 2 4 2 4 2 8" xfId="4684" xr:uid="{00000000-0005-0000-0000-00005E0F0000}"/>
    <cellStyle name="Normal 2 4 2 4 2 8 2" xfId="13126" xr:uid="{C1077167-7C8E-4C75-8BFF-B0E80F2F81C5}"/>
    <cellStyle name="Normal 2 4 2 4 2 8 3" xfId="21563" xr:uid="{EB42A6D7-9CE6-4BA5-B9AF-69B587B948F4}"/>
    <cellStyle name="Normal 2 4 2 4 2 9" xfId="8908" xr:uid="{ECD447D1-1FAA-4673-A2EA-2F61244B4DC5}"/>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1BB15B98-08D8-4BA8-BA25-8F04F8FA5869}"/>
    <cellStyle name="Normal 2 4 2 4 3 2 2 2 3" xfId="24124" xr:uid="{F36197E7-7A63-43A5-BCCF-7ED8A1FEDE25}"/>
    <cellStyle name="Normal 2 4 2 4 3 2 2 3" xfId="11469" xr:uid="{FE1496DA-7143-4F7B-AF2E-D4164AE69BCF}"/>
    <cellStyle name="Normal 2 4 2 4 3 2 2 4" xfId="19907" xr:uid="{4A01BDF3-7720-43A9-B01E-0641C06B76EF}"/>
    <cellStyle name="Normal 2 4 2 4 3 2 3" xfId="5100" xr:uid="{00000000-0005-0000-0000-0000630F0000}"/>
    <cellStyle name="Normal 2 4 2 4 3 2 3 2" xfId="13542" xr:uid="{518C7441-D663-4B7B-A09D-91447084CC54}"/>
    <cellStyle name="Normal 2 4 2 4 3 2 3 3" xfId="21979" xr:uid="{E5A71560-D40B-4A18-8A89-E2CFAEE7F81B}"/>
    <cellStyle name="Normal 2 4 2 4 3 2 4" xfId="9324" xr:uid="{380E9D51-5F14-4A42-8972-82C6148F5152}"/>
    <cellStyle name="Normal 2 4 2 4 3 2 5" xfId="17762" xr:uid="{1E7828A4-654D-47D0-B2F0-86E1048F38B8}"/>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56E2B0D3-B2EA-4A0E-933D-4F19A8636A29}"/>
    <cellStyle name="Normal 2 4 2 4 3 3 2 2 3" xfId="24537" xr:uid="{08876E02-1C05-405D-A399-8913E58236BD}"/>
    <cellStyle name="Normal 2 4 2 4 3 3 2 3" xfId="11882" xr:uid="{4F3ABF8E-6B94-4E62-8ADE-31546EB95C62}"/>
    <cellStyle name="Normal 2 4 2 4 3 3 2 4" xfId="20320" xr:uid="{5B87970C-5780-4154-8C1C-D02C8EDEBB11}"/>
    <cellStyle name="Normal 2 4 2 4 3 3 3" xfId="5513" xr:uid="{00000000-0005-0000-0000-0000670F0000}"/>
    <cellStyle name="Normal 2 4 2 4 3 3 3 2" xfId="13955" xr:uid="{0FF00573-3183-4501-8191-A7E62CFB98B3}"/>
    <cellStyle name="Normal 2 4 2 4 3 3 3 3" xfId="22392" xr:uid="{3523E94D-AA57-4861-A9E8-A09248DE4745}"/>
    <cellStyle name="Normal 2 4 2 4 3 3 4" xfId="9737" xr:uid="{A679E0B5-A5F1-4800-8A1C-9C1B1C6DB674}"/>
    <cellStyle name="Normal 2 4 2 4 3 3 5" xfId="18175" xr:uid="{B4555D49-0F86-449A-AF01-640C6E93CEAE}"/>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C79EF68B-B46B-4458-8AD5-7F38CF73D021}"/>
    <cellStyle name="Normal 2 4 2 4 3 4 2 2 3" xfId="24950" xr:uid="{921FC5E3-B8DA-4F68-A69E-E14022A141D5}"/>
    <cellStyle name="Normal 2 4 2 4 3 4 2 3" xfId="12295" xr:uid="{B464C445-93E2-46F5-BEC8-505C13805E36}"/>
    <cellStyle name="Normal 2 4 2 4 3 4 2 4" xfId="20733" xr:uid="{696724F1-07DF-42F0-A7C8-F14518E8CFBE}"/>
    <cellStyle name="Normal 2 4 2 4 3 4 3" xfId="5926" xr:uid="{00000000-0005-0000-0000-00006B0F0000}"/>
    <cellStyle name="Normal 2 4 2 4 3 4 3 2" xfId="14368" xr:uid="{54768843-610A-46EB-AF15-5FD1CF36F029}"/>
    <cellStyle name="Normal 2 4 2 4 3 4 3 3" xfId="22805" xr:uid="{A2119A5E-D9A3-4048-A0E2-CF7C7D411089}"/>
    <cellStyle name="Normal 2 4 2 4 3 4 4" xfId="10150" xr:uid="{04164FB7-892A-4547-A533-7071BE46550E}"/>
    <cellStyle name="Normal 2 4 2 4 3 4 5" xfId="18588" xr:uid="{AC2526CA-2934-4D43-B1EE-07E3F3D52D4F}"/>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4C272148-2014-458E-8FA6-8A2458B26570}"/>
    <cellStyle name="Normal 2 4 2 4 3 5 2 2 3" xfId="25363" xr:uid="{F6BDFD15-F903-47E2-BA75-71EC9EBD9A0A}"/>
    <cellStyle name="Normal 2 4 2 4 3 5 2 3" xfId="12708" xr:uid="{233555A6-797F-4340-8AD4-E9FDB39C5A31}"/>
    <cellStyle name="Normal 2 4 2 4 3 5 2 4" xfId="21146" xr:uid="{D365FAAA-DB45-472A-A2FF-C64911906959}"/>
    <cellStyle name="Normal 2 4 2 4 3 5 3" xfId="6339" xr:uid="{00000000-0005-0000-0000-00006F0F0000}"/>
    <cellStyle name="Normal 2 4 2 4 3 5 3 2" xfId="14781" xr:uid="{D2FDB0D2-311C-45C7-B32A-9A91EA26806D}"/>
    <cellStyle name="Normal 2 4 2 4 3 5 3 3" xfId="23218" xr:uid="{68B9E81C-F8CB-4997-9A46-EB7F3F5CBF22}"/>
    <cellStyle name="Normal 2 4 2 4 3 5 4" xfId="10563" xr:uid="{0F95A3D2-5E78-491F-95DE-D6F3F307528C}"/>
    <cellStyle name="Normal 2 4 2 4 3 5 5" xfId="19001" xr:uid="{33FC55BD-587A-46D6-A420-0807EAD5C7F8}"/>
    <cellStyle name="Normal 2 4 2 4 3 6" xfId="2468" xr:uid="{00000000-0005-0000-0000-0000700F0000}"/>
    <cellStyle name="Normal 2 4 2 4 3 6 2" xfId="6752" xr:uid="{00000000-0005-0000-0000-0000710F0000}"/>
    <cellStyle name="Normal 2 4 2 4 3 6 2 2" xfId="15194" xr:uid="{4AD8BA9D-D2D0-4D0A-9521-9B6DA855F1CB}"/>
    <cellStyle name="Normal 2 4 2 4 3 6 2 3" xfId="23631" xr:uid="{A3F26C5C-6A6C-483F-9C30-6C33330AEBBE}"/>
    <cellStyle name="Normal 2 4 2 4 3 6 3" xfId="10976" xr:uid="{0AC83302-43C5-4814-94A6-5B325CA30344}"/>
    <cellStyle name="Normal 2 4 2 4 3 6 4" xfId="19414" xr:uid="{35C8EB0A-A790-40FA-B5FB-547544442896}"/>
    <cellStyle name="Normal 2 4 2 4 3 7" xfId="4686" xr:uid="{00000000-0005-0000-0000-0000720F0000}"/>
    <cellStyle name="Normal 2 4 2 4 3 7 2" xfId="13128" xr:uid="{284BBD14-0EE4-4CCF-9CC8-A493BE473D86}"/>
    <cellStyle name="Normal 2 4 2 4 3 7 3" xfId="21565" xr:uid="{F8A084C7-E8CB-4069-BA7F-32B224434D1E}"/>
    <cellStyle name="Normal 2 4 2 4 3 8" xfId="8910" xr:uid="{671DE8C7-84AD-4EC2-A521-4999899970E4}"/>
    <cellStyle name="Normal 2 4 2 4 3 9" xfId="17348" xr:uid="{F35ABB19-34C5-4F45-8AC3-711A9126C5C0}"/>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1CE3297F-913E-4B6B-B2D3-329245EAA2D2}"/>
    <cellStyle name="Normal 2 4 2 4 4 2 2 3" xfId="24121" xr:uid="{58E31127-9CC2-45D3-8408-63B1EA4F693B}"/>
    <cellStyle name="Normal 2 4 2 4 4 2 3" xfId="11466" xr:uid="{5D3400BD-30EE-4364-BFE6-75080F64D22D}"/>
    <cellStyle name="Normal 2 4 2 4 4 2 4" xfId="19904" xr:uid="{7B2BF2E6-283C-42F8-B1CD-4A96B97A3958}"/>
    <cellStyle name="Normal 2 4 2 4 4 3" xfId="5097" xr:uid="{00000000-0005-0000-0000-0000760F0000}"/>
    <cellStyle name="Normal 2 4 2 4 4 3 2" xfId="13539" xr:uid="{DA70D84A-5E23-4E58-98BE-2FDF63B8750D}"/>
    <cellStyle name="Normal 2 4 2 4 4 3 3" xfId="21976" xr:uid="{FE88008A-D5CD-4C19-9504-33DFFC545CC1}"/>
    <cellStyle name="Normal 2 4 2 4 4 4" xfId="9321" xr:uid="{9ED82D57-88E3-49BB-B5E5-2F57E4E612AC}"/>
    <cellStyle name="Normal 2 4 2 4 4 5" xfId="17759" xr:uid="{FB6B0492-329A-4BC9-B1F8-B25EA531A8AE}"/>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E2BD3640-F4A0-4780-8B31-17AA2DEA216D}"/>
    <cellStyle name="Normal 2 4 2 4 5 2 2 3" xfId="24534" xr:uid="{C3C0DC00-CFD3-4B3C-A218-4346CA46F788}"/>
    <cellStyle name="Normal 2 4 2 4 5 2 3" xfId="11879" xr:uid="{8154D9D3-5357-4ADF-B3EF-ECE7D22B93B7}"/>
    <cellStyle name="Normal 2 4 2 4 5 2 4" xfId="20317" xr:uid="{079446D8-B087-461F-8714-51897A7F893C}"/>
    <cellStyle name="Normal 2 4 2 4 5 3" xfId="5510" xr:uid="{00000000-0005-0000-0000-00007A0F0000}"/>
    <cellStyle name="Normal 2 4 2 4 5 3 2" xfId="13952" xr:uid="{8267800B-3368-4B41-91D9-645BB9050D42}"/>
    <cellStyle name="Normal 2 4 2 4 5 3 3" xfId="22389" xr:uid="{A18F6425-AC00-4AA8-B6C2-931E48424B2A}"/>
    <cellStyle name="Normal 2 4 2 4 5 4" xfId="9734" xr:uid="{9A8B8101-327C-4358-A9A7-E23D8221825F}"/>
    <cellStyle name="Normal 2 4 2 4 5 5" xfId="18172" xr:uid="{9B275D58-D154-4C3F-9A94-1F1EC3882E99}"/>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57C4FEE2-E40B-4264-B814-800417AB014E}"/>
    <cellStyle name="Normal 2 4 2 4 6 2 2 3" xfId="24947" xr:uid="{316394C1-EB9E-4378-901B-3CF20B258825}"/>
    <cellStyle name="Normal 2 4 2 4 6 2 3" xfId="12292" xr:uid="{0C9778E6-B0E5-483F-8A84-2E2107AE794C}"/>
    <cellStyle name="Normal 2 4 2 4 6 2 4" xfId="20730" xr:uid="{7E9AC82B-0F12-4093-8788-1352525F4E8F}"/>
    <cellStyle name="Normal 2 4 2 4 6 3" xfId="5923" xr:uid="{00000000-0005-0000-0000-00007E0F0000}"/>
    <cellStyle name="Normal 2 4 2 4 6 3 2" xfId="14365" xr:uid="{5BC8EBC0-1A8E-4AA3-9897-CB5CB94EFD27}"/>
    <cellStyle name="Normal 2 4 2 4 6 3 3" xfId="22802" xr:uid="{1A70C811-447C-49F7-9B38-D8B81AF09DA2}"/>
    <cellStyle name="Normal 2 4 2 4 6 4" xfId="10147" xr:uid="{8AE759D0-8363-407E-974A-782BA3A6D02B}"/>
    <cellStyle name="Normal 2 4 2 4 6 5" xfId="18585" xr:uid="{C9AE15BA-5D28-485D-95EE-884290364A36}"/>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DEEAEDA8-6D28-4AA7-B286-A04DD5639C32}"/>
    <cellStyle name="Normal 2 4 2 4 7 2 2 3" xfId="25360" xr:uid="{62F39095-55AC-4429-B3B0-A31854257D3A}"/>
    <cellStyle name="Normal 2 4 2 4 7 2 3" xfId="12705" xr:uid="{8E2B30E6-E2D5-48B5-AAD0-76130F397AED}"/>
    <cellStyle name="Normal 2 4 2 4 7 2 4" xfId="21143" xr:uid="{6D8AC159-D876-43E8-995A-00CA21190A37}"/>
    <cellStyle name="Normal 2 4 2 4 7 3" xfId="6336" xr:uid="{00000000-0005-0000-0000-0000820F0000}"/>
    <cellStyle name="Normal 2 4 2 4 7 3 2" xfId="14778" xr:uid="{537CD1DC-9452-408F-8E58-9A3912F70B99}"/>
    <cellStyle name="Normal 2 4 2 4 7 3 3" xfId="23215" xr:uid="{C8D98AE6-FD2A-41C4-A95A-0F333B99C83C}"/>
    <cellStyle name="Normal 2 4 2 4 7 4" xfId="10560" xr:uid="{FE5C6525-1964-45A2-813B-E614EB7D7383}"/>
    <cellStyle name="Normal 2 4 2 4 7 5" xfId="18998" xr:uid="{F059D05B-00C0-4201-A1E8-BB48F027E00E}"/>
    <cellStyle name="Normal 2 4 2 4 8" xfId="2465" xr:uid="{00000000-0005-0000-0000-0000830F0000}"/>
    <cellStyle name="Normal 2 4 2 4 8 2" xfId="6749" xr:uid="{00000000-0005-0000-0000-0000840F0000}"/>
    <cellStyle name="Normal 2 4 2 4 8 2 2" xfId="15191" xr:uid="{DB06C8C1-6EA3-44B8-B0B3-16852902E416}"/>
    <cellStyle name="Normal 2 4 2 4 8 2 3" xfId="23628" xr:uid="{FF28000C-DA4D-4AAC-A0EC-05A99164DB40}"/>
    <cellStyle name="Normal 2 4 2 4 8 3" xfId="10973" xr:uid="{745187B5-607C-4313-853D-5E8E13886835}"/>
    <cellStyle name="Normal 2 4 2 4 8 4" xfId="19411" xr:uid="{D83DFBEC-F7D4-4A1A-8448-584BAD99A9CE}"/>
    <cellStyle name="Normal 2 4 2 4 9" xfId="4683" xr:uid="{00000000-0005-0000-0000-0000850F0000}"/>
    <cellStyle name="Normal 2 4 2 4 9 2" xfId="13125" xr:uid="{A296DF12-C5B2-4F64-B1B0-E73230EA06AC}"/>
    <cellStyle name="Normal 2 4 2 4 9 3" xfId="21562" xr:uid="{CC7798C0-6112-4AB7-B6D3-77065A09B122}"/>
    <cellStyle name="Normal 2 4 2 5" xfId="293" xr:uid="{00000000-0005-0000-0000-0000860F0000}"/>
    <cellStyle name="Normal 2 4 2 5 10" xfId="17349" xr:uid="{0107AD23-5351-467C-9AB1-E500B8D36E86}"/>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3DB7164B-E690-460B-8D83-6CCA95BC3E26}"/>
    <cellStyle name="Normal 2 4 2 5 2 2 2 2 3" xfId="24126" xr:uid="{7FF70A4A-40EE-4497-9BD3-15D10F8E1E36}"/>
    <cellStyle name="Normal 2 4 2 5 2 2 2 3" xfId="11471" xr:uid="{B4639478-E3C6-4BE2-950C-40DCFC3F7EBE}"/>
    <cellStyle name="Normal 2 4 2 5 2 2 2 4" xfId="19909" xr:uid="{6DCD3A2C-4CB2-4531-8DF8-3C3F6387DB93}"/>
    <cellStyle name="Normal 2 4 2 5 2 2 3" xfId="5102" xr:uid="{00000000-0005-0000-0000-00008B0F0000}"/>
    <cellStyle name="Normal 2 4 2 5 2 2 3 2" xfId="13544" xr:uid="{DDBA3909-3E88-42BC-A120-5E63C948E756}"/>
    <cellStyle name="Normal 2 4 2 5 2 2 3 3" xfId="21981" xr:uid="{F7CEF8BB-AC79-40B4-8B45-E235EC804399}"/>
    <cellStyle name="Normal 2 4 2 5 2 2 4" xfId="9326" xr:uid="{DE55CCE9-14C2-4FB2-BEDA-D06446F39BA8}"/>
    <cellStyle name="Normal 2 4 2 5 2 2 5" xfId="17764" xr:uid="{09F4E3B1-E7C5-4D1B-9B93-943235663E11}"/>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B05A214F-5473-4DD4-9666-5C49B4F0CADC}"/>
    <cellStyle name="Normal 2 4 2 5 2 3 2 2 3" xfId="24539" xr:uid="{7A2B5B41-A0F3-4BAB-BD31-3B99BB4C18BC}"/>
    <cellStyle name="Normal 2 4 2 5 2 3 2 3" xfId="11884" xr:uid="{CFCCD1DB-A923-4A4E-8293-F651D66A26A5}"/>
    <cellStyle name="Normal 2 4 2 5 2 3 2 4" xfId="20322" xr:uid="{7C7B4785-7DB0-4A34-A7FF-AE9A45515618}"/>
    <cellStyle name="Normal 2 4 2 5 2 3 3" xfId="5515" xr:uid="{00000000-0005-0000-0000-00008F0F0000}"/>
    <cellStyle name="Normal 2 4 2 5 2 3 3 2" xfId="13957" xr:uid="{6B3846A3-1967-40BC-9231-2C7D8DE95B5C}"/>
    <cellStyle name="Normal 2 4 2 5 2 3 3 3" xfId="22394" xr:uid="{51F0CA76-4425-487E-B0D5-54A9AF06E1C6}"/>
    <cellStyle name="Normal 2 4 2 5 2 3 4" xfId="9739" xr:uid="{7E609C3C-6E07-481A-A18F-4DC710A2D3F9}"/>
    <cellStyle name="Normal 2 4 2 5 2 3 5" xfId="18177" xr:uid="{606EA587-22B8-4A6D-A164-A2FB89414AD8}"/>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46189E5A-198D-4166-A843-BF3435007BF7}"/>
    <cellStyle name="Normal 2 4 2 5 2 4 2 2 3" xfId="24952" xr:uid="{CBA921FE-9883-4303-BEF0-8376BFFE3B59}"/>
    <cellStyle name="Normal 2 4 2 5 2 4 2 3" xfId="12297" xr:uid="{1BE29BFC-F398-4668-9582-0600AF45AE1E}"/>
    <cellStyle name="Normal 2 4 2 5 2 4 2 4" xfId="20735" xr:uid="{9C9A2356-9022-46A5-88C0-1A17EFA71D34}"/>
    <cellStyle name="Normal 2 4 2 5 2 4 3" xfId="5928" xr:uid="{00000000-0005-0000-0000-0000930F0000}"/>
    <cellStyle name="Normal 2 4 2 5 2 4 3 2" xfId="14370" xr:uid="{E0811879-6DB4-48BA-92B0-714CF645CA68}"/>
    <cellStyle name="Normal 2 4 2 5 2 4 3 3" xfId="22807" xr:uid="{3A1DAA40-C0C0-43EF-B97D-64E3F1B663DD}"/>
    <cellStyle name="Normal 2 4 2 5 2 4 4" xfId="10152" xr:uid="{C7B2D532-C630-44FA-BEA1-902C4C3DB365}"/>
    <cellStyle name="Normal 2 4 2 5 2 4 5" xfId="18590" xr:uid="{B6DA22D5-7929-4426-B62B-3E6515C6DCA3}"/>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C4515C97-05BA-41FC-AAD0-3DD7EAB15B3B}"/>
    <cellStyle name="Normal 2 4 2 5 2 5 2 2 3" xfId="25365" xr:uid="{9EF449D1-D6D2-474C-9555-3522EFC84137}"/>
    <cellStyle name="Normal 2 4 2 5 2 5 2 3" xfId="12710" xr:uid="{505D5036-0FF8-4EBC-8D12-5289DF7DFC75}"/>
    <cellStyle name="Normal 2 4 2 5 2 5 2 4" xfId="21148" xr:uid="{B9885DD9-9E9A-4967-BD85-E80BF8ED1B8F}"/>
    <cellStyle name="Normal 2 4 2 5 2 5 3" xfId="6341" xr:uid="{00000000-0005-0000-0000-0000970F0000}"/>
    <cellStyle name="Normal 2 4 2 5 2 5 3 2" xfId="14783" xr:uid="{68475F2A-DC32-4283-AE7D-787548E68EE3}"/>
    <cellStyle name="Normal 2 4 2 5 2 5 3 3" xfId="23220" xr:uid="{005D3C35-3183-45B0-8662-A095E340E987}"/>
    <cellStyle name="Normal 2 4 2 5 2 5 4" xfId="10565" xr:uid="{71C56752-2E33-4593-90EF-35E948E886D6}"/>
    <cellStyle name="Normal 2 4 2 5 2 5 5" xfId="19003" xr:uid="{51173B87-1087-4685-84C0-68CD264BF127}"/>
    <cellStyle name="Normal 2 4 2 5 2 6" xfId="2470" xr:uid="{00000000-0005-0000-0000-0000980F0000}"/>
    <cellStyle name="Normal 2 4 2 5 2 6 2" xfId="6754" xr:uid="{00000000-0005-0000-0000-0000990F0000}"/>
    <cellStyle name="Normal 2 4 2 5 2 6 2 2" xfId="15196" xr:uid="{BD1A9E4A-A72D-44A5-8C1F-53A8093D57AC}"/>
    <cellStyle name="Normal 2 4 2 5 2 6 2 3" xfId="23633" xr:uid="{60BCA452-850C-4279-97E8-B39AD3D56AE7}"/>
    <cellStyle name="Normal 2 4 2 5 2 6 3" xfId="10978" xr:uid="{06DEC226-4B66-4393-B5BC-C29A9B49F99B}"/>
    <cellStyle name="Normal 2 4 2 5 2 6 4" xfId="19416" xr:uid="{F7F30EFA-B5CA-46B4-A5B3-322876CA1E78}"/>
    <cellStyle name="Normal 2 4 2 5 2 7" xfId="4688" xr:uid="{00000000-0005-0000-0000-00009A0F0000}"/>
    <cellStyle name="Normal 2 4 2 5 2 7 2" xfId="13130" xr:uid="{0E0E9858-F44F-431A-863A-D12667864069}"/>
    <cellStyle name="Normal 2 4 2 5 2 7 3" xfId="21567" xr:uid="{844EB207-B4EB-44DB-AD28-E037638566D1}"/>
    <cellStyle name="Normal 2 4 2 5 2 8" xfId="8912" xr:uid="{CB0850DA-E15F-44EC-9B4E-65BEE962F1CA}"/>
    <cellStyle name="Normal 2 4 2 5 2 9" xfId="17350" xr:uid="{5E6F85EE-2A1D-42B5-ACE5-D309A14D2969}"/>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2A33CE8B-A89D-4163-A1F5-9635A7162B47}"/>
    <cellStyle name="Normal 2 4 2 5 3 2 2 3" xfId="24125" xr:uid="{29285F99-9F89-4C78-ACAF-4BCF2B8CA023}"/>
    <cellStyle name="Normal 2 4 2 5 3 2 3" xfId="11470" xr:uid="{D6D7971A-4CEB-4231-A81B-74D372ABCCBB}"/>
    <cellStyle name="Normal 2 4 2 5 3 2 4" xfId="19908" xr:uid="{EBCB4380-2DDD-49DB-BA80-D8D8CA7EEE64}"/>
    <cellStyle name="Normal 2 4 2 5 3 3" xfId="5101" xr:uid="{00000000-0005-0000-0000-00009E0F0000}"/>
    <cellStyle name="Normal 2 4 2 5 3 3 2" xfId="13543" xr:uid="{BF34ED93-719A-4719-A649-204C00247F68}"/>
    <cellStyle name="Normal 2 4 2 5 3 3 3" xfId="21980" xr:uid="{36F58CC2-819B-4A31-8502-962E627174A7}"/>
    <cellStyle name="Normal 2 4 2 5 3 4" xfId="9325" xr:uid="{0EB53E45-E148-4CF4-A946-6240AAAC9C0C}"/>
    <cellStyle name="Normal 2 4 2 5 3 5" xfId="17763" xr:uid="{D246DE23-631C-40E1-AF51-63E6FABFFD65}"/>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803CE39F-D972-414A-ADB7-DDAEBB52D818}"/>
    <cellStyle name="Normal 2 4 2 5 4 2 2 3" xfId="24538" xr:uid="{1EF61D22-2A37-4CA5-B12B-81CD86E3E0B1}"/>
    <cellStyle name="Normal 2 4 2 5 4 2 3" xfId="11883" xr:uid="{3B0AD077-2660-474B-8857-59329E8F9654}"/>
    <cellStyle name="Normal 2 4 2 5 4 2 4" xfId="20321" xr:uid="{92F651EC-7073-44DA-8520-36F06BB25C3C}"/>
    <cellStyle name="Normal 2 4 2 5 4 3" xfId="5514" xr:uid="{00000000-0005-0000-0000-0000A20F0000}"/>
    <cellStyle name="Normal 2 4 2 5 4 3 2" xfId="13956" xr:uid="{75ABFDCA-98A7-4543-8752-B28903EA5FBE}"/>
    <cellStyle name="Normal 2 4 2 5 4 3 3" xfId="22393" xr:uid="{1DFC01E3-86A7-4BF5-9A53-A334A546AD8F}"/>
    <cellStyle name="Normal 2 4 2 5 4 4" xfId="9738" xr:uid="{B53A0833-FEBF-4590-ABB7-A51DBF78E903}"/>
    <cellStyle name="Normal 2 4 2 5 4 5" xfId="18176" xr:uid="{02A2FEC1-E2AE-413A-A65B-FA9F2EBE6D7F}"/>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DEACCC37-3732-4658-A60D-2FF1C80F5E60}"/>
    <cellStyle name="Normal 2 4 2 5 5 2 2 3" xfId="24951" xr:uid="{0E1C506B-A453-4F9B-B32A-A761D65A8176}"/>
    <cellStyle name="Normal 2 4 2 5 5 2 3" xfId="12296" xr:uid="{BB1ED07E-C88F-4310-9401-AE56EF47F82D}"/>
    <cellStyle name="Normal 2 4 2 5 5 2 4" xfId="20734" xr:uid="{F67F3A4C-FCD1-426D-AF83-01A81D0B0AA1}"/>
    <cellStyle name="Normal 2 4 2 5 5 3" xfId="5927" xr:uid="{00000000-0005-0000-0000-0000A60F0000}"/>
    <cellStyle name="Normal 2 4 2 5 5 3 2" xfId="14369" xr:uid="{8E924F7F-8E6C-49E9-8AD3-C7E65C94DF9F}"/>
    <cellStyle name="Normal 2 4 2 5 5 3 3" xfId="22806" xr:uid="{73C85593-146B-4208-B803-9655329296DD}"/>
    <cellStyle name="Normal 2 4 2 5 5 4" xfId="10151" xr:uid="{9198FB19-9980-4FE7-A4AC-B76E751AF526}"/>
    <cellStyle name="Normal 2 4 2 5 5 5" xfId="18589" xr:uid="{EAD73CBE-21C2-4975-A39A-ED01078A03A1}"/>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EEC8AA29-020F-4767-99A8-D4B1744EECA4}"/>
    <cellStyle name="Normal 2 4 2 5 6 2 2 3" xfId="25364" xr:uid="{CB962488-7729-4E13-9075-BED951A842BC}"/>
    <cellStyle name="Normal 2 4 2 5 6 2 3" xfId="12709" xr:uid="{EA1B3635-B1CA-452C-93BB-BE852BF5626A}"/>
    <cellStyle name="Normal 2 4 2 5 6 2 4" xfId="21147" xr:uid="{48D1DC7E-9209-40D1-83A1-59C0B198C703}"/>
    <cellStyle name="Normal 2 4 2 5 6 3" xfId="6340" xr:uid="{00000000-0005-0000-0000-0000AA0F0000}"/>
    <cellStyle name="Normal 2 4 2 5 6 3 2" xfId="14782" xr:uid="{B0D234E9-1CE8-4109-833E-6BB82CF601F0}"/>
    <cellStyle name="Normal 2 4 2 5 6 3 3" xfId="23219" xr:uid="{70B35107-88F3-4751-8EF4-1DB307CE5120}"/>
    <cellStyle name="Normal 2 4 2 5 6 4" xfId="10564" xr:uid="{F1BDD4FF-E93D-4072-B13F-AE0A42A9A423}"/>
    <cellStyle name="Normal 2 4 2 5 6 5" xfId="19002" xr:uid="{02240493-212A-4581-9B1B-204E62F8A170}"/>
    <cellStyle name="Normal 2 4 2 5 7" xfId="2469" xr:uid="{00000000-0005-0000-0000-0000AB0F0000}"/>
    <cellStyle name="Normal 2 4 2 5 7 2" xfId="6753" xr:uid="{00000000-0005-0000-0000-0000AC0F0000}"/>
    <cellStyle name="Normal 2 4 2 5 7 2 2" xfId="15195" xr:uid="{6FAB0E57-9E4A-41A6-9B85-15739C813CB3}"/>
    <cellStyle name="Normal 2 4 2 5 7 2 3" xfId="23632" xr:uid="{735B06AA-DB60-4F8A-B8B9-32F9873BBB1A}"/>
    <cellStyle name="Normal 2 4 2 5 7 3" xfId="10977" xr:uid="{22B9F774-2F2E-42AA-9FBA-45EEF3DEA6AB}"/>
    <cellStyle name="Normal 2 4 2 5 7 4" xfId="19415" xr:uid="{B3A5DC5E-569B-43C5-B579-BD132E7CEC87}"/>
    <cellStyle name="Normal 2 4 2 5 8" xfId="4687" xr:uid="{00000000-0005-0000-0000-0000AD0F0000}"/>
    <cellStyle name="Normal 2 4 2 5 8 2" xfId="13129" xr:uid="{1E3DE612-E639-4252-8081-F1B1BF57A110}"/>
    <cellStyle name="Normal 2 4 2 5 8 3" xfId="21566" xr:uid="{00BA2E10-1AEE-4DEE-9E0B-5E8EB4A4D025}"/>
    <cellStyle name="Normal 2 4 2 5 9" xfId="8911" xr:uid="{96BA580E-7185-46DE-9672-0FFE95087CF1}"/>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B4197E35-CB81-4F76-B532-41077EEC2242}"/>
    <cellStyle name="Normal 2 4 2 6 2 2 2 3" xfId="24127" xr:uid="{D278B654-8223-453E-8EF5-F198B85A9937}"/>
    <cellStyle name="Normal 2 4 2 6 2 2 3" xfId="11472" xr:uid="{D6B83DC7-83AD-4F08-BD30-8E0B63A20D55}"/>
    <cellStyle name="Normal 2 4 2 6 2 2 4" xfId="19910" xr:uid="{D0635FB2-F181-446D-99B4-06BF57FCC3E8}"/>
    <cellStyle name="Normal 2 4 2 6 2 3" xfId="5103" xr:uid="{00000000-0005-0000-0000-0000B20F0000}"/>
    <cellStyle name="Normal 2 4 2 6 2 3 2" xfId="13545" xr:uid="{E7407746-1CAB-4738-8EDA-4611E5589022}"/>
    <cellStyle name="Normal 2 4 2 6 2 3 3" xfId="21982" xr:uid="{4952BB7C-DB21-4C38-A761-EA52EECCE1A2}"/>
    <cellStyle name="Normal 2 4 2 6 2 4" xfId="9327" xr:uid="{81345AF5-7CBA-4469-B32B-3ABC128C4C76}"/>
    <cellStyle name="Normal 2 4 2 6 2 5" xfId="17765" xr:uid="{C4A773C6-8A37-4219-A2B3-5517283E8AD6}"/>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9C2ADC68-760A-466F-8C51-F3B5A45A7B1B}"/>
    <cellStyle name="Normal 2 4 2 6 3 2 2 3" xfId="24540" xr:uid="{9D0E5865-8747-409C-9698-F3F92D121864}"/>
    <cellStyle name="Normal 2 4 2 6 3 2 3" xfId="11885" xr:uid="{EB1EDCD5-DC50-4EBC-83AE-18D7FA815A87}"/>
    <cellStyle name="Normal 2 4 2 6 3 2 4" xfId="20323" xr:uid="{5689EED4-FB68-454A-86D9-228EB952E8AF}"/>
    <cellStyle name="Normal 2 4 2 6 3 3" xfId="5516" xr:uid="{00000000-0005-0000-0000-0000B60F0000}"/>
    <cellStyle name="Normal 2 4 2 6 3 3 2" xfId="13958" xr:uid="{9EBFCEAA-E919-4757-8B85-762EEF5ACA6B}"/>
    <cellStyle name="Normal 2 4 2 6 3 3 3" xfId="22395" xr:uid="{D8FD20D6-5513-49B3-9293-C4E8F892BED1}"/>
    <cellStyle name="Normal 2 4 2 6 3 4" xfId="9740" xr:uid="{93EE110C-1414-48C9-B57C-0678141BA026}"/>
    <cellStyle name="Normal 2 4 2 6 3 5" xfId="18178" xr:uid="{A862985F-5699-4346-BF0C-FB303ADB1041}"/>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77AD397A-1974-4905-A7DA-45D5CAA3C8D0}"/>
    <cellStyle name="Normal 2 4 2 6 4 2 2 3" xfId="24953" xr:uid="{65E390EB-A5F6-4237-B5C1-29BC2A74960E}"/>
    <cellStyle name="Normal 2 4 2 6 4 2 3" xfId="12298" xr:uid="{4D7F1569-1B74-4383-A58E-61B9B02E2B12}"/>
    <cellStyle name="Normal 2 4 2 6 4 2 4" xfId="20736" xr:uid="{54CFF9A9-4492-4B3A-9529-8EEBF0950E55}"/>
    <cellStyle name="Normal 2 4 2 6 4 3" xfId="5929" xr:uid="{00000000-0005-0000-0000-0000BA0F0000}"/>
    <cellStyle name="Normal 2 4 2 6 4 3 2" xfId="14371" xr:uid="{34FF303B-FAEF-4B8F-AE7A-4F8FD1336337}"/>
    <cellStyle name="Normal 2 4 2 6 4 3 3" xfId="22808" xr:uid="{D1C414A3-712A-4A12-BC68-608DB66ECA93}"/>
    <cellStyle name="Normal 2 4 2 6 4 4" xfId="10153" xr:uid="{5552D15A-320C-4B7F-A830-5591807A0F86}"/>
    <cellStyle name="Normal 2 4 2 6 4 5" xfId="18591" xr:uid="{BB970911-FB11-484E-B740-6BE59181AA19}"/>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C6DD772B-21E7-49C1-96E5-0BD1972D0D8E}"/>
    <cellStyle name="Normal 2 4 2 6 5 2 2 3" xfId="25366" xr:uid="{037B3517-CDA3-4870-9F98-33BD5013CD34}"/>
    <cellStyle name="Normal 2 4 2 6 5 2 3" xfId="12711" xr:uid="{8615CBBB-D93D-4630-BF58-E3941BC5F354}"/>
    <cellStyle name="Normal 2 4 2 6 5 2 4" xfId="21149" xr:uid="{70F38CBB-4F8B-4FD8-B0CD-54B666E318FC}"/>
    <cellStyle name="Normal 2 4 2 6 5 3" xfId="6342" xr:uid="{00000000-0005-0000-0000-0000BE0F0000}"/>
    <cellStyle name="Normal 2 4 2 6 5 3 2" xfId="14784" xr:uid="{4C8CCFD2-3112-42F9-954E-A929A98F5EC5}"/>
    <cellStyle name="Normal 2 4 2 6 5 3 3" xfId="23221" xr:uid="{0ACEDF5A-CE75-4A78-9DF6-D9A823DA60E5}"/>
    <cellStyle name="Normal 2 4 2 6 5 4" xfId="10566" xr:uid="{46106EFD-6373-4056-85D9-1AF686386744}"/>
    <cellStyle name="Normal 2 4 2 6 5 5" xfId="19004" xr:uid="{227260D0-3DF1-4CA9-88C3-DE7767DECE22}"/>
    <cellStyle name="Normal 2 4 2 6 6" xfId="2471" xr:uid="{00000000-0005-0000-0000-0000BF0F0000}"/>
    <cellStyle name="Normal 2 4 2 6 6 2" xfId="6755" xr:uid="{00000000-0005-0000-0000-0000C00F0000}"/>
    <cellStyle name="Normal 2 4 2 6 6 2 2" xfId="15197" xr:uid="{637F446F-5DEC-42C6-BB9C-1734185EAFDF}"/>
    <cellStyle name="Normal 2 4 2 6 6 2 3" xfId="23634" xr:uid="{920923BD-AD9E-4EC4-B412-32F27F74981C}"/>
    <cellStyle name="Normal 2 4 2 6 6 3" xfId="10979" xr:uid="{D3B99E24-6E3C-4FA9-B070-57A00F9CB567}"/>
    <cellStyle name="Normal 2 4 2 6 6 4" xfId="19417" xr:uid="{392DE7E7-4213-43BC-8DA9-5375720779A7}"/>
    <cellStyle name="Normal 2 4 2 6 7" xfId="4689" xr:uid="{00000000-0005-0000-0000-0000C10F0000}"/>
    <cellStyle name="Normal 2 4 2 6 7 2" xfId="13131" xr:uid="{DB31D4F0-CD7A-492C-8B1B-9AA137616595}"/>
    <cellStyle name="Normal 2 4 2 6 7 3" xfId="21568" xr:uid="{926A6B39-B214-45F8-B6C9-168827937EE3}"/>
    <cellStyle name="Normal 2 4 2 6 8" xfId="8913" xr:uid="{C63F7E34-778D-4899-8DC3-CD21DFE6E552}"/>
    <cellStyle name="Normal 2 4 2 6 9" xfId="17351" xr:uid="{33A298EA-3A68-4706-AA37-12639631F773}"/>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24CAB74D-31B5-4416-B178-FB28183B3382}"/>
    <cellStyle name="Normal 2 4 2 7 2 2 3" xfId="24112" xr:uid="{B4D7BD16-D13E-41B3-BC31-5A4927E7DDB4}"/>
    <cellStyle name="Normal 2 4 2 7 2 3" xfId="11457" xr:uid="{08D0269F-0154-42E5-9779-DBB1D6A6F5B2}"/>
    <cellStyle name="Normal 2 4 2 7 2 4" xfId="19895" xr:uid="{AC1A6D6E-53BB-4BC9-8E9D-D5BCA3F499C2}"/>
    <cellStyle name="Normal 2 4 2 7 3" xfId="5088" xr:uid="{00000000-0005-0000-0000-0000C50F0000}"/>
    <cellStyle name="Normal 2 4 2 7 3 2" xfId="13530" xr:uid="{F26BD535-565D-4CE8-A050-2481A3DEC0CB}"/>
    <cellStyle name="Normal 2 4 2 7 3 3" xfId="21967" xr:uid="{81B007BF-01AC-4936-A223-790EBCA17D06}"/>
    <cellStyle name="Normal 2 4 2 7 4" xfId="9312" xr:uid="{2E2ACEFE-1E1F-4FAD-9E48-33049C71DFAB}"/>
    <cellStyle name="Normal 2 4 2 7 5" xfId="17750" xr:uid="{9174B921-CF1E-4C38-A517-D710632701D1}"/>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8B919B2C-D34E-4F9D-BFB0-67F5924B526E}"/>
    <cellStyle name="Normal 2 4 2 8 2 2 3" xfId="24525" xr:uid="{1157CB0F-6D5B-4EC7-9165-C9EF18288738}"/>
    <cellStyle name="Normal 2 4 2 8 2 3" xfId="11870" xr:uid="{6F505438-08B0-4DEB-BC92-10F4B9A236DA}"/>
    <cellStyle name="Normal 2 4 2 8 2 4" xfId="20308" xr:uid="{94235440-5874-439E-BEDF-C75102783FB7}"/>
    <cellStyle name="Normal 2 4 2 8 3" xfId="5501" xr:uid="{00000000-0005-0000-0000-0000C90F0000}"/>
    <cellStyle name="Normal 2 4 2 8 3 2" xfId="13943" xr:uid="{5DC1E0A8-D11E-4135-B75D-4143F9DEE649}"/>
    <cellStyle name="Normal 2 4 2 8 3 3" xfId="22380" xr:uid="{96031DC7-5FAD-46CC-9145-2CE1999D4446}"/>
    <cellStyle name="Normal 2 4 2 8 4" xfId="9725" xr:uid="{AFCD9EA1-953B-47A7-9EE3-DC9981C24066}"/>
    <cellStyle name="Normal 2 4 2 8 5" xfId="18163" xr:uid="{15E2E91E-E757-48D1-ADF1-E3864EEA6B64}"/>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FA626738-2B16-4021-AB77-35475D24D60D}"/>
    <cellStyle name="Normal 2 4 2 9 2 2 3" xfId="24938" xr:uid="{2DA49B06-2027-4180-80B5-020F475EDB63}"/>
    <cellStyle name="Normal 2 4 2 9 2 3" xfId="12283" xr:uid="{D4AB3F4E-9660-409B-A86A-5279A1DE6172}"/>
    <cellStyle name="Normal 2 4 2 9 2 4" xfId="20721" xr:uid="{D9FA5F68-6AD2-485C-B78A-370D01B76DB5}"/>
    <cellStyle name="Normal 2 4 2 9 3" xfId="5914" xr:uid="{00000000-0005-0000-0000-0000CD0F0000}"/>
    <cellStyle name="Normal 2 4 2 9 3 2" xfId="14356" xr:uid="{F1FAFE2A-664B-4788-8B63-D199E96EB086}"/>
    <cellStyle name="Normal 2 4 2 9 3 3" xfId="22793" xr:uid="{DA169AD7-D678-42B4-8461-281ECB2B0E76}"/>
    <cellStyle name="Normal 2 4 2 9 4" xfId="10138" xr:uid="{22586031-89E6-4401-84CA-6E0AC1E54DDD}"/>
    <cellStyle name="Normal 2 4 2 9 5" xfId="18576" xr:uid="{67555526-D0EB-448F-BB40-DED437388FE9}"/>
    <cellStyle name="Normal 2 4 3" xfId="296" xr:uid="{00000000-0005-0000-0000-0000CE0F0000}"/>
    <cellStyle name="Normal 2 4 3 10" xfId="8914" xr:uid="{B4BBD5D1-67EE-4113-B559-FA8E4A49ED3A}"/>
    <cellStyle name="Normal 2 4 3 11" xfId="17352" xr:uid="{03D0C28A-33A7-4EEE-A6AF-B2B6C785E66E}"/>
    <cellStyle name="Normal 2 4 3 2" xfId="297" xr:uid="{00000000-0005-0000-0000-0000CF0F0000}"/>
    <cellStyle name="Normal 2 4 3 3" xfId="298" xr:uid="{00000000-0005-0000-0000-0000D00F0000}"/>
    <cellStyle name="Normal 2 4 3 3 10" xfId="8915" xr:uid="{5FE2A9C7-0F41-46BC-8ED8-222FC2F64A16}"/>
    <cellStyle name="Normal 2 4 3 3 11" xfId="17353" xr:uid="{45344346-FE69-40C3-AD69-C118D1C7F9A2}"/>
    <cellStyle name="Normal 2 4 3 3 2" xfId="299" xr:uid="{00000000-0005-0000-0000-0000D10F0000}"/>
    <cellStyle name="Normal 2 4 3 3 2 10" xfId="17354" xr:uid="{F7A969AA-86F4-4FC2-83E1-B22A0CCE9761}"/>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0D8C2D90-A57E-4742-A850-B07D4A6448AF}"/>
    <cellStyle name="Normal 2 4 3 3 2 2 2 2 2 3" xfId="24131" xr:uid="{2E7E5941-3FB3-4A4A-B1AE-C73AEE180D9F}"/>
    <cellStyle name="Normal 2 4 3 3 2 2 2 2 3" xfId="11476" xr:uid="{445FD009-5314-4C64-9166-F304C6930ECF}"/>
    <cellStyle name="Normal 2 4 3 3 2 2 2 2 4" xfId="19914" xr:uid="{CAF01667-66F5-4084-ABA3-9C303B87FFB8}"/>
    <cellStyle name="Normal 2 4 3 3 2 2 2 3" xfId="5107" xr:uid="{00000000-0005-0000-0000-0000D60F0000}"/>
    <cellStyle name="Normal 2 4 3 3 2 2 2 3 2" xfId="13549" xr:uid="{FD41E89E-B6CA-4C2A-AAB0-E2AD2A400BD7}"/>
    <cellStyle name="Normal 2 4 3 3 2 2 2 3 3" xfId="21986" xr:uid="{1FCDFBA5-DF16-4678-B493-039FF29C5F11}"/>
    <cellStyle name="Normal 2 4 3 3 2 2 2 4" xfId="9331" xr:uid="{B8CD523C-F7D2-4A12-B2D8-899C904F7EB5}"/>
    <cellStyle name="Normal 2 4 3 3 2 2 2 5" xfId="17769" xr:uid="{0A0CECBE-E374-4AB7-BFEE-FABDE1CCEE35}"/>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4289CACB-E385-4A6F-AD09-67BBA93FA5A5}"/>
    <cellStyle name="Normal 2 4 3 3 2 2 3 2 2 3" xfId="24544" xr:uid="{D5271347-7200-4E38-8018-6E6D536F6F89}"/>
    <cellStyle name="Normal 2 4 3 3 2 2 3 2 3" xfId="11889" xr:uid="{4190033E-C44A-4ADC-951F-DB5AE1A982A2}"/>
    <cellStyle name="Normal 2 4 3 3 2 2 3 2 4" xfId="20327" xr:uid="{FBCEA566-7EF9-4AE3-98E6-129B4B4D6E37}"/>
    <cellStyle name="Normal 2 4 3 3 2 2 3 3" xfId="5520" xr:uid="{00000000-0005-0000-0000-0000DA0F0000}"/>
    <cellStyle name="Normal 2 4 3 3 2 2 3 3 2" xfId="13962" xr:uid="{8C7D5BD2-D216-4C02-828E-B6488C704003}"/>
    <cellStyle name="Normal 2 4 3 3 2 2 3 3 3" xfId="22399" xr:uid="{E7E2F18C-89AA-4D4B-B887-30BCCFE800CF}"/>
    <cellStyle name="Normal 2 4 3 3 2 2 3 4" xfId="9744" xr:uid="{2B6303DB-F18B-4134-A404-BCB2FE68AE68}"/>
    <cellStyle name="Normal 2 4 3 3 2 2 3 5" xfId="18182" xr:uid="{1E17B7A8-0185-4B64-AD84-3ADC2741D574}"/>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9D00B539-15D9-403B-91C4-652F51BD34F9}"/>
    <cellStyle name="Normal 2 4 3 3 2 2 4 2 2 3" xfId="24957" xr:uid="{F82C5702-3B95-43E1-8FED-2988E5EB8235}"/>
    <cellStyle name="Normal 2 4 3 3 2 2 4 2 3" xfId="12302" xr:uid="{42ADFA9B-9BE7-4871-AEB6-DD856A72EACE}"/>
    <cellStyle name="Normal 2 4 3 3 2 2 4 2 4" xfId="20740" xr:uid="{E9058D79-7430-4CAD-9A1A-5E52D9FCADE2}"/>
    <cellStyle name="Normal 2 4 3 3 2 2 4 3" xfId="5933" xr:uid="{00000000-0005-0000-0000-0000DE0F0000}"/>
    <cellStyle name="Normal 2 4 3 3 2 2 4 3 2" xfId="14375" xr:uid="{5F39D4C3-3CEF-49C9-A203-801513120292}"/>
    <cellStyle name="Normal 2 4 3 3 2 2 4 3 3" xfId="22812" xr:uid="{2926E5BC-A20F-46ED-9CF6-FBCDA9D2CD1C}"/>
    <cellStyle name="Normal 2 4 3 3 2 2 4 4" xfId="10157" xr:uid="{5A7D657C-8B36-4F80-A110-935F4B714741}"/>
    <cellStyle name="Normal 2 4 3 3 2 2 4 5" xfId="18595" xr:uid="{B946D03C-D2BB-4761-9F04-A9B0E7B8D6C8}"/>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AE139B4D-0101-48A1-8CCF-594E182D3645}"/>
    <cellStyle name="Normal 2 4 3 3 2 2 5 2 2 3" xfId="25370" xr:uid="{5D3D2D94-626F-41AA-B684-87F42918D10D}"/>
    <cellStyle name="Normal 2 4 3 3 2 2 5 2 3" xfId="12715" xr:uid="{296D1AEA-96E4-4622-A067-6295306076DC}"/>
    <cellStyle name="Normal 2 4 3 3 2 2 5 2 4" xfId="21153" xr:uid="{AE6BA58F-6010-41B9-8C91-F7261F2E67D0}"/>
    <cellStyle name="Normal 2 4 3 3 2 2 5 3" xfId="6346" xr:uid="{00000000-0005-0000-0000-0000E20F0000}"/>
    <cellStyle name="Normal 2 4 3 3 2 2 5 3 2" xfId="14788" xr:uid="{3ED150D7-F63F-4E4A-8816-8AE3CE061D35}"/>
    <cellStyle name="Normal 2 4 3 3 2 2 5 3 3" xfId="23225" xr:uid="{F1DE7198-4072-421D-AF79-E815C9988831}"/>
    <cellStyle name="Normal 2 4 3 3 2 2 5 4" xfId="10570" xr:uid="{5188B495-6C29-47E8-B959-2B3EA44FD988}"/>
    <cellStyle name="Normal 2 4 3 3 2 2 5 5" xfId="19008" xr:uid="{5AE18C6E-65D6-4589-84AF-5AE05F44C1E6}"/>
    <cellStyle name="Normal 2 4 3 3 2 2 6" xfId="2475" xr:uid="{00000000-0005-0000-0000-0000E30F0000}"/>
    <cellStyle name="Normal 2 4 3 3 2 2 6 2" xfId="6759" xr:uid="{00000000-0005-0000-0000-0000E40F0000}"/>
    <cellStyle name="Normal 2 4 3 3 2 2 6 2 2" xfId="15201" xr:uid="{8D40EEED-60A8-459F-9C2E-F79D8EB77114}"/>
    <cellStyle name="Normal 2 4 3 3 2 2 6 2 3" xfId="23638" xr:uid="{9786DD82-15D0-4DB9-AE4B-10CE0B3B6B2B}"/>
    <cellStyle name="Normal 2 4 3 3 2 2 6 3" xfId="10983" xr:uid="{4C57BE9B-3128-4BB4-B6BA-BA97CB2B8C30}"/>
    <cellStyle name="Normal 2 4 3 3 2 2 6 4" xfId="19421" xr:uid="{2B8741FB-34AE-466C-A13E-725E33F894FC}"/>
    <cellStyle name="Normal 2 4 3 3 2 2 7" xfId="4693" xr:uid="{00000000-0005-0000-0000-0000E50F0000}"/>
    <cellStyle name="Normal 2 4 3 3 2 2 7 2" xfId="13135" xr:uid="{9921AAFA-D3BB-49E4-9C7D-DBB2B377BF53}"/>
    <cellStyle name="Normal 2 4 3 3 2 2 7 3" xfId="21572" xr:uid="{E854CF59-35BC-41E3-AFC8-46B32EC8372A}"/>
    <cellStyle name="Normal 2 4 3 3 2 2 8" xfId="8917" xr:uid="{445349EC-903B-486F-8653-F6CBB496476A}"/>
    <cellStyle name="Normal 2 4 3 3 2 2 9" xfId="17355" xr:uid="{5F6E3D78-14DE-41DD-9AD0-EEEBAE30CEFF}"/>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0C21BF91-D145-4F61-B132-F40AF12D731A}"/>
    <cellStyle name="Normal 2 4 3 3 2 3 2 2 3" xfId="24130" xr:uid="{8880EBAE-AD97-4709-9C1A-D760DE0DEA62}"/>
    <cellStyle name="Normal 2 4 3 3 2 3 2 3" xfId="11475" xr:uid="{B3E633C7-3BA3-4A74-BDC6-CD2B1C7ED592}"/>
    <cellStyle name="Normal 2 4 3 3 2 3 2 4" xfId="19913" xr:uid="{D2298237-5FA7-4CA0-A7D6-94BE1FAD2F4B}"/>
    <cellStyle name="Normal 2 4 3 3 2 3 3" xfId="5106" xr:uid="{00000000-0005-0000-0000-0000E90F0000}"/>
    <cellStyle name="Normal 2 4 3 3 2 3 3 2" xfId="13548" xr:uid="{9C873E0E-9DCC-4D2C-82AD-1DC7DCA91E5F}"/>
    <cellStyle name="Normal 2 4 3 3 2 3 3 3" xfId="21985" xr:uid="{C44D8281-D3E0-4FA1-A04D-6176622BDF4D}"/>
    <cellStyle name="Normal 2 4 3 3 2 3 4" xfId="9330" xr:uid="{F96095F1-F217-45AE-A8E9-6003700C2B34}"/>
    <cellStyle name="Normal 2 4 3 3 2 3 5" xfId="17768" xr:uid="{E958DBA9-AAC1-4D50-B708-B1D95F14BF2B}"/>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AA70AEBF-F73E-4772-81FE-EFCE9C2EFD41}"/>
    <cellStyle name="Normal 2 4 3 3 2 4 2 2 3" xfId="24543" xr:uid="{A271F7F2-CFD1-4A59-9B46-67F085C92B08}"/>
    <cellStyle name="Normal 2 4 3 3 2 4 2 3" xfId="11888" xr:uid="{B3D8B702-27BC-4599-8770-7339FCC2DABC}"/>
    <cellStyle name="Normal 2 4 3 3 2 4 2 4" xfId="20326" xr:uid="{8F2B1520-BA1D-4B58-814E-7B4AE3143DAD}"/>
    <cellStyle name="Normal 2 4 3 3 2 4 3" xfId="5519" xr:uid="{00000000-0005-0000-0000-0000ED0F0000}"/>
    <cellStyle name="Normal 2 4 3 3 2 4 3 2" xfId="13961" xr:uid="{CB8EF7E7-1503-410C-8236-1BFF67EAB06C}"/>
    <cellStyle name="Normal 2 4 3 3 2 4 3 3" xfId="22398" xr:uid="{A7F858EE-5360-4271-B22A-216DE2FF68FD}"/>
    <cellStyle name="Normal 2 4 3 3 2 4 4" xfId="9743" xr:uid="{0F44B375-73E7-44EB-97EC-2778DC0F9F81}"/>
    <cellStyle name="Normal 2 4 3 3 2 4 5" xfId="18181" xr:uid="{640512BA-6243-4E08-8F7A-73371E1DB161}"/>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CF6DD667-7FE8-4CAB-A3CB-BE41CA002D62}"/>
    <cellStyle name="Normal 2 4 3 3 2 5 2 2 3" xfId="24956" xr:uid="{313B5D41-F01B-49ED-9384-AADE5F8ECCE4}"/>
    <cellStyle name="Normal 2 4 3 3 2 5 2 3" xfId="12301" xr:uid="{2D6146DD-71FE-49AA-9F53-86DCACB7900B}"/>
    <cellStyle name="Normal 2 4 3 3 2 5 2 4" xfId="20739" xr:uid="{E554EDE1-BEFA-4735-8219-D6DF6D532E7A}"/>
    <cellStyle name="Normal 2 4 3 3 2 5 3" xfId="5932" xr:uid="{00000000-0005-0000-0000-0000F10F0000}"/>
    <cellStyle name="Normal 2 4 3 3 2 5 3 2" xfId="14374" xr:uid="{C10D793C-D0B9-4BE5-9AA6-1DE3D08C3D92}"/>
    <cellStyle name="Normal 2 4 3 3 2 5 3 3" xfId="22811" xr:uid="{258C081F-A256-46FB-BF38-29312A11FC95}"/>
    <cellStyle name="Normal 2 4 3 3 2 5 4" xfId="10156" xr:uid="{423F2BDC-B0E6-4C1A-9B16-26557C629C92}"/>
    <cellStyle name="Normal 2 4 3 3 2 5 5" xfId="18594" xr:uid="{23B85B6A-AA2F-415C-851B-2D7A41E24B8B}"/>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29C966A8-4369-4634-B247-E7EB7D0CC44A}"/>
    <cellStyle name="Normal 2 4 3 3 2 6 2 2 3" xfId="25369" xr:uid="{505F4301-7973-4670-9704-0799EC7D7C07}"/>
    <cellStyle name="Normal 2 4 3 3 2 6 2 3" xfId="12714" xr:uid="{5381F855-6F14-4DDF-872E-3D6D5EFF04A6}"/>
    <cellStyle name="Normal 2 4 3 3 2 6 2 4" xfId="21152" xr:uid="{FA7444BC-B5E0-4510-9024-347C22AA58E3}"/>
    <cellStyle name="Normal 2 4 3 3 2 6 3" xfId="6345" xr:uid="{00000000-0005-0000-0000-0000F50F0000}"/>
    <cellStyle name="Normal 2 4 3 3 2 6 3 2" xfId="14787" xr:uid="{6E27CAAA-9132-4E19-87F4-E95DBEED84AE}"/>
    <cellStyle name="Normal 2 4 3 3 2 6 3 3" xfId="23224" xr:uid="{34B550DC-BBAC-4C0D-9253-D431AB0BD385}"/>
    <cellStyle name="Normal 2 4 3 3 2 6 4" xfId="10569" xr:uid="{EEF79354-74EB-4CD0-B274-562CCFA63969}"/>
    <cellStyle name="Normal 2 4 3 3 2 6 5" xfId="19007" xr:uid="{2DA44D78-CE8C-4751-A544-6CDA0A62E919}"/>
    <cellStyle name="Normal 2 4 3 3 2 7" xfId="2474" xr:uid="{00000000-0005-0000-0000-0000F60F0000}"/>
    <cellStyle name="Normal 2 4 3 3 2 7 2" xfId="6758" xr:uid="{00000000-0005-0000-0000-0000F70F0000}"/>
    <cellStyle name="Normal 2 4 3 3 2 7 2 2" xfId="15200" xr:uid="{868A8A48-BFE6-495F-BA8A-C0F9AE4C9B30}"/>
    <cellStyle name="Normal 2 4 3 3 2 7 2 3" xfId="23637" xr:uid="{A093B990-4A8E-46C3-B704-7C1C9A7E6E92}"/>
    <cellStyle name="Normal 2 4 3 3 2 7 3" xfId="10982" xr:uid="{94E2E39E-F934-4580-9924-BE5438FAB110}"/>
    <cellStyle name="Normal 2 4 3 3 2 7 4" xfId="19420" xr:uid="{B265BB52-C0D1-4727-AA99-05B8D82CB423}"/>
    <cellStyle name="Normal 2 4 3 3 2 8" xfId="4692" xr:uid="{00000000-0005-0000-0000-0000F80F0000}"/>
    <cellStyle name="Normal 2 4 3 3 2 8 2" xfId="13134" xr:uid="{0A92DD81-BC91-40F1-8D92-D355E72BF65E}"/>
    <cellStyle name="Normal 2 4 3 3 2 8 3" xfId="21571" xr:uid="{BFA0ABCB-2BC0-43DD-9CC9-D9E96B9657B6}"/>
    <cellStyle name="Normal 2 4 3 3 2 9" xfId="8916" xr:uid="{CD3B7CE3-B67A-409D-BAEB-D856EF56EC02}"/>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84F3F39F-9693-4A3C-AD00-C1A6A8531C68}"/>
    <cellStyle name="Normal 2 4 3 3 3 2 2 2 3" xfId="24132" xr:uid="{340D3431-CB5E-4BBF-8B3E-6CDF2D68067C}"/>
    <cellStyle name="Normal 2 4 3 3 3 2 2 3" xfId="11477" xr:uid="{F0081BBF-2556-4A01-99C0-360204E244C3}"/>
    <cellStyle name="Normal 2 4 3 3 3 2 2 4" xfId="19915" xr:uid="{2C9C00E3-801E-4535-B411-7B92F8A806F3}"/>
    <cellStyle name="Normal 2 4 3 3 3 2 3" xfId="5108" xr:uid="{00000000-0005-0000-0000-0000FD0F0000}"/>
    <cellStyle name="Normal 2 4 3 3 3 2 3 2" xfId="13550" xr:uid="{A7761FE8-5844-4CE1-8B3E-0C91FD7A08BB}"/>
    <cellStyle name="Normal 2 4 3 3 3 2 3 3" xfId="21987" xr:uid="{3FBCC47F-9362-41ED-937C-7EB2AD082695}"/>
    <cellStyle name="Normal 2 4 3 3 3 2 4" xfId="9332" xr:uid="{62B4DD95-4813-4413-A515-8D54AF24CF66}"/>
    <cellStyle name="Normal 2 4 3 3 3 2 5" xfId="17770" xr:uid="{EAF297A5-B40C-4F27-9164-647A8882D6F3}"/>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A98014BB-F12C-45C8-A2D4-5A34536B3E3C}"/>
    <cellStyle name="Normal 2 4 3 3 3 3 2 2 3" xfId="24545" xr:uid="{D0C673E2-2ACE-4022-A5F5-407D4842E317}"/>
    <cellStyle name="Normal 2 4 3 3 3 3 2 3" xfId="11890" xr:uid="{EA20A6C5-ADC8-425D-A04B-998B4B6C4E3E}"/>
    <cellStyle name="Normal 2 4 3 3 3 3 2 4" xfId="20328" xr:uid="{A742C701-FD06-4CB2-B77A-ADA5976606F9}"/>
    <cellStyle name="Normal 2 4 3 3 3 3 3" xfId="5521" xr:uid="{00000000-0005-0000-0000-000001100000}"/>
    <cellStyle name="Normal 2 4 3 3 3 3 3 2" xfId="13963" xr:uid="{1729D536-3154-4269-9CDE-71ABD83A72B5}"/>
    <cellStyle name="Normal 2 4 3 3 3 3 3 3" xfId="22400" xr:uid="{1BF1D9BC-3718-42D9-AC59-2759FBD2A9ED}"/>
    <cellStyle name="Normal 2 4 3 3 3 3 4" xfId="9745" xr:uid="{6E44E267-9828-483C-BBEB-8BFD3EB79893}"/>
    <cellStyle name="Normal 2 4 3 3 3 3 5" xfId="18183" xr:uid="{2482489C-6975-45C5-B761-6FDCD48905C4}"/>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EF5DFC04-7121-4066-8048-6E12F98C99DB}"/>
    <cellStyle name="Normal 2 4 3 3 3 4 2 2 3" xfId="24958" xr:uid="{A1D1B7E8-B5BE-46B6-A85E-31E52EF4FF98}"/>
    <cellStyle name="Normal 2 4 3 3 3 4 2 3" xfId="12303" xr:uid="{E8C756A8-4A3C-47FC-A323-837A20B980B8}"/>
    <cellStyle name="Normal 2 4 3 3 3 4 2 4" xfId="20741" xr:uid="{95D3B055-B289-47F8-A0E7-3424FBCFFC99}"/>
    <cellStyle name="Normal 2 4 3 3 3 4 3" xfId="5934" xr:uid="{00000000-0005-0000-0000-000005100000}"/>
    <cellStyle name="Normal 2 4 3 3 3 4 3 2" xfId="14376" xr:uid="{4E1AB035-7BE0-4833-8D11-111F97818D35}"/>
    <cellStyle name="Normal 2 4 3 3 3 4 3 3" xfId="22813" xr:uid="{EE080EF3-5DD0-4B38-AA26-85D1DEE62484}"/>
    <cellStyle name="Normal 2 4 3 3 3 4 4" xfId="10158" xr:uid="{FFCD5E88-3E76-4EF2-98AB-DEF2AD02893D}"/>
    <cellStyle name="Normal 2 4 3 3 3 4 5" xfId="18596" xr:uid="{88A928BD-AB6F-4D6E-8261-826E1DD7D0D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CAE75D90-584A-4D53-878A-00439A0439DC}"/>
    <cellStyle name="Normal 2 4 3 3 3 5 2 2 3" xfId="25371" xr:uid="{C6E43A5A-484C-4187-994C-34DB392117B1}"/>
    <cellStyle name="Normal 2 4 3 3 3 5 2 3" xfId="12716" xr:uid="{3CDB69F7-91AB-41B9-90B3-F52F6D9E7C77}"/>
    <cellStyle name="Normal 2 4 3 3 3 5 2 4" xfId="21154" xr:uid="{00DB8420-044C-4D81-8EE6-17FD2BF090B3}"/>
    <cellStyle name="Normal 2 4 3 3 3 5 3" xfId="6347" xr:uid="{00000000-0005-0000-0000-000009100000}"/>
    <cellStyle name="Normal 2 4 3 3 3 5 3 2" xfId="14789" xr:uid="{2D499A88-B34B-4B83-B9E7-A1FFD0F16A9B}"/>
    <cellStyle name="Normal 2 4 3 3 3 5 3 3" xfId="23226" xr:uid="{5CC0F486-EEAF-4DFA-BF3F-E5B460CE8CB1}"/>
    <cellStyle name="Normal 2 4 3 3 3 5 4" xfId="10571" xr:uid="{F0CD2302-FC98-4B9A-A2E2-3946370D2286}"/>
    <cellStyle name="Normal 2 4 3 3 3 5 5" xfId="19009" xr:uid="{6D950E40-ACE3-4B8A-994D-546A9A54F635}"/>
    <cellStyle name="Normal 2 4 3 3 3 6" xfId="2476" xr:uid="{00000000-0005-0000-0000-00000A100000}"/>
    <cellStyle name="Normal 2 4 3 3 3 6 2" xfId="6760" xr:uid="{00000000-0005-0000-0000-00000B100000}"/>
    <cellStyle name="Normal 2 4 3 3 3 6 2 2" xfId="15202" xr:uid="{7F449AD8-B70A-4D2C-B14D-D64C60EB019C}"/>
    <cellStyle name="Normal 2 4 3 3 3 6 2 3" xfId="23639" xr:uid="{1EBC1F65-4196-4C5A-A2A1-9D2AF3A702F2}"/>
    <cellStyle name="Normal 2 4 3 3 3 6 3" xfId="10984" xr:uid="{ECF505E3-7D13-464B-939A-652C4B5BB386}"/>
    <cellStyle name="Normal 2 4 3 3 3 6 4" xfId="19422" xr:uid="{F62BF12B-E8CD-45BF-BE3B-C8396871DF13}"/>
    <cellStyle name="Normal 2 4 3 3 3 7" xfId="4694" xr:uid="{00000000-0005-0000-0000-00000C100000}"/>
    <cellStyle name="Normal 2 4 3 3 3 7 2" xfId="13136" xr:uid="{562BE1F3-A07B-436D-85C6-E442B3E977A6}"/>
    <cellStyle name="Normal 2 4 3 3 3 7 3" xfId="21573" xr:uid="{3C41A572-05F0-43E4-8289-8B67338C8A1D}"/>
    <cellStyle name="Normal 2 4 3 3 3 8" xfId="8918" xr:uid="{2BCFDCE4-AC7F-40DC-B72B-2CC8C050068B}"/>
    <cellStyle name="Normal 2 4 3 3 3 9" xfId="17356" xr:uid="{E71377B0-F3B1-4742-B5AC-59733CDED969}"/>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5D8CF7DC-7A45-4F8F-BB69-5E4669AF2E04}"/>
    <cellStyle name="Normal 2 4 3 3 4 2 2 3" xfId="24129" xr:uid="{B3B5CB2E-1157-44D0-9F9E-01A5FD5A47A7}"/>
    <cellStyle name="Normal 2 4 3 3 4 2 3" xfId="11474" xr:uid="{491258F8-033B-44A9-83C4-85C2AA32986E}"/>
    <cellStyle name="Normal 2 4 3 3 4 2 4" xfId="19912" xr:uid="{E764A966-E277-4306-A0A9-378D3CDDAEB3}"/>
    <cellStyle name="Normal 2 4 3 3 4 3" xfId="5105" xr:uid="{00000000-0005-0000-0000-000010100000}"/>
    <cellStyle name="Normal 2 4 3 3 4 3 2" xfId="13547" xr:uid="{778B1718-BBD4-4D0D-8561-A13E2025560C}"/>
    <cellStyle name="Normal 2 4 3 3 4 3 3" xfId="21984" xr:uid="{871CBBC0-6E72-43E8-9F21-5B811AD26FDB}"/>
    <cellStyle name="Normal 2 4 3 3 4 4" xfId="9329" xr:uid="{A37F5C17-650F-4373-BAAC-3015F0DD2F12}"/>
    <cellStyle name="Normal 2 4 3 3 4 5" xfId="17767" xr:uid="{4350BEEA-C098-4EC0-A90A-84DCB3D0C4DB}"/>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92A6E0D5-5E54-4360-91BB-B79A36F518EB}"/>
    <cellStyle name="Normal 2 4 3 3 5 2 2 3" xfId="24542" xr:uid="{38D0015D-B179-4FD4-A4A8-158AB73149BE}"/>
    <cellStyle name="Normal 2 4 3 3 5 2 3" xfId="11887" xr:uid="{E2F5F5AA-5C14-4F27-84CC-E3F3F4D10292}"/>
    <cellStyle name="Normal 2 4 3 3 5 2 4" xfId="20325" xr:uid="{ABA036CD-FC74-4EBB-878E-57558CF07ED2}"/>
    <cellStyle name="Normal 2 4 3 3 5 3" xfId="5518" xr:uid="{00000000-0005-0000-0000-000014100000}"/>
    <cellStyle name="Normal 2 4 3 3 5 3 2" xfId="13960" xr:uid="{82807539-40E0-427B-B375-4A5A74C9F834}"/>
    <cellStyle name="Normal 2 4 3 3 5 3 3" xfId="22397" xr:uid="{7EF0B993-3A3B-4265-B2F1-CC31737A9958}"/>
    <cellStyle name="Normal 2 4 3 3 5 4" xfId="9742" xr:uid="{6ECA330D-9D16-4319-B27D-63FCD1DC5D36}"/>
    <cellStyle name="Normal 2 4 3 3 5 5" xfId="18180" xr:uid="{1B5E2DFE-BE65-4609-B9D9-E395A26F6983}"/>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F9CAA932-83DC-4417-AE04-674C60359A51}"/>
    <cellStyle name="Normal 2 4 3 3 6 2 2 3" xfId="24955" xr:uid="{51CD3CB7-7FC6-4C02-9897-7819731852F2}"/>
    <cellStyle name="Normal 2 4 3 3 6 2 3" xfId="12300" xr:uid="{4C09D841-E6C3-42B8-9676-5864781C6E2A}"/>
    <cellStyle name="Normal 2 4 3 3 6 2 4" xfId="20738" xr:uid="{CFFA2344-B002-41FC-AEAD-4E698381C417}"/>
    <cellStyle name="Normal 2 4 3 3 6 3" xfId="5931" xr:uid="{00000000-0005-0000-0000-000018100000}"/>
    <cellStyle name="Normal 2 4 3 3 6 3 2" xfId="14373" xr:uid="{88FF31E3-A2C1-40CF-A008-B205BE468863}"/>
    <cellStyle name="Normal 2 4 3 3 6 3 3" xfId="22810" xr:uid="{1A899AEC-7378-47A5-B098-AAB3E0496B0B}"/>
    <cellStyle name="Normal 2 4 3 3 6 4" xfId="10155" xr:uid="{85167861-A4A9-4C3B-A532-8BA72C1C087B}"/>
    <cellStyle name="Normal 2 4 3 3 6 5" xfId="18593" xr:uid="{52365FF3-3F58-488B-B706-237965D4F20B}"/>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82C3743A-47D1-48EA-81BE-5E66E80EAD11}"/>
    <cellStyle name="Normal 2 4 3 3 7 2 2 3" xfId="25368" xr:uid="{6C201185-389E-4554-BE6C-545C698A66EC}"/>
    <cellStyle name="Normal 2 4 3 3 7 2 3" xfId="12713" xr:uid="{7B5584B6-D717-4524-AFCB-0A87E14F1722}"/>
    <cellStyle name="Normal 2 4 3 3 7 2 4" xfId="21151" xr:uid="{FEAD9FFB-1819-45B7-B3EC-4A12BD0007F0}"/>
    <cellStyle name="Normal 2 4 3 3 7 3" xfId="6344" xr:uid="{00000000-0005-0000-0000-00001C100000}"/>
    <cellStyle name="Normal 2 4 3 3 7 3 2" xfId="14786" xr:uid="{81D010BA-0798-483F-842B-A53D914D4029}"/>
    <cellStyle name="Normal 2 4 3 3 7 3 3" xfId="23223" xr:uid="{7909EC05-C449-4CBF-AF4A-66B6E7D804C6}"/>
    <cellStyle name="Normal 2 4 3 3 7 4" xfId="10568" xr:uid="{D230B591-3B34-4152-855D-200569E8DCD7}"/>
    <cellStyle name="Normal 2 4 3 3 7 5" xfId="19006" xr:uid="{53A1D268-E163-4987-B9EF-2B3A0804C90E}"/>
    <cellStyle name="Normal 2 4 3 3 8" xfId="2473" xr:uid="{00000000-0005-0000-0000-00001D100000}"/>
    <cellStyle name="Normal 2 4 3 3 8 2" xfId="6757" xr:uid="{00000000-0005-0000-0000-00001E100000}"/>
    <cellStyle name="Normal 2 4 3 3 8 2 2" xfId="15199" xr:uid="{309CFAD9-71C0-4655-981E-3C43D70E3AA2}"/>
    <cellStyle name="Normal 2 4 3 3 8 2 3" xfId="23636" xr:uid="{ACF67805-8A94-4845-BC29-A06B6E0AB033}"/>
    <cellStyle name="Normal 2 4 3 3 8 3" xfId="10981" xr:uid="{38593BC2-6DD2-4478-9015-452BA2484AB2}"/>
    <cellStyle name="Normal 2 4 3 3 8 4" xfId="19419" xr:uid="{8362F9A3-4D31-4D59-A1A6-C4B06B65B709}"/>
    <cellStyle name="Normal 2 4 3 3 9" xfId="4691" xr:uid="{00000000-0005-0000-0000-00001F100000}"/>
    <cellStyle name="Normal 2 4 3 3 9 2" xfId="13133" xr:uid="{2B5D4668-0A58-4D9F-A61B-392B017837AB}"/>
    <cellStyle name="Normal 2 4 3 3 9 3" xfId="21570" xr:uid="{3507741C-476E-47C1-87FF-6C018F4516C8}"/>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EB7ADF99-42BF-4DB5-88D3-7C3E7E58FF89}"/>
    <cellStyle name="Normal 2 4 3 4 2 2 3" xfId="24128" xr:uid="{31D2CAFC-BC9F-40AC-B385-B37D279A0790}"/>
    <cellStyle name="Normal 2 4 3 4 2 3" xfId="11473" xr:uid="{AC90E673-8307-45E4-9A03-C2E144950305}"/>
    <cellStyle name="Normal 2 4 3 4 2 4" xfId="19911" xr:uid="{5982C1AF-D510-46E0-8446-7B3DF6E63E85}"/>
    <cellStyle name="Normal 2 4 3 4 3" xfId="5104" xr:uid="{00000000-0005-0000-0000-000023100000}"/>
    <cellStyle name="Normal 2 4 3 4 3 2" xfId="13546" xr:uid="{696FF1CB-4C8E-44E4-B52B-602ABB1E2CA8}"/>
    <cellStyle name="Normal 2 4 3 4 3 3" xfId="21983" xr:uid="{3A1D12D3-6C50-411F-90DB-34EF5A885285}"/>
    <cellStyle name="Normal 2 4 3 4 4" xfId="9328" xr:uid="{783E2F4F-62E5-4E63-954A-B9F596E91DE3}"/>
    <cellStyle name="Normal 2 4 3 4 5" xfId="17766" xr:uid="{612B224D-5F20-4456-B29F-4BCD0D4C3782}"/>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5BB38497-0CA9-4609-98A0-79B1EE24742A}"/>
    <cellStyle name="Normal 2 4 3 5 2 2 3" xfId="24541" xr:uid="{FCC16F11-F51C-4FD0-941F-3E811350D05C}"/>
    <cellStyle name="Normal 2 4 3 5 2 3" xfId="11886" xr:uid="{28EB6046-D629-430A-B347-432768CA1CC9}"/>
    <cellStyle name="Normal 2 4 3 5 2 4" xfId="20324" xr:uid="{6624D13D-825E-4F6B-9D71-4E13C63308E3}"/>
    <cellStyle name="Normal 2 4 3 5 3" xfId="5517" xr:uid="{00000000-0005-0000-0000-000027100000}"/>
    <cellStyle name="Normal 2 4 3 5 3 2" xfId="13959" xr:uid="{36333832-BD86-49C1-9D02-A8740FEF876C}"/>
    <cellStyle name="Normal 2 4 3 5 3 3" xfId="22396" xr:uid="{52D65C89-04DC-4E32-9049-592ED0BE17CC}"/>
    <cellStyle name="Normal 2 4 3 5 4" xfId="9741" xr:uid="{3BBCE079-8D64-4AC2-B14F-8DCE4CDB4CE6}"/>
    <cellStyle name="Normal 2 4 3 5 5" xfId="18179" xr:uid="{94DB7FD6-F8DB-470D-8833-ED57F9485458}"/>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63B2F61F-D7FE-4DBF-9C23-EF7C9FF9C65D}"/>
    <cellStyle name="Normal 2 4 3 6 2 2 3" xfId="24954" xr:uid="{5832A6E3-853D-40E3-BD6F-5277F34DF9D1}"/>
    <cellStyle name="Normal 2 4 3 6 2 3" xfId="12299" xr:uid="{210A87B8-0241-43A6-BC4B-DC4164498721}"/>
    <cellStyle name="Normal 2 4 3 6 2 4" xfId="20737" xr:uid="{BF88C0E1-AA0E-4506-9928-0CC23892914C}"/>
    <cellStyle name="Normal 2 4 3 6 3" xfId="5930" xr:uid="{00000000-0005-0000-0000-00002B100000}"/>
    <cellStyle name="Normal 2 4 3 6 3 2" xfId="14372" xr:uid="{E40DCE09-96AD-4A46-BCE2-D4F82AADBD58}"/>
    <cellStyle name="Normal 2 4 3 6 3 3" xfId="22809" xr:uid="{2BDC677E-2F40-474F-B7EE-528B2D550DBE}"/>
    <cellStyle name="Normal 2 4 3 6 4" xfId="10154" xr:uid="{CD60CE1E-3328-40A1-9BD3-B2C302776764}"/>
    <cellStyle name="Normal 2 4 3 6 5" xfId="18592" xr:uid="{31CC0D9C-17F6-4BFA-BCBE-7A9728993957}"/>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99F99C00-FBC0-42FA-B902-3ED22944F6F8}"/>
    <cellStyle name="Normal 2 4 3 7 2 2 3" xfId="25367" xr:uid="{96BC6F7F-57A5-4C4C-8BE7-85229CF53008}"/>
    <cellStyle name="Normal 2 4 3 7 2 3" xfId="12712" xr:uid="{B0FB8E6F-D511-454B-A828-7820ED31F544}"/>
    <cellStyle name="Normal 2 4 3 7 2 4" xfId="21150" xr:uid="{CCE43805-50BE-4835-9759-80C1E7411FD6}"/>
    <cellStyle name="Normal 2 4 3 7 3" xfId="6343" xr:uid="{00000000-0005-0000-0000-00002F100000}"/>
    <cellStyle name="Normal 2 4 3 7 3 2" xfId="14785" xr:uid="{F110CCE9-DC0B-4529-AABF-BE36A2A84B08}"/>
    <cellStyle name="Normal 2 4 3 7 3 3" xfId="23222" xr:uid="{89653DFA-3DE7-44B4-B65D-974CB41F1C0A}"/>
    <cellStyle name="Normal 2 4 3 7 4" xfId="10567" xr:uid="{39214D6B-BD2D-45C4-9029-D18F39A39719}"/>
    <cellStyle name="Normal 2 4 3 7 5" xfId="19005" xr:uid="{71EA03C5-7FAF-4ECB-AA06-B26F057D34E6}"/>
    <cellStyle name="Normal 2 4 3 8" xfId="2472" xr:uid="{00000000-0005-0000-0000-000030100000}"/>
    <cellStyle name="Normal 2 4 3 8 2" xfId="6756" xr:uid="{00000000-0005-0000-0000-000031100000}"/>
    <cellStyle name="Normal 2 4 3 8 2 2" xfId="15198" xr:uid="{2DB55820-813F-48BD-B738-104D8E0D5890}"/>
    <cellStyle name="Normal 2 4 3 8 2 3" xfId="23635" xr:uid="{75B939C4-1650-4F47-9829-6AD74E4076D8}"/>
    <cellStyle name="Normal 2 4 3 8 3" xfId="10980" xr:uid="{CEBA6601-E0C8-4B63-BA87-B64E0AC5336F}"/>
    <cellStyle name="Normal 2 4 3 8 4" xfId="19418" xr:uid="{042890D6-0341-48F0-940B-103DA1962FF8}"/>
    <cellStyle name="Normal 2 4 3 9" xfId="4690" xr:uid="{00000000-0005-0000-0000-000032100000}"/>
    <cellStyle name="Normal 2 4 3 9 2" xfId="13132" xr:uid="{06742791-38F9-474C-B99F-0B6035B69691}"/>
    <cellStyle name="Normal 2 4 3 9 3" xfId="21569" xr:uid="{7D3873A1-DC03-4270-97BB-E9DA80573083}"/>
    <cellStyle name="Normal 2 4 4" xfId="302" xr:uid="{00000000-0005-0000-0000-000033100000}"/>
    <cellStyle name="Normal 2 4 5" xfId="303" xr:uid="{00000000-0005-0000-0000-000034100000}"/>
    <cellStyle name="Normal 2 4 5 10" xfId="4695" xr:uid="{00000000-0005-0000-0000-000035100000}"/>
    <cellStyle name="Normal 2 4 5 10 2" xfId="13137" xr:uid="{63EC152E-82F6-4227-9492-5F737417FC11}"/>
    <cellStyle name="Normal 2 4 5 10 3" xfId="21574" xr:uid="{98A524FD-354F-4413-9D92-B19F6A3831C4}"/>
    <cellStyle name="Normal 2 4 5 11" xfId="8919" xr:uid="{6E8634C9-81A2-4382-ABE4-4A49AD4DCD83}"/>
    <cellStyle name="Normal 2 4 5 12" xfId="17357" xr:uid="{6879D277-C3BE-4604-B36E-4F7544EEDCA5}"/>
    <cellStyle name="Normal 2 4 5 2" xfId="304" xr:uid="{00000000-0005-0000-0000-000036100000}"/>
    <cellStyle name="Normal 2 4 5 2 10" xfId="8920" xr:uid="{14BDA0BF-4F5E-43CB-8093-7CD8AD823D88}"/>
    <cellStyle name="Normal 2 4 5 2 11" xfId="17358" xr:uid="{640EBE8F-6C66-472C-81E8-8880EDE39705}"/>
    <cellStyle name="Normal 2 4 5 2 2" xfId="305" xr:uid="{00000000-0005-0000-0000-000037100000}"/>
    <cellStyle name="Normal 2 4 5 2 2 10" xfId="17359" xr:uid="{9DD8C6F0-8B05-4859-BC61-602C98C404BD}"/>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0DDF880A-8518-4E57-B2A6-A4109761E5E1}"/>
    <cellStyle name="Normal 2 4 5 2 2 2 2 2 2 3" xfId="24136" xr:uid="{2B15E2BD-FA53-4EC1-94F2-0F0B47F83496}"/>
    <cellStyle name="Normal 2 4 5 2 2 2 2 2 3" xfId="11481" xr:uid="{B12CE36B-EC22-4426-9AAF-DD9E392B6078}"/>
    <cellStyle name="Normal 2 4 5 2 2 2 2 2 4" xfId="19919" xr:uid="{B751A374-84F5-40EC-908B-C0461AF0B6C5}"/>
    <cellStyle name="Normal 2 4 5 2 2 2 2 3" xfId="5112" xr:uid="{00000000-0005-0000-0000-00003C100000}"/>
    <cellStyle name="Normal 2 4 5 2 2 2 2 3 2" xfId="13554" xr:uid="{C2899938-DE5B-4907-9BE9-52356B0EC378}"/>
    <cellStyle name="Normal 2 4 5 2 2 2 2 3 3" xfId="21991" xr:uid="{5394E307-3765-40B1-8004-ED111402CC72}"/>
    <cellStyle name="Normal 2 4 5 2 2 2 2 4" xfId="9336" xr:uid="{90B113E2-DCEE-4812-BF0E-E2BF59CD6EB8}"/>
    <cellStyle name="Normal 2 4 5 2 2 2 2 5" xfId="17774" xr:uid="{17437B6C-5EB2-4AA3-8EBD-151A4375689E}"/>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7E05F80A-9D2F-4237-8F6E-0D302BB65296}"/>
    <cellStyle name="Normal 2 4 5 2 2 2 3 2 2 3" xfId="24549" xr:uid="{FCE2162C-9947-456B-B3E9-0E0F8E345E32}"/>
    <cellStyle name="Normal 2 4 5 2 2 2 3 2 3" xfId="11894" xr:uid="{C850DC54-6FE6-41A1-80B0-833ED80F2B5A}"/>
    <cellStyle name="Normal 2 4 5 2 2 2 3 2 4" xfId="20332" xr:uid="{BD88D987-C377-4089-97B8-1E545D93F404}"/>
    <cellStyle name="Normal 2 4 5 2 2 2 3 3" xfId="5525" xr:uid="{00000000-0005-0000-0000-000040100000}"/>
    <cellStyle name="Normal 2 4 5 2 2 2 3 3 2" xfId="13967" xr:uid="{FF51560A-2423-43B9-8961-DA46CD5F1D6B}"/>
    <cellStyle name="Normal 2 4 5 2 2 2 3 3 3" xfId="22404" xr:uid="{B8D4E952-489C-4514-B4B8-6E465C513821}"/>
    <cellStyle name="Normal 2 4 5 2 2 2 3 4" xfId="9749" xr:uid="{DEEF00BD-ACCF-4169-A7B2-D4535B7C516B}"/>
    <cellStyle name="Normal 2 4 5 2 2 2 3 5" xfId="18187" xr:uid="{6A03A23F-AA24-4F8A-96A5-4F28130A0F08}"/>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220022EE-7283-4A86-9CEF-5ADC912A79FC}"/>
    <cellStyle name="Normal 2 4 5 2 2 2 4 2 2 3" xfId="24962" xr:uid="{04FE6BC1-4DAC-4AB3-B02C-69C5FA2FBA76}"/>
    <cellStyle name="Normal 2 4 5 2 2 2 4 2 3" xfId="12307" xr:uid="{B328FDA1-D587-4A50-AEA5-9AB48FFBFFFD}"/>
    <cellStyle name="Normal 2 4 5 2 2 2 4 2 4" xfId="20745" xr:uid="{1F1EC255-8531-4E9E-85A4-A11DE3D10DC2}"/>
    <cellStyle name="Normal 2 4 5 2 2 2 4 3" xfId="5938" xr:uid="{00000000-0005-0000-0000-000044100000}"/>
    <cellStyle name="Normal 2 4 5 2 2 2 4 3 2" xfId="14380" xr:uid="{02E3CA24-BF4D-4463-B52F-A8E07102F0FA}"/>
    <cellStyle name="Normal 2 4 5 2 2 2 4 3 3" xfId="22817" xr:uid="{2380C99A-8E42-4E2A-99B5-1D4964BB48D8}"/>
    <cellStyle name="Normal 2 4 5 2 2 2 4 4" xfId="10162" xr:uid="{56A53BEB-82A5-4B01-B5FD-1691F737FC56}"/>
    <cellStyle name="Normal 2 4 5 2 2 2 4 5" xfId="18600" xr:uid="{EE4D4534-30FB-470B-AA45-F188B2B83E58}"/>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6848B5F0-3720-41A6-BFC0-42B2EB790939}"/>
    <cellStyle name="Normal 2 4 5 2 2 2 5 2 2 3" xfId="25375" xr:uid="{64D8A8FA-68D2-44BA-8578-D57585A525CE}"/>
    <cellStyle name="Normal 2 4 5 2 2 2 5 2 3" xfId="12720" xr:uid="{1996A5A9-0C4C-47CA-9313-899010EF31F1}"/>
    <cellStyle name="Normal 2 4 5 2 2 2 5 2 4" xfId="21158" xr:uid="{C393A8A3-9937-455A-AFE0-43AEDA2F82C7}"/>
    <cellStyle name="Normal 2 4 5 2 2 2 5 3" xfId="6351" xr:uid="{00000000-0005-0000-0000-000048100000}"/>
    <cellStyle name="Normal 2 4 5 2 2 2 5 3 2" xfId="14793" xr:uid="{5E280461-314C-41A4-A8C0-5D1B4C7466D0}"/>
    <cellStyle name="Normal 2 4 5 2 2 2 5 3 3" xfId="23230" xr:uid="{BD42AEB6-D4A7-49DA-90FC-3B83BC30418D}"/>
    <cellStyle name="Normal 2 4 5 2 2 2 5 4" xfId="10575" xr:uid="{352B5BAD-85CF-419D-A938-996B42F82357}"/>
    <cellStyle name="Normal 2 4 5 2 2 2 5 5" xfId="19013" xr:uid="{40AC47D3-7DA4-44FF-A6E4-6A47971A44D5}"/>
    <cellStyle name="Normal 2 4 5 2 2 2 6" xfId="2480" xr:uid="{00000000-0005-0000-0000-000049100000}"/>
    <cellStyle name="Normal 2 4 5 2 2 2 6 2" xfId="6764" xr:uid="{00000000-0005-0000-0000-00004A100000}"/>
    <cellStyle name="Normal 2 4 5 2 2 2 6 2 2" xfId="15206" xr:uid="{7B3DB841-D66A-4E09-8944-ED2488D8C5F6}"/>
    <cellStyle name="Normal 2 4 5 2 2 2 6 2 3" xfId="23643" xr:uid="{66B771DD-3AD0-4213-9B3C-AAF12FEA060A}"/>
    <cellStyle name="Normal 2 4 5 2 2 2 6 3" xfId="10988" xr:uid="{0A3AB899-31E4-43C6-B983-078D34E3D046}"/>
    <cellStyle name="Normal 2 4 5 2 2 2 6 4" xfId="19426" xr:uid="{2C7582E7-2F9A-4363-8ED0-08F8FF8410DC}"/>
    <cellStyle name="Normal 2 4 5 2 2 2 7" xfId="4698" xr:uid="{00000000-0005-0000-0000-00004B100000}"/>
    <cellStyle name="Normal 2 4 5 2 2 2 7 2" xfId="13140" xr:uid="{61892C4D-A990-43CD-8D16-F6DF1EE4C2A5}"/>
    <cellStyle name="Normal 2 4 5 2 2 2 7 3" xfId="21577" xr:uid="{6EE93D14-D344-4F46-A4F1-E7705D39A0CC}"/>
    <cellStyle name="Normal 2 4 5 2 2 2 8" xfId="8922" xr:uid="{F23B769A-0E0E-4121-9E93-488825715005}"/>
    <cellStyle name="Normal 2 4 5 2 2 2 9" xfId="17360" xr:uid="{07A730D7-555C-4CE3-971E-4E6D45B45B2C}"/>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6C37C4BB-6EC0-4DEB-B2C5-AF14FF93B764}"/>
    <cellStyle name="Normal 2 4 5 2 2 3 2 2 3" xfId="24135" xr:uid="{629C2ADF-92C6-4F8B-8BC3-50146A20DE97}"/>
    <cellStyle name="Normal 2 4 5 2 2 3 2 3" xfId="11480" xr:uid="{C1CFD8C7-9559-4F52-8C10-7FC811D13459}"/>
    <cellStyle name="Normal 2 4 5 2 2 3 2 4" xfId="19918" xr:uid="{F7A2B6D3-9863-4F78-9B6D-B812E3C39321}"/>
    <cellStyle name="Normal 2 4 5 2 2 3 3" xfId="5111" xr:uid="{00000000-0005-0000-0000-00004F100000}"/>
    <cellStyle name="Normal 2 4 5 2 2 3 3 2" xfId="13553" xr:uid="{B8C7EC58-8CF5-48D6-AAFE-06DE4CA44984}"/>
    <cellStyle name="Normal 2 4 5 2 2 3 3 3" xfId="21990" xr:uid="{FB1943FD-2637-425C-83AC-3C66AF8B8615}"/>
    <cellStyle name="Normal 2 4 5 2 2 3 4" xfId="9335" xr:uid="{9E3805AA-BCED-411C-BCFC-583711805B36}"/>
    <cellStyle name="Normal 2 4 5 2 2 3 5" xfId="17773" xr:uid="{116C71CE-1089-47E5-8ADE-891143D34C0F}"/>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92DD9CA0-929C-4B50-B624-74712C26B6D4}"/>
    <cellStyle name="Normal 2 4 5 2 2 4 2 2 3" xfId="24548" xr:uid="{37A78106-B7D0-4F77-A628-8464866F3C96}"/>
    <cellStyle name="Normal 2 4 5 2 2 4 2 3" xfId="11893" xr:uid="{ED8520C5-B5DD-4ADA-95E9-F5617DE2A0FC}"/>
    <cellStyle name="Normal 2 4 5 2 2 4 2 4" xfId="20331" xr:uid="{4C329BB7-F340-4FBD-969E-052A17F894D3}"/>
    <cellStyle name="Normal 2 4 5 2 2 4 3" xfId="5524" xr:uid="{00000000-0005-0000-0000-000053100000}"/>
    <cellStyle name="Normal 2 4 5 2 2 4 3 2" xfId="13966" xr:uid="{ABE96820-00C5-49E9-8AF7-FBB11625F35F}"/>
    <cellStyle name="Normal 2 4 5 2 2 4 3 3" xfId="22403" xr:uid="{D15EBA3A-6724-4C93-823D-10122DAA9D53}"/>
    <cellStyle name="Normal 2 4 5 2 2 4 4" xfId="9748" xr:uid="{5753573E-34D8-4769-9FD0-7134AB493C95}"/>
    <cellStyle name="Normal 2 4 5 2 2 4 5" xfId="18186" xr:uid="{BF2AB32B-28C7-4203-A255-CE1A6E9DBB94}"/>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803505B3-D01E-47EC-9633-4210B276A886}"/>
    <cellStyle name="Normal 2 4 5 2 2 5 2 2 3" xfId="24961" xr:uid="{C3BB970B-7DF9-47E9-8696-15683E3F86A6}"/>
    <cellStyle name="Normal 2 4 5 2 2 5 2 3" xfId="12306" xr:uid="{2C344FAB-6787-4E29-817B-8DC74D9EB226}"/>
    <cellStyle name="Normal 2 4 5 2 2 5 2 4" xfId="20744" xr:uid="{7A5E9C36-0040-4D5E-AE76-B89139412EA4}"/>
    <cellStyle name="Normal 2 4 5 2 2 5 3" xfId="5937" xr:uid="{00000000-0005-0000-0000-000057100000}"/>
    <cellStyle name="Normal 2 4 5 2 2 5 3 2" xfId="14379" xr:uid="{DBEE00A6-5020-4203-9270-42BCA01767FE}"/>
    <cellStyle name="Normal 2 4 5 2 2 5 3 3" xfId="22816" xr:uid="{747A0640-5A4D-4431-B56C-B5603D8506A3}"/>
    <cellStyle name="Normal 2 4 5 2 2 5 4" xfId="10161" xr:uid="{279C019D-ACBC-4EC7-B7CC-063AD0162F2C}"/>
    <cellStyle name="Normal 2 4 5 2 2 5 5" xfId="18599" xr:uid="{2DB6BBDA-BB96-4CB9-9A1F-81763AF11BCC}"/>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20871CD7-7214-437B-9B39-7B1313B48751}"/>
    <cellStyle name="Normal 2 4 5 2 2 6 2 2 3" xfId="25374" xr:uid="{AABFEF69-A64F-4A0B-98D8-5C4F7879BA59}"/>
    <cellStyle name="Normal 2 4 5 2 2 6 2 3" xfId="12719" xr:uid="{63F16138-D112-45F7-9EB4-5EB9AA19DEB8}"/>
    <cellStyle name="Normal 2 4 5 2 2 6 2 4" xfId="21157" xr:uid="{222E7B01-5617-4BC1-A416-EE33063C5C90}"/>
    <cellStyle name="Normal 2 4 5 2 2 6 3" xfId="6350" xr:uid="{00000000-0005-0000-0000-00005B100000}"/>
    <cellStyle name="Normal 2 4 5 2 2 6 3 2" xfId="14792" xr:uid="{0D025C35-48EB-4B6A-95FD-88DD85C34B6E}"/>
    <cellStyle name="Normal 2 4 5 2 2 6 3 3" xfId="23229" xr:uid="{152FD53D-FD3E-4A2B-943F-0E58154BD773}"/>
    <cellStyle name="Normal 2 4 5 2 2 6 4" xfId="10574" xr:uid="{623D848D-70F5-4B76-B55C-667E2FFB8825}"/>
    <cellStyle name="Normal 2 4 5 2 2 6 5" xfId="19012" xr:uid="{271798EB-0D59-4739-B56B-745E65814750}"/>
    <cellStyle name="Normal 2 4 5 2 2 7" xfId="2479" xr:uid="{00000000-0005-0000-0000-00005C100000}"/>
    <cellStyle name="Normal 2 4 5 2 2 7 2" xfId="6763" xr:uid="{00000000-0005-0000-0000-00005D100000}"/>
    <cellStyle name="Normal 2 4 5 2 2 7 2 2" xfId="15205" xr:uid="{7A46FF51-B8D9-4D83-8AF6-7D0962C5A59B}"/>
    <cellStyle name="Normal 2 4 5 2 2 7 2 3" xfId="23642" xr:uid="{0D3D0120-4408-40EE-959D-0FAC5445DE10}"/>
    <cellStyle name="Normal 2 4 5 2 2 7 3" xfId="10987" xr:uid="{55FBBC23-A9B2-4C30-AD3E-A4108251ED55}"/>
    <cellStyle name="Normal 2 4 5 2 2 7 4" xfId="19425" xr:uid="{FDF7E288-261D-480F-B7B6-464227E6661D}"/>
    <cellStyle name="Normal 2 4 5 2 2 8" xfId="4697" xr:uid="{00000000-0005-0000-0000-00005E100000}"/>
    <cellStyle name="Normal 2 4 5 2 2 8 2" xfId="13139" xr:uid="{0EBE3020-B8A2-4F23-A06A-3787D07238DD}"/>
    <cellStyle name="Normal 2 4 5 2 2 8 3" xfId="21576" xr:uid="{C4D12633-1E1B-43B7-B97C-255DD1A33EDC}"/>
    <cellStyle name="Normal 2 4 5 2 2 9" xfId="8921" xr:uid="{3E77631F-C61B-4545-A520-33B021BE8D93}"/>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886C6B95-D408-42BE-A4B9-B814BD961106}"/>
    <cellStyle name="Normal 2 4 5 2 3 2 2 2 3" xfId="24137" xr:uid="{F1FB24CD-9777-4063-994E-31D23959A944}"/>
    <cellStyle name="Normal 2 4 5 2 3 2 2 3" xfId="11482" xr:uid="{1968F4D7-FB6E-4336-A8BA-A4B6F1131902}"/>
    <cellStyle name="Normal 2 4 5 2 3 2 2 4" xfId="19920" xr:uid="{B336488F-D025-4D27-86EE-03D3155CA6F3}"/>
    <cellStyle name="Normal 2 4 5 2 3 2 3" xfId="5113" xr:uid="{00000000-0005-0000-0000-000063100000}"/>
    <cellStyle name="Normal 2 4 5 2 3 2 3 2" xfId="13555" xr:uid="{F40A9FF8-B835-4631-A346-60EFA235036C}"/>
    <cellStyle name="Normal 2 4 5 2 3 2 3 3" xfId="21992" xr:uid="{BC11616E-E382-46DE-9E28-6CC3CFFD096B}"/>
    <cellStyle name="Normal 2 4 5 2 3 2 4" xfId="9337" xr:uid="{E95D19DD-6FE6-43BB-95BE-F66E87905B5A}"/>
    <cellStyle name="Normal 2 4 5 2 3 2 5" xfId="17775" xr:uid="{5D5A0082-9C19-4B53-8FAF-E1C792FB6CA5}"/>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592021F2-4241-483A-A5C4-2AFA0BC59A71}"/>
    <cellStyle name="Normal 2 4 5 2 3 3 2 2 3" xfId="24550" xr:uid="{AB1FD236-E099-4DE9-8B9A-1A747D8576CE}"/>
    <cellStyle name="Normal 2 4 5 2 3 3 2 3" xfId="11895" xr:uid="{E7E82C40-C9B0-403B-B310-303B4DE78D84}"/>
    <cellStyle name="Normal 2 4 5 2 3 3 2 4" xfId="20333" xr:uid="{F6EB7560-A654-46DD-861E-34E1EA5ABF36}"/>
    <cellStyle name="Normal 2 4 5 2 3 3 3" xfId="5526" xr:uid="{00000000-0005-0000-0000-000067100000}"/>
    <cellStyle name="Normal 2 4 5 2 3 3 3 2" xfId="13968" xr:uid="{3AAAACA2-5736-4374-8B98-7D9DA4EB28DD}"/>
    <cellStyle name="Normal 2 4 5 2 3 3 3 3" xfId="22405" xr:uid="{4DA5E66F-2B66-48C8-91FE-19202E9E348B}"/>
    <cellStyle name="Normal 2 4 5 2 3 3 4" xfId="9750" xr:uid="{F5ED52D6-6F49-443E-AB40-BBD5B67C87B3}"/>
    <cellStyle name="Normal 2 4 5 2 3 3 5" xfId="18188" xr:uid="{B955F286-9DDC-4637-B754-3DA3ACFE0A86}"/>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6FA3E1A8-7453-4BED-B2EF-A14C50715902}"/>
    <cellStyle name="Normal 2 4 5 2 3 4 2 2 3" xfId="24963" xr:uid="{E8C408D3-A2A0-4CE3-A4F0-888071B7AFD6}"/>
    <cellStyle name="Normal 2 4 5 2 3 4 2 3" xfId="12308" xr:uid="{1588D43E-BE93-4112-AA7F-DAC48A95951B}"/>
    <cellStyle name="Normal 2 4 5 2 3 4 2 4" xfId="20746" xr:uid="{7BD4E93C-67E6-4249-8BEF-6A52CBBAC8B6}"/>
    <cellStyle name="Normal 2 4 5 2 3 4 3" xfId="5939" xr:uid="{00000000-0005-0000-0000-00006B100000}"/>
    <cellStyle name="Normal 2 4 5 2 3 4 3 2" xfId="14381" xr:uid="{25A76CCF-25A0-4FE0-AF13-41155391111E}"/>
    <cellStyle name="Normal 2 4 5 2 3 4 3 3" xfId="22818" xr:uid="{6AD28172-4D10-4182-9209-1AAA8B6B15B5}"/>
    <cellStyle name="Normal 2 4 5 2 3 4 4" xfId="10163" xr:uid="{0196890A-30A3-4BEF-9AF2-3C1E79516CE9}"/>
    <cellStyle name="Normal 2 4 5 2 3 4 5" xfId="18601" xr:uid="{59736CE3-74BC-49C2-9AE9-7A975CFC6443}"/>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99279AF1-BE81-4F4F-A748-EF0FAF7A9BD5}"/>
    <cellStyle name="Normal 2 4 5 2 3 5 2 2 3" xfId="25376" xr:uid="{55A2B716-5FDB-423F-8CD8-FC97C8DC784F}"/>
    <cellStyle name="Normal 2 4 5 2 3 5 2 3" xfId="12721" xr:uid="{9B809E2B-5FD7-42B5-A680-A9E1836D0D75}"/>
    <cellStyle name="Normal 2 4 5 2 3 5 2 4" xfId="21159" xr:uid="{8D3C507F-F622-48E4-8C2E-A7010E5AE9CA}"/>
    <cellStyle name="Normal 2 4 5 2 3 5 3" xfId="6352" xr:uid="{00000000-0005-0000-0000-00006F100000}"/>
    <cellStyle name="Normal 2 4 5 2 3 5 3 2" xfId="14794" xr:uid="{F26E68FB-3DBF-49F3-A9BE-B00EEFAB6EBD}"/>
    <cellStyle name="Normal 2 4 5 2 3 5 3 3" xfId="23231" xr:uid="{02BA1D3D-5284-4871-8321-3072E37BCCE0}"/>
    <cellStyle name="Normal 2 4 5 2 3 5 4" xfId="10576" xr:uid="{3AE0C969-6054-469E-9DE8-5BF7D4ECFBEE}"/>
    <cellStyle name="Normal 2 4 5 2 3 5 5" xfId="19014" xr:uid="{20E25CB6-8A79-49D0-8C4A-93A97B39C1FF}"/>
    <cellStyle name="Normal 2 4 5 2 3 6" xfId="2481" xr:uid="{00000000-0005-0000-0000-000070100000}"/>
    <cellStyle name="Normal 2 4 5 2 3 6 2" xfId="6765" xr:uid="{00000000-0005-0000-0000-000071100000}"/>
    <cellStyle name="Normal 2 4 5 2 3 6 2 2" xfId="15207" xr:uid="{33BC7748-4D57-4C78-9566-AB27173F49E2}"/>
    <cellStyle name="Normal 2 4 5 2 3 6 2 3" xfId="23644" xr:uid="{DCBEC1B8-1E2F-43C5-9347-841EB7BAE491}"/>
    <cellStyle name="Normal 2 4 5 2 3 6 3" xfId="10989" xr:uid="{8F7D648F-0953-49E7-BB3E-0F8A366B8EF1}"/>
    <cellStyle name="Normal 2 4 5 2 3 6 4" xfId="19427" xr:uid="{47A46CD1-7762-45D3-83D3-2962626140CA}"/>
    <cellStyle name="Normal 2 4 5 2 3 7" xfId="4699" xr:uid="{00000000-0005-0000-0000-000072100000}"/>
    <cellStyle name="Normal 2 4 5 2 3 7 2" xfId="13141" xr:uid="{A4366D9C-9D5D-4F6D-92A0-646C1BEFFF01}"/>
    <cellStyle name="Normal 2 4 5 2 3 7 3" xfId="21578" xr:uid="{5AC59139-73CF-4928-81DE-78157C83A878}"/>
    <cellStyle name="Normal 2 4 5 2 3 8" xfId="8923" xr:uid="{A8C54B61-8A82-4A94-A624-AA549EB9DD8B}"/>
    <cellStyle name="Normal 2 4 5 2 3 9" xfId="17361" xr:uid="{1CFC82F2-9B4F-4FD8-AFD0-DE8351123C62}"/>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88545BFE-7942-48C6-B2C9-DE2C16F8950E}"/>
    <cellStyle name="Normal 2 4 5 2 4 2 2 3" xfId="24134" xr:uid="{99779357-AC3E-48A3-9A0F-16A16CC11316}"/>
    <cellStyle name="Normal 2 4 5 2 4 2 3" xfId="11479" xr:uid="{1FDDC36F-F39D-425E-BEA5-A1BC7ADFD3E5}"/>
    <cellStyle name="Normal 2 4 5 2 4 2 4" xfId="19917" xr:uid="{AAA6F11C-AA98-4BA6-933D-A4B2DAC6CA59}"/>
    <cellStyle name="Normal 2 4 5 2 4 3" xfId="5110" xr:uid="{00000000-0005-0000-0000-000076100000}"/>
    <cellStyle name="Normal 2 4 5 2 4 3 2" xfId="13552" xr:uid="{7FDAEB37-DF62-4AD2-9AE5-8B0D5944B743}"/>
    <cellStyle name="Normal 2 4 5 2 4 3 3" xfId="21989" xr:uid="{797E1BB9-0802-4253-967B-5B1CD69B3BD8}"/>
    <cellStyle name="Normal 2 4 5 2 4 4" xfId="9334" xr:uid="{19CF9C2C-0ABA-46C0-8892-2F60F5EF5970}"/>
    <cellStyle name="Normal 2 4 5 2 4 5" xfId="17772" xr:uid="{22134B70-3602-4410-8CD4-E0C1252A5504}"/>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6F33E766-2647-4838-A04F-278782035194}"/>
    <cellStyle name="Normal 2 4 5 2 5 2 2 3" xfId="24547" xr:uid="{0765C6B8-8EDF-4314-A680-0EC577F9309F}"/>
    <cellStyle name="Normal 2 4 5 2 5 2 3" xfId="11892" xr:uid="{F148E984-B6FF-4CE7-8A2F-65DEFCD8C7C1}"/>
    <cellStyle name="Normal 2 4 5 2 5 2 4" xfId="20330" xr:uid="{22DF23A4-CCA7-4F06-B549-9C41E9835637}"/>
    <cellStyle name="Normal 2 4 5 2 5 3" xfId="5523" xr:uid="{00000000-0005-0000-0000-00007A100000}"/>
    <cellStyle name="Normal 2 4 5 2 5 3 2" xfId="13965" xr:uid="{1FEB6283-AE8B-45EA-8977-3D68135FA573}"/>
    <cellStyle name="Normal 2 4 5 2 5 3 3" xfId="22402" xr:uid="{712FB373-0203-44EA-BBBE-A0762F82FE31}"/>
    <cellStyle name="Normal 2 4 5 2 5 4" xfId="9747" xr:uid="{6548E4E6-5B3E-4753-9FD2-6F24B9AF1D44}"/>
    <cellStyle name="Normal 2 4 5 2 5 5" xfId="18185" xr:uid="{10A2DC45-C0F6-458A-BFD6-50127F206ADE}"/>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3369A042-8153-426D-A7D0-5BD5EE0A1474}"/>
    <cellStyle name="Normal 2 4 5 2 6 2 2 3" xfId="24960" xr:uid="{85D0230F-3844-4F85-AE3B-5A9E1D8EA234}"/>
    <cellStyle name="Normal 2 4 5 2 6 2 3" xfId="12305" xr:uid="{2ECA71AD-BF2D-45E0-9852-40CCB852CE7A}"/>
    <cellStyle name="Normal 2 4 5 2 6 2 4" xfId="20743" xr:uid="{7D42F791-5CEA-48D4-B193-6987F3753A77}"/>
    <cellStyle name="Normal 2 4 5 2 6 3" xfId="5936" xr:uid="{00000000-0005-0000-0000-00007E100000}"/>
    <cellStyle name="Normal 2 4 5 2 6 3 2" xfId="14378" xr:uid="{0B3BF9CB-C2C1-4ED3-9379-1C2374E95715}"/>
    <cellStyle name="Normal 2 4 5 2 6 3 3" xfId="22815" xr:uid="{9D4549CC-6A7B-4944-9F64-F63559015A14}"/>
    <cellStyle name="Normal 2 4 5 2 6 4" xfId="10160" xr:uid="{478D7E78-0946-4D0B-8C44-B84DA074B713}"/>
    <cellStyle name="Normal 2 4 5 2 6 5" xfId="18598" xr:uid="{44FC1CBC-D4A0-4710-A9FA-5B6EA4051079}"/>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53E9F96F-69C2-45B6-A996-F196E06FF433}"/>
    <cellStyle name="Normal 2 4 5 2 7 2 2 3" xfId="25373" xr:uid="{D891B467-A087-4945-B895-1D03FA3AF26B}"/>
    <cellStyle name="Normal 2 4 5 2 7 2 3" xfId="12718" xr:uid="{C5C1E9F5-43F3-4F57-8673-4FDD481ECBF0}"/>
    <cellStyle name="Normal 2 4 5 2 7 2 4" xfId="21156" xr:uid="{275D20D0-A447-4625-A866-A87F30A20059}"/>
    <cellStyle name="Normal 2 4 5 2 7 3" xfId="6349" xr:uid="{00000000-0005-0000-0000-000082100000}"/>
    <cellStyle name="Normal 2 4 5 2 7 3 2" xfId="14791" xr:uid="{B585A4DD-1343-43CA-BC0A-4C0E0BE320F7}"/>
    <cellStyle name="Normal 2 4 5 2 7 3 3" xfId="23228" xr:uid="{9E647802-AC08-4089-A5CB-7FBC5998253B}"/>
    <cellStyle name="Normal 2 4 5 2 7 4" xfId="10573" xr:uid="{034AD7B3-7A37-472C-8DB7-63F5F1B24B6B}"/>
    <cellStyle name="Normal 2 4 5 2 7 5" xfId="19011" xr:uid="{9D662C11-6708-4473-A1F9-7FC0506261AF}"/>
    <cellStyle name="Normal 2 4 5 2 8" xfId="2478" xr:uid="{00000000-0005-0000-0000-000083100000}"/>
    <cellStyle name="Normal 2 4 5 2 8 2" xfId="6762" xr:uid="{00000000-0005-0000-0000-000084100000}"/>
    <cellStyle name="Normal 2 4 5 2 8 2 2" xfId="15204" xr:uid="{DA882064-4C2E-4A80-BCC5-E1F58ED02333}"/>
    <cellStyle name="Normal 2 4 5 2 8 2 3" xfId="23641" xr:uid="{AC19022E-E853-467D-A37D-2BC72ED1CFD9}"/>
    <cellStyle name="Normal 2 4 5 2 8 3" xfId="10986" xr:uid="{85DA1F6C-6D57-4FA2-B14D-0BABF8EDDC65}"/>
    <cellStyle name="Normal 2 4 5 2 8 4" xfId="19424" xr:uid="{E96257E5-5837-4918-8192-5A538CA384D4}"/>
    <cellStyle name="Normal 2 4 5 2 9" xfId="4696" xr:uid="{00000000-0005-0000-0000-000085100000}"/>
    <cellStyle name="Normal 2 4 5 2 9 2" xfId="13138" xr:uid="{962C5C95-EC1F-465F-B3A1-698C7B05B516}"/>
    <cellStyle name="Normal 2 4 5 2 9 3" xfId="21575" xr:uid="{FCCD8203-C510-4F7A-8A04-64CD0D5AFFFE}"/>
    <cellStyle name="Normal 2 4 5 3" xfId="308" xr:uid="{00000000-0005-0000-0000-000086100000}"/>
    <cellStyle name="Normal 2 4 5 3 10" xfId="17362" xr:uid="{93480DEB-E8AE-4753-907E-735EB6CE1CEC}"/>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AB12C328-BB44-4EAE-B99B-2AE77C34D504}"/>
    <cellStyle name="Normal 2 4 5 3 2 2 2 2 3" xfId="24139" xr:uid="{34D8E784-7F27-4017-8596-DBBA86300326}"/>
    <cellStyle name="Normal 2 4 5 3 2 2 2 3" xfId="11484" xr:uid="{341925B6-30F7-4956-8673-226DFACCEC14}"/>
    <cellStyle name="Normal 2 4 5 3 2 2 2 4" xfId="19922" xr:uid="{ACCEA929-D4B5-4FF0-BDA1-26D2A3A30873}"/>
    <cellStyle name="Normal 2 4 5 3 2 2 3" xfId="5115" xr:uid="{00000000-0005-0000-0000-00008B100000}"/>
    <cellStyle name="Normal 2 4 5 3 2 2 3 2" xfId="13557" xr:uid="{60244140-2DB5-4A08-9A8A-8E9A12AEDACD}"/>
    <cellStyle name="Normal 2 4 5 3 2 2 3 3" xfId="21994" xr:uid="{A6B152D6-BB78-4CB6-A676-8B456E1C25D9}"/>
    <cellStyle name="Normal 2 4 5 3 2 2 4" xfId="9339" xr:uid="{90A73B19-D39F-4E0E-BF50-E483766E1A07}"/>
    <cellStyle name="Normal 2 4 5 3 2 2 5" xfId="17777" xr:uid="{49187C54-716B-4C6C-BCED-FB8633C61926}"/>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CB7C7424-EF59-412D-B262-3A94AC071F6A}"/>
    <cellStyle name="Normal 2 4 5 3 2 3 2 2 3" xfId="24552" xr:uid="{3FC92386-A078-482A-80F8-9696C90B6938}"/>
    <cellStyle name="Normal 2 4 5 3 2 3 2 3" xfId="11897" xr:uid="{EFDA5344-8A8E-4745-A712-F161B28F96F2}"/>
    <cellStyle name="Normal 2 4 5 3 2 3 2 4" xfId="20335" xr:uid="{37B6C990-F279-41E4-A568-E7E1C2E01B18}"/>
    <cellStyle name="Normal 2 4 5 3 2 3 3" xfId="5528" xr:uid="{00000000-0005-0000-0000-00008F100000}"/>
    <cellStyle name="Normal 2 4 5 3 2 3 3 2" xfId="13970" xr:uid="{C91A2CC6-8777-4E8C-BC30-6BEBDB7A945C}"/>
    <cellStyle name="Normal 2 4 5 3 2 3 3 3" xfId="22407" xr:uid="{E0088F39-6C3B-43EB-8ABA-DB9568FE9169}"/>
    <cellStyle name="Normal 2 4 5 3 2 3 4" xfId="9752" xr:uid="{E03AC00C-89AF-41DA-BD55-D9C4A95D3CDB}"/>
    <cellStyle name="Normal 2 4 5 3 2 3 5" xfId="18190" xr:uid="{BDB7E2A1-4DD6-4470-A936-7E5B3F8E4353}"/>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781F500A-C074-490B-8028-D11F3233F897}"/>
    <cellStyle name="Normal 2 4 5 3 2 4 2 2 3" xfId="24965" xr:uid="{5B95EEDE-916D-4A9F-8542-8223A0E47478}"/>
    <cellStyle name="Normal 2 4 5 3 2 4 2 3" xfId="12310" xr:uid="{BDE3CAE3-551B-48D6-9785-CA40CD4FAE6A}"/>
    <cellStyle name="Normal 2 4 5 3 2 4 2 4" xfId="20748" xr:uid="{05B0DA0B-8261-48E1-BCA8-8605F6EAEFD9}"/>
    <cellStyle name="Normal 2 4 5 3 2 4 3" xfId="5941" xr:uid="{00000000-0005-0000-0000-000093100000}"/>
    <cellStyle name="Normal 2 4 5 3 2 4 3 2" xfId="14383" xr:uid="{1D3AF71E-91D4-4158-8105-363F4E1DC767}"/>
    <cellStyle name="Normal 2 4 5 3 2 4 3 3" xfId="22820" xr:uid="{14FCB69A-8F8C-427E-B79F-531968660F0E}"/>
    <cellStyle name="Normal 2 4 5 3 2 4 4" xfId="10165" xr:uid="{259507EC-C2DB-4BB5-BDF5-7DEDB530D089}"/>
    <cellStyle name="Normal 2 4 5 3 2 4 5" xfId="18603" xr:uid="{E0D97860-03B1-4E86-8243-47ECE72BC046}"/>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86521064-7BC1-433B-B8D8-C09D2C2F2EBF}"/>
    <cellStyle name="Normal 2 4 5 3 2 5 2 2 3" xfId="25378" xr:uid="{B15E17BA-E2F5-4730-9405-00C35019E5FA}"/>
    <cellStyle name="Normal 2 4 5 3 2 5 2 3" xfId="12723" xr:uid="{E67C4AD3-2B13-49EF-BB98-5E1656B5A2DF}"/>
    <cellStyle name="Normal 2 4 5 3 2 5 2 4" xfId="21161" xr:uid="{2749CD71-DC32-4DF4-A649-2F9558872583}"/>
    <cellStyle name="Normal 2 4 5 3 2 5 3" xfId="6354" xr:uid="{00000000-0005-0000-0000-000097100000}"/>
    <cellStyle name="Normal 2 4 5 3 2 5 3 2" xfId="14796" xr:uid="{95D1AF19-40C9-48C9-AC61-E0BFFEAAE115}"/>
    <cellStyle name="Normal 2 4 5 3 2 5 3 3" xfId="23233" xr:uid="{D75FBC5C-7F7B-4EC5-A2D6-80283FB3092F}"/>
    <cellStyle name="Normal 2 4 5 3 2 5 4" xfId="10578" xr:uid="{0A94BE7E-B787-4069-97FB-FE944FC31E67}"/>
    <cellStyle name="Normal 2 4 5 3 2 5 5" xfId="19016" xr:uid="{C94546C3-3702-49F4-8EE7-FC1A12E75410}"/>
    <cellStyle name="Normal 2 4 5 3 2 6" xfId="2483" xr:uid="{00000000-0005-0000-0000-000098100000}"/>
    <cellStyle name="Normal 2 4 5 3 2 6 2" xfId="6767" xr:uid="{00000000-0005-0000-0000-000099100000}"/>
    <cellStyle name="Normal 2 4 5 3 2 6 2 2" xfId="15209" xr:uid="{662650E6-6DD0-4F91-AA5C-15D37CDA632A}"/>
    <cellStyle name="Normal 2 4 5 3 2 6 2 3" xfId="23646" xr:uid="{669056B9-FAA1-4256-B584-A43355351BB6}"/>
    <cellStyle name="Normal 2 4 5 3 2 6 3" xfId="10991" xr:uid="{6200B034-9688-4C7C-B785-D9DF6C9DD98F}"/>
    <cellStyle name="Normal 2 4 5 3 2 6 4" xfId="19429" xr:uid="{217FC3D4-E458-48D5-8FAC-DA1C4F530E9C}"/>
    <cellStyle name="Normal 2 4 5 3 2 7" xfId="4701" xr:uid="{00000000-0005-0000-0000-00009A100000}"/>
    <cellStyle name="Normal 2 4 5 3 2 7 2" xfId="13143" xr:uid="{CF668EE7-D838-46AD-8E6D-A2F97AA990EA}"/>
    <cellStyle name="Normal 2 4 5 3 2 7 3" xfId="21580" xr:uid="{F52C6A2F-A4E6-4889-A3DF-94AE68B1EF4F}"/>
    <cellStyle name="Normal 2 4 5 3 2 8" xfId="8925" xr:uid="{3E509964-BE70-42C1-919F-2C750EB72BA9}"/>
    <cellStyle name="Normal 2 4 5 3 2 9" xfId="17363" xr:uid="{61B1E648-D118-4D4E-A230-3A2E1F289C2E}"/>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7DF0E61F-B683-46ED-B366-017EB4CA7BDB}"/>
    <cellStyle name="Normal 2 4 5 3 3 2 2 3" xfId="24138" xr:uid="{604CD955-BFB8-4C87-B384-2C83AC639772}"/>
    <cellStyle name="Normal 2 4 5 3 3 2 3" xfId="11483" xr:uid="{FD54538F-5B76-4EAB-AC5F-38B9DE746ADB}"/>
    <cellStyle name="Normal 2 4 5 3 3 2 4" xfId="19921" xr:uid="{BFC9825B-C3B2-4349-BF4D-5D454A3BFD32}"/>
    <cellStyle name="Normal 2 4 5 3 3 3" xfId="5114" xr:uid="{00000000-0005-0000-0000-00009E100000}"/>
    <cellStyle name="Normal 2 4 5 3 3 3 2" xfId="13556" xr:uid="{D5E7393F-6CDE-4B40-8D5B-9F90C664A910}"/>
    <cellStyle name="Normal 2 4 5 3 3 3 3" xfId="21993" xr:uid="{166B0A32-AB22-491A-B9D3-BD05CC1B49D2}"/>
    <cellStyle name="Normal 2 4 5 3 3 4" xfId="9338" xr:uid="{25216A9D-4795-4624-97F2-036CCDF76F34}"/>
    <cellStyle name="Normal 2 4 5 3 3 5" xfId="17776" xr:uid="{8652A0E5-759C-45F3-9CCD-06B0A42A5193}"/>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B94D13E3-55A4-4965-84E7-2DF53F8ED57F}"/>
    <cellStyle name="Normal 2 4 5 3 4 2 2 3" xfId="24551" xr:uid="{6F87001B-9767-4DD5-83E5-8812FA584DFA}"/>
    <cellStyle name="Normal 2 4 5 3 4 2 3" xfId="11896" xr:uid="{48FD17B8-B843-4C9E-872F-6628C417DEC4}"/>
    <cellStyle name="Normal 2 4 5 3 4 2 4" xfId="20334" xr:uid="{F6AB51C6-99A9-4B77-BC4C-660DF08FADCD}"/>
    <cellStyle name="Normal 2 4 5 3 4 3" xfId="5527" xr:uid="{00000000-0005-0000-0000-0000A2100000}"/>
    <cellStyle name="Normal 2 4 5 3 4 3 2" xfId="13969" xr:uid="{363F69B7-59F0-443B-9A8B-C327BA256843}"/>
    <cellStyle name="Normal 2 4 5 3 4 3 3" xfId="22406" xr:uid="{9607BD64-9EBB-4F6E-AA6B-F4C588C8FC0A}"/>
    <cellStyle name="Normal 2 4 5 3 4 4" xfId="9751" xr:uid="{1C347F6F-3F62-46FB-ABB3-C4D3ABCE5551}"/>
    <cellStyle name="Normal 2 4 5 3 4 5" xfId="18189" xr:uid="{676407E9-9DC3-402E-8A78-F5C9A70EF82C}"/>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C1832E04-6803-4CA0-BAE5-AE0093BCC239}"/>
    <cellStyle name="Normal 2 4 5 3 5 2 2 3" xfId="24964" xr:uid="{06AF9261-294B-452F-8ECB-35DBCED56CBC}"/>
    <cellStyle name="Normal 2 4 5 3 5 2 3" xfId="12309" xr:uid="{211D4200-8ACA-49E4-B554-95A3E8BD9C63}"/>
    <cellStyle name="Normal 2 4 5 3 5 2 4" xfId="20747" xr:uid="{B0EF5B3C-DB26-4E93-8A25-B472860A64C6}"/>
    <cellStyle name="Normal 2 4 5 3 5 3" xfId="5940" xr:uid="{00000000-0005-0000-0000-0000A6100000}"/>
    <cellStyle name="Normal 2 4 5 3 5 3 2" xfId="14382" xr:uid="{E81E74A4-DC3B-4B67-B1C5-028FD3689038}"/>
    <cellStyle name="Normal 2 4 5 3 5 3 3" xfId="22819" xr:uid="{0EBC2ED0-4E54-46A6-A1A3-6FAF0CD30B55}"/>
    <cellStyle name="Normal 2 4 5 3 5 4" xfId="10164" xr:uid="{4EAE9DAF-61C2-4DAE-AB4D-EAAD0298984B}"/>
    <cellStyle name="Normal 2 4 5 3 5 5" xfId="18602" xr:uid="{E0523088-BB4B-4382-8EF0-62762718CDA1}"/>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CCAAA4C9-79C1-4C92-A19B-B580465CE96F}"/>
    <cellStyle name="Normal 2 4 5 3 6 2 2 3" xfId="25377" xr:uid="{AA9BDD63-21C0-41C2-B2C6-40B72DED2133}"/>
    <cellStyle name="Normal 2 4 5 3 6 2 3" xfId="12722" xr:uid="{964E0A2E-11B4-4851-AD92-BD6CF35B53B9}"/>
    <cellStyle name="Normal 2 4 5 3 6 2 4" xfId="21160" xr:uid="{29F1A4F4-8ABE-4D92-A98F-A8BDE4026B62}"/>
    <cellStyle name="Normal 2 4 5 3 6 3" xfId="6353" xr:uid="{00000000-0005-0000-0000-0000AA100000}"/>
    <cellStyle name="Normal 2 4 5 3 6 3 2" xfId="14795" xr:uid="{6D74B825-02CE-43D2-8A88-D29ED91C23E8}"/>
    <cellStyle name="Normal 2 4 5 3 6 3 3" xfId="23232" xr:uid="{A66D45D1-6756-4E42-967B-CF330A88B5EB}"/>
    <cellStyle name="Normal 2 4 5 3 6 4" xfId="10577" xr:uid="{3C1C42A5-CCB0-47BA-B1E3-F2BE220EA832}"/>
    <cellStyle name="Normal 2 4 5 3 6 5" xfId="19015" xr:uid="{A94FFAEF-BDB2-4ECB-9171-A6D460D8D011}"/>
    <cellStyle name="Normal 2 4 5 3 7" xfId="2482" xr:uid="{00000000-0005-0000-0000-0000AB100000}"/>
    <cellStyle name="Normal 2 4 5 3 7 2" xfId="6766" xr:uid="{00000000-0005-0000-0000-0000AC100000}"/>
    <cellStyle name="Normal 2 4 5 3 7 2 2" xfId="15208" xr:uid="{9D1B8FE8-7BDC-4F02-B01F-63EEA5D52394}"/>
    <cellStyle name="Normal 2 4 5 3 7 2 3" xfId="23645" xr:uid="{62869DE4-D5B7-4156-B046-0C8ABA0F4D5A}"/>
    <cellStyle name="Normal 2 4 5 3 7 3" xfId="10990" xr:uid="{B937E6DA-555C-49D9-A40D-82891E08A134}"/>
    <cellStyle name="Normal 2 4 5 3 7 4" xfId="19428" xr:uid="{42344158-4DC5-48FD-AD34-0CBC5671BC8D}"/>
    <cellStyle name="Normal 2 4 5 3 8" xfId="4700" xr:uid="{00000000-0005-0000-0000-0000AD100000}"/>
    <cellStyle name="Normal 2 4 5 3 8 2" xfId="13142" xr:uid="{44B51860-0F76-4123-B1DA-390D4BFE7898}"/>
    <cellStyle name="Normal 2 4 5 3 8 3" xfId="21579" xr:uid="{E042D4CC-8810-4F90-8FD8-B60F091E5BE4}"/>
    <cellStyle name="Normal 2 4 5 3 9" xfId="8924" xr:uid="{C24C6000-0BD1-449B-A929-1A25EF175661}"/>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0F636615-0F08-4A38-A160-FE831A63E297}"/>
    <cellStyle name="Normal 2 4 5 4 2 2 2 3" xfId="24140" xr:uid="{DFBE540A-2355-4D09-97E7-5026F24C9CE9}"/>
    <cellStyle name="Normal 2 4 5 4 2 2 3" xfId="11485" xr:uid="{D3C521FD-8DE2-438E-A942-CAEACCA88BE2}"/>
    <cellStyle name="Normal 2 4 5 4 2 2 4" xfId="19923" xr:uid="{EA1A16E1-7654-44C6-BA83-2919A4154170}"/>
    <cellStyle name="Normal 2 4 5 4 2 3" xfId="5116" xr:uid="{00000000-0005-0000-0000-0000B2100000}"/>
    <cellStyle name="Normal 2 4 5 4 2 3 2" xfId="13558" xr:uid="{514B4C01-F915-4824-ACE4-DFDE4F061475}"/>
    <cellStyle name="Normal 2 4 5 4 2 3 3" xfId="21995" xr:uid="{3308CC2B-DE24-483C-8ED1-1ABA8FA99EDF}"/>
    <cellStyle name="Normal 2 4 5 4 2 4" xfId="9340" xr:uid="{AC456BF9-E5EB-4A5D-B20C-A6FB5CED87C4}"/>
    <cellStyle name="Normal 2 4 5 4 2 5" xfId="17778" xr:uid="{6783279C-1D29-477A-8618-1F698716818B}"/>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143E1DD1-4CD8-4FDA-A071-9E1F1DFA95C8}"/>
    <cellStyle name="Normal 2 4 5 4 3 2 2 3" xfId="24553" xr:uid="{BCF9A4AF-5C57-4E2E-9C5E-0C304EFA8374}"/>
    <cellStyle name="Normal 2 4 5 4 3 2 3" xfId="11898" xr:uid="{1BEDD2DB-62C0-4069-A794-BF85CB68232F}"/>
    <cellStyle name="Normal 2 4 5 4 3 2 4" xfId="20336" xr:uid="{BBC974A0-4BDB-4AD3-8C4F-C07B67FED4B7}"/>
    <cellStyle name="Normal 2 4 5 4 3 3" xfId="5529" xr:uid="{00000000-0005-0000-0000-0000B6100000}"/>
    <cellStyle name="Normal 2 4 5 4 3 3 2" xfId="13971" xr:uid="{69A5E918-5ED9-434C-AC35-6F41C4BF5C4F}"/>
    <cellStyle name="Normal 2 4 5 4 3 3 3" xfId="22408" xr:uid="{BB07D8D3-0A2C-40F5-89D9-9E4F3DAF7A39}"/>
    <cellStyle name="Normal 2 4 5 4 3 4" xfId="9753" xr:uid="{6B7F24BE-E90A-42CE-A017-4F691F11536D}"/>
    <cellStyle name="Normal 2 4 5 4 3 5" xfId="18191" xr:uid="{AC5685FD-5D9E-40FF-AA6D-4211AA94750B}"/>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C8EB4C61-3B55-4E27-B16C-32F59B257687}"/>
    <cellStyle name="Normal 2 4 5 4 4 2 2 3" xfId="24966" xr:uid="{63B0447D-3AA8-498E-8684-3B0913ADD284}"/>
    <cellStyle name="Normal 2 4 5 4 4 2 3" xfId="12311" xr:uid="{AC2270DF-728F-40B8-9ACA-0B5DA3C956AC}"/>
    <cellStyle name="Normal 2 4 5 4 4 2 4" xfId="20749" xr:uid="{FF28BF38-3E4A-49CD-846A-DBDFF4B0E081}"/>
    <cellStyle name="Normal 2 4 5 4 4 3" xfId="5942" xr:uid="{00000000-0005-0000-0000-0000BA100000}"/>
    <cellStyle name="Normal 2 4 5 4 4 3 2" xfId="14384" xr:uid="{999BB724-E690-40DB-90F8-FE7BD97B8106}"/>
    <cellStyle name="Normal 2 4 5 4 4 3 3" xfId="22821" xr:uid="{1F5E3C9A-353D-499C-97CC-E4DBD1FFAD9B}"/>
    <cellStyle name="Normal 2 4 5 4 4 4" xfId="10166" xr:uid="{D444DAED-375D-478C-BAB0-62AD5CBFC4BE}"/>
    <cellStyle name="Normal 2 4 5 4 4 5" xfId="18604" xr:uid="{A23864A5-41AB-418D-8177-0EBED564C369}"/>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3A2DEF2D-CEB0-4EFA-86C7-4892D818BC3B}"/>
    <cellStyle name="Normal 2 4 5 4 5 2 2 3" xfId="25379" xr:uid="{71F765D9-E9DB-4723-90F1-25E5DA594BE5}"/>
    <cellStyle name="Normal 2 4 5 4 5 2 3" xfId="12724" xr:uid="{ADE20E00-6717-4B74-979A-274500926A6B}"/>
    <cellStyle name="Normal 2 4 5 4 5 2 4" xfId="21162" xr:uid="{1D26D422-7CBA-4178-B3BF-4CB5A186D3E0}"/>
    <cellStyle name="Normal 2 4 5 4 5 3" xfId="6355" xr:uid="{00000000-0005-0000-0000-0000BE100000}"/>
    <cellStyle name="Normal 2 4 5 4 5 3 2" xfId="14797" xr:uid="{0D475981-2461-4DDC-AAFC-EFDA914D853E}"/>
    <cellStyle name="Normal 2 4 5 4 5 3 3" xfId="23234" xr:uid="{3657623C-C928-4AD9-AB8F-1BDF06BE81DD}"/>
    <cellStyle name="Normal 2 4 5 4 5 4" xfId="10579" xr:uid="{E5992871-A4B0-46A9-A23B-91D6C2850A46}"/>
    <cellStyle name="Normal 2 4 5 4 5 5" xfId="19017" xr:uid="{86EF1A32-42EF-4271-9D2F-0264075EB90A}"/>
    <cellStyle name="Normal 2 4 5 4 6" xfId="2484" xr:uid="{00000000-0005-0000-0000-0000BF100000}"/>
    <cellStyle name="Normal 2 4 5 4 6 2" xfId="6768" xr:uid="{00000000-0005-0000-0000-0000C0100000}"/>
    <cellStyle name="Normal 2 4 5 4 6 2 2" xfId="15210" xr:uid="{8390A1AD-9585-48DF-9DB8-AA79FB29630A}"/>
    <cellStyle name="Normal 2 4 5 4 6 2 3" xfId="23647" xr:uid="{7E986A01-F95D-4BAE-B046-81162B4107B7}"/>
    <cellStyle name="Normal 2 4 5 4 6 3" xfId="10992" xr:uid="{075DDAB2-97F5-4F4C-8927-C7568ED5D465}"/>
    <cellStyle name="Normal 2 4 5 4 6 4" xfId="19430" xr:uid="{3C54AF7A-6F2A-4079-ACAC-EB5B1B8F1068}"/>
    <cellStyle name="Normal 2 4 5 4 7" xfId="4702" xr:uid="{00000000-0005-0000-0000-0000C1100000}"/>
    <cellStyle name="Normal 2 4 5 4 7 2" xfId="13144" xr:uid="{E69B6DF9-2407-4B91-AB57-258AC9809C9A}"/>
    <cellStyle name="Normal 2 4 5 4 7 3" xfId="21581" xr:uid="{6A591910-AC3F-4181-9B02-45EE9D10A2E9}"/>
    <cellStyle name="Normal 2 4 5 4 8" xfId="8926" xr:uid="{00680E2A-B71A-4632-B18E-29442477DDD6}"/>
    <cellStyle name="Normal 2 4 5 4 9" xfId="17364" xr:uid="{548C970C-2BF3-43CB-AF39-965B53CD58AE}"/>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0D97D931-3673-42E1-897E-7AC7C623F8DA}"/>
    <cellStyle name="Normal 2 4 5 5 2 2 3" xfId="24133" xr:uid="{922C0CEF-FBDB-4B66-A616-A9693042D10E}"/>
    <cellStyle name="Normal 2 4 5 5 2 3" xfId="11478" xr:uid="{735C3BE3-4E5A-442A-A1F6-14F384896A23}"/>
    <cellStyle name="Normal 2 4 5 5 2 4" xfId="19916" xr:uid="{1E1A59B6-00D0-411A-BCA6-DC9768B80DDE}"/>
    <cellStyle name="Normal 2 4 5 5 3" xfId="5109" xr:uid="{00000000-0005-0000-0000-0000C5100000}"/>
    <cellStyle name="Normal 2 4 5 5 3 2" xfId="13551" xr:uid="{22FEB506-EA42-4FA3-BC8D-6B9009FB1602}"/>
    <cellStyle name="Normal 2 4 5 5 3 3" xfId="21988" xr:uid="{07420EBF-A9F6-4FF6-931F-51FC501FCE30}"/>
    <cellStyle name="Normal 2 4 5 5 4" xfId="9333" xr:uid="{E0DCBC65-1EC6-4DA1-8CCB-67FC58052549}"/>
    <cellStyle name="Normal 2 4 5 5 5" xfId="17771" xr:uid="{20AA3CB7-8CF1-491E-BE0F-D6C34AF9D0DE}"/>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2BF33D06-C7DB-4D2C-B769-3F885D726D8A}"/>
    <cellStyle name="Normal 2 4 5 6 2 2 3" xfId="24546" xr:uid="{6E7C795E-FA86-40A7-B898-9A2778F808DE}"/>
    <cellStyle name="Normal 2 4 5 6 2 3" xfId="11891" xr:uid="{D1F2DC4C-1C70-451C-A918-B3DB2C955E2E}"/>
    <cellStyle name="Normal 2 4 5 6 2 4" xfId="20329" xr:uid="{EFF4DB3A-224B-4DC4-B55F-AEFDBBAEC836}"/>
    <cellStyle name="Normal 2 4 5 6 3" xfId="5522" xr:uid="{00000000-0005-0000-0000-0000C9100000}"/>
    <cellStyle name="Normal 2 4 5 6 3 2" xfId="13964" xr:uid="{43A09C2A-100E-4E1F-A2B7-21D95A0F695A}"/>
    <cellStyle name="Normal 2 4 5 6 3 3" xfId="22401" xr:uid="{974418E5-6FBB-4D14-B98B-4B83BE6DB063}"/>
    <cellStyle name="Normal 2 4 5 6 4" xfId="9746" xr:uid="{6ABBE1E3-0DB6-4617-98DF-AD51D49C48D3}"/>
    <cellStyle name="Normal 2 4 5 6 5" xfId="18184" xr:uid="{F9C6FF04-7341-4FF1-B3C6-0F61EA9EADAF}"/>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BF7E4216-B09A-4AD5-B39A-3FBE84ACBBEE}"/>
    <cellStyle name="Normal 2 4 5 7 2 2 3" xfId="24959" xr:uid="{FFBC5C8F-1597-49C5-907A-F4A8E2F995DA}"/>
    <cellStyle name="Normal 2 4 5 7 2 3" xfId="12304" xr:uid="{D9D1DB49-3606-47FC-9E30-C3CB7688C952}"/>
    <cellStyle name="Normal 2 4 5 7 2 4" xfId="20742" xr:uid="{4D0E5C87-CAB3-4B8C-A42F-3B36A47D3C38}"/>
    <cellStyle name="Normal 2 4 5 7 3" xfId="5935" xr:uid="{00000000-0005-0000-0000-0000CD100000}"/>
    <cellStyle name="Normal 2 4 5 7 3 2" xfId="14377" xr:uid="{3F2B9B61-9EA4-462F-A235-60027C9CDBB6}"/>
    <cellStyle name="Normal 2 4 5 7 3 3" xfId="22814" xr:uid="{33C00F7E-7C40-4BD0-8648-C2C2ED9F6B7E}"/>
    <cellStyle name="Normal 2 4 5 7 4" xfId="10159" xr:uid="{0AEF35FF-E1A0-4AF4-95D7-A34EDC8B859D}"/>
    <cellStyle name="Normal 2 4 5 7 5" xfId="18597" xr:uid="{EB730618-6190-4236-AAED-5179DF2058F3}"/>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DF2A2204-16A0-4C2C-8D53-422583D9F17B}"/>
    <cellStyle name="Normal 2 4 5 8 2 2 3" xfId="25372" xr:uid="{A5F7F4B7-96CE-4AD3-8D1C-61411D2BC42E}"/>
    <cellStyle name="Normal 2 4 5 8 2 3" xfId="12717" xr:uid="{83C8B361-7EBA-4BCF-A844-EBCEE6B0AF5B}"/>
    <cellStyle name="Normal 2 4 5 8 2 4" xfId="21155" xr:uid="{F7377C4D-E0D9-440C-8126-070CDEE4E782}"/>
    <cellStyle name="Normal 2 4 5 8 3" xfId="6348" xr:uid="{00000000-0005-0000-0000-0000D1100000}"/>
    <cellStyle name="Normal 2 4 5 8 3 2" xfId="14790" xr:uid="{4056412E-1C90-4681-82B7-3D22D1611A32}"/>
    <cellStyle name="Normal 2 4 5 8 3 3" xfId="23227" xr:uid="{F5DBB112-67E3-4FF0-A8BD-D5CAFD5EB5D9}"/>
    <cellStyle name="Normal 2 4 5 8 4" xfId="10572" xr:uid="{7731CECE-C90F-45AF-98F0-D043DC82084E}"/>
    <cellStyle name="Normal 2 4 5 8 5" xfId="19010" xr:uid="{7D6A974E-8A1C-4420-973A-82EA8C31B74D}"/>
    <cellStyle name="Normal 2 4 5 9" xfId="2477" xr:uid="{00000000-0005-0000-0000-0000D2100000}"/>
    <cellStyle name="Normal 2 4 5 9 2" xfId="6761" xr:uid="{00000000-0005-0000-0000-0000D3100000}"/>
    <cellStyle name="Normal 2 4 5 9 2 2" xfId="15203" xr:uid="{FDA246F0-0E03-4929-A8A6-D6CAB29E6276}"/>
    <cellStyle name="Normal 2 4 5 9 2 3" xfId="23640" xr:uid="{A87F7744-9C83-4B34-81B3-A07570E2B5FE}"/>
    <cellStyle name="Normal 2 4 5 9 3" xfId="10985" xr:uid="{134C7722-7776-435C-90F1-E78DBB9C3446}"/>
    <cellStyle name="Normal 2 4 5 9 4" xfId="19423" xr:uid="{2AC939E9-DFA0-47BE-8045-578786CBF0C0}"/>
    <cellStyle name="Normal 2 4 6" xfId="311" xr:uid="{00000000-0005-0000-0000-0000D4100000}"/>
    <cellStyle name="Normal 2 4 7" xfId="312" xr:uid="{00000000-0005-0000-0000-0000D5100000}"/>
    <cellStyle name="Normal 2 4 7 10" xfId="17365" xr:uid="{7BEBFDD7-DED0-45A3-9B7B-49543BC10856}"/>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D71BD70C-5BBD-4B53-A2FB-84A1AB5C0279}"/>
    <cellStyle name="Normal 2 4 7 2 2 2 2 3" xfId="24142" xr:uid="{FBFBC237-10CB-450A-8F7B-D430E8993326}"/>
    <cellStyle name="Normal 2 4 7 2 2 2 3" xfId="11487" xr:uid="{84786FF4-7351-4DEB-AE97-FE4DE1B32A84}"/>
    <cellStyle name="Normal 2 4 7 2 2 2 4" xfId="19925" xr:uid="{E99548E2-3D94-402D-BFAB-7E166107EE8F}"/>
    <cellStyle name="Normal 2 4 7 2 2 3" xfId="5118" xr:uid="{00000000-0005-0000-0000-0000DA100000}"/>
    <cellStyle name="Normal 2 4 7 2 2 3 2" xfId="13560" xr:uid="{2784EF3B-EECB-44C7-A57A-24BDB503607F}"/>
    <cellStyle name="Normal 2 4 7 2 2 3 3" xfId="21997" xr:uid="{4C943EAE-BE39-47CE-A7EF-9F6C6AB58760}"/>
    <cellStyle name="Normal 2 4 7 2 2 4" xfId="9342" xr:uid="{61546494-C450-47C6-B938-CBDCA746E5BB}"/>
    <cellStyle name="Normal 2 4 7 2 2 5" xfId="17780" xr:uid="{CA7E2FD9-2C88-468A-AF1D-0D35FAD0B6AB}"/>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7CB307BC-F106-4F8C-A80E-31CF06EBD585}"/>
    <cellStyle name="Normal 2 4 7 2 3 2 2 3" xfId="24555" xr:uid="{FAC325F3-FD87-47B8-A5B7-AEC8873E4FAA}"/>
    <cellStyle name="Normal 2 4 7 2 3 2 3" xfId="11900" xr:uid="{97250F85-DC74-4F17-892F-70B5ADF49F84}"/>
    <cellStyle name="Normal 2 4 7 2 3 2 4" xfId="20338" xr:uid="{FAC791B9-CA07-4207-9997-F04ABF6BBBA7}"/>
    <cellStyle name="Normal 2 4 7 2 3 3" xfId="5531" xr:uid="{00000000-0005-0000-0000-0000DE100000}"/>
    <cellStyle name="Normal 2 4 7 2 3 3 2" xfId="13973" xr:uid="{F21244E9-4678-47D1-BF66-C915B269CC6A}"/>
    <cellStyle name="Normal 2 4 7 2 3 3 3" xfId="22410" xr:uid="{8BD9F867-A4F9-4099-BCDE-1D5EE252080B}"/>
    <cellStyle name="Normal 2 4 7 2 3 4" xfId="9755" xr:uid="{8E833745-DB32-44D3-8A20-0EDE24363084}"/>
    <cellStyle name="Normal 2 4 7 2 3 5" xfId="18193" xr:uid="{15BC92E7-B845-478B-BDAF-34ABDFE1CC19}"/>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57FE52C8-7E4F-4AAC-AE61-3C357C485B14}"/>
    <cellStyle name="Normal 2 4 7 2 4 2 2 3" xfId="24968" xr:uid="{08B9B9EC-B3E8-49C1-AD5E-F117938A9E85}"/>
    <cellStyle name="Normal 2 4 7 2 4 2 3" xfId="12313" xr:uid="{244DEC4E-B5B6-43A7-87B7-259BF8CB812C}"/>
    <cellStyle name="Normal 2 4 7 2 4 2 4" xfId="20751" xr:uid="{13A34C32-1F6E-4D0E-91DA-0C4594BA6C38}"/>
    <cellStyle name="Normal 2 4 7 2 4 3" xfId="5944" xr:uid="{00000000-0005-0000-0000-0000E2100000}"/>
    <cellStyle name="Normal 2 4 7 2 4 3 2" xfId="14386" xr:uid="{510C34D0-D4DB-454B-9A8C-1CF68292E878}"/>
    <cellStyle name="Normal 2 4 7 2 4 3 3" xfId="22823" xr:uid="{90127172-B1B7-4B09-89C0-3FFEFDC5E032}"/>
    <cellStyle name="Normal 2 4 7 2 4 4" xfId="10168" xr:uid="{0F77AB8B-6502-4425-A9C5-BED4131BC0BC}"/>
    <cellStyle name="Normal 2 4 7 2 4 5" xfId="18606" xr:uid="{7B7F5709-6A48-4500-A1C8-3653537285BD}"/>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3499F267-F625-4079-83AF-8D66B852DE0D}"/>
    <cellStyle name="Normal 2 4 7 2 5 2 2 3" xfId="25381" xr:uid="{60E53EC1-8E04-4F50-82E8-3A3EDE417C29}"/>
    <cellStyle name="Normal 2 4 7 2 5 2 3" xfId="12726" xr:uid="{27941886-23E9-4FCF-A090-B49B4351E7D2}"/>
    <cellStyle name="Normal 2 4 7 2 5 2 4" xfId="21164" xr:uid="{2D49668D-B562-473F-B3BE-C0B3C11BDE8E}"/>
    <cellStyle name="Normal 2 4 7 2 5 3" xfId="6357" xr:uid="{00000000-0005-0000-0000-0000E6100000}"/>
    <cellStyle name="Normal 2 4 7 2 5 3 2" xfId="14799" xr:uid="{9EF9609E-DCC3-4BDD-9877-046C9B6D1D48}"/>
    <cellStyle name="Normal 2 4 7 2 5 3 3" xfId="23236" xr:uid="{4387BBBF-EC96-45BC-AFE6-79021F845240}"/>
    <cellStyle name="Normal 2 4 7 2 5 4" xfId="10581" xr:uid="{8958F8BC-FE9E-489D-A3F0-C69745AE0D3D}"/>
    <cellStyle name="Normal 2 4 7 2 5 5" xfId="19019" xr:uid="{A9E06BC8-7100-4DFF-B4AD-E617A5F0FF82}"/>
    <cellStyle name="Normal 2 4 7 2 6" xfId="2486" xr:uid="{00000000-0005-0000-0000-0000E7100000}"/>
    <cellStyle name="Normal 2 4 7 2 6 2" xfId="6770" xr:uid="{00000000-0005-0000-0000-0000E8100000}"/>
    <cellStyle name="Normal 2 4 7 2 6 2 2" xfId="15212" xr:uid="{F01B4A4B-E476-46CE-9004-DA6A8FF73E56}"/>
    <cellStyle name="Normal 2 4 7 2 6 2 3" xfId="23649" xr:uid="{1BB39E0F-CE29-41F1-A0BE-F896192FACE4}"/>
    <cellStyle name="Normal 2 4 7 2 6 3" xfId="10994" xr:uid="{4A65C2B2-2D7C-4B66-9FE9-D273B132049A}"/>
    <cellStyle name="Normal 2 4 7 2 6 4" xfId="19432" xr:uid="{B54C8674-9554-49DE-ADF8-6D22765E4118}"/>
    <cellStyle name="Normal 2 4 7 2 7" xfId="4704" xr:uid="{00000000-0005-0000-0000-0000E9100000}"/>
    <cellStyle name="Normal 2 4 7 2 7 2" xfId="13146" xr:uid="{6B338600-DC1F-4464-89B2-502184D3E2CE}"/>
    <cellStyle name="Normal 2 4 7 2 7 3" xfId="21583" xr:uid="{9BA17C18-94FB-4BAE-A04E-E12856A12575}"/>
    <cellStyle name="Normal 2 4 7 2 8" xfId="8928" xr:uid="{38FFCE3D-F230-4034-A5CB-DA4978BC04B9}"/>
    <cellStyle name="Normal 2 4 7 2 9" xfId="17366" xr:uid="{A217635B-1CBA-4DF5-9DD1-5F9015E7CA4D}"/>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0535BE96-EC07-47AD-A5C0-03777C9DB592}"/>
    <cellStyle name="Normal 2 4 7 3 2 2 3" xfId="24141" xr:uid="{0DE8481F-63A8-491A-B89A-F409D4BA41CD}"/>
    <cellStyle name="Normal 2 4 7 3 2 3" xfId="11486" xr:uid="{1026A18E-495B-4B85-BECE-825EE102CD91}"/>
    <cellStyle name="Normal 2 4 7 3 2 4" xfId="19924" xr:uid="{DD83CA2B-0C38-42F0-99B5-1E79C7FC38DD}"/>
    <cellStyle name="Normal 2 4 7 3 3" xfId="5117" xr:uid="{00000000-0005-0000-0000-0000ED100000}"/>
    <cellStyle name="Normal 2 4 7 3 3 2" xfId="13559" xr:uid="{579C6101-DFF9-464E-BCE0-4BB9D4826F8F}"/>
    <cellStyle name="Normal 2 4 7 3 3 3" xfId="21996" xr:uid="{27D879EA-42E0-4D25-877D-B30E967CBEB7}"/>
    <cellStyle name="Normal 2 4 7 3 4" xfId="9341" xr:uid="{7BD57FD6-7DC5-4424-8B0A-B28A532EF72F}"/>
    <cellStyle name="Normal 2 4 7 3 5" xfId="17779" xr:uid="{02E1D2A1-2388-40E5-93DC-A0BDFA283EB5}"/>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21E48CB1-7C95-4BBE-BEDF-788C8FC73CC3}"/>
    <cellStyle name="Normal 2 4 7 4 2 2 3" xfId="24554" xr:uid="{EB5CB050-636C-43BB-B62B-5F3CC5DCBEAB}"/>
    <cellStyle name="Normal 2 4 7 4 2 3" xfId="11899" xr:uid="{4A9224F5-67B3-4209-8E1F-8373A1B476D2}"/>
    <cellStyle name="Normal 2 4 7 4 2 4" xfId="20337" xr:uid="{7A0AFC01-9DC7-45AA-BE92-AB86815EC137}"/>
    <cellStyle name="Normal 2 4 7 4 3" xfId="5530" xr:uid="{00000000-0005-0000-0000-0000F1100000}"/>
    <cellStyle name="Normal 2 4 7 4 3 2" xfId="13972" xr:uid="{82091336-74F2-46DD-AE21-B76F07D3D07D}"/>
    <cellStyle name="Normal 2 4 7 4 3 3" xfId="22409" xr:uid="{C09F0EAF-0FDE-4920-9574-DE2B79580FBF}"/>
    <cellStyle name="Normal 2 4 7 4 4" xfId="9754" xr:uid="{154C476E-A79D-443B-BCBB-623ED903341D}"/>
    <cellStyle name="Normal 2 4 7 4 5" xfId="18192" xr:uid="{F1D51944-1896-445D-B6DE-CBD19CCF095F}"/>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43B954A1-0EA0-47AA-B914-53CB1469CC85}"/>
    <cellStyle name="Normal 2 4 7 5 2 2 3" xfId="24967" xr:uid="{F9D0EBBF-D273-4EC6-B0B8-D8562F83FFAC}"/>
    <cellStyle name="Normal 2 4 7 5 2 3" xfId="12312" xr:uid="{4A9373EF-2001-422F-8211-6882BCCB36E9}"/>
    <cellStyle name="Normal 2 4 7 5 2 4" xfId="20750" xr:uid="{7A60171F-7771-40AA-BDEA-0F5F3F694305}"/>
    <cellStyle name="Normal 2 4 7 5 3" xfId="5943" xr:uid="{00000000-0005-0000-0000-0000F5100000}"/>
    <cellStyle name="Normal 2 4 7 5 3 2" xfId="14385" xr:uid="{A27E3200-6800-4CB5-B801-D00102B90680}"/>
    <cellStyle name="Normal 2 4 7 5 3 3" xfId="22822" xr:uid="{755FFA50-7165-4C4D-8B49-7FD9ED8D5F31}"/>
    <cellStyle name="Normal 2 4 7 5 4" xfId="10167" xr:uid="{FAC60F2D-C633-4F58-8FE0-09A6FCFE9836}"/>
    <cellStyle name="Normal 2 4 7 5 5" xfId="18605" xr:uid="{2B79E578-DC62-4902-9B9B-2023F7BD9074}"/>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598C52F6-5762-4930-B405-C708B36DE995}"/>
    <cellStyle name="Normal 2 4 7 6 2 2 3" xfId="25380" xr:uid="{3EB5297D-C00F-4E79-B613-5BC31D0C6A06}"/>
    <cellStyle name="Normal 2 4 7 6 2 3" xfId="12725" xr:uid="{F3C968DB-216D-4F68-9846-AC567D918E4B}"/>
    <cellStyle name="Normal 2 4 7 6 2 4" xfId="21163" xr:uid="{02BA26C1-796A-4E54-86D8-FF0275CCC270}"/>
    <cellStyle name="Normal 2 4 7 6 3" xfId="6356" xr:uid="{00000000-0005-0000-0000-0000F9100000}"/>
    <cellStyle name="Normal 2 4 7 6 3 2" xfId="14798" xr:uid="{2113CFFD-B57B-4ABB-B538-CBD0A0521EA4}"/>
    <cellStyle name="Normal 2 4 7 6 3 3" xfId="23235" xr:uid="{C10CEEE7-333B-4E2C-B54F-3817566E5B23}"/>
    <cellStyle name="Normal 2 4 7 6 4" xfId="10580" xr:uid="{B333E938-7B32-4F8B-B5B5-B2535C937C89}"/>
    <cellStyle name="Normal 2 4 7 6 5" xfId="19018" xr:uid="{323F39D7-D987-4137-93AD-6FBAB2645401}"/>
    <cellStyle name="Normal 2 4 7 7" xfId="2485" xr:uid="{00000000-0005-0000-0000-0000FA100000}"/>
    <cellStyle name="Normal 2 4 7 7 2" xfId="6769" xr:uid="{00000000-0005-0000-0000-0000FB100000}"/>
    <cellStyle name="Normal 2 4 7 7 2 2" xfId="15211" xr:uid="{D34C717D-BF09-41E8-BB18-A400C145656A}"/>
    <cellStyle name="Normal 2 4 7 7 2 3" xfId="23648" xr:uid="{7EE545AC-49CE-47BE-905B-FC2137160BD3}"/>
    <cellStyle name="Normal 2 4 7 7 3" xfId="10993" xr:uid="{94932FA6-7526-42AA-B2E9-5E73827749E8}"/>
    <cellStyle name="Normal 2 4 7 7 4" xfId="19431" xr:uid="{3E280CE7-7611-4AF4-BFBA-7913871D185B}"/>
    <cellStyle name="Normal 2 4 7 8" xfId="4703" xr:uid="{00000000-0005-0000-0000-0000FC100000}"/>
    <cellStyle name="Normal 2 4 7 8 2" xfId="13145" xr:uid="{6A67771D-D526-4361-BA96-AB27A04C1693}"/>
    <cellStyle name="Normal 2 4 7 8 3" xfId="21582" xr:uid="{FA8F2B0B-4A0B-425F-992D-DB50CB046014}"/>
    <cellStyle name="Normal 2 4 7 9" xfId="8927" xr:uid="{606E7EF8-C575-4E15-98FD-DB2D277EC8E1}"/>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38FB4D55-74D0-4E5F-83D7-99FD8D74B370}"/>
    <cellStyle name="Normal 2 4 8 2 2 2 3" xfId="24143" xr:uid="{ED56A4C6-FFBF-41DA-B584-80B0F55A0B5C}"/>
    <cellStyle name="Normal 2 4 8 2 2 3" xfId="11488" xr:uid="{BCB721D1-329B-4926-A98A-E5AAA49521C6}"/>
    <cellStyle name="Normal 2 4 8 2 2 4" xfId="19926" xr:uid="{D7B505C4-E88F-4221-B9CE-3E47BDFB9359}"/>
    <cellStyle name="Normal 2 4 8 2 3" xfId="5119" xr:uid="{00000000-0005-0000-0000-000001110000}"/>
    <cellStyle name="Normal 2 4 8 2 3 2" xfId="13561" xr:uid="{EC7CE6FD-7006-4FE6-8847-9E9739D7D51A}"/>
    <cellStyle name="Normal 2 4 8 2 3 3" xfId="21998" xr:uid="{E7B8199B-1C0C-463A-9057-80651FD16851}"/>
    <cellStyle name="Normal 2 4 8 2 4" xfId="9343" xr:uid="{F8C5C1F0-A73B-4CB4-B4D6-B35CA5AE3949}"/>
    <cellStyle name="Normal 2 4 8 2 5" xfId="17781" xr:uid="{5B246B14-7C42-4D4A-B8D5-53601DA6B410}"/>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7F73FC39-96DB-4A63-B2B8-890AC01AB2F7}"/>
    <cellStyle name="Normal 2 4 8 3 2 2 3" xfId="24556" xr:uid="{AF1B30AC-AF6B-454A-AB08-0FA4E0FAD208}"/>
    <cellStyle name="Normal 2 4 8 3 2 3" xfId="11901" xr:uid="{515B5A95-9DA3-45B3-A470-F5BDFD951E28}"/>
    <cellStyle name="Normal 2 4 8 3 2 4" xfId="20339" xr:uid="{15C7707B-55CD-4C23-A2DE-7930AF14804F}"/>
    <cellStyle name="Normal 2 4 8 3 3" xfId="5532" xr:uid="{00000000-0005-0000-0000-000005110000}"/>
    <cellStyle name="Normal 2 4 8 3 3 2" xfId="13974" xr:uid="{C4EA4ECA-7530-400F-B971-7E7074844B0E}"/>
    <cellStyle name="Normal 2 4 8 3 3 3" xfId="22411" xr:uid="{74ACDF8E-0583-43B8-81B6-4E8FA8F45843}"/>
    <cellStyle name="Normal 2 4 8 3 4" xfId="9756" xr:uid="{E27A5CB6-A319-4E76-8D06-38DEEEFEB5E6}"/>
    <cellStyle name="Normal 2 4 8 3 5" xfId="18194" xr:uid="{BE6DB09F-BE63-412E-8D1B-026E3EB974AF}"/>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9F5441FA-3089-4E63-91C6-4B1F8C197D75}"/>
    <cellStyle name="Normal 2 4 8 4 2 2 3" xfId="24969" xr:uid="{30446010-15E8-456A-9421-9EC81B146095}"/>
    <cellStyle name="Normal 2 4 8 4 2 3" xfId="12314" xr:uid="{1C8A8AAF-C84C-48F7-8CF5-42D86104E177}"/>
    <cellStyle name="Normal 2 4 8 4 2 4" xfId="20752" xr:uid="{4ED1D279-F1F2-4A1C-A179-CB4673FE398F}"/>
    <cellStyle name="Normal 2 4 8 4 3" xfId="5945" xr:uid="{00000000-0005-0000-0000-000009110000}"/>
    <cellStyle name="Normal 2 4 8 4 3 2" xfId="14387" xr:uid="{00C80117-5C49-4282-82C5-3C4435F5365E}"/>
    <cellStyle name="Normal 2 4 8 4 3 3" xfId="22824" xr:uid="{3305451A-DCEC-4C68-A51D-E324C5FE7355}"/>
    <cellStyle name="Normal 2 4 8 4 4" xfId="10169" xr:uid="{3985847F-F108-4244-9CEA-0AA11B3CD965}"/>
    <cellStyle name="Normal 2 4 8 4 5" xfId="18607" xr:uid="{AF68B9BE-7190-4E83-B208-AAF28A697F33}"/>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BAF4293B-6481-459C-B6D9-349C6B6943C0}"/>
    <cellStyle name="Normal 2 4 8 5 2 2 3" xfId="25382" xr:uid="{6425EF4E-B633-4F0D-AB35-270516355832}"/>
    <cellStyle name="Normal 2 4 8 5 2 3" xfId="12727" xr:uid="{C3895B59-0ABF-4CFA-A326-394B161D6FEB}"/>
    <cellStyle name="Normal 2 4 8 5 2 4" xfId="21165" xr:uid="{C2922C8A-E50F-46CD-9CAB-F630F189518A}"/>
    <cellStyle name="Normal 2 4 8 5 3" xfId="6358" xr:uid="{00000000-0005-0000-0000-00000D110000}"/>
    <cellStyle name="Normal 2 4 8 5 3 2" xfId="14800" xr:uid="{752D7841-9EC9-4489-B9AC-6D52FC5A1378}"/>
    <cellStyle name="Normal 2 4 8 5 3 3" xfId="23237" xr:uid="{F7CFB74F-19A8-4AAC-8649-D4262E5FA6C0}"/>
    <cellStyle name="Normal 2 4 8 5 4" xfId="10582" xr:uid="{31FCAB5A-B556-4984-867C-C62A69DE744A}"/>
    <cellStyle name="Normal 2 4 8 5 5" xfId="19020" xr:uid="{95A90839-9896-4270-8B97-4B7AD64BEA5F}"/>
    <cellStyle name="Normal 2 4 8 6" xfId="2487" xr:uid="{00000000-0005-0000-0000-00000E110000}"/>
    <cellStyle name="Normal 2 4 8 6 2" xfId="6771" xr:uid="{00000000-0005-0000-0000-00000F110000}"/>
    <cellStyle name="Normal 2 4 8 6 2 2" xfId="15213" xr:uid="{AD69B22A-2602-4A73-A356-93ABC7520BF8}"/>
    <cellStyle name="Normal 2 4 8 6 2 3" xfId="23650" xr:uid="{682E120C-2470-4748-89B8-CA41D747322C}"/>
    <cellStyle name="Normal 2 4 8 6 3" xfId="10995" xr:uid="{FABDC830-757E-4861-A0C0-061B16203900}"/>
    <cellStyle name="Normal 2 4 8 6 4" xfId="19433" xr:uid="{B8A0527F-300B-4429-A4BC-4689984D5661}"/>
    <cellStyle name="Normal 2 4 8 7" xfId="4705" xr:uid="{00000000-0005-0000-0000-000010110000}"/>
    <cellStyle name="Normal 2 4 8 7 2" xfId="13147" xr:uid="{82FF69B4-99FA-4276-93BB-F70372E68A1C}"/>
    <cellStyle name="Normal 2 4 8 7 3" xfId="21584" xr:uid="{AFD05216-8304-41DC-9E74-35BB62092C8A}"/>
    <cellStyle name="Normal 2 4 8 8" xfId="8929" xr:uid="{B5E75E9C-AA88-436A-AD4A-3470E02B945F}"/>
    <cellStyle name="Normal 2 4 8 9" xfId="17367" xr:uid="{7823E8BE-49B6-42E7-83CD-844C2F7C3A4E}"/>
    <cellStyle name="Normal 2 5" xfId="315" xr:uid="{00000000-0005-0000-0000-000011110000}"/>
    <cellStyle name="Normal 2 5 10" xfId="4706" xr:uid="{00000000-0005-0000-0000-000012110000}"/>
    <cellStyle name="Normal 2 5 10 2" xfId="13148" xr:uid="{994CA8C1-5DE1-4B7B-9AB6-5325D0FBCAB2}"/>
    <cellStyle name="Normal 2 5 10 3" xfId="21585" xr:uid="{F0E62C20-57A9-44EA-8E97-8C9D29A2F6B7}"/>
    <cellStyle name="Normal 2 5 11" xfId="8930" xr:uid="{4FECFDAD-BAB7-4D6A-A7C4-953DCA000BAB}"/>
    <cellStyle name="Normal 2 5 12" xfId="17368" xr:uid="{30FBEAF5-FC21-4E3A-9010-18F6E2F28A62}"/>
    <cellStyle name="Normal 2 5 2" xfId="316" xr:uid="{00000000-0005-0000-0000-000013110000}"/>
    <cellStyle name="Normal 2 5 3" xfId="317" xr:uid="{00000000-0005-0000-0000-000014110000}"/>
    <cellStyle name="Normal 2 5 4" xfId="318" xr:uid="{00000000-0005-0000-0000-000015110000}"/>
    <cellStyle name="Normal 2 5 4 10" xfId="8931" xr:uid="{2C25B0A2-1858-45CE-BFFC-E537F0433221}"/>
    <cellStyle name="Normal 2 5 4 11" xfId="17369" xr:uid="{2765099E-7296-4ECA-9895-63FA246B9472}"/>
    <cellStyle name="Normal 2 5 4 2" xfId="319" xr:uid="{00000000-0005-0000-0000-000016110000}"/>
    <cellStyle name="Normal 2 5 4 2 10" xfId="17370" xr:uid="{493ECCBC-B3B8-46AB-8BF7-F54F7B4B4CDA}"/>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3C859C31-ED39-4532-80A9-64FFF64BEBF6}"/>
    <cellStyle name="Normal 2 5 4 2 2 2 2 2 3" xfId="24147" xr:uid="{FA70AAD1-69DB-4330-9554-0E8CE2F1AEC9}"/>
    <cellStyle name="Normal 2 5 4 2 2 2 2 3" xfId="11492" xr:uid="{119A3EAC-65E2-4661-90C5-2B2E9C5E8B90}"/>
    <cellStyle name="Normal 2 5 4 2 2 2 2 4" xfId="19930" xr:uid="{212830F9-8051-4F27-9321-19776C23C4BD}"/>
    <cellStyle name="Normal 2 5 4 2 2 2 3" xfId="5123" xr:uid="{00000000-0005-0000-0000-00001B110000}"/>
    <cellStyle name="Normal 2 5 4 2 2 2 3 2" xfId="13565" xr:uid="{EE4CB58A-DFAF-4BE6-91DE-AB9309076460}"/>
    <cellStyle name="Normal 2 5 4 2 2 2 3 3" xfId="22002" xr:uid="{9EB1573A-0446-4FBB-B799-45E1C6FFBE5A}"/>
    <cellStyle name="Normal 2 5 4 2 2 2 4" xfId="9347" xr:uid="{301A59C4-B61C-4D0C-8E25-EE0B722F45FD}"/>
    <cellStyle name="Normal 2 5 4 2 2 2 5" xfId="17785" xr:uid="{5623ECD6-FE55-47CC-8C28-F412C46C52BB}"/>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C0269819-8AB0-4F2A-918E-5AAD7EEE695A}"/>
    <cellStyle name="Normal 2 5 4 2 2 3 2 2 3" xfId="24560" xr:uid="{B374F69A-BDDF-4CC8-AD17-F0F14D466F55}"/>
    <cellStyle name="Normal 2 5 4 2 2 3 2 3" xfId="11905" xr:uid="{5E58E635-7108-4DA7-8F70-6BAF60950597}"/>
    <cellStyle name="Normal 2 5 4 2 2 3 2 4" xfId="20343" xr:uid="{4132A7B3-1C9D-43DF-BD1D-CC4C7E452C4C}"/>
    <cellStyle name="Normal 2 5 4 2 2 3 3" xfId="5536" xr:uid="{00000000-0005-0000-0000-00001F110000}"/>
    <cellStyle name="Normal 2 5 4 2 2 3 3 2" xfId="13978" xr:uid="{59C45046-D80C-45E1-A919-CF7C769292FE}"/>
    <cellStyle name="Normal 2 5 4 2 2 3 3 3" xfId="22415" xr:uid="{1DEB4CD1-2217-497F-80B4-DE954CCB7768}"/>
    <cellStyle name="Normal 2 5 4 2 2 3 4" xfId="9760" xr:uid="{7C987115-6219-45F7-9E3D-FCD208080B8C}"/>
    <cellStyle name="Normal 2 5 4 2 2 3 5" xfId="18198" xr:uid="{D679622B-355D-4C81-98E9-A39DF5B04F83}"/>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1D2CD96D-2DBF-4EDC-ADED-B89FE3245821}"/>
    <cellStyle name="Normal 2 5 4 2 2 4 2 2 3" xfId="24973" xr:uid="{BD8E4F08-BAD7-4E76-AF99-2C892780D05F}"/>
    <cellStyle name="Normal 2 5 4 2 2 4 2 3" xfId="12318" xr:uid="{B883D015-12E1-4AD3-BD47-FCA64ACF48EF}"/>
    <cellStyle name="Normal 2 5 4 2 2 4 2 4" xfId="20756" xr:uid="{F3217AA2-D0D3-4D53-ADC9-74B4335BC1D8}"/>
    <cellStyle name="Normal 2 5 4 2 2 4 3" xfId="5949" xr:uid="{00000000-0005-0000-0000-000023110000}"/>
    <cellStyle name="Normal 2 5 4 2 2 4 3 2" xfId="14391" xr:uid="{7E690B58-F246-4B96-AE6F-E79E9D774E4B}"/>
    <cellStyle name="Normal 2 5 4 2 2 4 3 3" xfId="22828" xr:uid="{9A0A85D2-6942-4494-A7D5-A3FE71371279}"/>
    <cellStyle name="Normal 2 5 4 2 2 4 4" xfId="10173" xr:uid="{E6E4B867-C684-4A9D-BAE0-0FAF47B39A4C}"/>
    <cellStyle name="Normal 2 5 4 2 2 4 5" xfId="18611" xr:uid="{7D88902B-8E9A-466D-8AEF-DE6E2972A901}"/>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16E10122-4F84-4763-B50E-2E900E5A8310}"/>
    <cellStyle name="Normal 2 5 4 2 2 5 2 2 3" xfId="25386" xr:uid="{64A8A125-1BEA-4041-BCF8-D01CA9E5AC2F}"/>
    <cellStyle name="Normal 2 5 4 2 2 5 2 3" xfId="12731" xr:uid="{8CEE593F-7BFA-4745-9708-B7E58DDD3626}"/>
    <cellStyle name="Normal 2 5 4 2 2 5 2 4" xfId="21169" xr:uid="{7B8E423D-3FC7-4C59-82D5-3AB47DA6928E}"/>
    <cellStyle name="Normal 2 5 4 2 2 5 3" xfId="6362" xr:uid="{00000000-0005-0000-0000-000027110000}"/>
    <cellStyle name="Normal 2 5 4 2 2 5 3 2" xfId="14804" xr:uid="{C2FE8FBA-AF4D-4013-96A6-52607E29D702}"/>
    <cellStyle name="Normal 2 5 4 2 2 5 3 3" xfId="23241" xr:uid="{FB4BEAA9-57A6-4E96-9D5D-9C9A2AD30C71}"/>
    <cellStyle name="Normal 2 5 4 2 2 5 4" xfId="10586" xr:uid="{BFA0B845-D05B-4CF6-9781-F9BABF0D98CC}"/>
    <cellStyle name="Normal 2 5 4 2 2 5 5" xfId="19024" xr:uid="{D13004F1-57E1-4CB5-8BA9-4155FDEE3E41}"/>
    <cellStyle name="Normal 2 5 4 2 2 6" xfId="2491" xr:uid="{00000000-0005-0000-0000-000028110000}"/>
    <cellStyle name="Normal 2 5 4 2 2 6 2" xfId="6775" xr:uid="{00000000-0005-0000-0000-000029110000}"/>
    <cellStyle name="Normal 2 5 4 2 2 6 2 2" xfId="15217" xr:uid="{6E90F18F-86C7-4142-A0CA-D76D615A6F45}"/>
    <cellStyle name="Normal 2 5 4 2 2 6 2 3" xfId="23654" xr:uid="{C8EBAB19-BA09-4969-8626-C19A3D4F6A21}"/>
    <cellStyle name="Normal 2 5 4 2 2 6 3" xfId="10999" xr:uid="{BD4E0EC8-FB83-4B77-8F7B-E078CD00B09C}"/>
    <cellStyle name="Normal 2 5 4 2 2 6 4" xfId="19437" xr:uid="{7846FF99-5E94-4939-AD3D-DF58680E42DD}"/>
    <cellStyle name="Normal 2 5 4 2 2 7" xfId="4709" xr:uid="{00000000-0005-0000-0000-00002A110000}"/>
    <cellStyle name="Normal 2 5 4 2 2 7 2" xfId="13151" xr:uid="{B9EB42A4-9CBF-4396-81CB-6F9A70ECEDB4}"/>
    <cellStyle name="Normal 2 5 4 2 2 7 3" xfId="21588" xr:uid="{7546C121-CDA9-4745-AB79-8CB5705998A5}"/>
    <cellStyle name="Normal 2 5 4 2 2 8" xfId="8933" xr:uid="{5801E032-6239-40C1-ADA7-7B8527345167}"/>
    <cellStyle name="Normal 2 5 4 2 2 9" xfId="17371" xr:uid="{5B69669F-66A3-4E8C-BCE9-B44DA4533B8B}"/>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4C924BF4-6EE7-4852-AE39-0F686699395A}"/>
    <cellStyle name="Normal 2 5 4 2 3 2 2 3" xfId="24146" xr:uid="{AAAC09FB-C40E-4EFD-A8AF-ECE1EABE2C6D}"/>
    <cellStyle name="Normal 2 5 4 2 3 2 3" xfId="11491" xr:uid="{DBF2D302-85F6-4F6F-BC7E-69706757CA9D}"/>
    <cellStyle name="Normal 2 5 4 2 3 2 4" xfId="19929" xr:uid="{FEC4C2C7-BC22-4A45-9845-56C00054CEBD}"/>
    <cellStyle name="Normal 2 5 4 2 3 3" xfId="5122" xr:uid="{00000000-0005-0000-0000-00002E110000}"/>
    <cellStyle name="Normal 2 5 4 2 3 3 2" xfId="13564" xr:uid="{BF174E1C-F8EC-4A49-A15A-2EDE33E85BF1}"/>
    <cellStyle name="Normal 2 5 4 2 3 3 3" xfId="22001" xr:uid="{1549BE3B-0BEC-4162-BF83-06FE834D7467}"/>
    <cellStyle name="Normal 2 5 4 2 3 4" xfId="9346" xr:uid="{408DAAB2-AC79-428D-A1FE-3E5FED3DCFED}"/>
    <cellStyle name="Normal 2 5 4 2 3 5" xfId="17784" xr:uid="{72EFDD24-4113-483E-A827-E4EFA26B93DC}"/>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C05C1BB6-7DFC-4813-ABC3-C5E9F7E669A2}"/>
    <cellStyle name="Normal 2 5 4 2 4 2 2 3" xfId="24559" xr:uid="{4DEE98D7-09F3-4FC2-97EE-D3235CF5691E}"/>
    <cellStyle name="Normal 2 5 4 2 4 2 3" xfId="11904" xr:uid="{D06D00EA-1C61-414E-8E74-22E3D805B8BD}"/>
    <cellStyle name="Normal 2 5 4 2 4 2 4" xfId="20342" xr:uid="{2803FB20-0E24-4628-919F-91A1A7602015}"/>
    <cellStyle name="Normal 2 5 4 2 4 3" xfId="5535" xr:uid="{00000000-0005-0000-0000-000032110000}"/>
    <cellStyle name="Normal 2 5 4 2 4 3 2" xfId="13977" xr:uid="{F848A544-7D71-4443-B2F8-2994D8A94586}"/>
    <cellStyle name="Normal 2 5 4 2 4 3 3" xfId="22414" xr:uid="{ED5C5A3B-4278-4D08-BE90-820E01619720}"/>
    <cellStyle name="Normal 2 5 4 2 4 4" xfId="9759" xr:uid="{AC1CDC3B-7275-4136-8757-38B0B8BA7731}"/>
    <cellStyle name="Normal 2 5 4 2 4 5" xfId="18197" xr:uid="{D89A8CA1-B9EE-4E36-AA4E-ABB07810BD7C}"/>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6D352666-0294-40FC-8B83-67B5EC45DEC3}"/>
    <cellStyle name="Normal 2 5 4 2 5 2 2 3" xfId="24972" xr:uid="{B840BCFD-1F11-4CD3-85F0-0EAD36C6BAA2}"/>
    <cellStyle name="Normal 2 5 4 2 5 2 3" xfId="12317" xr:uid="{2F74DF7F-D3BE-43CD-B066-F402D5684BFF}"/>
    <cellStyle name="Normal 2 5 4 2 5 2 4" xfId="20755" xr:uid="{140DFCC8-73D4-47BF-98A4-DAAF9EE47BBF}"/>
    <cellStyle name="Normal 2 5 4 2 5 3" xfId="5948" xr:uid="{00000000-0005-0000-0000-000036110000}"/>
    <cellStyle name="Normal 2 5 4 2 5 3 2" xfId="14390" xr:uid="{FEDA0D40-D922-4D52-AF74-FD7234F50354}"/>
    <cellStyle name="Normal 2 5 4 2 5 3 3" xfId="22827" xr:uid="{E9FC9F44-6FF9-41A2-A268-697EA9C0358A}"/>
    <cellStyle name="Normal 2 5 4 2 5 4" xfId="10172" xr:uid="{C6E60E92-6F4A-4306-A255-18866F30115B}"/>
    <cellStyle name="Normal 2 5 4 2 5 5" xfId="18610" xr:uid="{61BAC3B3-738B-4660-AE6C-076253BDA816}"/>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3FDCAF26-56BA-4DEE-93C5-B46EDDA3C107}"/>
    <cellStyle name="Normal 2 5 4 2 6 2 2 3" xfId="25385" xr:uid="{15A059C4-0C35-4837-8778-1F5F3636E1AB}"/>
    <cellStyle name="Normal 2 5 4 2 6 2 3" xfId="12730" xr:uid="{95CB3E10-1D1F-4BCF-AC75-EC0F3F696018}"/>
    <cellStyle name="Normal 2 5 4 2 6 2 4" xfId="21168" xr:uid="{1B345FF0-AEFC-4757-AD71-DB47C2A01C45}"/>
    <cellStyle name="Normal 2 5 4 2 6 3" xfId="6361" xr:uid="{00000000-0005-0000-0000-00003A110000}"/>
    <cellStyle name="Normal 2 5 4 2 6 3 2" xfId="14803" xr:uid="{36FCDD3A-94B6-4B30-A731-476BDBAFEBB0}"/>
    <cellStyle name="Normal 2 5 4 2 6 3 3" xfId="23240" xr:uid="{E9C6C713-9563-465D-8968-8DAC1D80BE43}"/>
    <cellStyle name="Normal 2 5 4 2 6 4" xfId="10585" xr:uid="{5A392690-DECB-44A9-954E-2661E447CE45}"/>
    <cellStyle name="Normal 2 5 4 2 6 5" xfId="19023" xr:uid="{A1191341-731F-47D3-ADBB-17C8D0DDB132}"/>
    <cellStyle name="Normal 2 5 4 2 7" xfId="2490" xr:uid="{00000000-0005-0000-0000-00003B110000}"/>
    <cellStyle name="Normal 2 5 4 2 7 2" xfId="6774" xr:uid="{00000000-0005-0000-0000-00003C110000}"/>
    <cellStyle name="Normal 2 5 4 2 7 2 2" xfId="15216" xr:uid="{B4B033CF-A0C2-4F41-BA19-7FA463F9A06A}"/>
    <cellStyle name="Normal 2 5 4 2 7 2 3" xfId="23653" xr:uid="{C66DDBFF-58E8-4B97-B739-11019C46FEBD}"/>
    <cellStyle name="Normal 2 5 4 2 7 3" xfId="10998" xr:uid="{BB28C4C4-68CB-4895-9C92-6C01D287FF20}"/>
    <cellStyle name="Normal 2 5 4 2 7 4" xfId="19436" xr:uid="{19AF0871-E617-4135-92F9-1B8D7E7ECB10}"/>
    <cellStyle name="Normal 2 5 4 2 8" xfId="4708" xr:uid="{00000000-0005-0000-0000-00003D110000}"/>
    <cellStyle name="Normal 2 5 4 2 8 2" xfId="13150" xr:uid="{DF50EAC9-F338-4D03-A40D-5A1A85DD9895}"/>
    <cellStyle name="Normal 2 5 4 2 8 3" xfId="21587" xr:uid="{A338BFEF-1F4D-49A7-B9EC-013EC3580F57}"/>
    <cellStyle name="Normal 2 5 4 2 9" xfId="8932" xr:uid="{1B4F2A46-0352-4D1E-A313-E731F30B72E3}"/>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7C8004B4-5A11-4399-9A59-4F7818A2C464}"/>
    <cellStyle name="Normal 2 5 4 3 2 2 2 3" xfId="24148" xr:uid="{FF87BA1D-22BD-4D30-9C04-8F4CEDD46761}"/>
    <cellStyle name="Normal 2 5 4 3 2 2 3" xfId="11493" xr:uid="{1DB8BA2C-79F1-451E-9404-F0D9F3FF7437}"/>
    <cellStyle name="Normal 2 5 4 3 2 2 4" xfId="19931" xr:uid="{6061D72C-2D25-4A22-B8CF-1C0F216B60F4}"/>
    <cellStyle name="Normal 2 5 4 3 2 3" xfId="5124" xr:uid="{00000000-0005-0000-0000-000042110000}"/>
    <cellStyle name="Normal 2 5 4 3 2 3 2" xfId="13566" xr:uid="{692C40A7-84A0-4FA7-843F-62ABB092029F}"/>
    <cellStyle name="Normal 2 5 4 3 2 3 3" xfId="22003" xr:uid="{7B6D9CEC-170E-4969-AB11-3E9764D508C5}"/>
    <cellStyle name="Normal 2 5 4 3 2 4" xfId="9348" xr:uid="{BF37647C-0623-4DC5-9A78-1511418363D7}"/>
    <cellStyle name="Normal 2 5 4 3 2 5" xfId="17786" xr:uid="{F70CEF42-C05A-4663-9F30-80AA6AD4DA23}"/>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4FB094DA-9B95-4287-BF42-CEC79A3AC279}"/>
    <cellStyle name="Normal 2 5 4 3 3 2 2 3" xfId="24561" xr:uid="{8E60C6D9-84F5-4BE3-97FB-DF1D5B7BD6D4}"/>
    <cellStyle name="Normal 2 5 4 3 3 2 3" xfId="11906" xr:uid="{B55EB744-2E64-4A45-A829-9599D8FD8A37}"/>
    <cellStyle name="Normal 2 5 4 3 3 2 4" xfId="20344" xr:uid="{87774B34-8736-4452-932A-1BD4B7A7CB25}"/>
    <cellStyle name="Normal 2 5 4 3 3 3" xfId="5537" xr:uid="{00000000-0005-0000-0000-000046110000}"/>
    <cellStyle name="Normal 2 5 4 3 3 3 2" xfId="13979" xr:uid="{5C2733B1-A1A3-4D3A-8EC3-681D1B4922F3}"/>
    <cellStyle name="Normal 2 5 4 3 3 3 3" xfId="22416" xr:uid="{8ABD5795-BAD7-4EF4-8732-916FADEA325A}"/>
    <cellStyle name="Normal 2 5 4 3 3 4" xfId="9761" xr:uid="{66EC6890-AA74-458C-A676-C626DD34FC24}"/>
    <cellStyle name="Normal 2 5 4 3 3 5" xfId="18199" xr:uid="{7F41769C-301B-418A-9294-EC945E9724B5}"/>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D87176AA-B1AF-426C-9C93-149248D6A8B2}"/>
    <cellStyle name="Normal 2 5 4 3 4 2 2 3" xfId="24974" xr:uid="{E6258C9F-2CF1-459E-A6DB-F1772137D34C}"/>
    <cellStyle name="Normal 2 5 4 3 4 2 3" xfId="12319" xr:uid="{620A9AF9-2157-4174-BBA1-976C5ADFC3CF}"/>
    <cellStyle name="Normal 2 5 4 3 4 2 4" xfId="20757" xr:uid="{2C61673D-9193-4575-AAA4-376A42BCFA9E}"/>
    <cellStyle name="Normal 2 5 4 3 4 3" xfId="5950" xr:uid="{00000000-0005-0000-0000-00004A110000}"/>
    <cellStyle name="Normal 2 5 4 3 4 3 2" xfId="14392" xr:uid="{8A1F6130-8885-42E3-B1D7-08A83BDA6F82}"/>
    <cellStyle name="Normal 2 5 4 3 4 3 3" xfId="22829" xr:uid="{C44C4816-E157-4B7F-9C01-D100219FD87D}"/>
    <cellStyle name="Normal 2 5 4 3 4 4" xfId="10174" xr:uid="{CB2C17D5-D5B5-42C1-8BE7-777CFC8F3B15}"/>
    <cellStyle name="Normal 2 5 4 3 4 5" xfId="18612" xr:uid="{96CA9BA7-07E3-4E22-8052-2C3E326B6F2C}"/>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2078A8EC-BF9B-4077-A381-6A9C2D4501B4}"/>
    <cellStyle name="Normal 2 5 4 3 5 2 2 3" xfId="25387" xr:uid="{5C34C4F6-9ABA-42A7-B842-B627E0AA45B8}"/>
    <cellStyle name="Normal 2 5 4 3 5 2 3" xfId="12732" xr:uid="{4E2E790D-CE75-4783-B9E5-9FDE05B84FAA}"/>
    <cellStyle name="Normal 2 5 4 3 5 2 4" xfId="21170" xr:uid="{0C52D8BA-A705-4B32-AE19-F401557464A9}"/>
    <cellStyle name="Normal 2 5 4 3 5 3" xfId="6363" xr:uid="{00000000-0005-0000-0000-00004E110000}"/>
    <cellStyle name="Normal 2 5 4 3 5 3 2" xfId="14805" xr:uid="{6EFDB0A4-DFB7-4065-8BE2-0FEBA0D78981}"/>
    <cellStyle name="Normal 2 5 4 3 5 3 3" xfId="23242" xr:uid="{6D389603-A0CD-48D9-BFD5-A36D8E4DCFEB}"/>
    <cellStyle name="Normal 2 5 4 3 5 4" xfId="10587" xr:uid="{AF691A79-AE82-4571-BD9A-C3EA72BABEE5}"/>
    <cellStyle name="Normal 2 5 4 3 5 5" xfId="19025" xr:uid="{670207A2-C3F7-4A53-AC1E-CBE8301E6658}"/>
    <cellStyle name="Normal 2 5 4 3 6" xfId="2492" xr:uid="{00000000-0005-0000-0000-00004F110000}"/>
    <cellStyle name="Normal 2 5 4 3 6 2" xfId="6776" xr:uid="{00000000-0005-0000-0000-000050110000}"/>
    <cellStyle name="Normal 2 5 4 3 6 2 2" xfId="15218" xr:uid="{89EAACA3-0775-43C7-9FCB-5D2C5FA70BA4}"/>
    <cellStyle name="Normal 2 5 4 3 6 2 3" xfId="23655" xr:uid="{50F610CD-9BBC-4AD8-B48F-8B2CB55BC26C}"/>
    <cellStyle name="Normal 2 5 4 3 6 3" xfId="11000" xr:uid="{CA4C2C9C-A4AE-4F76-8080-1C662567A367}"/>
    <cellStyle name="Normal 2 5 4 3 6 4" xfId="19438" xr:uid="{44BA0F09-690B-43A6-8AFA-03DB35A9F63E}"/>
    <cellStyle name="Normal 2 5 4 3 7" xfId="4710" xr:uid="{00000000-0005-0000-0000-000051110000}"/>
    <cellStyle name="Normal 2 5 4 3 7 2" xfId="13152" xr:uid="{0B3BE79B-79D4-453C-B4F8-C55CDD8660F2}"/>
    <cellStyle name="Normal 2 5 4 3 7 3" xfId="21589" xr:uid="{AE28F021-4FC9-493E-822E-F71CD4C564F3}"/>
    <cellStyle name="Normal 2 5 4 3 8" xfId="8934" xr:uid="{1276E342-C722-471C-A2E7-985E30D96330}"/>
    <cellStyle name="Normal 2 5 4 3 9" xfId="17372" xr:uid="{C6B17150-F805-4A06-8D44-A578368B3B60}"/>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63A40DC9-066E-4115-B8B5-472C3063A838}"/>
    <cellStyle name="Normal 2 5 4 4 2 2 3" xfId="24145" xr:uid="{B9AE4BB9-CBC9-4AF3-90FE-1390E0C1AA72}"/>
    <cellStyle name="Normal 2 5 4 4 2 3" xfId="11490" xr:uid="{4B940A43-80BC-433E-A134-845B57601322}"/>
    <cellStyle name="Normal 2 5 4 4 2 4" xfId="19928" xr:uid="{54410F68-D420-4D38-9EA0-FC067AE85030}"/>
    <cellStyle name="Normal 2 5 4 4 3" xfId="5121" xr:uid="{00000000-0005-0000-0000-000055110000}"/>
    <cellStyle name="Normal 2 5 4 4 3 2" xfId="13563" xr:uid="{93F3310C-E016-4E51-BAB2-DEE91F2C733F}"/>
    <cellStyle name="Normal 2 5 4 4 3 3" xfId="22000" xr:uid="{CBC382A0-9869-4212-8AD7-931491530241}"/>
    <cellStyle name="Normal 2 5 4 4 4" xfId="9345" xr:uid="{A22BC827-DFE8-4D19-A935-245DE0AB0143}"/>
    <cellStyle name="Normal 2 5 4 4 5" xfId="17783" xr:uid="{60F0A42F-2F01-4189-BDC7-4BBD8DA184CB}"/>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31B2D5B1-C7A5-4759-9CE9-077A69336499}"/>
    <cellStyle name="Normal 2 5 4 5 2 2 3" xfId="24558" xr:uid="{4479F0D3-7550-4AF9-B3E5-0F6FE5170660}"/>
    <cellStyle name="Normal 2 5 4 5 2 3" xfId="11903" xr:uid="{E5366C44-5101-495C-A50F-E6ED576FB67E}"/>
    <cellStyle name="Normal 2 5 4 5 2 4" xfId="20341" xr:uid="{4D43E5DF-F82E-4C7C-9D6E-AD19CBBCF0E5}"/>
    <cellStyle name="Normal 2 5 4 5 3" xfId="5534" xr:uid="{00000000-0005-0000-0000-000059110000}"/>
    <cellStyle name="Normal 2 5 4 5 3 2" xfId="13976" xr:uid="{2884D28A-67F7-48D0-94DB-1414FE126E8B}"/>
    <cellStyle name="Normal 2 5 4 5 3 3" xfId="22413" xr:uid="{A5DF2155-81E4-4F07-A2AE-155AA89044BB}"/>
    <cellStyle name="Normal 2 5 4 5 4" xfId="9758" xr:uid="{91E7C26F-9775-4FF9-9622-B94DE615A371}"/>
    <cellStyle name="Normal 2 5 4 5 5" xfId="18196" xr:uid="{3A0B1E1B-A9AC-4CF6-B7B2-BAA9B076574D}"/>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0E0D76AE-44F6-4148-B262-7AE92558967E}"/>
    <cellStyle name="Normal 2 5 4 6 2 2 3" xfId="24971" xr:uid="{5114A39E-9AC4-4D03-BB21-158C2297DABD}"/>
    <cellStyle name="Normal 2 5 4 6 2 3" xfId="12316" xr:uid="{74DD9123-CE82-4EA3-A1D2-C5AAF05FDB36}"/>
    <cellStyle name="Normal 2 5 4 6 2 4" xfId="20754" xr:uid="{BFCD7A44-66FC-4517-90E2-2A3BA009AD41}"/>
    <cellStyle name="Normal 2 5 4 6 3" xfId="5947" xr:uid="{00000000-0005-0000-0000-00005D110000}"/>
    <cellStyle name="Normal 2 5 4 6 3 2" xfId="14389" xr:uid="{0ADC97AE-3A0C-4616-B12C-8768AF8C4E62}"/>
    <cellStyle name="Normal 2 5 4 6 3 3" xfId="22826" xr:uid="{7C78B4CA-4BCE-4EB3-B7C5-2AD73D884CF1}"/>
    <cellStyle name="Normal 2 5 4 6 4" xfId="10171" xr:uid="{5ACEC403-9874-4BC5-A025-1408C9B93C17}"/>
    <cellStyle name="Normal 2 5 4 6 5" xfId="18609" xr:uid="{06F12A79-4B02-49D0-B3D1-C958FA7AF1E3}"/>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69955A2E-19F9-4121-9D9F-42F5379962E3}"/>
    <cellStyle name="Normal 2 5 4 7 2 2 3" xfId="25384" xr:uid="{81D04147-7371-430C-9A0A-4364FA9885FF}"/>
    <cellStyle name="Normal 2 5 4 7 2 3" xfId="12729" xr:uid="{7F8092D5-39DC-47D5-8D5E-038AF714CA73}"/>
    <cellStyle name="Normal 2 5 4 7 2 4" xfId="21167" xr:uid="{3F28C774-114B-4ACA-9930-5AAAD902F5D6}"/>
    <cellStyle name="Normal 2 5 4 7 3" xfId="6360" xr:uid="{00000000-0005-0000-0000-000061110000}"/>
    <cellStyle name="Normal 2 5 4 7 3 2" xfId="14802" xr:uid="{DD35ECF6-CB06-4D9D-81FD-93A4A39B21E6}"/>
    <cellStyle name="Normal 2 5 4 7 3 3" xfId="23239" xr:uid="{044D6D91-F003-4CDD-98B9-1CA0645A5646}"/>
    <cellStyle name="Normal 2 5 4 7 4" xfId="10584" xr:uid="{A431631E-F966-4361-8D99-1B5B10E61826}"/>
    <cellStyle name="Normal 2 5 4 7 5" xfId="19022" xr:uid="{AB817796-B372-48F6-A950-2856153632B6}"/>
    <cellStyle name="Normal 2 5 4 8" xfId="2489" xr:uid="{00000000-0005-0000-0000-000062110000}"/>
    <cellStyle name="Normal 2 5 4 8 2" xfId="6773" xr:uid="{00000000-0005-0000-0000-000063110000}"/>
    <cellStyle name="Normal 2 5 4 8 2 2" xfId="15215" xr:uid="{435E4533-6164-4F6A-9904-7F3FF273FE22}"/>
    <cellStyle name="Normal 2 5 4 8 2 3" xfId="23652" xr:uid="{E2C1BA38-4865-4D46-A32F-77E6317E29E0}"/>
    <cellStyle name="Normal 2 5 4 8 3" xfId="10997" xr:uid="{5E276006-EED8-4080-90B4-AC152285228D}"/>
    <cellStyle name="Normal 2 5 4 8 4" xfId="19435" xr:uid="{D3BABF29-9265-48F4-982F-CC22B62A834A}"/>
    <cellStyle name="Normal 2 5 4 9" xfId="4707" xr:uid="{00000000-0005-0000-0000-000064110000}"/>
    <cellStyle name="Normal 2 5 4 9 2" xfId="13149" xr:uid="{E4AFC046-3D26-4F4B-91A0-10B38C2EA6C1}"/>
    <cellStyle name="Normal 2 5 4 9 3" xfId="21586" xr:uid="{9F0975D0-A0BC-45EB-B5F6-457F7363E1B2}"/>
    <cellStyle name="Normal 2 5 5" xfId="803" xr:uid="{00000000-0005-0000-0000-000065110000}"/>
    <cellStyle name="Normal 2 5 5 2" xfId="3042" xr:uid="{00000000-0005-0000-0000-000066110000}"/>
    <cellStyle name="Normal 2 5 5 2 2" xfId="7265" xr:uid="{00000000-0005-0000-0000-000067110000}"/>
    <cellStyle name="Normal 2 5 5 2 2 2" xfId="15707" xr:uid="{53BF0518-9F49-437D-BFE3-4342328F5E9F}"/>
    <cellStyle name="Normal 2 5 5 2 2 3" xfId="24144" xr:uid="{67AED083-1EE2-45CA-9FA8-634642F346F1}"/>
    <cellStyle name="Normal 2 5 5 2 3" xfId="11489" xr:uid="{F7042603-5B8C-40F7-BB98-3899DFA8CC89}"/>
    <cellStyle name="Normal 2 5 5 2 4" xfId="19927" xr:uid="{A95DDE52-3209-4C95-9B43-52C597B77EE2}"/>
    <cellStyle name="Normal 2 5 5 3" xfId="5120" xr:uid="{00000000-0005-0000-0000-000068110000}"/>
    <cellStyle name="Normal 2 5 5 3 2" xfId="13562" xr:uid="{86273ED3-24F5-4281-8739-05DD8342DBDD}"/>
    <cellStyle name="Normal 2 5 5 3 3" xfId="21999" xr:uid="{E7AABA81-DC84-4B4D-9FF6-EA6807855486}"/>
    <cellStyle name="Normal 2 5 5 4" xfId="9344" xr:uid="{65FAFD83-FC6D-4C01-A6D2-00BF98E24201}"/>
    <cellStyle name="Normal 2 5 5 5" xfId="17782" xr:uid="{F3705586-9756-4D70-B893-350402BDC3FE}"/>
    <cellStyle name="Normal 2 5 6" xfId="1225" xr:uid="{00000000-0005-0000-0000-000069110000}"/>
    <cellStyle name="Normal 2 5 6 2" xfId="3455" xr:uid="{00000000-0005-0000-0000-00006A110000}"/>
    <cellStyle name="Normal 2 5 6 2 2" xfId="7678" xr:uid="{00000000-0005-0000-0000-00006B110000}"/>
    <cellStyle name="Normal 2 5 6 2 2 2" xfId="16120" xr:uid="{42EE22B1-940B-4F5B-99E3-7F1EE39987A5}"/>
    <cellStyle name="Normal 2 5 6 2 2 3" xfId="24557" xr:uid="{F08F306B-241B-42F1-85B2-992B5231DB0F}"/>
    <cellStyle name="Normal 2 5 6 2 3" xfId="11902" xr:uid="{0F39C2C2-5BD5-421D-88D7-3E214BDBBCFA}"/>
    <cellStyle name="Normal 2 5 6 2 4" xfId="20340" xr:uid="{A9625D75-926E-4222-9AFC-0CC30E46236B}"/>
    <cellStyle name="Normal 2 5 6 3" xfId="5533" xr:uid="{00000000-0005-0000-0000-00006C110000}"/>
    <cellStyle name="Normal 2 5 6 3 2" xfId="13975" xr:uid="{BDF1AD08-70E1-4C73-BB71-1D3F1DBC0E70}"/>
    <cellStyle name="Normal 2 5 6 3 3" xfId="22412" xr:uid="{E66E9D5C-AE36-4CEB-A9E4-7DBEBAE5A3B4}"/>
    <cellStyle name="Normal 2 5 6 4" xfId="9757" xr:uid="{BDDB30E3-D7AC-4408-9D96-ECC6379AA016}"/>
    <cellStyle name="Normal 2 5 6 5" xfId="18195" xr:uid="{62C78F63-9234-469B-B6E9-BBE204CA2639}"/>
    <cellStyle name="Normal 2 5 7" xfId="1638" xr:uid="{00000000-0005-0000-0000-00006D110000}"/>
    <cellStyle name="Normal 2 5 7 2" xfId="3868" xr:uid="{00000000-0005-0000-0000-00006E110000}"/>
    <cellStyle name="Normal 2 5 7 2 2" xfId="8091" xr:uid="{00000000-0005-0000-0000-00006F110000}"/>
    <cellStyle name="Normal 2 5 7 2 2 2" xfId="16533" xr:uid="{81634A41-4651-4BD2-BC1C-C516FCC1FBD3}"/>
    <cellStyle name="Normal 2 5 7 2 2 3" xfId="24970" xr:uid="{A92F6408-52B8-4E30-8464-A6651E4B941C}"/>
    <cellStyle name="Normal 2 5 7 2 3" xfId="12315" xr:uid="{65870729-605E-4761-B10C-2590D46F5FA2}"/>
    <cellStyle name="Normal 2 5 7 2 4" xfId="20753" xr:uid="{D565754E-A9A3-41BC-9A7C-768F5A3DC097}"/>
    <cellStyle name="Normal 2 5 7 3" xfId="5946" xr:uid="{00000000-0005-0000-0000-000070110000}"/>
    <cellStyle name="Normal 2 5 7 3 2" xfId="14388" xr:uid="{19228E46-E1CB-4B25-BFA2-83DFAAF375EE}"/>
    <cellStyle name="Normal 2 5 7 3 3" xfId="22825" xr:uid="{5D7B98CC-2B20-4163-8A62-9F6D208F0762}"/>
    <cellStyle name="Normal 2 5 7 4" xfId="10170" xr:uid="{F260CE10-4D95-41DC-A72D-11E1E60A731C}"/>
    <cellStyle name="Normal 2 5 7 5" xfId="18608" xr:uid="{584F713B-64F9-4885-93EF-BA5CCF075C78}"/>
    <cellStyle name="Normal 2 5 8" xfId="2052" xr:uid="{00000000-0005-0000-0000-000071110000}"/>
    <cellStyle name="Normal 2 5 8 2" xfId="4281" xr:uid="{00000000-0005-0000-0000-000072110000}"/>
    <cellStyle name="Normal 2 5 8 2 2" xfId="8504" xr:uid="{00000000-0005-0000-0000-000073110000}"/>
    <cellStyle name="Normal 2 5 8 2 2 2" xfId="16946" xr:uid="{93839639-8515-4C74-8137-F22FA7D725C4}"/>
    <cellStyle name="Normal 2 5 8 2 2 3" xfId="25383" xr:uid="{1F8E97E6-C178-46BE-8628-E30D961E7388}"/>
    <cellStyle name="Normal 2 5 8 2 3" xfId="12728" xr:uid="{57F26B92-DED7-4433-BDC5-EB2396BE69A5}"/>
    <cellStyle name="Normal 2 5 8 2 4" xfId="21166" xr:uid="{1E8C8D5B-B84C-4D7F-9630-AB1FF91AB947}"/>
    <cellStyle name="Normal 2 5 8 3" xfId="6359" xr:uid="{00000000-0005-0000-0000-000074110000}"/>
    <cellStyle name="Normal 2 5 8 3 2" xfId="14801" xr:uid="{FF2D09BA-9813-4B54-9992-F27D54FE7936}"/>
    <cellStyle name="Normal 2 5 8 3 3" xfId="23238" xr:uid="{BA7A8C54-15BD-4CE7-B001-A24F466D2EAF}"/>
    <cellStyle name="Normal 2 5 8 4" xfId="10583" xr:uid="{CFAB7FEA-5CC2-433D-B17F-4475FA06AE97}"/>
    <cellStyle name="Normal 2 5 8 5" xfId="19021" xr:uid="{FDB6FD1E-D1EF-4D14-9054-209F7AC10FA1}"/>
    <cellStyle name="Normal 2 5 9" xfId="2488" xr:uid="{00000000-0005-0000-0000-000075110000}"/>
    <cellStyle name="Normal 2 5 9 2" xfId="6772" xr:uid="{00000000-0005-0000-0000-000076110000}"/>
    <cellStyle name="Normal 2 5 9 2 2" xfId="15214" xr:uid="{6B31B181-F683-4484-AB73-24217F5E3FEE}"/>
    <cellStyle name="Normal 2 5 9 2 3" xfId="23651" xr:uid="{A430817D-BFCD-4E5E-ABC6-777A845664D4}"/>
    <cellStyle name="Normal 2 5 9 3" xfId="10996" xr:uid="{8BDAC96E-60FD-4B06-BBBE-22FB2295B4A4}"/>
    <cellStyle name="Normal 2 5 9 4" xfId="19434" xr:uid="{C0D75649-F0CF-4336-9390-9C16D872CF3A}"/>
    <cellStyle name="Normal 2 6" xfId="322" xr:uid="{00000000-0005-0000-0000-000077110000}"/>
    <cellStyle name="Normal 2 7" xfId="769" xr:uid="{00000000-0005-0000-0000-000078110000}"/>
    <cellStyle name="Normal 2 8" xfId="4495" xr:uid="{00000000-0005-0000-0000-000079110000}"/>
    <cellStyle name="Normal 2 8 2" xfId="12940" xr:uid="{FAFB8396-9244-4262-A1FC-08ED5978DBD7}"/>
    <cellStyle name="Normal 3" xfId="323" xr:uid="{00000000-0005-0000-0000-00007A110000}"/>
    <cellStyle name="Normal 3 2" xfId="324" xr:uid="{00000000-0005-0000-0000-00007B110000}"/>
    <cellStyle name="Normal 3 2 10" xfId="8935" xr:uid="{843DA61F-D391-450E-AB58-9852127963B3}"/>
    <cellStyle name="Normal 3 2 11" xfId="17373" xr:uid="{BFF96FF2-8377-4E2D-B921-78A8FBC69CA5}"/>
    <cellStyle name="Normal 3 2 2" xfId="325" xr:uid="{00000000-0005-0000-0000-00007C110000}"/>
    <cellStyle name="Normal 3 2 2 2" xfId="810" xr:uid="{00000000-0005-0000-0000-00007D110000}"/>
    <cellStyle name="Normal 3 2 3" xfId="326" xr:uid="{00000000-0005-0000-0000-00007E110000}"/>
    <cellStyle name="Normal 3 2 3 10" xfId="8936" xr:uid="{53CD6941-BCBD-4881-B708-F6F240D2E824}"/>
    <cellStyle name="Normal 3 2 3 11" xfId="17374" xr:uid="{DCC6BCDA-9748-4AFE-8B12-A8B3533290B7}"/>
    <cellStyle name="Normal 3 2 3 2" xfId="327" xr:uid="{00000000-0005-0000-0000-00007F110000}"/>
    <cellStyle name="Normal 3 2 3 2 10" xfId="17375" xr:uid="{02692F34-DDB1-472F-A3D8-F92731064B82}"/>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2970B3D5-CF2D-4608-8E21-CD97B5529FB9}"/>
    <cellStyle name="Normal 3 2 3 2 2 2 2 2 3" xfId="24152" xr:uid="{6681B1C9-C463-4C63-823F-C38C4B1DA413}"/>
    <cellStyle name="Normal 3 2 3 2 2 2 2 3" xfId="11497" xr:uid="{3334DDA5-ADA4-42D0-A87D-B2668BCF803F}"/>
    <cellStyle name="Normal 3 2 3 2 2 2 2 4" xfId="19935" xr:uid="{F30A5FE0-D5FC-418D-917C-5A29F206DC1E}"/>
    <cellStyle name="Normal 3 2 3 2 2 2 3" xfId="5128" xr:uid="{00000000-0005-0000-0000-000084110000}"/>
    <cellStyle name="Normal 3 2 3 2 2 2 3 2" xfId="13570" xr:uid="{EB13D4D0-9B41-45DF-AA09-77F936DA14C9}"/>
    <cellStyle name="Normal 3 2 3 2 2 2 3 3" xfId="22007" xr:uid="{3D80376A-3E27-434A-B1E4-D8E46D9E83DD}"/>
    <cellStyle name="Normal 3 2 3 2 2 2 4" xfId="9352" xr:uid="{E9FC3B8C-556C-4E15-8EBC-ED266C3EFC2F}"/>
    <cellStyle name="Normal 3 2 3 2 2 2 5" xfId="17790" xr:uid="{72179A12-2968-4631-9EE5-B1A8828A9B23}"/>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605DAB88-138E-4A8D-9B8E-64CE3CAFDEF7}"/>
    <cellStyle name="Normal 3 2 3 2 2 3 2 2 3" xfId="24565" xr:uid="{F4CE59AD-921C-440A-995D-3EB31A70DE95}"/>
    <cellStyle name="Normal 3 2 3 2 2 3 2 3" xfId="11910" xr:uid="{98EB0723-8BEF-43C0-8CA8-C7CF3331B7CE}"/>
    <cellStyle name="Normal 3 2 3 2 2 3 2 4" xfId="20348" xr:uid="{F11CDBEB-3DD2-49DA-86B6-39A2E36B3902}"/>
    <cellStyle name="Normal 3 2 3 2 2 3 3" xfId="5541" xr:uid="{00000000-0005-0000-0000-000088110000}"/>
    <cellStyle name="Normal 3 2 3 2 2 3 3 2" xfId="13983" xr:uid="{20E26161-BC71-4704-B6C2-DEFF991CBEFE}"/>
    <cellStyle name="Normal 3 2 3 2 2 3 3 3" xfId="22420" xr:uid="{402B01E9-5492-4D46-BD0E-90E6148E6FE0}"/>
    <cellStyle name="Normal 3 2 3 2 2 3 4" xfId="9765" xr:uid="{168141FF-425C-432D-A6CF-8786066A26B9}"/>
    <cellStyle name="Normal 3 2 3 2 2 3 5" xfId="18203" xr:uid="{0802C90A-A76F-4603-B39D-ACFC3AD4060F}"/>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5DF4483B-EF8B-472E-8DD5-020E83A68BB5}"/>
    <cellStyle name="Normal 3 2 3 2 2 4 2 2 3" xfId="24978" xr:uid="{21986349-5C29-46BA-9703-61F6A9DD2411}"/>
    <cellStyle name="Normal 3 2 3 2 2 4 2 3" xfId="12323" xr:uid="{E182AAF6-027A-48DD-A300-A8908314C45D}"/>
    <cellStyle name="Normal 3 2 3 2 2 4 2 4" xfId="20761" xr:uid="{CE202F2D-6909-4525-9059-57DD32B6913C}"/>
    <cellStyle name="Normal 3 2 3 2 2 4 3" xfId="5954" xr:uid="{00000000-0005-0000-0000-00008C110000}"/>
    <cellStyle name="Normal 3 2 3 2 2 4 3 2" xfId="14396" xr:uid="{0FFB49F6-82DA-4BF6-8F32-411963919992}"/>
    <cellStyle name="Normal 3 2 3 2 2 4 3 3" xfId="22833" xr:uid="{5C91F33D-ABF4-4445-9F87-B3CC94BD6F6C}"/>
    <cellStyle name="Normal 3 2 3 2 2 4 4" xfId="10178" xr:uid="{F1F1EEF2-8293-4B5C-98AA-1575C9C7C855}"/>
    <cellStyle name="Normal 3 2 3 2 2 4 5" xfId="18616" xr:uid="{8A4CD81A-4062-4FB0-9A89-921DA648D61D}"/>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87B54054-E913-45BE-A729-139433C8EFC6}"/>
    <cellStyle name="Normal 3 2 3 2 2 5 2 2 3" xfId="25391" xr:uid="{8A0FA4D7-22E3-441A-A433-48FA72AEE98C}"/>
    <cellStyle name="Normal 3 2 3 2 2 5 2 3" xfId="12736" xr:uid="{6EBA6C3B-60DA-4887-8AE3-DC3B0248F932}"/>
    <cellStyle name="Normal 3 2 3 2 2 5 2 4" xfId="21174" xr:uid="{A1A30FA0-8704-45A1-A3C2-CF7669FFA351}"/>
    <cellStyle name="Normal 3 2 3 2 2 5 3" xfId="6367" xr:uid="{00000000-0005-0000-0000-000090110000}"/>
    <cellStyle name="Normal 3 2 3 2 2 5 3 2" xfId="14809" xr:uid="{0CB1D476-D3C9-4CD2-B729-353309D35186}"/>
    <cellStyle name="Normal 3 2 3 2 2 5 3 3" xfId="23246" xr:uid="{5243391A-6738-4456-A3A3-F7F362DEE982}"/>
    <cellStyle name="Normal 3 2 3 2 2 5 4" xfId="10591" xr:uid="{7DFF2592-CF84-4201-AF96-DBE1F52214B6}"/>
    <cellStyle name="Normal 3 2 3 2 2 5 5" xfId="19029" xr:uid="{A6BA31A3-4AC7-4957-BE93-19463B230716}"/>
    <cellStyle name="Normal 3 2 3 2 2 6" xfId="2496" xr:uid="{00000000-0005-0000-0000-000091110000}"/>
    <cellStyle name="Normal 3 2 3 2 2 6 2" xfId="6780" xr:uid="{00000000-0005-0000-0000-000092110000}"/>
    <cellStyle name="Normal 3 2 3 2 2 6 2 2" xfId="15222" xr:uid="{B742169B-AAFC-4CE0-939C-DED08F0CFDB9}"/>
    <cellStyle name="Normal 3 2 3 2 2 6 2 3" xfId="23659" xr:uid="{F3C9E334-F68D-413D-A755-AC2B014DCEBA}"/>
    <cellStyle name="Normal 3 2 3 2 2 6 3" xfId="11004" xr:uid="{D9C98346-1B17-4FB0-AA9F-B9BD93D52BF3}"/>
    <cellStyle name="Normal 3 2 3 2 2 6 4" xfId="19442" xr:uid="{FC4BD1F6-A237-428F-962A-A2BA78293A00}"/>
    <cellStyle name="Normal 3 2 3 2 2 7" xfId="4714" xr:uid="{00000000-0005-0000-0000-000093110000}"/>
    <cellStyle name="Normal 3 2 3 2 2 7 2" xfId="13156" xr:uid="{7A5F462A-4C4B-48F0-802E-701A16304AA5}"/>
    <cellStyle name="Normal 3 2 3 2 2 7 3" xfId="21593" xr:uid="{B86E7827-09F3-429B-A7C5-AA719F0AC34F}"/>
    <cellStyle name="Normal 3 2 3 2 2 8" xfId="8938" xr:uid="{601EF560-43D2-4CA2-A7E7-0C6DD224C502}"/>
    <cellStyle name="Normal 3 2 3 2 2 9" xfId="17376" xr:uid="{AA873E23-0C52-489B-B307-4F8487D24EA4}"/>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385C2F35-D300-46EF-8812-E70583646DD8}"/>
    <cellStyle name="Normal 3 2 3 2 3 2 2 3" xfId="24151" xr:uid="{1E02F9CB-6DBF-4CE7-8729-B2C8A9695682}"/>
    <cellStyle name="Normal 3 2 3 2 3 2 3" xfId="11496" xr:uid="{9F20FD2E-7B95-40DD-9B21-11454BAAD47F}"/>
    <cellStyle name="Normal 3 2 3 2 3 2 4" xfId="19934" xr:uid="{FF72F7F2-8512-4585-9003-A5EB633AC774}"/>
    <cellStyle name="Normal 3 2 3 2 3 3" xfId="5127" xr:uid="{00000000-0005-0000-0000-000097110000}"/>
    <cellStyle name="Normal 3 2 3 2 3 3 2" xfId="13569" xr:uid="{2B318CF3-E312-43C5-8B09-308D8AB980F5}"/>
    <cellStyle name="Normal 3 2 3 2 3 3 3" xfId="22006" xr:uid="{46AF9847-5755-4D6D-8831-B2B802C804CE}"/>
    <cellStyle name="Normal 3 2 3 2 3 4" xfId="9351" xr:uid="{498C78F8-41A1-4BDB-A538-F5AE4C782D46}"/>
    <cellStyle name="Normal 3 2 3 2 3 5" xfId="17789" xr:uid="{CB277192-3100-41E2-AAEE-26D3B2E8042D}"/>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2634A07D-0DA4-4A08-A5B5-44FE153EA994}"/>
    <cellStyle name="Normal 3 2 3 2 4 2 2 3" xfId="24564" xr:uid="{9A69B3E3-D2DA-47EE-955C-B175FDB8B38F}"/>
    <cellStyle name="Normal 3 2 3 2 4 2 3" xfId="11909" xr:uid="{B91F0A00-263E-4B46-8B33-5B314E9B7090}"/>
    <cellStyle name="Normal 3 2 3 2 4 2 4" xfId="20347" xr:uid="{7791478F-E2E4-403B-A8A2-1DAC1F59C6D1}"/>
    <cellStyle name="Normal 3 2 3 2 4 3" xfId="5540" xr:uid="{00000000-0005-0000-0000-00009B110000}"/>
    <cellStyle name="Normal 3 2 3 2 4 3 2" xfId="13982" xr:uid="{C58EBC22-84C7-4029-B711-CB7D3EC91D1D}"/>
    <cellStyle name="Normal 3 2 3 2 4 3 3" xfId="22419" xr:uid="{9DB23A37-B920-42A3-8BEA-3F3E3894FCFA}"/>
    <cellStyle name="Normal 3 2 3 2 4 4" xfId="9764" xr:uid="{1F1A5660-C3AD-4F34-A2CC-FCCA9F5E999E}"/>
    <cellStyle name="Normal 3 2 3 2 4 5" xfId="18202" xr:uid="{ED8FFF6A-5027-4D16-90B0-DE53ECBA621B}"/>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0170F033-9C4D-4527-8F68-5C45EB8DB6FF}"/>
    <cellStyle name="Normal 3 2 3 2 5 2 2 3" xfId="24977" xr:uid="{AA8519AF-56AE-4951-BC58-9E0AC5C37841}"/>
    <cellStyle name="Normal 3 2 3 2 5 2 3" xfId="12322" xr:uid="{B2BB3213-BA9B-49B6-86D3-40FC9F42A351}"/>
    <cellStyle name="Normal 3 2 3 2 5 2 4" xfId="20760" xr:uid="{4A499DA0-B257-4E86-8AC0-D32A5D1D2FF6}"/>
    <cellStyle name="Normal 3 2 3 2 5 3" xfId="5953" xr:uid="{00000000-0005-0000-0000-00009F110000}"/>
    <cellStyle name="Normal 3 2 3 2 5 3 2" xfId="14395" xr:uid="{DEAF3D73-FC5F-4023-B933-A643B1DBF5DF}"/>
    <cellStyle name="Normal 3 2 3 2 5 3 3" xfId="22832" xr:uid="{FA34B975-E2B2-4040-A399-E5AA896D3A5B}"/>
    <cellStyle name="Normal 3 2 3 2 5 4" xfId="10177" xr:uid="{673D9ABA-2274-48BD-BE6A-8431CB77246D}"/>
    <cellStyle name="Normal 3 2 3 2 5 5" xfId="18615" xr:uid="{C5540B44-E5F0-4FB1-AAF7-9A7D3E56C97E}"/>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915F8EDE-FDF6-4A2A-A436-6E19A1F1D258}"/>
    <cellStyle name="Normal 3 2 3 2 6 2 2 3" xfId="25390" xr:uid="{1B5565D2-9831-4E43-ACC4-E50791854163}"/>
    <cellStyle name="Normal 3 2 3 2 6 2 3" xfId="12735" xr:uid="{9BC71B5A-3C49-42BE-BD70-7F3B2C6776F5}"/>
    <cellStyle name="Normal 3 2 3 2 6 2 4" xfId="21173" xr:uid="{BC12F82B-71FF-4A37-A4B6-DCE7042110A0}"/>
    <cellStyle name="Normal 3 2 3 2 6 3" xfId="6366" xr:uid="{00000000-0005-0000-0000-0000A3110000}"/>
    <cellStyle name="Normal 3 2 3 2 6 3 2" xfId="14808" xr:uid="{00268192-B032-469D-A6DF-B8C395CDE383}"/>
    <cellStyle name="Normal 3 2 3 2 6 3 3" xfId="23245" xr:uid="{DA9ED2F3-4C6B-46FA-B008-CF2366C71FEB}"/>
    <cellStyle name="Normal 3 2 3 2 6 4" xfId="10590" xr:uid="{80D24BFB-2BF5-4007-B7CD-B4A2EB977213}"/>
    <cellStyle name="Normal 3 2 3 2 6 5" xfId="19028" xr:uid="{3A775A5E-0243-4007-AE59-AF62118AC611}"/>
    <cellStyle name="Normal 3 2 3 2 7" xfId="2495" xr:uid="{00000000-0005-0000-0000-0000A4110000}"/>
    <cellStyle name="Normal 3 2 3 2 7 2" xfId="6779" xr:uid="{00000000-0005-0000-0000-0000A5110000}"/>
    <cellStyle name="Normal 3 2 3 2 7 2 2" xfId="15221" xr:uid="{E8243CC8-81FD-427C-A000-A173ACD75FFA}"/>
    <cellStyle name="Normal 3 2 3 2 7 2 3" xfId="23658" xr:uid="{4C092B7F-6230-40FD-B146-F260DF75D34B}"/>
    <cellStyle name="Normal 3 2 3 2 7 3" xfId="11003" xr:uid="{0E0A0076-142D-4A85-BC8F-DC21AFD50AD8}"/>
    <cellStyle name="Normal 3 2 3 2 7 4" xfId="19441" xr:uid="{A018C07A-BD26-42D5-AC13-41CFCB5956A5}"/>
    <cellStyle name="Normal 3 2 3 2 8" xfId="4713" xr:uid="{00000000-0005-0000-0000-0000A6110000}"/>
    <cellStyle name="Normal 3 2 3 2 8 2" xfId="13155" xr:uid="{FF498C8C-C809-4928-8E10-07D97BBF109A}"/>
    <cellStyle name="Normal 3 2 3 2 8 3" xfId="21592" xr:uid="{8093666E-B063-4DB2-8AC4-3E16E728BE78}"/>
    <cellStyle name="Normal 3 2 3 2 9" xfId="8937" xr:uid="{3109EA54-40D9-49D6-962A-CD47E3395D69}"/>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FF7C34B7-F7E7-43CE-9C9A-FF53F608046C}"/>
    <cellStyle name="Normal 3 2 3 3 2 2 2 3" xfId="24153" xr:uid="{C103F829-142F-4FFF-ABE0-DB21510FE76B}"/>
    <cellStyle name="Normal 3 2 3 3 2 2 3" xfId="11498" xr:uid="{8F5370C3-71A5-4675-A46F-97B9BF350FD9}"/>
    <cellStyle name="Normal 3 2 3 3 2 2 4" xfId="19936" xr:uid="{F800D15F-51BB-4C2B-A9E5-1EB4CCD06D65}"/>
    <cellStyle name="Normal 3 2 3 3 2 3" xfId="5129" xr:uid="{00000000-0005-0000-0000-0000AB110000}"/>
    <cellStyle name="Normal 3 2 3 3 2 3 2" xfId="13571" xr:uid="{994726F0-1A6E-4761-B02B-3A49DF1381F4}"/>
    <cellStyle name="Normal 3 2 3 3 2 3 3" xfId="22008" xr:uid="{F1E8186C-4D97-4F0A-B27E-789E0635C6F8}"/>
    <cellStyle name="Normal 3 2 3 3 2 4" xfId="9353" xr:uid="{CB2CB083-0253-45BF-890E-EBBE8AB89BB3}"/>
    <cellStyle name="Normal 3 2 3 3 2 5" xfId="17791" xr:uid="{88CD976F-3860-42B4-8A50-40EF46F6A010}"/>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5CEED7E9-DE05-4C56-A21C-A2E4A51A19EF}"/>
    <cellStyle name="Normal 3 2 3 3 3 2 2 3" xfId="24566" xr:uid="{F96DB4D9-53A2-473A-84C1-1C24D6036344}"/>
    <cellStyle name="Normal 3 2 3 3 3 2 3" xfId="11911" xr:uid="{18734DBD-E287-47F5-8B39-B1293C64DFD9}"/>
    <cellStyle name="Normal 3 2 3 3 3 2 4" xfId="20349" xr:uid="{ABFDEBFB-D5ED-4231-B3ED-29297883F32E}"/>
    <cellStyle name="Normal 3 2 3 3 3 3" xfId="5542" xr:uid="{00000000-0005-0000-0000-0000AF110000}"/>
    <cellStyle name="Normal 3 2 3 3 3 3 2" xfId="13984" xr:uid="{7B67287D-C020-4449-BE4F-41ACB1E13CF6}"/>
    <cellStyle name="Normal 3 2 3 3 3 3 3" xfId="22421" xr:uid="{E472954A-07A3-4A8A-A65B-185A31D0CDAD}"/>
    <cellStyle name="Normal 3 2 3 3 3 4" xfId="9766" xr:uid="{992021A9-94BA-451B-8EA9-FAFE8D3C727A}"/>
    <cellStyle name="Normal 3 2 3 3 3 5" xfId="18204" xr:uid="{EBA3F5C2-A504-4A06-9877-DE6FE96CFBA9}"/>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3F960B4A-A1B3-4B59-96C2-8B529D05A7BD}"/>
    <cellStyle name="Normal 3 2 3 3 4 2 2 3" xfId="24979" xr:uid="{27196246-E981-432C-984A-D200661648B5}"/>
    <cellStyle name="Normal 3 2 3 3 4 2 3" xfId="12324" xr:uid="{EDA312C9-0320-4425-B3E7-B4035E3B2CA1}"/>
    <cellStyle name="Normal 3 2 3 3 4 2 4" xfId="20762" xr:uid="{B4F703DF-36F3-44B5-9359-8115255BD31B}"/>
    <cellStyle name="Normal 3 2 3 3 4 3" xfId="5955" xr:uid="{00000000-0005-0000-0000-0000B3110000}"/>
    <cellStyle name="Normal 3 2 3 3 4 3 2" xfId="14397" xr:uid="{03FF4E6A-B4ED-4B78-AA90-EBF1698C9DA8}"/>
    <cellStyle name="Normal 3 2 3 3 4 3 3" xfId="22834" xr:uid="{1312A77B-9625-40A6-B753-B496503F6B6A}"/>
    <cellStyle name="Normal 3 2 3 3 4 4" xfId="10179" xr:uid="{08B21ED4-2179-4204-9ADA-10F8936806B6}"/>
    <cellStyle name="Normal 3 2 3 3 4 5" xfId="18617" xr:uid="{A155539B-300F-42B2-917F-22639010C898}"/>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BF6DAD9B-91A8-42BF-9A84-77916FE0B9A8}"/>
    <cellStyle name="Normal 3 2 3 3 5 2 2 3" xfId="25392" xr:uid="{8EF491EB-681C-48EC-A96B-6F09A7184D2D}"/>
    <cellStyle name="Normal 3 2 3 3 5 2 3" xfId="12737" xr:uid="{76675E07-C523-478C-A0BB-6A4CFB2576CD}"/>
    <cellStyle name="Normal 3 2 3 3 5 2 4" xfId="21175" xr:uid="{47FB54C0-CDFC-46C7-B5C7-BE178B925108}"/>
    <cellStyle name="Normal 3 2 3 3 5 3" xfId="6368" xr:uid="{00000000-0005-0000-0000-0000B7110000}"/>
    <cellStyle name="Normal 3 2 3 3 5 3 2" xfId="14810" xr:uid="{B977C18E-3871-4F5C-96B7-7D76FC1C3480}"/>
    <cellStyle name="Normal 3 2 3 3 5 3 3" xfId="23247" xr:uid="{01CD7D18-8016-4489-A11A-6AF80581AF39}"/>
    <cellStyle name="Normal 3 2 3 3 5 4" xfId="10592" xr:uid="{B43E196D-EDD6-49E4-A660-6EEFF341B626}"/>
    <cellStyle name="Normal 3 2 3 3 5 5" xfId="19030" xr:uid="{83401928-F432-4E59-AEAC-30D3E12AE1D3}"/>
    <cellStyle name="Normal 3 2 3 3 6" xfId="2497" xr:uid="{00000000-0005-0000-0000-0000B8110000}"/>
    <cellStyle name="Normal 3 2 3 3 6 2" xfId="6781" xr:uid="{00000000-0005-0000-0000-0000B9110000}"/>
    <cellStyle name="Normal 3 2 3 3 6 2 2" xfId="15223" xr:uid="{7C79FC18-50C2-45E2-84C1-9E95187186FA}"/>
    <cellStyle name="Normal 3 2 3 3 6 2 3" xfId="23660" xr:uid="{FBF51C3D-C412-4F92-A0B1-CD7A1B2C5A21}"/>
    <cellStyle name="Normal 3 2 3 3 6 3" xfId="11005" xr:uid="{B51E21A4-044F-4B53-A7BB-CE5E84D4FC86}"/>
    <cellStyle name="Normal 3 2 3 3 6 4" xfId="19443" xr:uid="{CE8ECBB7-D6E4-4DB8-AEFB-130260CC83D2}"/>
    <cellStyle name="Normal 3 2 3 3 7" xfId="4715" xr:uid="{00000000-0005-0000-0000-0000BA110000}"/>
    <cellStyle name="Normal 3 2 3 3 7 2" xfId="13157" xr:uid="{74E83FD3-B25A-410E-B162-35513995ED4C}"/>
    <cellStyle name="Normal 3 2 3 3 7 3" xfId="21594" xr:uid="{7EF618DD-FB11-4A62-B562-DCD12BC64589}"/>
    <cellStyle name="Normal 3 2 3 3 8" xfId="8939" xr:uid="{43188D18-2238-4375-AFFB-1FC4D5851CEE}"/>
    <cellStyle name="Normal 3 2 3 3 9" xfId="17377" xr:uid="{1525BC29-730E-4C9C-B9F7-D6D7BF125A2D}"/>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E75C7509-0B67-4889-A8E9-9487E11FBEDF}"/>
    <cellStyle name="Normal 3 2 3 4 2 2 3" xfId="24150" xr:uid="{4CF30F93-AB7A-4D67-B7FD-C614A213E8F6}"/>
    <cellStyle name="Normal 3 2 3 4 2 3" xfId="11495" xr:uid="{75BF13BD-CF94-41E0-BF4D-9E4AD9C23670}"/>
    <cellStyle name="Normal 3 2 3 4 2 4" xfId="19933" xr:uid="{BEDE7AF3-EBE7-4EA6-9FED-59447B6F1DB6}"/>
    <cellStyle name="Normal 3 2 3 4 3" xfId="5126" xr:uid="{00000000-0005-0000-0000-0000BE110000}"/>
    <cellStyle name="Normal 3 2 3 4 3 2" xfId="13568" xr:uid="{EC0F5D87-2E31-4AB3-9FE6-A6329E319D1B}"/>
    <cellStyle name="Normal 3 2 3 4 3 3" xfId="22005" xr:uid="{EF9E7384-35BC-49DB-8DAB-BDD4931A0033}"/>
    <cellStyle name="Normal 3 2 3 4 4" xfId="9350" xr:uid="{7851A202-9957-4F67-9091-F57857E4E190}"/>
    <cellStyle name="Normal 3 2 3 4 5" xfId="17788" xr:uid="{BC8F7D09-1B99-455E-8D1E-80FA00DC368C}"/>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26814A20-A51B-40B9-BE03-C43DED4A014E}"/>
    <cellStyle name="Normal 3 2 3 5 2 2 3" xfId="24563" xr:uid="{7FF82C2D-DEF1-43A3-9CD8-E7E681ADB922}"/>
    <cellStyle name="Normal 3 2 3 5 2 3" xfId="11908" xr:uid="{AABD0CC4-6E26-49D9-9B32-7058E08A0EAF}"/>
    <cellStyle name="Normal 3 2 3 5 2 4" xfId="20346" xr:uid="{8FF2B455-2182-4793-91A9-3CAF7822DF1A}"/>
    <cellStyle name="Normal 3 2 3 5 3" xfId="5539" xr:uid="{00000000-0005-0000-0000-0000C2110000}"/>
    <cellStyle name="Normal 3 2 3 5 3 2" xfId="13981" xr:uid="{8385ACA2-E8A3-499E-9499-21C8AE86C4E6}"/>
    <cellStyle name="Normal 3 2 3 5 3 3" xfId="22418" xr:uid="{26D85EE6-99AA-4C51-9A2B-075D18707803}"/>
    <cellStyle name="Normal 3 2 3 5 4" xfId="9763" xr:uid="{08F4906E-BDCB-4831-9C7B-B6AF4698F405}"/>
    <cellStyle name="Normal 3 2 3 5 5" xfId="18201" xr:uid="{7E53082A-4C07-40AE-BCF4-7034ABB46B1F}"/>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33D3F2CA-6FEA-40D4-84EF-1E5EC6CB990A}"/>
    <cellStyle name="Normal 3 2 3 6 2 2 3" xfId="24976" xr:uid="{96BA07CB-C5FF-4A56-B12E-01319A0BB33C}"/>
    <cellStyle name="Normal 3 2 3 6 2 3" xfId="12321" xr:uid="{BC8B2343-F58F-4E0A-B26B-6720A95DCDDD}"/>
    <cellStyle name="Normal 3 2 3 6 2 4" xfId="20759" xr:uid="{453DC811-6146-45B5-BAD5-203F9DA613B4}"/>
    <cellStyle name="Normal 3 2 3 6 3" xfId="5952" xr:uid="{00000000-0005-0000-0000-0000C6110000}"/>
    <cellStyle name="Normal 3 2 3 6 3 2" xfId="14394" xr:uid="{442C94C4-2163-4507-A5E6-64FC6369BA71}"/>
    <cellStyle name="Normal 3 2 3 6 3 3" xfId="22831" xr:uid="{CF676AC1-9FBB-4F94-B401-2CB6CCA7F4FB}"/>
    <cellStyle name="Normal 3 2 3 6 4" xfId="10176" xr:uid="{7CBBF09A-D20E-4F1B-B9A1-99450B012ACE}"/>
    <cellStyle name="Normal 3 2 3 6 5" xfId="18614" xr:uid="{BAB70B87-5D1B-4CD7-9D0A-D46327DAF9AF}"/>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33765325-6B06-4DA1-A9C8-F4898E1B09EC}"/>
    <cellStyle name="Normal 3 2 3 7 2 2 3" xfId="25389" xr:uid="{53B86C6E-B6F4-42C3-8408-45A45466DA30}"/>
    <cellStyle name="Normal 3 2 3 7 2 3" xfId="12734" xr:uid="{176B7CB8-6AB0-483A-97F3-7A11FB5D5AF8}"/>
    <cellStyle name="Normal 3 2 3 7 2 4" xfId="21172" xr:uid="{96B4C3A0-ED19-4E5E-B71F-5F7A882BCAE4}"/>
    <cellStyle name="Normal 3 2 3 7 3" xfId="6365" xr:uid="{00000000-0005-0000-0000-0000CA110000}"/>
    <cellStyle name="Normal 3 2 3 7 3 2" xfId="14807" xr:uid="{D4E59AA1-5A9B-49FB-8892-CBCAE1F7450E}"/>
    <cellStyle name="Normal 3 2 3 7 3 3" xfId="23244" xr:uid="{52906D6D-6AEC-41B8-8991-6888D3F15000}"/>
    <cellStyle name="Normal 3 2 3 7 4" xfId="10589" xr:uid="{C60A1F34-724B-4FA1-B78C-8845094F1478}"/>
    <cellStyle name="Normal 3 2 3 7 5" xfId="19027" xr:uid="{00AE7C7B-4332-4A1B-8A5D-D83BF705CC56}"/>
    <cellStyle name="Normal 3 2 3 8" xfId="2494" xr:uid="{00000000-0005-0000-0000-0000CB110000}"/>
    <cellStyle name="Normal 3 2 3 8 2" xfId="6778" xr:uid="{00000000-0005-0000-0000-0000CC110000}"/>
    <cellStyle name="Normal 3 2 3 8 2 2" xfId="15220" xr:uid="{35E9CF8B-C2AD-47AD-A975-C3BC48377EFE}"/>
    <cellStyle name="Normal 3 2 3 8 2 3" xfId="23657" xr:uid="{365C8EDD-E14B-4684-A192-2338EE713246}"/>
    <cellStyle name="Normal 3 2 3 8 3" xfId="11002" xr:uid="{53F5BF47-5801-4C1A-9E1D-0FABC55514CA}"/>
    <cellStyle name="Normal 3 2 3 8 4" xfId="19440" xr:uid="{56912F20-B2D4-4D6A-A051-056B0A154AF2}"/>
    <cellStyle name="Normal 3 2 3 9" xfId="4712" xr:uid="{00000000-0005-0000-0000-0000CD110000}"/>
    <cellStyle name="Normal 3 2 3 9 2" xfId="13154" xr:uid="{4EF84360-CF67-4FEB-945C-BA1608710148}"/>
    <cellStyle name="Normal 3 2 3 9 3" xfId="21591" xr:uid="{063E14B9-9BFA-4595-AE2C-9BAE6B3F89DD}"/>
    <cellStyle name="Normal 3 2 4" xfId="809" xr:uid="{00000000-0005-0000-0000-0000CE110000}"/>
    <cellStyle name="Normal 3 2 4 2" xfId="3047" xr:uid="{00000000-0005-0000-0000-0000CF110000}"/>
    <cellStyle name="Normal 3 2 4 2 2" xfId="7270" xr:uid="{00000000-0005-0000-0000-0000D0110000}"/>
    <cellStyle name="Normal 3 2 4 2 2 2" xfId="15712" xr:uid="{DE608464-090A-476A-AD61-1C3D143ACD59}"/>
    <cellStyle name="Normal 3 2 4 2 2 3" xfId="24149" xr:uid="{F805B4C3-079C-4369-B810-D043B0F3926A}"/>
    <cellStyle name="Normal 3 2 4 2 3" xfId="11494" xr:uid="{12E9B454-F82D-4F27-BAFA-FFC71F136113}"/>
    <cellStyle name="Normal 3 2 4 2 4" xfId="19932" xr:uid="{41B90B11-3A15-4D6C-8851-03C6DE9C885A}"/>
    <cellStyle name="Normal 3 2 4 3" xfId="5125" xr:uid="{00000000-0005-0000-0000-0000D1110000}"/>
    <cellStyle name="Normal 3 2 4 3 2" xfId="13567" xr:uid="{FE3AC1A4-CC4B-466D-BFD2-839B9F050A5B}"/>
    <cellStyle name="Normal 3 2 4 3 3" xfId="22004" xr:uid="{B2E0F104-5BA2-4122-9513-2849B186D4F0}"/>
    <cellStyle name="Normal 3 2 4 4" xfId="9349" xr:uid="{3E5BB043-BBBE-4117-937D-35B67E37C7C9}"/>
    <cellStyle name="Normal 3 2 4 5" xfId="17787" xr:uid="{7C5E04B4-9A3C-461B-A271-92F36F259DF7}"/>
    <cellStyle name="Normal 3 2 5" xfId="1230" xr:uid="{00000000-0005-0000-0000-0000D2110000}"/>
    <cellStyle name="Normal 3 2 5 2" xfId="3460" xr:uid="{00000000-0005-0000-0000-0000D3110000}"/>
    <cellStyle name="Normal 3 2 5 2 2" xfId="7683" xr:uid="{00000000-0005-0000-0000-0000D4110000}"/>
    <cellStyle name="Normal 3 2 5 2 2 2" xfId="16125" xr:uid="{1BB6E880-1D45-4D0F-8E27-84841976B794}"/>
    <cellStyle name="Normal 3 2 5 2 2 3" xfId="24562" xr:uid="{B2308A20-CC66-4617-A1FC-BE33C1D4F2CE}"/>
    <cellStyle name="Normal 3 2 5 2 3" xfId="11907" xr:uid="{A803ACB2-D528-47B0-98ED-3B16ADF880D4}"/>
    <cellStyle name="Normal 3 2 5 2 4" xfId="20345" xr:uid="{019FB658-04B3-47B0-BEFA-946DFE83B5C3}"/>
    <cellStyle name="Normal 3 2 5 3" xfId="5538" xr:uid="{00000000-0005-0000-0000-0000D5110000}"/>
    <cellStyle name="Normal 3 2 5 3 2" xfId="13980" xr:uid="{0456C303-C6A7-46DD-824D-F0E6FD6B2B5B}"/>
    <cellStyle name="Normal 3 2 5 3 3" xfId="22417" xr:uid="{DDF12EBB-C39B-4151-94FD-BDB4AAB553C2}"/>
    <cellStyle name="Normal 3 2 5 4" xfId="9762" xr:uid="{DAE6CD20-0A62-449E-81DA-CDE0748DF7A7}"/>
    <cellStyle name="Normal 3 2 5 5" xfId="18200" xr:uid="{BE504524-042F-4097-BCBE-2C6717E45445}"/>
    <cellStyle name="Normal 3 2 6" xfId="1643" xr:uid="{00000000-0005-0000-0000-0000D6110000}"/>
    <cellStyle name="Normal 3 2 6 2" xfId="3873" xr:uid="{00000000-0005-0000-0000-0000D7110000}"/>
    <cellStyle name="Normal 3 2 6 2 2" xfId="8096" xr:uid="{00000000-0005-0000-0000-0000D8110000}"/>
    <cellStyle name="Normal 3 2 6 2 2 2" xfId="16538" xr:uid="{931D011B-3B60-4E2A-8350-F1E1947C5F10}"/>
    <cellStyle name="Normal 3 2 6 2 2 3" xfId="24975" xr:uid="{107B5BB5-8933-44BE-BD7A-C2282FA3B19E}"/>
    <cellStyle name="Normal 3 2 6 2 3" xfId="12320" xr:uid="{508EBA09-939A-4B86-8CE6-1011BC979775}"/>
    <cellStyle name="Normal 3 2 6 2 4" xfId="20758" xr:uid="{DA70E0D5-F76E-4314-87BC-467F9AF709BA}"/>
    <cellStyle name="Normal 3 2 6 3" xfId="5951" xr:uid="{00000000-0005-0000-0000-0000D9110000}"/>
    <cellStyle name="Normal 3 2 6 3 2" xfId="14393" xr:uid="{38BE210C-4D4A-4370-A19B-338A0DDA2C64}"/>
    <cellStyle name="Normal 3 2 6 3 3" xfId="22830" xr:uid="{E9AC7041-857F-40C4-9081-ECCD4C58EA2C}"/>
    <cellStyle name="Normal 3 2 6 4" xfId="10175" xr:uid="{EF77313E-A219-4A00-BE64-C26265CE7D0A}"/>
    <cellStyle name="Normal 3 2 6 5" xfId="18613" xr:uid="{EA156629-E08D-45CD-A549-B5E633256022}"/>
    <cellStyle name="Normal 3 2 7" xfId="2057" xr:uid="{00000000-0005-0000-0000-0000DA110000}"/>
    <cellStyle name="Normal 3 2 7 2" xfId="4286" xr:uid="{00000000-0005-0000-0000-0000DB110000}"/>
    <cellStyle name="Normal 3 2 7 2 2" xfId="8509" xr:uid="{00000000-0005-0000-0000-0000DC110000}"/>
    <cellStyle name="Normal 3 2 7 2 2 2" xfId="16951" xr:uid="{D81CF20E-DE79-4969-948D-2A388B77B884}"/>
    <cellStyle name="Normal 3 2 7 2 2 3" xfId="25388" xr:uid="{D5A325C5-156B-4643-A25D-D2D3C0595CAE}"/>
    <cellStyle name="Normal 3 2 7 2 3" xfId="12733" xr:uid="{DA5D6FDF-90A6-438C-89C6-DA291F4A9F5C}"/>
    <cellStyle name="Normal 3 2 7 2 4" xfId="21171" xr:uid="{1138B290-F60E-4C12-8AFB-6F732E679B88}"/>
    <cellStyle name="Normal 3 2 7 3" xfId="6364" xr:uid="{00000000-0005-0000-0000-0000DD110000}"/>
    <cellStyle name="Normal 3 2 7 3 2" xfId="14806" xr:uid="{9E29BBFE-1B98-4D06-8B12-D08C866DDB9E}"/>
    <cellStyle name="Normal 3 2 7 3 3" xfId="23243" xr:uid="{196FFFC9-9DDA-4FA0-B7B7-1A3DB024DE21}"/>
    <cellStyle name="Normal 3 2 7 4" xfId="10588" xr:uid="{9F51728E-2C8A-4C59-BC71-1F917675E4E3}"/>
    <cellStyle name="Normal 3 2 7 5" xfId="19026" xr:uid="{6A47D3C0-D8FE-49E0-B92F-4BDC51403554}"/>
    <cellStyle name="Normal 3 2 8" xfId="2493" xr:uid="{00000000-0005-0000-0000-0000DE110000}"/>
    <cellStyle name="Normal 3 2 8 2" xfId="6777" xr:uid="{00000000-0005-0000-0000-0000DF110000}"/>
    <cellStyle name="Normal 3 2 8 2 2" xfId="15219" xr:uid="{5340BE84-25EF-4A9B-BA83-02D0FC530925}"/>
    <cellStyle name="Normal 3 2 8 2 3" xfId="23656" xr:uid="{56BCB472-8E8D-457E-9742-A6639062CFEE}"/>
    <cellStyle name="Normal 3 2 8 3" xfId="11001" xr:uid="{759FFC25-A14D-4C71-B90C-C35B63ACDE2A}"/>
    <cellStyle name="Normal 3 2 8 4" xfId="19439" xr:uid="{DB557F6D-7530-44A8-B7B2-B68CB9F4D5ED}"/>
    <cellStyle name="Normal 3 2 9" xfId="4711" xr:uid="{00000000-0005-0000-0000-0000E0110000}"/>
    <cellStyle name="Normal 3 2 9 2" xfId="13153" xr:uid="{F7150AA9-BA53-4616-BFBC-7320814F0FB9}"/>
    <cellStyle name="Normal 3 2 9 3" xfId="21590" xr:uid="{DBFAE6A0-853F-473A-B74A-0A91A3AB0582}"/>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0F8E9F80-8A60-4861-9069-571DE12FF1E7}"/>
    <cellStyle name="Normal 4 11" xfId="17378" xr:uid="{AAE5B3B6-1431-4A0F-8D37-C22E9B2A0A96}"/>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AA84C58B-6D0E-4A4A-AA68-6EA42229EE63}"/>
    <cellStyle name="Normal 4 2 2 10 2 2 3" xfId="25393" xr:uid="{A77F8F66-D1D4-41F8-AB88-B94DFC1B371A}"/>
    <cellStyle name="Normal 4 2 2 10 2 3" xfId="12738" xr:uid="{B4DE40F3-397D-424A-B888-E9959F7BA42E}"/>
    <cellStyle name="Normal 4 2 2 10 2 4" xfId="21176" xr:uid="{F34A1FBC-CD6A-47B1-9C01-B3A46B0A2462}"/>
    <cellStyle name="Normal 4 2 2 10 3" xfId="6369" xr:uid="{00000000-0005-0000-0000-0000ED110000}"/>
    <cellStyle name="Normal 4 2 2 10 3 2" xfId="14811" xr:uid="{2536777D-2B72-4864-AB15-061BBAADCD25}"/>
    <cellStyle name="Normal 4 2 2 10 3 3" xfId="23248" xr:uid="{DB5EEF09-C84E-484E-811A-4FDC704CB07D}"/>
    <cellStyle name="Normal 4 2 2 10 4" xfId="10593" xr:uid="{D9B0CF0A-3321-41BF-8564-BFE640767A3B}"/>
    <cellStyle name="Normal 4 2 2 10 5" xfId="19031" xr:uid="{E9F072FB-4F54-499D-AE1F-9AF0E112604C}"/>
    <cellStyle name="Normal 4 2 2 11" xfId="2498" xr:uid="{00000000-0005-0000-0000-0000EE110000}"/>
    <cellStyle name="Normal 4 2 2 11 2" xfId="6782" xr:uid="{00000000-0005-0000-0000-0000EF110000}"/>
    <cellStyle name="Normal 4 2 2 11 2 2" xfId="15224" xr:uid="{A471DD4B-4C05-40DE-90B8-38BE8DF4CC38}"/>
    <cellStyle name="Normal 4 2 2 11 2 3" xfId="23661" xr:uid="{0E9765B5-A558-4E44-9814-D0680A1696BE}"/>
    <cellStyle name="Normal 4 2 2 11 3" xfId="11006" xr:uid="{A36C468E-E7B1-4FCB-99F2-14AE3FE28A6F}"/>
    <cellStyle name="Normal 4 2 2 11 4" xfId="19444" xr:uid="{42862746-9675-4081-96B9-7CACBB04273E}"/>
    <cellStyle name="Normal 4 2 2 12" xfId="4717" xr:uid="{00000000-0005-0000-0000-0000F0110000}"/>
    <cellStyle name="Normal 4 2 2 12 2" xfId="13159" xr:uid="{23563B7A-67D8-448C-93EF-E20D50A75894}"/>
    <cellStyle name="Normal 4 2 2 12 3" xfId="21596" xr:uid="{E47158B6-24F9-4523-A947-6B8A6EBC6C9E}"/>
    <cellStyle name="Normal 4 2 2 13" xfId="8941" xr:uid="{46043678-6166-4ECE-871F-A05540CD9CC4}"/>
    <cellStyle name="Normal 4 2 2 14" xfId="17379" xr:uid="{E2E4E392-C32F-4DE8-9157-0BED55C32C78}"/>
    <cellStyle name="Normal 4 2 2 2" xfId="338" xr:uid="{00000000-0005-0000-0000-0000F1110000}"/>
    <cellStyle name="Normal 4 2 2 3" xfId="339" xr:uid="{00000000-0005-0000-0000-0000F2110000}"/>
    <cellStyle name="Normal 4 2 2 3 10" xfId="4718" xr:uid="{00000000-0005-0000-0000-0000F3110000}"/>
    <cellStyle name="Normal 4 2 2 3 10 2" xfId="13160" xr:uid="{63DD3ABF-37D4-4C1F-B699-908CCB193FE1}"/>
    <cellStyle name="Normal 4 2 2 3 10 3" xfId="21597" xr:uid="{2051CDA1-D37C-410C-A125-4D5FFC11B584}"/>
    <cellStyle name="Normal 4 2 2 3 11" xfId="8942" xr:uid="{C5D653A5-C16B-45E3-9756-F55F61D4F9BD}"/>
    <cellStyle name="Normal 4 2 2 3 12" xfId="17380" xr:uid="{B0FD6DBA-1FD9-4B84-8343-F20AB4F90075}"/>
    <cellStyle name="Normal 4 2 2 3 2" xfId="340" xr:uid="{00000000-0005-0000-0000-0000F4110000}"/>
    <cellStyle name="Normal 4 2 2 3 2 10" xfId="8943" xr:uid="{2CBC8698-AE20-4A84-90F5-8A247BD97D55}"/>
    <cellStyle name="Normal 4 2 2 3 2 11" xfId="17381" xr:uid="{7D82E73F-0135-413B-BF32-4F68D3847C5B}"/>
    <cellStyle name="Normal 4 2 2 3 2 2" xfId="341" xr:uid="{00000000-0005-0000-0000-0000F5110000}"/>
    <cellStyle name="Normal 4 2 2 3 2 2 10" xfId="17382" xr:uid="{D030525F-FE16-4282-BC0D-940A1DCCAFEE}"/>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7144C9CA-2623-46C7-AB86-E4AC8FF55248}"/>
    <cellStyle name="Normal 4 2 2 3 2 2 2 2 2 2 3" xfId="24158" xr:uid="{690333E9-4C79-471C-89B7-6F3917F2F0FD}"/>
    <cellStyle name="Normal 4 2 2 3 2 2 2 2 2 3" xfId="11503" xr:uid="{F50C37D1-9C80-4081-A7CD-523D7C697B5F}"/>
    <cellStyle name="Normal 4 2 2 3 2 2 2 2 2 4" xfId="19941" xr:uid="{BCF90DF5-28CC-49BB-AA24-B2581E8CD281}"/>
    <cellStyle name="Normal 4 2 2 3 2 2 2 2 3" xfId="5134" xr:uid="{00000000-0005-0000-0000-0000FA110000}"/>
    <cellStyle name="Normal 4 2 2 3 2 2 2 2 3 2" xfId="13576" xr:uid="{40DDCEE3-D77D-4528-8F33-F6A3D97A9465}"/>
    <cellStyle name="Normal 4 2 2 3 2 2 2 2 3 3" xfId="22013" xr:uid="{7A5AB34C-AEAE-4D91-BFFC-6427DF411BA6}"/>
    <cellStyle name="Normal 4 2 2 3 2 2 2 2 4" xfId="9358" xr:uid="{D82CBF13-F3B3-4D27-83FC-7E0963E04C8A}"/>
    <cellStyle name="Normal 4 2 2 3 2 2 2 2 5" xfId="17796" xr:uid="{E4D475ED-2DF0-4243-92F5-04BAAAF8DF3F}"/>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268A4A74-DE10-4C59-A7E2-F4BA4E23B233}"/>
    <cellStyle name="Normal 4 2 2 3 2 2 2 3 2 2 3" xfId="24571" xr:uid="{B24B1234-3F8C-4684-B7B5-D5340E83D66F}"/>
    <cellStyle name="Normal 4 2 2 3 2 2 2 3 2 3" xfId="11916" xr:uid="{7CE67711-5F6A-4DFC-861D-5464DE616206}"/>
    <cellStyle name="Normal 4 2 2 3 2 2 2 3 2 4" xfId="20354" xr:uid="{27806D6D-DA8D-4D34-BC96-FFB8BEB3A378}"/>
    <cellStyle name="Normal 4 2 2 3 2 2 2 3 3" xfId="5547" xr:uid="{00000000-0005-0000-0000-0000FE110000}"/>
    <cellStyle name="Normal 4 2 2 3 2 2 2 3 3 2" xfId="13989" xr:uid="{D6F8DAFE-C729-47F5-A49E-27ADA74E1B58}"/>
    <cellStyle name="Normal 4 2 2 3 2 2 2 3 3 3" xfId="22426" xr:uid="{9AE242F1-50B1-4928-8029-F5FCFDC94E6A}"/>
    <cellStyle name="Normal 4 2 2 3 2 2 2 3 4" xfId="9771" xr:uid="{C3E9666A-35AC-4EF4-982B-F1CDD10E45A8}"/>
    <cellStyle name="Normal 4 2 2 3 2 2 2 3 5" xfId="18209" xr:uid="{BE4D2E35-8E44-4D81-8162-258017EA4ADE}"/>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ABD395A4-F452-4226-A0AD-B9BD2324D12C}"/>
    <cellStyle name="Normal 4 2 2 3 2 2 2 4 2 2 3" xfId="24984" xr:uid="{4006815C-9F09-480C-939F-30B9FCA59788}"/>
    <cellStyle name="Normal 4 2 2 3 2 2 2 4 2 3" xfId="12329" xr:uid="{97251E7E-9085-4275-AC76-BC55A52272AC}"/>
    <cellStyle name="Normal 4 2 2 3 2 2 2 4 2 4" xfId="20767" xr:uid="{6F7ECFB7-0E36-4F83-867C-ECA768C179AA}"/>
    <cellStyle name="Normal 4 2 2 3 2 2 2 4 3" xfId="5960" xr:uid="{00000000-0005-0000-0000-000002120000}"/>
    <cellStyle name="Normal 4 2 2 3 2 2 2 4 3 2" xfId="14402" xr:uid="{2CB57112-7FC5-49FD-B4AB-2DD12C315867}"/>
    <cellStyle name="Normal 4 2 2 3 2 2 2 4 3 3" xfId="22839" xr:uid="{9EF20364-86E3-42CF-A2F9-51A35D1AFA77}"/>
    <cellStyle name="Normal 4 2 2 3 2 2 2 4 4" xfId="10184" xr:uid="{8C1B480F-E71F-4B72-B352-BE00E829383F}"/>
    <cellStyle name="Normal 4 2 2 3 2 2 2 4 5" xfId="18622" xr:uid="{04F498B4-6E5F-4A11-B77E-8257614F2CFE}"/>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C386BDF5-93D8-46AB-958E-0800C748C455}"/>
    <cellStyle name="Normal 4 2 2 3 2 2 2 5 2 2 3" xfId="25397" xr:uid="{114C7FF3-C155-48FF-8454-CA18A91AD839}"/>
    <cellStyle name="Normal 4 2 2 3 2 2 2 5 2 3" xfId="12742" xr:uid="{06A1357F-B78C-48D5-B4EC-141658318900}"/>
    <cellStyle name="Normal 4 2 2 3 2 2 2 5 2 4" xfId="21180" xr:uid="{DD34DA61-D4BE-4C79-BEC0-4961AF802A75}"/>
    <cellStyle name="Normal 4 2 2 3 2 2 2 5 3" xfId="6373" xr:uid="{00000000-0005-0000-0000-000006120000}"/>
    <cellStyle name="Normal 4 2 2 3 2 2 2 5 3 2" xfId="14815" xr:uid="{58F753C9-F18B-4784-BB28-42EB59D7820D}"/>
    <cellStyle name="Normal 4 2 2 3 2 2 2 5 3 3" xfId="23252" xr:uid="{98C0C01F-B84B-4400-BD58-7EEF5B571D48}"/>
    <cellStyle name="Normal 4 2 2 3 2 2 2 5 4" xfId="10597" xr:uid="{15679A0F-6CC1-4684-9755-756D7AB877F3}"/>
    <cellStyle name="Normal 4 2 2 3 2 2 2 5 5" xfId="19035" xr:uid="{E3AEC3D4-050A-4CD9-B142-12F059EEB9D6}"/>
    <cellStyle name="Normal 4 2 2 3 2 2 2 6" xfId="2502" xr:uid="{00000000-0005-0000-0000-000007120000}"/>
    <cellStyle name="Normal 4 2 2 3 2 2 2 6 2" xfId="6786" xr:uid="{00000000-0005-0000-0000-000008120000}"/>
    <cellStyle name="Normal 4 2 2 3 2 2 2 6 2 2" xfId="15228" xr:uid="{320BC933-6273-4BDF-83A6-B0C1429B818D}"/>
    <cellStyle name="Normal 4 2 2 3 2 2 2 6 2 3" xfId="23665" xr:uid="{D16AF0B2-FC90-4153-AD9F-59DE5A6D950F}"/>
    <cellStyle name="Normal 4 2 2 3 2 2 2 6 3" xfId="11010" xr:uid="{2821D34D-4B67-409E-9120-AB4C3E02B848}"/>
    <cellStyle name="Normal 4 2 2 3 2 2 2 6 4" xfId="19448" xr:uid="{6E7F5A6F-B9D3-40AD-BEAE-3D99CC3F8B6F}"/>
    <cellStyle name="Normal 4 2 2 3 2 2 2 7" xfId="4721" xr:uid="{00000000-0005-0000-0000-000009120000}"/>
    <cellStyle name="Normal 4 2 2 3 2 2 2 7 2" xfId="13163" xr:uid="{8A91595E-790D-411A-A874-0AB97A70D86F}"/>
    <cellStyle name="Normal 4 2 2 3 2 2 2 7 3" xfId="21600" xr:uid="{6802D351-6C28-4A70-BA2B-5914C033406F}"/>
    <cellStyle name="Normal 4 2 2 3 2 2 2 8" xfId="8945" xr:uid="{0B1FFBD6-BE32-42DF-B445-E34D9D766C29}"/>
    <cellStyle name="Normal 4 2 2 3 2 2 2 9" xfId="17383" xr:uid="{4076B08D-22A5-4723-8B51-1A9F7789A514}"/>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77D4E69E-A4AE-44DB-A90B-895076BEA238}"/>
    <cellStyle name="Normal 4 2 2 3 2 2 3 2 2 3" xfId="24157" xr:uid="{F02882E0-19A3-46C1-A65F-F097004F6641}"/>
    <cellStyle name="Normal 4 2 2 3 2 2 3 2 3" xfId="11502" xr:uid="{9F50F50E-D878-4631-A051-5A98E5E79C9B}"/>
    <cellStyle name="Normal 4 2 2 3 2 2 3 2 4" xfId="19940" xr:uid="{D74B1E1E-2D81-496C-9823-A69A27AA80AA}"/>
    <cellStyle name="Normal 4 2 2 3 2 2 3 3" xfId="5133" xr:uid="{00000000-0005-0000-0000-00000D120000}"/>
    <cellStyle name="Normal 4 2 2 3 2 2 3 3 2" xfId="13575" xr:uid="{6AB490D2-DE42-4C9C-AF87-2A9EBC24BF43}"/>
    <cellStyle name="Normal 4 2 2 3 2 2 3 3 3" xfId="22012" xr:uid="{D62D3644-B410-4601-AD7D-86218B31E97F}"/>
    <cellStyle name="Normal 4 2 2 3 2 2 3 4" xfId="9357" xr:uid="{9C674A28-D05D-4DC4-9319-5E143E365E32}"/>
    <cellStyle name="Normal 4 2 2 3 2 2 3 5" xfId="17795" xr:uid="{51D296F0-3E5D-42DF-865C-ABFB5FBFB614}"/>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316BFC9B-5DD4-46E4-96B6-6CEBF793A69B}"/>
    <cellStyle name="Normal 4 2 2 3 2 2 4 2 2 3" xfId="24570" xr:uid="{DC838B01-17E5-432D-B62C-16E407DFC0D6}"/>
    <cellStyle name="Normal 4 2 2 3 2 2 4 2 3" xfId="11915" xr:uid="{03DE2B4E-E95D-4548-8FE5-F2AC190AE9AF}"/>
    <cellStyle name="Normal 4 2 2 3 2 2 4 2 4" xfId="20353" xr:uid="{86E000FC-B799-48DA-80B1-D0EAA99F0D66}"/>
    <cellStyle name="Normal 4 2 2 3 2 2 4 3" xfId="5546" xr:uid="{00000000-0005-0000-0000-000011120000}"/>
    <cellStyle name="Normal 4 2 2 3 2 2 4 3 2" xfId="13988" xr:uid="{7F9AAB95-B015-4420-AAD9-D54BD6F38E9A}"/>
    <cellStyle name="Normal 4 2 2 3 2 2 4 3 3" xfId="22425" xr:uid="{76629D0E-CB3C-45A3-A993-59E4578B59DA}"/>
    <cellStyle name="Normal 4 2 2 3 2 2 4 4" xfId="9770" xr:uid="{BFFC8EC7-DD8D-49A4-831B-74897675DEB4}"/>
    <cellStyle name="Normal 4 2 2 3 2 2 4 5" xfId="18208" xr:uid="{40C77AFA-557F-4EEA-9FE2-9249CB42884C}"/>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6871DEFB-5363-4FDF-A790-DCA8209ED15A}"/>
    <cellStyle name="Normal 4 2 2 3 2 2 5 2 2 3" xfId="24983" xr:uid="{F2124303-692A-4CD4-A666-D32F2495659C}"/>
    <cellStyle name="Normal 4 2 2 3 2 2 5 2 3" xfId="12328" xr:uid="{4F0C7B4A-4774-4ED3-9AE4-C9E66048F2D1}"/>
    <cellStyle name="Normal 4 2 2 3 2 2 5 2 4" xfId="20766" xr:uid="{20F17983-6D73-4CC8-A372-B59546591933}"/>
    <cellStyle name="Normal 4 2 2 3 2 2 5 3" xfId="5959" xr:uid="{00000000-0005-0000-0000-000015120000}"/>
    <cellStyle name="Normal 4 2 2 3 2 2 5 3 2" xfId="14401" xr:uid="{22708E1D-37A5-4E2D-8EB3-D17E4872C7A6}"/>
    <cellStyle name="Normal 4 2 2 3 2 2 5 3 3" xfId="22838" xr:uid="{E6AC40A3-ECFB-47BE-A9FA-F4025EBE7D8A}"/>
    <cellStyle name="Normal 4 2 2 3 2 2 5 4" xfId="10183" xr:uid="{8066DE8E-F054-45CE-B45B-527F3A1A7C0D}"/>
    <cellStyle name="Normal 4 2 2 3 2 2 5 5" xfId="18621" xr:uid="{97FEC82C-7002-491C-8603-A11BC60DAE47}"/>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FA327D7C-7226-4930-9C00-862E33EE8FDC}"/>
    <cellStyle name="Normal 4 2 2 3 2 2 6 2 2 3" xfId="25396" xr:uid="{8F4C864B-0BB5-4E40-A0E3-3F2426156C9B}"/>
    <cellStyle name="Normal 4 2 2 3 2 2 6 2 3" xfId="12741" xr:uid="{04D9D428-B07D-44DD-A21A-F1445F35541B}"/>
    <cellStyle name="Normal 4 2 2 3 2 2 6 2 4" xfId="21179" xr:uid="{F4119835-C93B-4787-9BD0-5869786A55F2}"/>
    <cellStyle name="Normal 4 2 2 3 2 2 6 3" xfId="6372" xr:uid="{00000000-0005-0000-0000-000019120000}"/>
    <cellStyle name="Normal 4 2 2 3 2 2 6 3 2" xfId="14814" xr:uid="{0AB70CA7-847F-4CF0-893E-917BDED6A278}"/>
    <cellStyle name="Normal 4 2 2 3 2 2 6 3 3" xfId="23251" xr:uid="{9DD0C5AF-8ACB-4201-A6A8-857248A474D0}"/>
    <cellStyle name="Normal 4 2 2 3 2 2 6 4" xfId="10596" xr:uid="{D0FE29CA-88FB-423C-A7C5-DA0ADC108908}"/>
    <cellStyle name="Normal 4 2 2 3 2 2 6 5" xfId="19034" xr:uid="{F7F1A991-7239-41F5-B64E-E63C62A84D23}"/>
    <cellStyle name="Normal 4 2 2 3 2 2 7" xfId="2501" xr:uid="{00000000-0005-0000-0000-00001A120000}"/>
    <cellStyle name="Normal 4 2 2 3 2 2 7 2" xfId="6785" xr:uid="{00000000-0005-0000-0000-00001B120000}"/>
    <cellStyle name="Normal 4 2 2 3 2 2 7 2 2" xfId="15227" xr:uid="{D6CD6D50-10E8-4BFB-9396-9A12F0E2FD10}"/>
    <cellStyle name="Normal 4 2 2 3 2 2 7 2 3" xfId="23664" xr:uid="{F951DAA0-C38E-428A-A9F8-189BFE3D2B63}"/>
    <cellStyle name="Normal 4 2 2 3 2 2 7 3" xfId="11009" xr:uid="{E4F6590F-6261-41F8-8B81-247A8BDF1226}"/>
    <cellStyle name="Normal 4 2 2 3 2 2 7 4" xfId="19447" xr:uid="{A2C28B1F-4A87-4EF3-9D2F-C15D6F375D56}"/>
    <cellStyle name="Normal 4 2 2 3 2 2 8" xfId="4720" xr:uid="{00000000-0005-0000-0000-00001C120000}"/>
    <cellStyle name="Normal 4 2 2 3 2 2 8 2" xfId="13162" xr:uid="{37672819-9D3F-452E-86A5-52070176FD86}"/>
    <cellStyle name="Normal 4 2 2 3 2 2 8 3" xfId="21599" xr:uid="{71334315-C06A-42DD-92EA-D53AA0CCD21A}"/>
    <cellStyle name="Normal 4 2 2 3 2 2 9" xfId="8944" xr:uid="{140313D1-D74F-4479-8DC5-6AB7C852E4E2}"/>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07003E8E-BB66-44D6-B063-D7D4995BCB43}"/>
    <cellStyle name="Normal 4 2 2 3 2 3 2 2 2 3" xfId="24159" xr:uid="{4DC2ED19-9D82-43E8-9D08-AA68B9C5ECDF}"/>
    <cellStyle name="Normal 4 2 2 3 2 3 2 2 3" xfId="11504" xr:uid="{0ED76E59-4D24-41EA-879B-6F468B79DA25}"/>
    <cellStyle name="Normal 4 2 2 3 2 3 2 2 4" xfId="19942" xr:uid="{6E5108B7-A42B-4D62-9E13-6DFC821E3E64}"/>
    <cellStyle name="Normal 4 2 2 3 2 3 2 3" xfId="5135" xr:uid="{00000000-0005-0000-0000-000021120000}"/>
    <cellStyle name="Normal 4 2 2 3 2 3 2 3 2" xfId="13577" xr:uid="{1CF1A6C8-3427-4EEF-8A29-FA0FFD63F181}"/>
    <cellStyle name="Normal 4 2 2 3 2 3 2 3 3" xfId="22014" xr:uid="{AE1DFEB6-50DD-4F60-9B0A-15071395615F}"/>
    <cellStyle name="Normal 4 2 2 3 2 3 2 4" xfId="9359" xr:uid="{056FB2BA-10DA-4EB7-8EB9-DB7B83A4B3CF}"/>
    <cellStyle name="Normal 4 2 2 3 2 3 2 5" xfId="17797" xr:uid="{F705D67C-1048-4A4E-9176-6340FF4F7FD9}"/>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20739AFC-36E6-4222-88EB-63F86FBE4589}"/>
    <cellStyle name="Normal 4 2 2 3 2 3 3 2 2 3" xfId="24572" xr:uid="{E83D690F-DA36-48AC-ADDD-B271EBFC6AE7}"/>
    <cellStyle name="Normal 4 2 2 3 2 3 3 2 3" xfId="11917" xr:uid="{67628A0E-0B82-447F-9341-2383ECBAD6B9}"/>
    <cellStyle name="Normal 4 2 2 3 2 3 3 2 4" xfId="20355" xr:uid="{320C82F6-1CCE-42E3-9553-BCFAE6E55FF8}"/>
    <cellStyle name="Normal 4 2 2 3 2 3 3 3" xfId="5548" xr:uid="{00000000-0005-0000-0000-000025120000}"/>
    <cellStyle name="Normal 4 2 2 3 2 3 3 3 2" xfId="13990" xr:uid="{9F0CEF57-EA37-499C-89CE-C78475E3DC94}"/>
    <cellStyle name="Normal 4 2 2 3 2 3 3 3 3" xfId="22427" xr:uid="{245FF2DA-A4E0-42DE-A678-2A790953A354}"/>
    <cellStyle name="Normal 4 2 2 3 2 3 3 4" xfId="9772" xr:uid="{51B2DAD3-CE57-4323-AB57-638E79884AE8}"/>
    <cellStyle name="Normal 4 2 2 3 2 3 3 5" xfId="18210" xr:uid="{73690CC8-D589-4FF6-B2B5-18054DA357E1}"/>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641E8E02-8AC9-467A-A9DC-C29FD5DC5516}"/>
    <cellStyle name="Normal 4 2 2 3 2 3 4 2 2 3" xfId="24985" xr:uid="{72565BF0-789C-43A5-BA9E-A37ADDB7AC96}"/>
    <cellStyle name="Normal 4 2 2 3 2 3 4 2 3" xfId="12330" xr:uid="{C7678CB8-0ED9-4F83-83D3-0C310D3720CD}"/>
    <cellStyle name="Normal 4 2 2 3 2 3 4 2 4" xfId="20768" xr:uid="{80DE33CC-EF7A-46E5-8056-B704EB7D8AF5}"/>
    <cellStyle name="Normal 4 2 2 3 2 3 4 3" xfId="5961" xr:uid="{00000000-0005-0000-0000-000029120000}"/>
    <cellStyle name="Normal 4 2 2 3 2 3 4 3 2" xfId="14403" xr:uid="{2DEBB26A-D32F-46AD-B6E8-784E4DB950DA}"/>
    <cellStyle name="Normal 4 2 2 3 2 3 4 3 3" xfId="22840" xr:uid="{445B9A77-4952-41CB-AAA8-E9246FE1D41B}"/>
    <cellStyle name="Normal 4 2 2 3 2 3 4 4" xfId="10185" xr:uid="{741104ED-E613-4E8E-9621-8A6DB5F80DCC}"/>
    <cellStyle name="Normal 4 2 2 3 2 3 4 5" xfId="18623" xr:uid="{DD56776E-BA0B-4B65-9A7B-63BFF484E248}"/>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72A76A62-E365-4DF7-A4D8-F840461DED30}"/>
    <cellStyle name="Normal 4 2 2 3 2 3 5 2 2 3" xfId="25398" xr:uid="{1AD91B89-2DB8-47B4-9868-F96606ACF928}"/>
    <cellStyle name="Normal 4 2 2 3 2 3 5 2 3" xfId="12743" xr:uid="{9E5E1920-AD29-4B1A-8E4E-DABCA83F2EA5}"/>
    <cellStyle name="Normal 4 2 2 3 2 3 5 2 4" xfId="21181" xr:uid="{FAC3DD62-B111-45EA-B300-1F4BF77E9ADB}"/>
    <cellStyle name="Normal 4 2 2 3 2 3 5 3" xfId="6374" xr:uid="{00000000-0005-0000-0000-00002D120000}"/>
    <cellStyle name="Normal 4 2 2 3 2 3 5 3 2" xfId="14816" xr:uid="{E5F5DBE4-D0A6-4B36-BEB1-519559E1C255}"/>
    <cellStyle name="Normal 4 2 2 3 2 3 5 3 3" xfId="23253" xr:uid="{3DAF268C-44A6-465F-BBFE-B4BB6AA38FE8}"/>
    <cellStyle name="Normal 4 2 2 3 2 3 5 4" xfId="10598" xr:uid="{7A034732-624A-4675-9F37-A1161FE3F74F}"/>
    <cellStyle name="Normal 4 2 2 3 2 3 5 5" xfId="19036" xr:uid="{0C49AF88-B480-4494-A48B-DBD8AD53FA58}"/>
    <cellStyle name="Normal 4 2 2 3 2 3 6" xfId="2503" xr:uid="{00000000-0005-0000-0000-00002E120000}"/>
    <cellStyle name="Normal 4 2 2 3 2 3 6 2" xfId="6787" xr:uid="{00000000-0005-0000-0000-00002F120000}"/>
    <cellStyle name="Normal 4 2 2 3 2 3 6 2 2" xfId="15229" xr:uid="{A3E3CE7B-AF3D-41C3-AF03-07D9F167E1F9}"/>
    <cellStyle name="Normal 4 2 2 3 2 3 6 2 3" xfId="23666" xr:uid="{0AC91E2A-6473-4955-B4E8-1E115EE80E53}"/>
    <cellStyle name="Normal 4 2 2 3 2 3 6 3" xfId="11011" xr:uid="{4C43D501-5FC7-4D26-B481-285ECB1A8117}"/>
    <cellStyle name="Normal 4 2 2 3 2 3 6 4" xfId="19449" xr:uid="{453ECE29-97FE-446E-986B-0FCA6EE5F6F9}"/>
    <cellStyle name="Normal 4 2 2 3 2 3 7" xfId="4722" xr:uid="{00000000-0005-0000-0000-000030120000}"/>
    <cellStyle name="Normal 4 2 2 3 2 3 7 2" xfId="13164" xr:uid="{15AAE88C-0109-4A4F-A00C-2CCD12232B5A}"/>
    <cellStyle name="Normal 4 2 2 3 2 3 7 3" xfId="21601" xr:uid="{E4934A82-3CD4-4D24-A763-94318BBDCC33}"/>
    <cellStyle name="Normal 4 2 2 3 2 3 8" xfId="8946" xr:uid="{D2BD498F-C521-4E57-960F-37B35D754C0A}"/>
    <cellStyle name="Normal 4 2 2 3 2 3 9" xfId="17384" xr:uid="{00A3B92F-F988-482B-819F-F84F495057DD}"/>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A214BA77-E032-4235-95D3-8A33DB318C51}"/>
    <cellStyle name="Normal 4 2 2 3 2 4 2 2 3" xfId="24156" xr:uid="{51F2C61A-3514-4A58-9B5F-8B2FA54D831A}"/>
    <cellStyle name="Normal 4 2 2 3 2 4 2 3" xfId="11501" xr:uid="{6F0F8AE4-B602-47BD-B0EC-79AD65B0996F}"/>
    <cellStyle name="Normal 4 2 2 3 2 4 2 4" xfId="19939" xr:uid="{7B1B305B-E627-4BCC-ADEE-8240A623452C}"/>
    <cellStyle name="Normal 4 2 2 3 2 4 3" xfId="5132" xr:uid="{00000000-0005-0000-0000-000034120000}"/>
    <cellStyle name="Normal 4 2 2 3 2 4 3 2" xfId="13574" xr:uid="{09AF5DD9-5B49-48C1-9145-1E1D8C117510}"/>
    <cellStyle name="Normal 4 2 2 3 2 4 3 3" xfId="22011" xr:uid="{5727AFF7-54F7-4B83-BD88-CC98EB37700A}"/>
    <cellStyle name="Normal 4 2 2 3 2 4 4" xfId="9356" xr:uid="{8E28A709-D04C-41D4-A955-74844657E3F8}"/>
    <cellStyle name="Normal 4 2 2 3 2 4 5" xfId="17794" xr:uid="{4403C4D0-AF40-40AE-86B9-5C0B99E50208}"/>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33A3FD53-2218-4C44-82DA-B3090BC79452}"/>
    <cellStyle name="Normal 4 2 2 3 2 5 2 2 3" xfId="24569" xr:uid="{B6B2A9FD-A4DA-4B6B-B9EE-EFCDE6D2A006}"/>
    <cellStyle name="Normal 4 2 2 3 2 5 2 3" xfId="11914" xr:uid="{CDB2846D-3068-4F83-81F0-4625C3391ACF}"/>
    <cellStyle name="Normal 4 2 2 3 2 5 2 4" xfId="20352" xr:uid="{437207FA-1BD7-4CB1-B20C-4936ED316ED2}"/>
    <cellStyle name="Normal 4 2 2 3 2 5 3" xfId="5545" xr:uid="{00000000-0005-0000-0000-000038120000}"/>
    <cellStyle name="Normal 4 2 2 3 2 5 3 2" xfId="13987" xr:uid="{DA1C1DBE-6B84-4442-8646-0B2E15352B5D}"/>
    <cellStyle name="Normal 4 2 2 3 2 5 3 3" xfId="22424" xr:uid="{88BC6F46-1A63-404B-A818-400146EE56D2}"/>
    <cellStyle name="Normal 4 2 2 3 2 5 4" xfId="9769" xr:uid="{55222462-7084-4B87-9806-54BAB80790CC}"/>
    <cellStyle name="Normal 4 2 2 3 2 5 5" xfId="18207" xr:uid="{289EBA1D-7EA2-47C4-8632-2E563DC70F37}"/>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643B7945-76FD-4570-85F8-E7B3DA0159A8}"/>
    <cellStyle name="Normal 4 2 2 3 2 6 2 2 3" xfId="24982" xr:uid="{CFA46203-9B39-47EF-989F-1215B44F9888}"/>
    <cellStyle name="Normal 4 2 2 3 2 6 2 3" xfId="12327" xr:uid="{8E2A25E3-F6C3-4745-99A9-50FC406A893B}"/>
    <cellStyle name="Normal 4 2 2 3 2 6 2 4" xfId="20765" xr:uid="{4C6EE4BB-518F-43A8-8515-E0B868B57A65}"/>
    <cellStyle name="Normal 4 2 2 3 2 6 3" xfId="5958" xr:uid="{00000000-0005-0000-0000-00003C120000}"/>
    <cellStyle name="Normal 4 2 2 3 2 6 3 2" xfId="14400" xr:uid="{EA311D00-E832-4EFC-B343-5D4E0981285E}"/>
    <cellStyle name="Normal 4 2 2 3 2 6 3 3" xfId="22837" xr:uid="{1181EB00-14E6-4EDA-A5D3-DFB9352E5BDA}"/>
    <cellStyle name="Normal 4 2 2 3 2 6 4" xfId="10182" xr:uid="{237094AE-0A9F-417E-8AD1-9267136BE697}"/>
    <cellStyle name="Normal 4 2 2 3 2 6 5" xfId="18620" xr:uid="{A97B4A71-4BE5-4D87-89C8-4B35C3DF9117}"/>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DD8158E4-58AE-44F5-898C-AA2FED8AD617}"/>
    <cellStyle name="Normal 4 2 2 3 2 7 2 2 3" xfId="25395" xr:uid="{7BB4D93E-35C1-4252-A604-A1A112F93CA4}"/>
    <cellStyle name="Normal 4 2 2 3 2 7 2 3" xfId="12740" xr:uid="{F3B714BA-A520-4E86-B3AD-0C132221E583}"/>
    <cellStyle name="Normal 4 2 2 3 2 7 2 4" xfId="21178" xr:uid="{B3BA9A0D-58B3-4FD9-A973-36DD4B98048C}"/>
    <cellStyle name="Normal 4 2 2 3 2 7 3" xfId="6371" xr:uid="{00000000-0005-0000-0000-000040120000}"/>
    <cellStyle name="Normal 4 2 2 3 2 7 3 2" xfId="14813" xr:uid="{A872BB52-3A0F-451F-BB31-DAA048880C36}"/>
    <cellStyle name="Normal 4 2 2 3 2 7 3 3" xfId="23250" xr:uid="{41E55A96-059C-424E-A086-C6243899178D}"/>
    <cellStyle name="Normal 4 2 2 3 2 7 4" xfId="10595" xr:uid="{75ED0103-ED07-4A5E-B94B-28120871EDDE}"/>
    <cellStyle name="Normal 4 2 2 3 2 7 5" xfId="19033" xr:uid="{254C2288-9064-4FCF-B57E-73550D97E2DA}"/>
    <cellStyle name="Normal 4 2 2 3 2 8" xfId="2500" xr:uid="{00000000-0005-0000-0000-000041120000}"/>
    <cellStyle name="Normal 4 2 2 3 2 8 2" xfId="6784" xr:uid="{00000000-0005-0000-0000-000042120000}"/>
    <cellStyle name="Normal 4 2 2 3 2 8 2 2" xfId="15226" xr:uid="{3DE49FF7-49A3-4AE2-86CC-9A4E4A93AFA5}"/>
    <cellStyle name="Normal 4 2 2 3 2 8 2 3" xfId="23663" xr:uid="{1ABEEAB8-AB83-4FC0-8886-8FF536E1816E}"/>
    <cellStyle name="Normal 4 2 2 3 2 8 3" xfId="11008" xr:uid="{BE409C3B-AFD4-4006-973B-EA035DC07896}"/>
    <cellStyle name="Normal 4 2 2 3 2 8 4" xfId="19446" xr:uid="{77B563F5-0116-4F0D-BB00-0E90FBD44D8A}"/>
    <cellStyle name="Normal 4 2 2 3 2 9" xfId="4719" xr:uid="{00000000-0005-0000-0000-000043120000}"/>
    <cellStyle name="Normal 4 2 2 3 2 9 2" xfId="13161" xr:uid="{04DE660B-32F8-4821-9CE8-B5A74E636C80}"/>
    <cellStyle name="Normal 4 2 2 3 2 9 3" xfId="21598" xr:uid="{AD124B8D-6976-4C28-8C2E-3E56A665005B}"/>
    <cellStyle name="Normal 4 2 2 3 3" xfId="344" xr:uid="{00000000-0005-0000-0000-000044120000}"/>
    <cellStyle name="Normal 4 2 2 3 3 10" xfId="17385" xr:uid="{AEFCD066-BF17-4FFA-BAEC-4DFB6EA49ACD}"/>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B189C342-DF72-4144-9618-BCF18F143CBA}"/>
    <cellStyle name="Normal 4 2 2 3 3 2 2 2 2 3" xfId="24161" xr:uid="{5FA00F9D-BF23-4390-B2CB-1020B510F711}"/>
    <cellStyle name="Normal 4 2 2 3 3 2 2 2 3" xfId="11506" xr:uid="{9C4EFBB7-06BC-4BD6-A6E5-4D4F37487838}"/>
    <cellStyle name="Normal 4 2 2 3 3 2 2 2 4" xfId="19944" xr:uid="{B5EFA2A5-1CFE-4831-A96E-94C9BB8569C2}"/>
    <cellStyle name="Normal 4 2 2 3 3 2 2 3" xfId="5137" xr:uid="{00000000-0005-0000-0000-000049120000}"/>
    <cellStyle name="Normal 4 2 2 3 3 2 2 3 2" xfId="13579" xr:uid="{5346E0E7-570F-47BF-8930-D107C418AD9D}"/>
    <cellStyle name="Normal 4 2 2 3 3 2 2 3 3" xfId="22016" xr:uid="{1F1AA70A-5B85-4108-8DF7-4EFAC8B06097}"/>
    <cellStyle name="Normal 4 2 2 3 3 2 2 4" xfId="9361" xr:uid="{CCFAD512-8FFE-4D05-A928-3FA1077A6F1D}"/>
    <cellStyle name="Normal 4 2 2 3 3 2 2 5" xfId="17799" xr:uid="{A3B7DAB3-422F-4902-86BC-2886FE2505B2}"/>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3A3B70FE-7AB1-4E74-91B5-F19FCFEF4144}"/>
    <cellStyle name="Normal 4 2 2 3 3 2 3 2 2 3" xfId="24574" xr:uid="{6EF4D3CF-3D54-40DC-B3CE-992EB6C22769}"/>
    <cellStyle name="Normal 4 2 2 3 3 2 3 2 3" xfId="11919" xr:uid="{DB34EAB8-DB2F-4F1E-8D23-0D53782C48C4}"/>
    <cellStyle name="Normal 4 2 2 3 3 2 3 2 4" xfId="20357" xr:uid="{58F17526-AC43-44D9-9EAD-688DD1344AAA}"/>
    <cellStyle name="Normal 4 2 2 3 3 2 3 3" xfId="5550" xr:uid="{00000000-0005-0000-0000-00004D120000}"/>
    <cellStyle name="Normal 4 2 2 3 3 2 3 3 2" xfId="13992" xr:uid="{24D304F1-D7DD-4A27-BB40-CE82CE7EC3E6}"/>
    <cellStyle name="Normal 4 2 2 3 3 2 3 3 3" xfId="22429" xr:uid="{3BDCFCEB-9AFD-42C2-854A-D8F75EA28C33}"/>
    <cellStyle name="Normal 4 2 2 3 3 2 3 4" xfId="9774" xr:uid="{F40A9D84-5842-4588-84B5-0C07F47BA5FD}"/>
    <cellStyle name="Normal 4 2 2 3 3 2 3 5" xfId="18212" xr:uid="{09633B95-9614-4766-A6C9-F45F0F4BF508}"/>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F4EA2E6C-6347-44AB-BD12-39ACD531FDF5}"/>
    <cellStyle name="Normal 4 2 2 3 3 2 4 2 2 3" xfId="24987" xr:uid="{F2B9EF46-8E40-46B0-910B-BAEB485B3D35}"/>
    <cellStyle name="Normal 4 2 2 3 3 2 4 2 3" xfId="12332" xr:uid="{CA4FF2DB-0EA2-4B9C-A06D-05C7AB1500F2}"/>
    <cellStyle name="Normal 4 2 2 3 3 2 4 2 4" xfId="20770" xr:uid="{38FD198D-456E-415C-8A5E-C335E87F63DF}"/>
    <cellStyle name="Normal 4 2 2 3 3 2 4 3" xfId="5963" xr:uid="{00000000-0005-0000-0000-000051120000}"/>
    <cellStyle name="Normal 4 2 2 3 3 2 4 3 2" xfId="14405" xr:uid="{77112D19-E790-4E81-BD97-92F1FD36D247}"/>
    <cellStyle name="Normal 4 2 2 3 3 2 4 3 3" xfId="22842" xr:uid="{BE2031AC-B0FD-4A67-BE34-49E610BD3131}"/>
    <cellStyle name="Normal 4 2 2 3 3 2 4 4" xfId="10187" xr:uid="{80938991-20B0-4365-BE78-04951185734A}"/>
    <cellStyle name="Normal 4 2 2 3 3 2 4 5" xfId="18625" xr:uid="{F690623E-6A02-4000-9EA5-7120CB43A267}"/>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2DE0FB4A-AC19-489F-80A0-977EC09DD29B}"/>
    <cellStyle name="Normal 4 2 2 3 3 2 5 2 2 3" xfId="25400" xr:uid="{77B33EF5-3C51-435C-B451-473D41FA01E0}"/>
    <cellStyle name="Normal 4 2 2 3 3 2 5 2 3" xfId="12745" xr:uid="{D90A51ED-3E76-4BE1-A8A8-19E67E71346A}"/>
    <cellStyle name="Normal 4 2 2 3 3 2 5 2 4" xfId="21183" xr:uid="{CE71D7C3-7573-4317-81AE-977DA4945C35}"/>
    <cellStyle name="Normal 4 2 2 3 3 2 5 3" xfId="6376" xr:uid="{00000000-0005-0000-0000-000055120000}"/>
    <cellStyle name="Normal 4 2 2 3 3 2 5 3 2" xfId="14818" xr:uid="{ABEE65E6-D55C-411C-B4DC-5136723A704B}"/>
    <cellStyle name="Normal 4 2 2 3 3 2 5 3 3" xfId="23255" xr:uid="{26648EBF-F045-4427-AFBC-8D69B778BA78}"/>
    <cellStyle name="Normal 4 2 2 3 3 2 5 4" xfId="10600" xr:uid="{7F98BCB1-3D2D-4869-9266-4EE843D81AE1}"/>
    <cellStyle name="Normal 4 2 2 3 3 2 5 5" xfId="19038" xr:uid="{FFEFF044-9C0B-4239-99FB-23FEBFBDF43E}"/>
    <cellStyle name="Normal 4 2 2 3 3 2 6" xfId="2505" xr:uid="{00000000-0005-0000-0000-000056120000}"/>
    <cellStyle name="Normal 4 2 2 3 3 2 6 2" xfId="6789" xr:uid="{00000000-0005-0000-0000-000057120000}"/>
    <cellStyle name="Normal 4 2 2 3 3 2 6 2 2" xfId="15231" xr:uid="{ADB828BF-DA81-437E-B7CB-F62DB3B536F3}"/>
    <cellStyle name="Normal 4 2 2 3 3 2 6 2 3" xfId="23668" xr:uid="{CFBCFB52-45EB-4AD9-84C1-1E8503B6D458}"/>
    <cellStyle name="Normal 4 2 2 3 3 2 6 3" xfId="11013" xr:uid="{2C3351A3-F73B-491D-AA8D-1734B6D78EE4}"/>
    <cellStyle name="Normal 4 2 2 3 3 2 6 4" xfId="19451" xr:uid="{25ECE47C-EAAF-45F3-BC27-D5B1EFE86A5E}"/>
    <cellStyle name="Normal 4 2 2 3 3 2 7" xfId="4724" xr:uid="{00000000-0005-0000-0000-000058120000}"/>
    <cellStyle name="Normal 4 2 2 3 3 2 7 2" xfId="13166" xr:uid="{144F4748-94FD-4088-84AC-0FD4E49256C2}"/>
    <cellStyle name="Normal 4 2 2 3 3 2 7 3" xfId="21603" xr:uid="{2D203E47-BA3F-4C91-85B2-4502B50AAE51}"/>
    <cellStyle name="Normal 4 2 2 3 3 2 8" xfId="8948" xr:uid="{A516D871-9D90-4A70-866B-ADDFABA5EC08}"/>
    <cellStyle name="Normal 4 2 2 3 3 2 9" xfId="17386" xr:uid="{712F87B8-83F0-4BDA-9300-835BF368B938}"/>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72549B54-53C3-4070-B8AA-AEF5C02ADC20}"/>
    <cellStyle name="Normal 4 2 2 3 3 3 2 2 3" xfId="24160" xr:uid="{7A4ADDFF-DBDA-44E8-B2E4-8B9944F20EE4}"/>
    <cellStyle name="Normal 4 2 2 3 3 3 2 3" xfId="11505" xr:uid="{391B88C4-861A-4A53-938A-18494BEA4887}"/>
    <cellStyle name="Normal 4 2 2 3 3 3 2 4" xfId="19943" xr:uid="{BE2ED3E6-036E-45B0-B7AC-210E573CF301}"/>
    <cellStyle name="Normal 4 2 2 3 3 3 3" xfId="5136" xr:uid="{00000000-0005-0000-0000-00005C120000}"/>
    <cellStyle name="Normal 4 2 2 3 3 3 3 2" xfId="13578" xr:uid="{3B263F68-266D-4FB6-85EA-2A6DF7553938}"/>
    <cellStyle name="Normal 4 2 2 3 3 3 3 3" xfId="22015" xr:uid="{3E669364-E39D-4961-B853-FB7540E68060}"/>
    <cellStyle name="Normal 4 2 2 3 3 3 4" xfId="9360" xr:uid="{0712BDD2-31A5-4F7F-8CA6-07400FA8F5B9}"/>
    <cellStyle name="Normal 4 2 2 3 3 3 5" xfId="17798" xr:uid="{3AC71D8E-D899-4DD6-A581-E61865E04CC9}"/>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056F1AF7-CBA5-486B-9C14-6503FDA7A7A5}"/>
    <cellStyle name="Normal 4 2 2 3 3 4 2 2 3" xfId="24573" xr:uid="{070992E0-1717-4B17-A4C9-24ED6F99335D}"/>
    <cellStyle name="Normal 4 2 2 3 3 4 2 3" xfId="11918" xr:uid="{57D0C68F-821C-402C-AF1D-0A2290F3260A}"/>
    <cellStyle name="Normal 4 2 2 3 3 4 2 4" xfId="20356" xr:uid="{4596903B-CE47-4EE2-AE68-B8D1D1816A32}"/>
    <cellStyle name="Normal 4 2 2 3 3 4 3" xfId="5549" xr:uid="{00000000-0005-0000-0000-000060120000}"/>
    <cellStyle name="Normal 4 2 2 3 3 4 3 2" xfId="13991" xr:uid="{0D5EF95D-3113-43D9-9E0D-5266D521E064}"/>
    <cellStyle name="Normal 4 2 2 3 3 4 3 3" xfId="22428" xr:uid="{56F10267-4998-44BC-BAC3-4676F0D3EE77}"/>
    <cellStyle name="Normal 4 2 2 3 3 4 4" xfId="9773" xr:uid="{63612B58-CF7D-4D6F-BD00-FA0AF57E252F}"/>
    <cellStyle name="Normal 4 2 2 3 3 4 5" xfId="18211" xr:uid="{E083D60E-6B81-4F81-96A8-24C25181B245}"/>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A55FFEDB-E377-4F16-989C-BF6D7B2D75AF}"/>
    <cellStyle name="Normal 4 2 2 3 3 5 2 2 3" xfId="24986" xr:uid="{B27C0AF7-F4CE-4C37-B542-1F9BAA662241}"/>
    <cellStyle name="Normal 4 2 2 3 3 5 2 3" xfId="12331" xr:uid="{02321486-5D08-4EB9-A101-10FA085F14F3}"/>
    <cellStyle name="Normal 4 2 2 3 3 5 2 4" xfId="20769" xr:uid="{224D6988-CD24-4EA8-9AB1-EDE901EAE8F6}"/>
    <cellStyle name="Normal 4 2 2 3 3 5 3" xfId="5962" xr:uid="{00000000-0005-0000-0000-000064120000}"/>
    <cellStyle name="Normal 4 2 2 3 3 5 3 2" xfId="14404" xr:uid="{B2D1AF89-1440-4EEE-8273-95634881C896}"/>
    <cellStyle name="Normal 4 2 2 3 3 5 3 3" xfId="22841" xr:uid="{3E3F02BA-AC25-484F-A1A0-0C231A2F8A07}"/>
    <cellStyle name="Normal 4 2 2 3 3 5 4" xfId="10186" xr:uid="{239F933D-B99F-46A7-A501-5EEF2ADA5D7F}"/>
    <cellStyle name="Normal 4 2 2 3 3 5 5" xfId="18624" xr:uid="{0B3A4260-EBC8-47D7-AF39-6DB1CAB1DC4A}"/>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8C4B6CAF-F509-46E1-BB2C-9F5C97E20E2C}"/>
    <cellStyle name="Normal 4 2 2 3 3 6 2 2 3" xfId="25399" xr:uid="{1ABCF639-5F99-44E9-AE88-3354F3FB6A9E}"/>
    <cellStyle name="Normal 4 2 2 3 3 6 2 3" xfId="12744" xr:uid="{C108326F-1F19-4F50-B3A5-C31A6F20AF02}"/>
    <cellStyle name="Normal 4 2 2 3 3 6 2 4" xfId="21182" xr:uid="{0C1BB48D-84D6-4AAF-B5D4-5217E1968079}"/>
    <cellStyle name="Normal 4 2 2 3 3 6 3" xfId="6375" xr:uid="{00000000-0005-0000-0000-000068120000}"/>
    <cellStyle name="Normal 4 2 2 3 3 6 3 2" xfId="14817" xr:uid="{B3980C54-F363-4738-A349-BE69B08E51D7}"/>
    <cellStyle name="Normal 4 2 2 3 3 6 3 3" xfId="23254" xr:uid="{A34605F2-EF35-4C83-817A-C2478FA97802}"/>
    <cellStyle name="Normal 4 2 2 3 3 6 4" xfId="10599" xr:uid="{F63603FB-0E12-42C0-898B-7B80FE75E1EA}"/>
    <cellStyle name="Normal 4 2 2 3 3 6 5" xfId="19037" xr:uid="{D3956DA3-28A6-437E-BE74-3F77775EF812}"/>
    <cellStyle name="Normal 4 2 2 3 3 7" xfId="2504" xr:uid="{00000000-0005-0000-0000-000069120000}"/>
    <cellStyle name="Normal 4 2 2 3 3 7 2" xfId="6788" xr:uid="{00000000-0005-0000-0000-00006A120000}"/>
    <cellStyle name="Normal 4 2 2 3 3 7 2 2" xfId="15230" xr:uid="{F9F3EA42-BCE7-4761-82A3-7B00B638E3DF}"/>
    <cellStyle name="Normal 4 2 2 3 3 7 2 3" xfId="23667" xr:uid="{F7412A04-1EDE-489A-9DA7-EEF1F60674F3}"/>
    <cellStyle name="Normal 4 2 2 3 3 7 3" xfId="11012" xr:uid="{CEDD5F23-545D-4276-BB85-043C9914CFD6}"/>
    <cellStyle name="Normal 4 2 2 3 3 7 4" xfId="19450" xr:uid="{D20E2D9C-4796-4EC0-AA1B-34FA58EC05E5}"/>
    <cellStyle name="Normal 4 2 2 3 3 8" xfId="4723" xr:uid="{00000000-0005-0000-0000-00006B120000}"/>
    <cellStyle name="Normal 4 2 2 3 3 8 2" xfId="13165" xr:uid="{5CC261ED-3127-43E2-84FD-3DBF9832B6D1}"/>
    <cellStyle name="Normal 4 2 2 3 3 8 3" xfId="21602" xr:uid="{43C93C67-5145-49F3-A884-F15E593FEFE2}"/>
    <cellStyle name="Normal 4 2 2 3 3 9" xfId="8947" xr:uid="{8B51AD9C-E42E-436E-B2F1-625A08CDB4E4}"/>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D67D6593-5B48-48F8-812E-89584EB5BB4F}"/>
    <cellStyle name="Normal 4 2 2 3 4 2 2 2 3" xfId="24162" xr:uid="{59F23E3B-7211-4BF9-9569-7C1C429F957A}"/>
    <cellStyle name="Normal 4 2 2 3 4 2 2 3" xfId="11507" xr:uid="{C3227237-BFBB-4EAF-A0F2-5E761E6158D7}"/>
    <cellStyle name="Normal 4 2 2 3 4 2 2 4" xfId="19945" xr:uid="{DEBA1654-4F1B-499D-A00C-34CE82E6C982}"/>
    <cellStyle name="Normal 4 2 2 3 4 2 3" xfId="5138" xr:uid="{00000000-0005-0000-0000-000070120000}"/>
    <cellStyle name="Normal 4 2 2 3 4 2 3 2" xfId="13580" xr:uid="{11E6A3D1-E240-4FA8-801E-B390D6AB8B4D}"/>
    <cellStyle name="Normal 4 2 2 3 4 2 3 3" xfId="22017" xr:uid="{FD3B9EB3-29B5-40FE-9B9C-9CCC29A0D40F}"/>
    <cellStyle name="Normal 4 2 2 3 4 2 4" xfId="9362" xr:uid="{ED287C42-67D2-4976-92A7-E36CE4F05CA8}"/>
    <cellStyle name="Normal 4 2 2 3 4 2 5" xfId="17800" xr:uid="{095C8582-0C10-4DF7-BA19-D05ACA1F27FB}"/>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E6EB09FB-2787-4F28-8F98-D4EF694E6217}"/>
    <cellStyle name="Normal 4 2 2 3 4 3 2 2 3" xfId="24575" xr:uid="{124075B2-1A45-4385-9EE0-6DCEB313579C}"/>
    <cellStyle name="Normal 4 2 2 3 4 3 2 3" xfId="11920" xr:uid="{FD1461AD-2213-4F3A-8841-2C942BF7BC54}"/>
    <cellStyle name="Normal 4 2 2 3 4 3 2 4" xfId="20358" xr:uid="{31BE335E-2F1A-48A9-95B5-3CC29A35DDFA}"/>
    <cellStyle name="Normal 4 2 2 3 4 3 3" xfId="5551" xr:uid="{00000000-0005-0000-0000-000074120000}"/>
    <cellStyle name="Normal 4 2 2 3 4 3 3 2" xfId="13993" xr:uid="{84EB3BA5-680A-48A2-AA10-4E77AE9BCCD1}"/>
    <cellStyle name="Normal 4 2 2 3 4 3 3 3" xfId="22430" xr:uid="{B30F80C9-9164-46E0-9BF2-BCC86EDD6709}"/>
    <cellStyle name="Normal 4 2 2 3 4 3 4" xfId="9775" xr:uid="{E695BAA8-E6A4-4BD4-A2B1-1D6A23B0AED4}"/>
    <cellStyle name="Normal 4 2 2 3 4 3 5" xfId="18213" xr:uid="{F1B9A28B-0546-4507-AAA7-F51A65BD6E79}"/>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77CF42F5-67E2-4F78-AFD4-63D26D2DA634}"/>
    <cellStyle name="Normal 4 2 2 3 4 4 2 2 3" xfId="24988" xr:uid="{4C77477E-74BE-4CAE-8C91-AD6ED2230F27}"/>
    <cellStyle name="Normal 4 2 2 3 4 4 2 3" xfId="12333" xr:uid="{6CFE0FF4-7F27-4DD4-8711-340ACEAF5105}"/>
    <cellStyle name="Normal 4 2 2 3 4 4 2 4" xfId="20771" xr:uid="{D7D7C29B-D1B7-4897-A9AA-C326EF087527}"/>
    <cellStyle name="Normal 4 2 2 3 4 4 3" xfId="5964" xr:uid="{00000000-0005-0000-0000-000078120000}"/>
    <cellStyle name="Normal 4 2 2 3 4 4 3 2" xfId="14406" xr:uid="{ABE1C37B-4C63-4AAE-8B09-9D68F6ACEB08}"/>
    <cellStyle name="Normal 4 2 2 3 4 4 3 3" xfId="22843" xr:uid="{8D343305-BFFB-4791-9FD3-878B970B14E9}"/>
    <cellStyle name="Normal 4 2 2 3 4 4 4" xfId="10188" xr:uid="{CDB6504F-597D-49D9-A5C7-6BFF6218DA79}"/>
    <cellStyle name="Normal 4 2 2 3 4 4 5" xfId="18626" xr:uid="{EE881913-34A3-4856-892C-7207AB9E3624}"/>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8B7780FA-7E96-41DC-9213-7DA3DD1A0C9D}"/>
    <cellStyle name="Normal 4 2 2 3 4 5 2 2 3" xfId="25401" xr:uid="{2EDE3AB4-CCB3-4C0A-877E-07E76BBEC66B}"/>
    <cellStyle name="Normal 4 2 2 3 4 5 2 3" xfId="12746" xr:uid="{F032E231-18A2-444E-809A-587CFA560044}"/>
    <cellStyle name="Normal 4 2 2 3 4 5 2 4" xfId="21184" xr:uid="{9E74DE90-5164-4D2E-A9D4-9B068B4AABD7}"/>
    <cellStyle name="Normal 4 2 2 3 4 5 3" xfId="6377" xr:uid="{00000000-0005-0000-0000-00007C120000}"/>
    <cellStyle name="Normal 4 2 2 3 4 5 3 2" xfId="14819" xr:uid="{76388468-4DA0-4E8A-B173-85F2C046487D}"/>
    <cellStyle name="Normal 4 2 2 3 4 5 3 3" xfId="23256" xr:uid="{F0088089-370E-4ED3-9966-B96621168AD7}"/>
    <cellStyle name="Normal 4 2 2 3 4 5 4" xfId="10601" xr:uid="{B32F65FE-A9A6-4118-B967-CFB87F7AC941}"/>
    <cellStyle name="Normal 4 2 2 3 4 5 5" xfId="19039" xr:uid="{EFB7537D-557E-4A06-BEF8-A05CAB76AFBD}"/>
    <cellStyle name="Normal 4 2 2 3 4 6" xfId="2506" xr:uid="{00000000-0005-0000-0000-00007D120000}"/>
    <cellStyle name="Normal 4 2 2 3 4 6 2" xfId="6790" xr:uid="{00000000-0005-0000-0000-00007E120000}"/>
    <cellStyle name="Normal 4 2 2 3 4 6 2 2" xfId="15232" xr:uid="{8C94F794-B996-4E80-ACFF-704ACD3A42FF}"/>
    <cellStyle name="Normal 4 2 2 3 4 6 2 3" xfId="23669" xr:uid="{1B6959A2-80CB-4CCB-A835-7B39AD085BCE}"/>
    <cellStyle name="Normal 4 2 2 3 4 6 3" xfId="11014" xr:uid="{46D80646-7C0D-40D2-A8BC-7E6349DD2F39}"/>
    <cellStyle name="Normal 4 2 2 3 4 6 4" xfId="19452" xr:uid="{8BCA5E08-4496-4BAB-A0C2-0C8A3440029D}"/>
    <cellStyle name="Normal 4 2 2 3 4 7" xfId="4725" xr:uid="{00000000-0005-0000-0000-00007F120000}"/>
    <cellStyle name="Normal 4 2 2 3 4 7 2" xfId="13167" xr:uid="{9C325A27-A5FA-4392-BA1E-9E9DD82C916E}"/>
    <cellStyle name="Normal 4 2 2 3 4 7 3" xfId="21604" xr:uid="{A7B8A1CD-69AA-4F82-89F1-6CFDC4B4886E}"/>
    <cellStyle name="Normal 4 2 2 3 4 8" xfId="8949" xr:uid="{BFD91793-7384-4C54-8C70-8E168D0C93CB}"/>
    <cellStyle name="Normal 4 2 2 3 4 9" xfId="17387" xr:uid="{0A4F0477-5CFC-493E-900D-AD3AF2F9F34F}"/>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C8CB2C2F-343D-41C3-B24E-C49E916C48DF}"/>
    <cellStyle name="Normal 4 2 2 3 5 2 2 3" xfId="24155" xr:uid="{5FC4CDFB-059C-48FD-94DB-A5AD3EBA63B2}"/>
    <cellStyle name="Normal 4 2 2 3 5 2 3" xfId="11500" xr:uid="{59639CEB-826F-4B4E-9BFE-134A4877FDCA}"/>
    <cellStyle name="Normal 4 2 2 3 5 2 4" xfId="19938" xr:uid="{FB741E4D-AB4F-4278-B317-7D65270E266B}"/>
    <cellStyle name="Normal 4 2 2 3 5 3" xfId="5131" xr:uid="{00000000-0005-0000-0000-000083120000}"/>
    <cellStyle name="Normal 4 2 2 3 5 3 2" xfId="13573" xr:uid="{86FA47AF-D736-4800-92D3-1D13410182A1}"/>
    <cellStyle name="Normal 4 2 2 3 5 3 3" xfId="22010" xr:uid="{9FCCA5E5-9F5C-4300-BD49-8A5C9643EE10}"/>
    <cellStyle name="Normal 4 2 2 3 5 4" xfId="9355" xr:uid="{5AD15BE6-9F7A-418E-804E-02448772B2AC}"/>
    <cellStyle name="Normal 4 2 2 3 5 5" xfId="17793" xr:uid="{624EB6E2-A23D-444F-BFB0-45AEF237B35A}"/>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80881B1F-E944-48E7-A7F9-C0173CBF7DB6}"/>
    <cellStyle name="Normal 4 2 2 3 6 2 2 3" xfId="24568" xr:uid="{099F9670-223E-4BF1-9C79-4F655569E8BB}"/>
    <cellStyle name="Normal 4 2 2 3 6 2 3" xfId="11913" xr:uid="{A5AAC93D-FC49-40E2-AF0E-50D9D76C0CCE}"/>
    <cellStyle name="Normal 4 2 2 3 6 2 4" xfId="20351" xr:uid="{29F2E89B-8D13-4EFB-9686-8A7B904CA71D}"/>
    <cellStyle name="Normal 4 2 2 3 6 3" xfId="5544" xr:uid="{00000000-0005-0000-0000-000087120000}"/>
    <cellStyle name="Normal 4 2 2 3 6 3 2" xfId="13986" xr:uid="{4E4FD8B6-B587-4BC9-A9C9-E1F908FB9FBC}"/>
    <cellStyle name="Normal 4 2 2 3 6 3 3" xfId="22423" xr:uid="{E71CBCD6-899B-430F-B7C6-5376A228CD2C}"/>
    <cellStyle name="Normal 4 2 2 3 6 4" xfId="9768" xr:uid="{3C65E6A2-9E27-408C-B59B-484D9329DCAB}"/>
    <cellStyle name="Normal 4 2 2 3 6 5" xfId="18206" xr:uid="{F24AE97D-1B89-4149-9767-19C8ED3C83C5}"/>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FE7B94B5-D1E2-45A6-90B0-87F9323F04C2}"/>
    <cellStyle name="Normal 4 2 2 3 7 2 2 3" xfId="24981" xr:uid="{5DA0E6D3-8A58-4AC4-A739-07B16FE26D5D}"/>
    <cellStyle name="Normal 4 2 2 3 7 2 3" xfId="12326" xr:uid="{00203804-72CE-4220-A404-83FF543A9D11}"/>
    <cellStyle name="Normal 4 2 2 3 7 2 4" xfId="20764" xr:uid="{E5C9B40F-C3EB-4ADB-9DE9-A5F7E2442D92}"/>
    <cellStyle name="Normal 4 2 2 3 7 3" xfId="5957" xr:uid="{00000000-0005-0000-0000-00008B120000}"/>
    <cellStyle name="Normal 4 2 2 3 7 3 2" xfId="14399" xr:uid="{010ED588-7F64-4B6B-8E5D-3311A30769E1}"/>
    <cellStyle name="Normal 4 2 2 3 7 3 3" xfId="22836" xr:uid="{280734BB-0B3F-4766-9D2D-32FFED4E6446}"/>
    <cellStyle name="Normal 4 2 2 3 7 4" xfId="10181" xr:uid="{8D5F6A3B-9657-46C6-BEED-67A76700D1CA}"/>
    <cellStyle name="Normal 4 2 2 3 7 5" xfId="18619" xr:uid="{F3E2D8FA-B9F9-4B7E-9258-DC0C0CF7C34E}"/>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3FCF843F-50DF-4AC6-8DA8-9B0D87CF2BBD}"/>
    <cellStyle name="Normal 4 2 2 3 8 2 2 3" xfId="25394" xr:uid="{CC3919BF-37D4-489C-BB5A-53DE5664C6DE}"/>
    <cellStyle name="Normal 4 2 2 3 8 2 3" xfId="12739" xr:uid="{90E4DBF3-4CB0-4C4D-8C9C-E3A47CC7B526}"/>
    <cellStyle name="Normal 4 2 2 3 8 2 4" xfId="21177" xr:uid="{F160D44B-E250-4D3A-ABDE-859EFD801720}"/>
    <cellStyle name="Normal 4 2 2 3 8 3" xfId="6370" xr:uid="{00000000-0005-0000-0000-00008F120000}"/>
    <cellStyle name="Normal 4 2 2 3 8 3 2" xfId="14812" xr:uid="{47996B5C-819E-4363-A874-210E4BFD88C3}"/>
    <cellStyle name="Normal 4 2 2 3 8 3 3" xfId="23249" xr:uid="{3CD02EB1-6BA9-4E82-A64C-6E2F7FF56FE2}"/>
    <cellStyle name="Normal 4 2 2 3 8 4" xfId="10594" xr:uid="{4206846C-9E68-47B7-8F87-D5CC4AD86D9D}"/>
    <cellStyle name="Normal 4 2 2 3 8 5" xfId="19032" xr:uid="{51658733-47D6-4750-9B50-54443A397324}"/>
    <cellStyle name="Normal 4 2 2 3 9" xfId="2499" xr:uid="{00000000-0005-0000-0000-000090120000}"/>
    <cellStyle name="Normal 4 2 2 3 9 2" xfId="6783" xr:uid="{00000000-0005-0000-0000-000091120000}"/>
    <cellStyle name="Normal 4 2 2 3 9 2 2" xfId="15225" xr:uid="{47471E96-2A55-4B3B-8A5B-D5FF6D5A16CA}"/>
    <cellStyle name="Normal 4 2 2 3 9 2 3" xfId="23662" xr:uid="{0421310A-9034-4B96-B24E-627FC7BE3772}"/>
    <cellStyle name="Normal 4 2 2 3 9 3" xfId="11007" xr:uid="{26E77144-8E41-48DC-A355-CA81970D2A49}"/>
    <cellStyle name="Normal 4 2 2 3 9 4" xfId="19445" xr:uid="{8E5134B5-DB3D-4A0A-B2EB-E8BC8A6427AC}"/>
    <cellStyle name="Normal 4 2 2 4" xfId="347" xr:uid="{00000000-0005-0000-0000-000092120000}"/>
    <cellStyle name="Normal 4 2 2 4 10" xfId="8950" xr:uid="{47BFFEE3-1459-4981-9437-9710C77024EC}"/>
    <cellStyle name="Normal 4 2 2 4 11" xfId="17388" xr:uid="{473565EB-90F3-42D0-AC42-842630B63365}"/>
    <cellStyle name="Normal 4 2 2 4 2" xfId="348" xr:uid="{00000000-0005-0000-0000-000093120000}"/>
    <cellStyle name="Normal 4 2 2 4 2 10" xfId="17389" xr:uid="{6809A32D-0B66-4B8D-9EAC-0403A1E17D1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D5C09005-D2DF-4714-8224-C7D330482949}"/>
    <cellStyle name="Normal 4 2 2 4 2 2 2 2 2 3" xfId="24165" xr:uid="{3D3F35DA-8AEE-41B5-9DE4-D72C2441F3E9}"/>
    <cellStyle name="Normal 4 2 2 4 2 2 2 2 3" xfId="11510" xr:uid="{5B00DD46-98C4-474A-A03E-229D3A0D3CC9}"/>
    <cellStyle name="Normal 4 2 2 4 2 2 2 2 4" xfId="19948" xr:uid="{4BB57A54-5AA4-4CCF-970B-F6DF3DBD72EA}"/>
    <cellStyle name="Normal 4 2 2 4 2 2 2 3" xfId="5141" xr:uid="{00000000-0005-0000-0000-000098120000}"/>
    <cellStyle name="Normal 4 2 2 4 2 2 2 3 2" xfId="13583" xr:uid="{C0E2379B-606D-4058-93CE-CC02EA0A900E}"/>
    <cellStyle name="Normal 4 2 2 4 2 2 2 3 3" xfId="22020" xr:uid="{C7BF4A9D-6AF7-4BC6-A03A-F042E962A815}"/>
    <cellStyle name="Normal 4 2 2 4 2 2 2 4" xfId="9365" xr:uid="{9FE23CE0-2FDF-493C-9610-9D1A06C6D107}"/>
    <cellStyle name="Normal 4 2 2 4 2 2 2 5" xfId="17803" xr:uid="{FD336C9B-6F5B-4F33-992B-84BCF5EC652A}"/>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228E8C05-2C48-4B7E-A3C3-F3A06654FD61}"/>
    <cellStyle name="Normal 4 2 2 4 2 2 3 2 2 3" xfId="24578" xr:uid="{BB4B4C67-783D-4643-8402-2EB878DB02CC}"/>
    <cellStyle name="Normal 4 2 2 4 2 2 3 2 3" xfId="11923" xr:uid="{23710FD6-7FCC-4528-AB1F-B187F0F271C0}"/>
    <cellStyle name="Normal 4 2 2 4 2 2 3 2 4" xfId="20361" xr:uid="{9B16B21B-9972-4A3C-AB6C-C8FE6431660A}"/>
    <cellStyle name="Normal 4 2 2 4 2 2 3 3" xfId="5554" xr:uid="{00000000-0005-0000-0000-00009C120000}"/>
    <cellStyle name="Normal 4 2 2 4 2 2 3 3 2" xfId="13996" xr:uid="{10A8C507-90FD-4A5D-93C7-397536ACCF20}"/>
    <cellStyle name="Normal 4 2 2 4 2 2 3 3 3" xfId="22433" xr:uid="{01B0061C-B7C0-4054-B962-9B0008FF280A}"/>
    <cellStyle name="Normal 4 2 2 4 2 2 3 4" xfId="9778" xr:uid="{671CC4E5-7BA2-429E-9420-E9E8BAF28BD4}"/>
    <cellStyle name="Normal 4 2 2 4 2 2 3 5" xfId="18216" xr:uid="{1452725D-10F4-4E73-90AD-3B2B945A1665}"/>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87D9604C-8D21-4C2A-BCF3-6DCF7A3A9BEA}"/>
    <cellStyle name="Normal 4 2 2 4 2 2 4 2 2 3" xfId="24991" xr:uid="{DEB7D6CE-5F6A-4245-B6CF-4FC4B3B4E9A7}"/>
    <cellStyle name="Normal 4 2 2 4 2 2 4 2 3" xfId="12336" xr:uid="{FCF4545B-0260-4A99-BC99-200BA074AC04}"/>
    <cellStyle name="Normal 4 2 2 4 2 2 4 2 4" xfId="20774" xr:uid="{043DADAE-54EF-4DB5-8D93-4692796D4E09}"/>
    <cellStyle name="Normal 4 2 2 4 2 2 4 3" xfId="5967" xr:uid="{00000000-0005-0000-0000-0000A0120000}"/>
    <cellStyle name="Normal 4 2 2 4 2 2 4 3 2" xfId="14409" xr:uid="{E2902202-E1BE-4A8A-99CA-E51CA0EF73FF}"/>
    <cellStyle name="Normal 4 2 2 4 2 2 4 3 3" xfId="22846" xr:uid="{6F598982-F42A-4F12-97E6-4B86D5DBBEC8}"/>
    <cellStyle name="Normal 4 2 2 4 2 2 4 4" xfId="10191" xr:uid="{229CD88A-A821-45A1-90F8-1DD4B739C86F}"/>
    <cellStyle name="Normal 4 2 2 4 2 2 4 5" xfId="18629" xr:uid="{4C7A7BDD-352C-477B-A0B8-16865B8BC442}"/>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E8138C17-A475-46B8-9E3E-8075D1429428}"/>
    <cellStyle name="Normal 4 2 2 4 2 2 5 2 2 3" xfId="25404" xr:uid="{B79FF515-127E-459A-8943-D66BC92E0EB1}"/>
    <cellStyle name="Normal 4 2 2 4 2 2 5 2 3" xfId="12749" xr:uid="{66685F63-D5B9-4A25-B8C9-34C204B02673}"/>
    <cellStyle name="Normal 4 2 2 4 2 2 5 2 4" xfId="21187" xr:uid="{752E6487-74D3-4DC1-8B6F-61E9938B8061}"/>
    <cellStyle name="Normal 4 2 2 4 2 2 5 3" xfId="6380" xr:uid="{00000000-0005-0000-0000-0000A4120000}"/>
    <cellStyle name="Normal 4 2 2 4 2 2 5 3 2" xfId="14822" xr:uid="{1041E2F7-5888-42CD-BA5A-EF376157F631}"/>
    <cellStyle name="Normal 4 2 2 4 2 2 5 3 3" xfId="23259" xr:uid="{93DBB6AD-1655-47B7-AEC5-89A1B2935121}"/>
    <cellStyle name="Normal 4 2 2 4 2 2 5 4" xfId="10604" xr:uid="{0CA758A8-376D-46F5-B276-245AB445C3DE}"/>
    <cellStyle name="Normal 4 2 2 4 2 2 5 5" xfId="19042" xr:uid="{8B913FAD-E6A5-494A-AFC7-E16191E4C1EE}"/>
    <cellStyle name="Normal 4 2 2 4 2 2 6" xfId="2509" xr:uid="{00000000-0005-0000-0000-0000A5120000}"/>
    <cellStyle name="Normal 4 2 2 4 2 2 6 2" xfId="6793" xr:uid="{00000000-0005-0000-0000-0000A6120000}"/>
    <cellStyle name="Normal 4 2 2 4 2 2 6 2 2" xfId="15235" xr:uid="{2239E926-A791-4780-BCA1-3F20A54E353F}"/>
    <cellStyle name="Normal 4 2 2 4 2 2 6 2 3" xfId="23672" xr:uid="{E6DA8E76-DC93-4C51-9CF3-B1C57A41768D}"/>
    <cellStyle name="Normal 4 2 2 4 2 2 6 3" xfId="11017" xr:uid="{FBFB0F1C-E51F-40A0-BDEC-E8D988958631}"/>
    <cellStyle name="Normal 4 2 2 4 2 2 6 4" xfId="19455" xr:uid="{614CBD92-8143-4D38-ABAB-887EDDE21F95}"/>
    <cellStyle name="Normal 4 2 2 4 2 2 7" xfId="4728" xr:uid="{00000000-0005-0000-0000-0000A7120000}"/>
    <cellStyle name="Normal 4 2 2 4 2 2 7 2" xfId="13170" xr:uid="{B3709905-2A9E-415B-8EAF-D31B2821DF11}"/>
    <cellStyle name="Normal 4 2 2 4 2 2 7 3" xfId="21607" xr:uid="{A91F0986-4301-47AF-9828-2A9A90F17AC2}"/>
    <cellStyle name="Normal 4 2 2 4 2 2 8" xfId="8952" xr:uid="{94510565-92A2-4D62-BCBA-C51C94D3CE1D}"/>
    <cellStyle name="Normal 4 2 2 4 2 2 9" xfId="17390" xr:uid="{FE650E4D-9D43-4374-BD23-5602C7E0439C}"/>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FD70D7C7-217A-4A40-86EC-A8A119C9295E}"/>
    <cellStyle name="Normal 4 2 2 4 2 3 2 2 3" xfId="24164" xr:uid="{830B2941-3B56-4B1E-B03E-FFA98B71E420}"/>
    <cellStyle name="Normal 4 2 2 4 2 3 2 3" xfId="11509" xr:uid="{FC1F33D9-F64F-45EE-9EBA-062518833B0C}"/>
    <cellStyle name="Normal 4 2 2 4 2 3 2 4" xfId="19947" xr:uid="{CBD11A59-CE71-462F-A05C-4614F5497264}"/>
    <cellStyle name="Normal 4 2 2 4 2 3 3" xfId="5140" xr:uid="{00000000-0005-0000-0000-0000AB120000}"/>
    <cellStyle name="Normal 4 2 2 4 2 3 3 2" xfId="13582" xr:uid="{469E65CF-9F3D-44FF-9E64-B1ABD9ABCB28}"/>
    <cellStyle name="Normal 4 2 2 4 2 3 3 3" xfId="22019" xr:uid="{14FBF177-1E82-48CC-BCC4-434F2AAE4C22}"/>
    <cellStyle name="Normal 4 2 2 4 2 3 4" xfId="9364" xr:uid="{6916838D-0C95-48BE-8259-3530C7C1C023}"/>
    <cellStyle name="Normal 4 2 2 4 2 3 5" xfId="17802" xr:uid="{6CCF8F43-B3E0-4B23-8762-CA958AD114A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ABB030E3-96C2-4381-9EF1-AC9A8E02FBBF}"/>
    <cellStyle name="Normal 4 2 2 4 2 4 2 2 3" xfId="24577" xr:uid="{08ADC72B-C8FD-45C8-96E4-07D90AF56E5A}"/>
    <cellStyle name="Normal 4 2 2 4 2 4 2 3" xfId="11922" xr:uid="{78E59187-E4BA-413C-9C57-8FC8574E90A1}"/>
    <cellStyle name="Normal 4 2 2 4 2 4 2 4" xfId="20360" xr:uid="{C7B8224C-770C-4DAA-B4B4-EAB1FFA54423}"/>
    <cellStyle name="Normal 4 2 2 4 2 4 3" xfId="5553" xr:uid="{00000000-0005-0000-0000-0000AF120000}"/>
    <cellStyle name="Normal 4 2 2 4 2 4 3 2" xfId="13995" xr:uid="{978F1707-521A-4AF2-B493-6C05EF997984}"/>
    <cellStyle name="Normal 4 2 2 4 2 4 3 3" xfId="22432" xr:uid="{1D48118C-BD1C-45B0-8E6E-4F4077315AB1}"/>
    <cellStyle name="Normal 4 2 2 4 2 4 4" xfId="9777" xr:uid="{73B3FA3F-8392-403E-8F74-9CABB42F9FC3}"/>
    <cellStyle name="Normal 4 2 2 4 2 4 5" xfId="18215" xr:uid="{3A852A0B-C2B7-470A-B6EC-C9B740A68EE9}"/>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B965F399-FC57-4973-B61C-A4D1832D5788}"/>
    <cellStyle name="Normal 4 2 2 4 2 5 2 2 3" xfId="24990" xr:uid="{5212291D-212D-4BB3-A57C-51576340F207}"/>
    <cellStyle name="Normal 4 2 2 4 2 5 2 3" xfId="12335" xr:uid="{C18C0210-D384-4953-9EB9-656634FE9360}"/>
    <cellStyle name="Normal 4 2 2 4 2 5 2 4" xfId="20773" xr:uid="{7A874D93-540D-41F8-AFF3-4050B1966CBB}"/>
    <cellStyle name="Normal 4 2 2 4 2 5 3" xfId="5966" xr:uid="{00000000-0005-0000-0000-0000B3120000}"/>
    <cellStyle name="Normal 4 2 2 4 2 5 3 2" xfId="14408" xr:uid="{DDF21423-46EC-4D1E-8A90-41BF4B7A9312}"/>
    <cellStyle name="Normal 4 2 2 4 2 5 3 3" xfId="22845" xr:uid="{2C672257-473C-4E7F-9323-B3E4166711FC}"/>
    <cellStyle name="Normal 4 2 2 4 2 5 4" xfId="10190" xr:uid="{14AE5148-601E-4DE4-991E-5276C3E22A6C}"/>
    <cellStyle name="Normal 4 2 2 4 2 5 5" xfId="18628" xr:uid="{21CCEABD-0C67-4084-AF8F-725F8B393739}"/>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196F83E2-BE39-424C-9FC4-918F0164282A}"/>
    <cellStyle name="Normal 4 2 2 4 2 6 2 2 3" xfId="25403" xr:uid="{8BF40F22-86F7-4E6B-ADC5-FA877656007B}"/>
    <cellStyle name="Normal 4 2 2 4 2 6 2 3" xfId="12748" xr:uid="{D22635F7-A8C7-4CD7-8F6B-BDE20A8B7BCF}"/>
    <cellStyle name="Normal 4 2 2 4 2 6 2 4" xfId="21186" xr:uid="{65905A12-10E8-4B00-8BBC-230D53A8D1FE}"/>
    <cellStyle name="Normal 4 2 2 4 2 6 3" xfId="6379" xr:uid="{00000000-0005-0000-0000-0000B7120000}"/>
    <cellStyle name="Normal 4 2 2 4 2 6 3 2" xfId="14821" xr:uid="{90889683-F2EC-4DCB-8F19-3ED0A6A1CBB0}"/>
    <cellStyle name="Normal 4 2 2 4 2 6 3 3" xfId="23258" xr:uid="{4472F6C9-86AA-4700-8A0B-02388FE09457}"/>
    <cellStyle name="Normal 4 2 2 4 2 6 4" xfId="10603" xr:uid="{BC9280C1-5581-4B9D-AFB6-AAD983D8A2E5}"/>
    <cellStyle name="Normal 4 2 2 4 2 6 5" xfId="19041" xr:uid="{FFA2BDC6-00D6-45A6-B3D4-46EB53AC9A7A}"/>
    <cellStyle name="Normal 4 2 2 4 2 7" xfId="2508" xr:uid="{00000000-0005-0000-0000-0000B8120000}"/>
    <cellStyle name="Normal 4 2 2 4 2 7 2" xfId="6792" xr:uid="{00000000-0005-0000-0000-0000B9120000}"/>
    <cellStyle name="Normal 4 2 2 4 2 7 2 2" xfId="15234" xr:uid="{8B0DE935-3C70-4A76-AF88-A265A7516ACE}"/>
    <cellStyle name="Normal 4 2 2 4 2 7 2 3" xfId="23671" xr:uid="{EBD37579-3B41-4BB2-91AF-0A697D42E7A0}"/>
    <cellStyle name="Normal 4 2 2 4 2 7 3" xfId="11016" xr:uid="{4548BB10-59CE-4861-8493-84AAAFD3B276}"/>
    <cellStyle name="Normal 4 2 2 4 2 7 4" xfId="19454" xr:uid="{4DAF1EE5-3651-4FE7-888A-CFD4BA2BD347}"/>
    <cellStyle name="Normal 4 2 2 4 2 8" xfId="4727" xr:uid="{00000000-0005-0000-0000-0000BA120000}"/>
    <cellStyle name="Normal 4 2 2 4 2 8 2" xfId="13169" xr:uid="{63781E06-0B1D-48A8-BB65-3DDF6C3305DA}"/>
    <cellStyle name="Normal 4 2 2 4 2 8 3" xfId="21606" xr:uid="{3DD559FD-DE85-461B-AD61-670F2F5439EC}"/>
    <cellStyle name="Normal 4 2 2 4 2 9" xfId="8951" xr:uid="{EE4CEF6D-9566-449A-B929-0D66381AEB08}"/>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B54B9BA3-3E44-4C25-BEA4-BADA52E03BE5}"/>
    <cellStyle name="Normal 4 2 2 4 3 2 2 2 3" xfId="24166" xr:uid="{46718AF0-1796-4C51-BB61-31FF92551E49}"/>
    <cellStyle name="Normal 4 2 2 4 3 2 2 3" xfId="11511" xr:uid="{9CFC6CAD-FF9C-44F2-BBEE-08CE64A45D22}"/>
    <cellStyle name="Normal 4 2 2 4 3 2 2 4" xfId="19949" xr:uid="{8DD1BF93-5C9A-4EDD-A27D-AAC9E44F84A6}"/>
    <cellStyle name="Normal 4 2 2 4 3 2 3" xfId="5142" xr:uid="{00000000-0005-0000-0000-0000BF120000}"/>
    <cellStyle name="Normal 4 2 2 4 3 2 3 2" xfId="13584" xr:uid="{7A2FCE83-2458-42B3-8AFC-1B6E1C5EEDAB}"/>
    <cellStyle name="Normal 4 2 2 4 3 2 3 3" xfId="22021" xr:uid="{22C139BF-0FB3-444C-8F2A-8BF59D4C44D5}"/>
    <cellStyle name="Normal 4 2 2 4 3 2 4" xfId="9366" xr:uid="{40B53D3D-78E1-4D07-91B5-D0DF4C76FF82}"/>
    <cellStyle name="Normal 4 2 2 4 3 2 5" xfId="17804" xr:uid="{017B6A73-87FF-46BA-AAF5-AF9A4380D7FE}"/>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DFA1EE86-DDE6-4E0E-9E0B-87D43115B8CE}"/>
    <cellStyle name="Normal 4 2 2 4 3 3 2 2 3" xfId="24579" xr:uid="{C417CA37-A440-441B-AC8C-A23C886DE303}"/>
    <cellStyle name="Normal 4 2 2 4 3 3 2 3" xfId="11924" xr:uid="{189BAFCC-5C33-4E0D-80D3-BADA792D3AE1}"/>
    <cellStyle name="Normal 4 2 2 4 3 3 2 4" xfId="20362" xr:uid="{769629DF-A0BE-41F4-BD02-6023120CE363}"/>
    <cellStyle name="Normal 4 2 2 4 3 3 3" xfId="5555" xr:uid="{00000000-0005-0000-0000-0000C3120000}"/>
    <cellStyle name="Normal 4 2 2 4 3 3 3 2" xfId="13997" xr:uid="{952819DE-3344-465E-A9A8-41973B871C4A}"/>
    <cellStyle name="Normal 4 2 2 4 3 3 3 3" xfId="22434" xr:uid="{3B1EE023-2E92-44CD-8BBA-AF25B51C4C84}"/>
    <cellStyle name="Normal 4 2 2 4 3 3 4" xfId="9779" xr:uid="{F75A68D7-BB2C-4467-8C9A-22960911D088}"/>
    <cellStyle name="Normal 4 2 2 4 3 3 5" xfId="18217" xr:uid="{1B25EECF-A7A5-4F36-BA4D-8730A471A9BD}"/>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77832823-14A3-46F7-966C-7F8E544806D9}"/>
    <cellStyle name="Normal 4 2 2 4 3 4 2 2 3" xfId="24992" xr:uid="{CB96CACA-5AA5-442E-B0AF-A74F44F682B5}"/>
    <cellStyle name="Normal 4 2 2 4 3 4 2 3" xfId="12337" xr:uid="{A2B62924-1EFF-44D5-947A-223FBF12991C}"/>
    <cellStyle name="Normal 4 2 2 4 3 4 2 4" xfId="20775" xr:uid="{94F743E1-B477-4827-BCC4-9657EDF6BDC2}"/>
    <cellStyle name="Normal 4 2 2 4 3 4 3" xfId="5968" xr:uid="{00000000-0005-0000-0000-0000C7120000}"/>
    <cellStyle name="Normal 4 2 2 4 3 4 3 2" xfId="14410" xr:uid="{3042B68B-9AF6-423F-8DE3-FD8FA35D6959}"/>
    <cellStyle name="Normal 4 2 2 4 3 4 3 3" xfId="22847" xr:uid="{782D2A9C-BD0C-452C-89F3-4ABE47F86313}"/>
    <cellStyle name="Normal 4 2 2 4 3 4 4" xfId="10192" xr:uid="{7B063EC7-28B5-4665-A24A-E1AF7C841CD6}"/>
    <cellStyle name="Normal 4 2 2 4 3 4 5" xfId="18630" xr:uid="{3AB24398-BE31-4B25-A556-34D1146697CE}"/>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51979B1A-7319-44CB-A906-2D9F7A91596D}"/>
    <cellStyle name="Normal 4 2 2 4 3 5 2 2 3" xfId="25405" xr:uid="{CF52B83A-89F0-43C2-9B0F-5F597EB2DF53}"/>
    <cellStyle name="Normal 4 2 2 4 3 5 2 3" xfId="12750" xr:uid="{BF909F40-BF96-40C3-96D0-AAD792AFBB0D}"/>
    <cellStyle name="Normal 4 2 2 4 3 5 2 4" xfId="21188" xr:uid="{34E4789D-4EA1-4F49-8841-7F12B5A5B2E0}"/>
    <cellStyle name="Normal 4 2 2 4 3 5 3" xfId="6381" xr:uid="{00000000-0005-0000-0000-0000CB120000}"/>
    <cellStyle name="Normal 4 2 2 4 3 5 3 2" xfId="14823" xr:uid="{A2B14B65-D9B1-4B07-832F-1A5D6C174390}"/>
    <cellStyle name="Normal 4 2 2 4 3 5 3 3" xfId="23260" xr:uid="{F88CD820-363F-4DA4-927C-DE98536BC08D}"/>
    <cellStyle name="Normal 4 2 2 4 3 5 4" xfId="10605" xr:uid="{D3F1F7CD-B97C-4D83-BB97-DE98FFEC19A0}"/>
    <cellStyle name="Normal 4 2 2 4 3 5 5" xfId="19043" xr:uid="{28B2F8F8-C9B9-4D55-A4BF-18E4D895798A}"/>
    <cellStyle name="Normal 4 2 2 4 3 6" xfId="2510" xr:uid="{00000000-0005-0000-0000-0000CC120000}"/>
    <cellStyle name="Normal 4 2 2 4 3 6 2" xfId="6794" xr:uid="{00000000-0005-0000-0000-0000CD120000}"/>
    <cellStyle name="Normal 4 2 2 4 3 6 2 2" xfId="15236" xr:uid="{FCA2B554-2B8F-4635-BEA5-BF899983ECBF}"/>
    <cellStyle name="Normal 4 2 2 4 3 6 2 3" xfId="23673" xr:uid="{6BA6F692-75C1-4CF9-9ED6-A1F97D9D9FB8}"/>
    <cellStyle name="Normal 4 2 2 4 3 6 3" xfId="11018" xr:uid="{40BAAC3B-3303-47A8-8456-A3186FE6B55C}"/>
    <cellStyle name="Normal 4 2 2 4 3 6 4" xfId="19456" xr:uid="{27A6FF64-B601-4AA8-991D-B75E4AE9DD3C}"/>
    <cellStyle name="Normal 4 2 2 4 3 7" xfId="4729" xr:uid="{00000000-0005-0000-0000-0000CE120000}"/>
    <cellStyle name="Normal 4 2 2 4 3 7 2" xfId="13171" xr:uid="{174957EE-A5D1-44FC-BD24-4107E86D72B0}"/>
    <cellStyle name="Normal 4 2 2 4 3 7 3" xfId="21608" xr:uid="{56E92EFE-C328-4B2E-920B-FE60F882031B}"/>
    <cellStyle name="Normal 4 2 2 4 3 8" xfId="8953" xr:uid="{F21972D7-BD69-4A18-8EAB-E1A75E7DEA60}"/>
    <cellStyle name="Normal 4 2 2 4 3 9" xfId="17391" xr:uid="{61039A71-E82A-473E-AF33-697EDD619CF0}"/>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AC9A8010-1279-4DB4-BC94-5047CB700346}"/>
    <cellStyle name="Normal 4 2 2 4 4 2 2 3" xfId="24163" xr:uid="{800DF41E-C128-4DE3-98B2-3AEC0F35E7B1}"/>
    <cellStyle name="Normal 4 2 2 4 4 2 3" xfId="11508" xr:uid="{C4784A8F-B67A-44CB-A8BE-FD7853E47A63}"/>
    <cellStyle name="Normal 4 2 2 4 4 2 4" xfId="19946" xr:uid="{7DA1B3AD-B2A1-4E88-8477-214110B8AA25}"/>
    <cellStyle name="Normal 4 2 2 4 4 3" xfId="5139" xr:uid="{00000000-0005-0000-0000-0000D2120000}"/>
    <cellStyle name="Normal 4 2 2 4 4 3 2" xfId="13581" xr:uid="{0663DD8E-B8B0-4887-B2FF-D87FBA826FBC}"/>
    <cellStyle name="Normal 4 2 2 4 4 3 3" xfId="22018" xr:uid="{ED75484D-A14F-4053-9F2A-6145DC8E479B}"/>
    <cellStyle name="Normal 4 2 2 4 4 4" xfId="9363" xr:uid="{D5894122-094C-46F9-AB4D-EADE02076E9F}"/>
    <cellStyle name="Normal 4 2 2 4 4 5" xfId="17801" xr:uid="{E8108AE1-FDF4-4C83-8C96-D415649313D0}"/>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88E0D771-2E5F-4D1C-8050-7E45FB8F89C5}"/>
    <cellStyle name="Normal 4 2 2 4 5 2 2 3" xfId="24576" xr:uid="{085873B1-13F4-484D-BC0E-6F729F4B0E45}"/>
    <cellStyle name="Normal 4 2 2 4 5 2 3" xfId="11921" xr:uid="{680157C5-B1E0-4523-98F7-6CBA96DA739D}"/>
    <cellStyle name="Normal 4 2 2 4 5 2 4" xfId="20359" xr:uid="{71EBDF76-0E79-42B6-9FAD-89D2CCF20D48}"/>
    <cellStyle name="Normal 4 2 2 4 5 3" xfId="5552" xr:uid="{00000000-0005-0000-0000-0000D6120000}"/>
    <cellStyle name="Normal 4 2 2 4 5 3 2" xfId="13994" xr:uid="{0BBAB02E-4262-40A8-BCFB-CAE241FE0BC2}"/>
    <cellStyle name="Normal 4 2 2 4 5 3 3" xfId="22431" xr:uid="{B7298C6A-7B89-4254-AA2E-425BFC0EF05C}"/>
    <cellStyle name="Normal 4 2 2 4 5 4" xfId="9776" xr:uid="{DCC39325-D84A-48A1-ABCC-9E079ECE3FF0}"/>
    <cellStyle name="Normal 4 2 2 4 5 5" xfId="18214" xr:uid="{D31730CD-B3D7-437B-9F1D-CE39C7B8FA07}"/>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595A0370-8408-428B-A20A-5B854D2DFB7C}"/>
    <cellStyle name="Normal 4 2 2 4 6 2 2 3" xfId="24989" xr:uid="{D0F945A6-5AF4-4021-8522-13ECDFAFA94C}"/>
    <cellStyle name="Normal 4 2 2 4 6 2 3" xfId="12334" xr:uid="{D9F0B674-0A2E-45FE-8334-A941CA0B7386}"/>
    <cellStyle name="Normal 4 2 2 4 6 2 4" xfId="20772" xr:uid="{BFF8DD12-78F8-4F61-AC6C-CF24A8808940}"/>
    <cellStyle name="Normal 4 2 2 4 6 3" xfId="5965" xr:uid="{00000000-0005-0000-0000-0000DA120000}"/>
    <cellStyle name="Normal 4 2 2 4 6 3 2" xfId="14407" xr:uid="{083B956F-C78E-47F7-B4D5-23076E56420D}"/>
    <cellStyle name="Normal 4 2 2 4 6 3 3" xfId="22844" xr:uid="{AD5D75D5-D5DE-469F-982B-F0AE3C9C15C4}"/>
    <cellStyle name="Normal 4 2 2 4 6 4" xfId="10189" xr:uid="{1147E00E-165F-45E1-97B9-18146B2DC4B2}"/>
    <cellStyle name="Normal 4 2 2 4 6 5" xfId="18627" xr:uid="{001F9869-8D31-4C91-82BB-2D02D79A6845}"/>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9BCED287-FB9B-4D26-8857-0056539E1348}"/>
    <cellStyle name="Normal 4 2 2 4 7 2 2 3" xfId="25402" xr:uid="{F5E8ADC6-962B-43D9-8066-C28E0D0732BD}"/>
    <cellStyle name="Normal 4 2 2 4 7 2 3" xfId="12747" xr:uid="{7937CC5C-5A71-4B2F-861E-69D94ADE8CBA}"/>
    <cellStyle name="Normal 4 2 2 4 7 2 4" xfId="21185" xr:uid="{9536BE99-55D3-4F29-9810-F2F51210FAD5}"/>
    <cellStyle name="Normal 4 2 2 4 7 3" xfId="6378" xr:uid="{00000000-0005-0000-0000-0000DE120000}"/>
    <cellStyle name="Normal 4 2 2 4 7 3 2" xfId="14820" xr:uid="{96D05E6E-3D21-4A2B-A25D-BF66AF6FC71B}"/>
    <cellStyle name="Normal 4 2 2 4 7 3 3" xfId="23257" xr:uid="{25307509-F91F-4DB7-A429-4F6FD833B492}"/>
    <cellStyle name="Normal 4 2 2 4 7 4" xfId="10602" xr:uid="{AD63C8EA-D9D2-4FE0-9D55-E6B9DD10E3DD}"/>
    <cellStyle name="Normal 4 2 2 4 7 5" xfId="19040" xr:uid="{9A92CDDC-7077-4147-8DB5-F9DFDFBBFA89}"/>
    <cellStyle name="Normal 4 2 2 4 8" xfId="2507" xr:uid="{00000000-0005-0000-0000-0000DF120000}"/>
    <cellStyle name="Normal 4 2 2 4 8 2" xfId="6791" xr:uid="{00000000-0005-0000-0000-0000E0120000}"/>
    <cellStyle name="Normal 4 2 2 4 8 2 2" xfId="15233" xr:uid="{5F6FEC28-B863-4AE8-A072-242E21CEFDB7}"/>
    <cellStyle name="Normal 4 2 2 4 8 2 3" xfId="23670" xr:uid="{C9176904-E202-4E9A-8D4B-9B279652460B}"/>
    <cellStyle name="Normal 4 2 2 4 8 3" xfId="11015" xr:uid="{1F560B48-BE92-4D3B-B9EA-4A855CB11B75}"/>
    <cellStyle name="Normal 4 2 2 4 8 4" xfId="19453" xr:uid="{EFE2A115-8A8D-4068-BFCC-D2CFA223529C}"/>
    <cellStyle name="Normal 4 2 2 4 9" xfId="4726" xr:uid="{00000000-0005-0000-0000-0000E1120000}"/>
    <cellStyle name="Normal 4 2 2 4 9 2" xfId="13168" xr:uid="{000AEF1F-EABA-4436-913B-2B7191B9B649}"/>
    <cellStyle name="Normal 4 2 2 4 9 3" xfId="21605" xr:uid="{43FA96D2-7224-433D-85C1-9F0E2D4A1F6F}"/>
    <cellStyle name="Normal 4 2 2 5" xfId="351" xr:uid="{00000000-0005-0000-0000-0000E2120000}"/>
    <cellStyle name="Normal 4 2 2 5 10" xfId="17392" xr:uid="{883FB699-A9E5-4FAD-A16B-059C7F07A477}"/>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4D7D61CE-94F4-4CEA-A0D8-ED853A1CAA83}"/>
    <cellStyle name="Normal 4 2 2 5 2 2 2 2 3" xfId="24168" xr:uid="{FD5FBFD7-BD05-4D07-A284-FCC095F2C947}"/>
    <cellStyle name="Normal 4 2 2 5 2 2 2 3" xfId="11513" xr:uid="{7C8A4D88-567C-4594-AA81-98A931B723E5}"/>
    <cellStyle name="Normal 4 2 2 5 2 2 2 4" xfId="19951" xr:uid="{920976B0-C508-416F-9D1D-CF7B12A89240}"/>
    <cellStyle name="Normal 4 2 2 5 2 2 3" xfId="5144" xr:uid="{00000000-0005-0000-0000-0000E7120000}"/>
    <cellStyle name="Normal 4 2 2 5 2 2 3 2" xfId="13586" xr:uid="{729E548B-8BFE-4703-962D-A4B183000FD0}"/>
    <cellStyle name="Normal 4 2 2 5 2 2 3 3" xfId="22023" xr:uid="{0AECDCB7-259B-4733-8C5E-B8638BF9C8A0}"/>
    <cellStyle name="Normal 4 2 2 5 2 2 4" xfId="9368" xr:uid="{3B734557-C83C-40B2-BC37-90429672A25F}"/>
    <cellStyle name="Normal 4 2 2 5 2 2 5" xfId="17806" xr:uid="{D7FFF715-E85C-4C3B-9B45-702A8234B624}"/>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BA0EEE55-FE66-41B3-812E-14C142DFA9B1}"/>
    <cellStyle name="Normal 4 2 2 5 2 3 2 2 3" xfId="24581" xr:uid="{7F6A4CEF-5968-46F7-80D8-408A29EDFA45}"/>
    <cellStyle name="Normal 4 2 2 5 2 3 2 3" xfId="11926" xr:uid="{E03F4C52-812D-470D-8BDF-71D25702ACF3}"/>
    <cellStyle name="Normal 4 2 2 5 2 3 2 4" xfId="20364" xr:uid="{0A3BB4A2-E204-4F5F-8B93-AFC755F05F0D}"/>
    <cellStyle name="Normal 4 2 2 5 2 3 3" xfId="5557" xr:uid="{00000000-0005-0000-0000-0000EB120000}"/>
    <cellStyle name="Normal 4 2 2 5 2 3 3 2" xfId="13999" xr:uid="{B6E60455-018D-423A-ABBA-87EE67520DF3}"/>
    <cellStyle name="Normal 4 2 2 5 2 3 3 3" xfId="22436" xr:uid="{F9693132-4E36-46E5-98C0-1027B9EDA596}"/>
    <cellStyle name="Normal 4 2 2 5 2 3 4" xfId="9781" xr:uid="{2AB00550-7BA3-4EBA-BD6C-FDE512F970DB}"/>
    <cellStyle name="Normal 4 2 2 5 2 3 5" xfId="18219" xr:uid="{C599A1D8-3297-42E3-B82F-3500AE64DB34}"/>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69BF345B-CD78-4A9A-B253-39A0A4237D3B}"/>
    <cellStyle name="Normal 4 2 2 5 2 4 2 2 3" xfId="24994" xr:uid="{69C21CFC-F621-46DA-A0AF-082DB899EA8F}"/>
    <cellStyle name="Normal 4 2 2 5 2 4 2 3" xfId="12339" xr:uid="{2221AAEF-3042-4A5B-AB23-842CF9E59955}"/>
    <cellStyle name="Normal 4 2 2 5 2 4 2 4" xfId="20777" xr:uid="{DDC4C131-802E-4B01-B948-A41A21841E3F}"/>
    <cellStyle name="Normal 4 2 2 5 2 4 3" xfId="5970" xr:uid="{00000000-0005-0000-0000-0000EF120000}"/>
    <cellStyle name="Normal 4 2 2 5 2 4 3 2" xfId="14412" xr:uid="{173CF6C3-708E-4087-899A-521815031809}"/>
    <cellStyle name="Normal 4 2 2 5 2 4 3 3" xfId="22849" xr:uid="{65A12C08-3C10-448E-8175-DC32C9FB30DC}"/>
    <cellStyle name="Normal 4 2 2 5 2 4 4" xfId="10194" xr:uid="{986877C2-D730-4D00-9B47-8D6ADA1D4F29}"/>
    <cellStyle name="Normal 4 2 2 5 2 4 5" xfId="18632" xr:uid="{E30C6BB5-7B16-4DBB-A18D-155E3C1F519D}"/>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697781CB-19CC-430B-B6DF-A43912821B0B}"/>
    <cellStyle name="Normal 4 2 2 5 2 5 2 2 3" xfId="25407" xr:uid="{1216C405-A721-4C4F-B7DB-615CE2E9EB4A}"/>
    <cellStyle name="Normal 4 2 2 5 2 5 2 3" xfId="12752" xr:uid="{B4295726-381F-4839-9FA0-04D4F8669228}"/>
    <cellStyle name="Normal 4 2 2 5 2 5 2 4" xfId="21190" xr:uid="{5D5B7AD1-8F30-4054-BE6F-27DD604B0599}"/>
    <cellStyle name="Normal 4 2 2 5 2 5 3" xfId="6383" xr:uid="{00000000-0005-0000-0000-0000F3120000}"/>
    <cellStyle name="Normal 4 2 2 5 2 5 3 2" xfId="14825" xr:uid="{363AEF92-79C1-4441-8ECC-5AC8AB9632A0}"/>
    <cellStyle name="Normal 4 2 2 5 2 5 3 3" xfId="23262" xr:uid="{132DD581-A73A-4E0E-A240-91646B57B625}"/>
    <cellStyle name="Normal 4 2 2 5 2 5 4" xfId="10607" xr:uid="{CB1D887E-9D08-4046-A20D-6BF937FFB6E5}"/>
    <cellStyle name="Normal 4 2 2 5 2 5 5" xfId="19045" xr:uid="{2C9ED11A-0146-498E-9485-01DFF0A13D0F}"/>
    <cellStyle name="Normal 4 2 2 5 2 6" xfId="2512" xr:uid="{00000000-0005-0000-0000-0000F4120000}"/>
    <cellStyle name="Normal 4 2 2 5 2 6 2" xfId="6796" xr:uid="{00000000-0005-0000-0000-0000F5120000}"/>
    <cellStyle name="Normal 4 2 2 5 2 6 2 2" xfId="15238" xr:uid="{A28EB020-55CA-4ADD-AFCC-D1C012DA15A5}"/>
    <cellStyle name="Normal 4 2 2 5 2 6 2 3" xfId="23675" xr:uid="{19B08E41-6A77-42AD-AE5A-26D4A3C8BB94}"/>
    <cellStyle name="Normal 4 2 2 5 2 6 3" xfId="11020" xr:uid="{959F957B-034B-4A1A-98E4-2F6B89D3D941}"/>
    <cellStyle name="Normal 4 2 2 5 2 6 4" xfId="19458" xr:uid="{B677ACAB-AE7A-4822-917E-48BC6C8A6BA7}"/>
    <cellStyle name="Normal 4 2 2 5 2 7" xfId="4731" xr:uid="{00000000-0005-0000-0000-0000F6120000}"/>
    <cellStyle name="Normal 4 2 2 5 2 7 2" xfId="13173" xr:uid="{2C81BBB8-1DE1-49F5-9CB1-C67173667001}"/>
    <cellStyle name="Normal 4 2 2 5 2 7 3" xfId="21610" xr:uid="{B7165CFA-9F08-44DF-87C7-B75621490066}"/>
    <cellStyle name="Normal 4 2 2 5 2 8" xfId="8955" xr:uid="{F32AB983-C0BD-4441-91F8-DB724C45F4CC}"/>
    <cellStyle name="Normal 4 2 2 5 2 9" xfId="17393" xr:uid="{6309150A-2476-49BC-8A0E-9902C21D711E}"/>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32228331-D952-4D32-A216-8FD586D76EB7}"/>
    <cellStyle name="Normal 4 2 2 5 3 2 2 3" xfId="24167" xr:uid="{0A66A158-1033-4A8C-9712-B73DA38D086E}"/>
    <cellStyle name="Normal 4 2 2 5 3 2 3" xfId="11512" xr:uid="{2E68480A-D243-449E-AB56-6BE8A9A10DE3}"/>
    <cellStyle name="Normal 4 2 2 5 3 2 4" xfId="19950" xr:uid="{A7804D97-373C-4B29-B12C-B8F90740051D}"/>
    <cellStyle name="Normal 4 2 2 5 3 3" xfId="5143" xr:uid="{00000000-0005-0000-0000-0000FA120000}"/>
    <cellStyle name="Normal 4 2 2 5 3 3 2" xfId="13585" xr:uid="{91F92C48-4CA6-4ACE-8C74-139C91EC7B47}"/>
    <cellStyle name="Normal 4 2 2 5 3 3 3" xfId="22022" xr:uid="{CC501B30-68A1-4841-ABC6-31225A97731B}"/>
    <cellStyle name="Normal 4 2 2 5 3 4" xfId="9367" xr:uid="{DA3030A1-F68A-4D74-9506-5CFFBF4871AE}"/>
    <cellStyle name="Normal 4 2 2 5 3 5" xfId="17805" xr:uid="{E11DB85E-0214-4776-B39D-BD817CEE46BA}"/>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5D598A09-2B9C-4426-BB4B-E068898AAE03}"/>
    <cellStyle name="Normal 4 2 2 5 4 2 2 3" xfId="24580" xr:uid="{7570C6A7-7A93-4BE0-81BA-52C5DF000BE6}"/>
    <cellStyle name="Normal 4 2 2 5 4 2 3" xfId="11925" xr:uid="{74DEE388-3CB0-414F-8379-B295E5565173}"/>
    <cellStyle name="Normal 4 2 2 5 4 2 4" xfId="20363" xr:uid="{79873567-6FB2-4467-B05C-BF9E5BC4B5A9}"/>
    <cellStyle name="Normal 4 2 2 5 4 3" xfId="5556" xr:uid="{00000000-0005-0000-0000-0000FE120000}"/>
    <cellStyle name="Normal 4 2 2 5 4 3 2" xfId="13998" xr:uid="{541C98FF-5560-464E-8B71-22B9A3F2C13F}"/>
    <cellStyle name="Normal 4 2 2 5 4 3 3" xfId="22435" xr:uid="{F1C6DDC9-6345-46D3-A2D5-0D12E39AC62F}"/>
    <cellStyle name="Normal 4 2 2 5 4 4" xfId="9780" xr:uid="{F61BFAEB-4CA1-4D23-A25D-0E0EB5F082AF}"/>
    <cellStyle name="Normal 4 2 2 5 4 5" xfId="18218" xr:uid="{DB31B7FB-B8F1-4063-8328-22A0E3353700}"/>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557E096D-80A6-47C4-8344-C9C0D6CD24F4}"/>
    <cellStyle name="Normal 4 2 2 5 5 2 2 3" xfId="24993" xr:uid="{C9EE7EB7-B11E-4214-AD6A-1367CC791A0C}"/>
    <cellStyle name="Normal 4 2 2 5 5 2 3" xfId="12338" xr:uid="{E5B1B634-B747-42FE-9E5D-4CCDEEB0FE1E}"/>
    <cellStyle name="Normal 4 2 2 5 5 2 4" xfId="20776" xr:uid="{8AE0EDCE-177C-4A68-9368-078D42531166}"/>
    <cellStyle name="Normal 4 2 2 5 5 3" xfId="5969" xr:uid="{00000000-0005-0000-0000-000002130000}"/>
    <cellStyle name="Normal 4 2 2 5 5 3 2" xfId="14411" xr:uid="{832DEDCB-3B5A-4939-9872-DE8181A2357C}"/>
    <cellStyle name="Normal 4 2 2 5 5 3 3" xfId="22848" xr:uid="{17BBCE2C-042E-47BF-911C-3163C00C69E6}"/>
    <cellStyle name="Normal 4 2 2 5 5 4" xfId="10193" xr:uid="{63287D61-496C-4722-881C-5E6E77F87370}"/>
    <cellStyle name="Normal 4 2 2 5 5 5" xfId="18631" xr:uid="{DC9B4C36-48D3-475B-B83F-037D074A3260}"/>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99CA198B-F22B-438D-80B4-AE2DD5F7D5BB}"/>
    <cellStyle name="Normal 4 2 2 5 6 2 2 3" xfId="25406" xr:uid="{6AACDB03-01A6-4E27-8EED-5331893E5098}"/>
    <cellStyle name="Normal 4 2 2 5 6 2 3" xfId="12751" xr:uid="{193A0185-E2BF-4ECD-9BC4-05CE31E72851}"/>
    <cellStyle name="Normal 4 2 2 5 6 2 4" xfId="21189" xr:uid="{7565361D-78FF-4DF1-A9DC-69F65F1A5B3C}"/>
    <cellStyle name="Normal 4 2 2 5 6 3" xfId="6382" xr:uid="{00000000-0005-0000-0000-000006130000}"/>
    <cellStyle name="Normal 4 2 2 5 6 3 2" xfId="14824" xr:uid="{5832CE0F-6C8B-4504-A677-675ACDE26C0B}"/>
    <cellStyle name="Normal 4 2 2 5 6 3 3" xfId="23261" xr:uid="{7F4162C3-A91D-483E-BA1E-0759FE9A871E}"/>
    <cellStyle name="Normal 4 2 2 5 6 4" xfId="10606" xr:uid="{8AFEA38C-9EFD-4A52-89A4-2036293530EA}"/>
    <cellStyle name="Normal 4 2 2 5 6 5" xfId="19044" xr:uid="{43FC7F34-EEE7-4D5F-87EC-6D38AD3B0B1C}"/>
    <cellStyle name="Normal 4 2 2 5 7" xfId="2511" xr:uid="{00000000-0005-0000-0000-000007130000}"/>
    <cellStyle name="Normal 4 2 2 5 7 2" xfId="6795" xr:uid="{00000000-0005-0000-0000-000008130000}"/>
    <cellStyle name="Normal 4 2 2 5 7 2 2" xfId="15237" xr:uid="{E9849FE3-FA88-46AE-8A67-141EB6D2001D}"/>
    <cellStyle name="Normal 4 2 2 5 7 2 3" xfId="23674" xr:uid="{B6193997-BDE8-417C-994D-26D0CCC067F9}"/>
    <cellStyle name="Normal 4 2 2 5 7 3" xfId="11019" xr:uid="{2B379C7F-5934-4079-AC50-3790102C102E}"/>
    <cellStyle name="Normal 4 2 2 5 7 4" xfId="19457" xr:uid="{67CF6C14-1061-4AA1-B363-C062D191A644}"/>
    <cellStyle name="Normal 4 2 2 5 8" xfId="4730" xr:uid="{00000000-0005-0000-0000-000009130000}"/>
    <cellStyle name="Normal 4 2 2 5 8 2" xfId="13172" xr:uid="{10D77816-EF61-44ED-BA28-C9561A5DE348}"/>
    <cellStyle name="Normal 4 2 2 5 8 3" xfId="21609" xr:uid="{544D8766-7F32-49D2-A568-31E1B0EBA225}"/>
    <cellStyle name="Normal 4 2 2 5 9" xfId="8954" xr:uid="{42E3C5F2-F0E8-40DB-BFB1-BAED847A0F6E}"/>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C4CEA638-A946-4364-AA64-F4F7C3FD1A69}"/>
    <cellStyle name="Normal 4 2 2 6 2 2 2 3" xfId="24169" xr:uid="{BECB7C92-2C61-4F36-95E0-6625B5DC4D96}"/>
    <cellStyle name="Normal 4 2 2 6 2 2 3" xfId="11514" xr:uid="{7314456D-2DC7-4DBC-A0CA-F20D3EAF0B21}"/>
    <cellStyle name="Normal 4 2 2 6 2 2 4" xfId="19952" xr:uid="{8C7EBC8D-0B81-452E-BD10-29DE9289E14E}"/>
    <cellStyle name="Normal 4 2 2 6 2 3" xfId="5145" xr:uid="{00000000-0005-0000-0000-00000E130000}"/>
    <cellStyle name="Normal 4 2 2 6 2 3 2" xfId="13587" xr:uid="{86718152-BB1E-4BFB-90D3-92224C6B1701}"/>
    <cellStyle name="Normal 4 2 2 6 2 3 3" xfId="22024" xr:uid="{9097ED6E-FE23-499E-B869-CE93AB10A4A8}"/>
    <cellStyle name="Normal 4 2 2 6 2 4" xfId="9369" xr:uid="{39A8950B-1575-41C9-B6BE-14E7739CAA9C}"/>
    <cellStyle name="Normal 4 2 2 6 2 5" xfId="17807" xr:uid="{3E36FD14-FF05-400A-9E5F-DD9E18117020}"/>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D1A1F2DE-A0C1-4FA0-9F7E-53175E92DD32}"/>
    <cellStyle name="Normal 4 2 2 6 3 2 2 3" xfId="24582" xr:uid="{07D50E7E-0511-4407-BAA7-925926A14BFA}"/>
    <cellStyle name="Normal 4 2 2 6 3 2 3" xfId="11927" xr:uid="{E10062F5-DF39-4E46-8E07-18915627F273}"/>
    <cellStyle name="Normal 4 2 2 6 3 2 4" xfId="20365" xr:uid="{1719BD8D-311D-4D2C-A233-4EB4AC07588A}"/>
    <cellStyle name="Normal 4 2 2 6 3 3" xfId="5558" xr:uid="{00000000-0005-0000-0000-000012130000}"/>
    <cellStyle name="Normal 4 2 2 6 3 3 2" xfId="14000" xr:uid="{86D4DD84-4CA0-487C-8E68-EACA80B5C16B}"/>
    <cellStyle name="Normal 4 2 2 6 3 3 3" xfId="22437" xr:uid="{002744CA-0668-479F-95B8-BF8C7602A6E6}"/>
    <cellStyle name="Normal 4 2 2 6 3 4" xfId="9782" xr:uid="{ED519D48-D5FA-4D6C-BA22-5014E288EB8E}"/>
    <cellStyle name="Normal 4 2 2 6 3 5" xfId="18220" xr:uid="{7B5DF35D-39BC-472D-9F1A-2D7F661A9C30}"/>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20739D37-8DB5-4B47-B6CE-E4980F2A966E}"/>
    <cellStyle name="Normal 4 2 2 6 4 2 2 3" xfId="24995" xr:uid="{50B23AAB-3812-4C33-8EBA-4FCA1EDC7231}"/>
    <cellStyle name="Normal 4 2 2 6 4 2 3" xfId="12340" xr:uid="{5D910D04-6D87-4F25-8805-577808239C3E}"/>
    <cellStyle name="Normal 4 2 2 6 4 2 4" xfId="20778" xr:uid="{A14E9C17-349D-45D6-AEF1-1B6CBC8A7641}"/>
    <cellStyle name="Normal 4 2 2 6 4 3" xfId="5971" xr:uid="{00000000-0005-0000-0000-000016130000}"/>
    <cellStyle name="Normal 4 2 2 6 4 3 2" xfId="14413" xr:uid="{C8ED8080-DE5F-4A7F-B669-4C9E5CBE479C}"/>
    <cellStyle name="Normal 4 2 2 6 4 3 3" xfId="22850" xr:uid="{C73398A6-8482-48FE-AAF1-F1330593A1B7}"/>
    <cellStyle name="Normal 4 2 2 6 4 4" xfId="10195" xr:uid="{0106E8CA-4795-4540-B8F8-F72D025D8167}"/>
    <cellStyle name="Normal 4 2 2 6 4 5" xfId="18633" xr:uid="{96294388-0401-4B3A-A036-E9EAC7E412D3}"/>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1AC6771C-98B7-4B36-B61E-BCAA7A5345AB}"/>
    <cellStyle name="Normal 4 2 2 6 5 2 2 3" xfId="25408" xr:uid="{BC935B40-8CB1-40CA-9424-ED362822A58E}"/>
    <cellStyle name="Normal 4 2 2 6 5 2 3" xfId="12753" xr:uid="{60F4E3DB-CB25-42F9-9AB6-B85BC58FB5C6}"/>
    <cellStyle name="Normal 4 2 2 6 5 2 4" xfId="21191" xr:uid="{8068A611-A760-46DC-A065-3C8FD48B9475}"/>
    <cellStyle name="Normal 4 2 2 6 5 3" xfId="6384" xr:uid="{00000000-0005-0000-0000-00001A130000}"/>
    <cellStyle name="Normal 4 2 2 6 5 3 2" xfId="14826" xr:uid="{208248FB-9223-4169-B1AB-F3B15A9D9239}"/>
    <cellStyle name="Normal 4 2 2 6 5 3 3" xfId="23263" xr:uid="{D428F986-006E-4F49-9149-25A3DFB2A366}"/>
    <cellStyle name="Normal 4 2 2 6 5 4" xfId="10608" xr:uid="{900F0122-BB4E-447C-9303-7C1AE6508DAE}"/>
    <cellStyle name="Normal 4 2 2 6 5 5" xfId="19046" xr:uid="{00B806EC-F521-43AB-A24D-FFD540FA42CD}"/>
    <cellStyle name="Normal 4 2 2 6 6" xfId="2513" xr:uid="{00000000-0005-0000-0000-00001B130000}"/>
    <cellStyle name="Normal 4 2 2 6 6 2" xfId="6797" xr:uid="{00000000-0005-0000-0000-00001C130000}"/>
    <cellStyle name="Normal 4 2 2 6 6 2 2" xfId="15239" xr:uid="{9E53BC0B-1411-4490-81C8-6FCF5A1FCAF1}"/>
    <cellStyle name="Normal 4 2 2 6 6 2 3" xfId="23676" xr:uid="{6FB775C0-A300-4FFD-BF19-281B428C963B}"/>
    <cellStyle name="Normal 4 2 2 6 6 3" xfId="11021" xr:uid="{D91720F6-780D-4FC8-A895-5A1EF9D3EA91}"/>
    <cellStyle name="Normal 4 2 2 6 6 4" xfId="19459" xr:uid="{77DA9D20-0362-486D-B75C-503DBAFA7705}"/>
    <cellStyle name="Normal 4 2 2 6 7" xfId="4732" xr:uid="{00000000-0005-0000-0000-00001D130000}"/>
    <cellStyle name="Normal 4 2 2 6 7 2" xfId="13174" xr:uid="{058EF387-8245-4097-BE3D-204C00C69DBD}"/>
    <cellStyle name="Normal 4 2 2 6 7 3" xfId="21611" xr:uid="{6C717004-872F-4D33-A537-BB344B8176E5}"/>
    <cellStyle name="Normal 4 2 2 6 8" xfId="8956" xr:uid="{D864E5AC-51F1-49DD-AA5C-6AF4095A2E4E}"/>
    <cellStyle name="Normal 4 2 2 6 9" xfId="17394" xr:uid="{19EB133E-E1CD-443E-AB40-186DF2767FB7}"/>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D2C4A54A-91E9-4ECF-8B33-2FFE6763BE80}"/>
    <cellStyle name="Normal 4 2 2 7 2 2 3" xfId="24154" xr:uid="{312137E7-EBE1-4EB1-B118-FC82DF9D4F05}"/>
    <cellStyle name="Normal 4 2 2 7 2 3" xfId="11499" xr:uid="{3238029D-DE94-4BB5-9365-46F41BEA602F}"/>
    <cellStyle name="Normal 4 2 2 7 2 4" xfId="19937" xr:uid="{D4AC6165-911F-4061-BF62-42AB45033AE0}"/>
    <cellStyle name="Normal 4 2 2 7 3" xfId="5130" xr:uid="{00000000-0005-0000-0000-000021130000}"/>
    <cellStyle name="Normal 4 2 2 7 3 2" xfId="13572" xr:uid="{C88A88E7-7EC1-4247-97FE-BD2683D7D1EA}"/>
    <cellStyle name="Normal 4 2 2 7 3 3" xfId="22009" xr:uid="{D30C94AF-73EB-43DF-9D97-8515F86639D4}"/>
    <cellStyle name="Normal 4 2 2 7 4" xfId="9354" xr:uid="{E8B0888D-DF5A-49D4-B95F-5DE1A1461559}"/>
    <cellStyle name="Normal 4 2 2 7 5" xfId="17792" xr:uid="{4C54399A-B050-4DA6-877E-A0FCE9D5D5D6}"/>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6EFDD477-F345-47B8-8C5D-DE6A5F9D9BE4}"/>
    <cellStyle name="Normal 4 2 2 8 2 2 3" xfId="24567" xr:uid="{01847B55-7953-49C1-90A9-60B8718F3270}"/>
    <cellStyle name="Normal 4 2 2 8 2 3" xfId="11912" xr:uid="{8AC0FB40-B24D-4D1F-965D-2490D293BD08}"/>
    <cellStyle name="Normal 4 2 2 8 2 4" xfId="20350" xr:uid="{27A95315-6C20-448F-AF96-6C00ED70DFBA}"/>
    <cellStyle name="Normal 4 2 2 8 3" xfId="5543" xr:uid="{00000000-0005-0000-0000-000025130000}"/>
    <cellStyle name="Normal 4 2 2 8 3 2" xfId="13985" xr:uid="{A969A27F-1E59-4074-8276-D2A1ADDABC88}"/>
    <cellStyle name="Normal 4 2 2 8 3 3" xfId="22422" xr:uid="{69895DA9-CE5B-4988-A6B1-C8CA89391290}"/>
    <cellStyle name="Normal 4 2 2 8 4" xfId="9767" xr:uid="{A90D6354-D822-4E4C-8249-C2EFCE04373B}"/>
    <cellStyle name="Normal 4 2 2 8 5" xfId="18205" xr:uid="{BAD06FE2-3733-442C-9BFA-B09AAFAEF012}"/>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8AAAF0F0-D089-4D34-9C3F-D45E609A5BDE}"/>
    <cellStyle name="Normal 4 2 2 9 2 2 3" xfId="24980" xr:uid="{3FE71B7B-51E4-4591-AEAF-F781CC405E45}"/>
    <cellStyle name="Normal 4 2 2 9 2 3" xfId="12325" xr:uid="{E517E7D9-83BC-4987-957F-C97AE910C7F8}"/>
    <cellStyle name="Normal 4 2 2 9 2 4" xfId="20763" xr:uid="{D39AF247-8B4E-4C75-A1E9-8D31CA36750E}"/>
    <cellStyle name="Normal 4 2 2 9 3" xfId="5956" xr:uid="{00000000-0005-0000-0000-000029130000}"/>
    <cellStyle name="Normal 4 2 2 9 3 2" xfId="14398" xr:uid="{F6341ACE-00D2-4812-96AD-C414DE332280}"/>
    <cellStyle name="Normal 4 2 2 9 3 3" xfId="22835" xr:uid="{27D5FBFF-B32C-4683-883B-CD8488E65FBF}"/>
    <cellStyle name="Normal 4 2 2 9 4" xfId="10180" xr:uid="{02424746-5EAE-4036-B3F5-094EFF58E332}"/>
    <cellStyle name="Normal 4 2 2 9 5" xfId="18618" xr:uid="{B4707798-9DDF-4630-949F-C1B88E236E1B}"/>
    <cellStyle name="Normal 4 2 3" xfId="354" xr:uid="{00000000-0005-0000-0000-00002A130000}"/>
    <cellStyle name="Normal 4 2 4" xfId="355" xr:uid="{00000000-0005-0000-0000-00002B130000}"/>
    <cellStyle name="Normal 4 2 4 10" xfId="4733" xr:uid="{00000000-0005-0000-0000-00002C130000}"/>
    <cellStyle name="Normal 4 2 4 10 2" xfId="13175" xr:uid="{33CAE443-0C53-4921-B4B5-21A4622073CF}"/>
    <cellStyle name="Normal 4 2 4 10 3" xfId="21612" xr:uid="{40CC7E1E-A1CA-45E1-B4EF-5C72CBE12F1C}"/>
    <cellStyle name="Normal 4 2 4 11" xfId="8957" xr:uid="{AD262AFE-FC3B-4961-9972-DC6F3F752B94}"/>
    <cellStyle name="Normal 4 2 4 12" xfId="17395" xr:uid="{CB42F233-68D3-410B-8994-63DEFAA3B419}"/>
    <cellStyle name="Normal 4 2 4 2" xfId="356" xr:uid="{00000000-0005-0000-0000-00002D130000}"/>
    <cellStyle name="Normal 4 2 4 2 10" xfId="8958" xr:uid="{9691E064-5F30-4DD4-B70C-66FF8AFE59E0}"/>
    <cellStyle name="Normal 4 2 4 2 11" xfId="17396" xr:uid="{A7D92732-F31F-4DF3-ACDC-F2C8E03F4552}"/>
    <cellStyle name="Normal 4 2 4 2 2" xfId="357" xr:uid="{00000000-0005-0000-0000-00002E130000}"/>
    <cellStyle name="Normal 4 2 4 2 2 10" xfId="17397" xr:uid="{F316ECEF-6E4A-4B18-AF7B-36FFB3F018CB}"/>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FBDB668B-6052-49D9-BA6F-F0E93847265C}"/>
    <cellStyle name="Normal 4 2 4 2 2 2 2 2 2 3" xfId="24173" xr:uid="{82C3E25A-B452-43E1-BC88-D73306B55410}"/>
    <cellStyle name="Normal 4 2 4 2 2 2 2 2 3" xfId="11518" xr:uid="{115DEA5F-E3FB-4E8D-890D-93720D52E91D}"/>
    <cellStyle name="Normal 4 2 4 2 2 2 2 2 4" xfId="19956" xr:uid="{8C5A3C4A-E596-4ABC-A136-894E734FB2B7}"/>
    <cellStyle name="Normal 4 2 4 2 2 2 2 3" xfId="5149" xr:uid="{00000000-0005-0000-0000-000033130000}"/>
    <cellStyle name="Normal 4 2 4 2 2 2 2 3 2" xfId="13591" xr:uid="{B22DF060-0E55-45EA-B78B-FED2B5F8D760}"/>
    <cellStyle name="Normal 4 2 4 2 2 2 2 3 3" xfId="22028" xr:uid="{7F9B2977-6E06-4ABA-8AC1-3BC67757E58E}"/>
    <cellStyle name="Normal 4 2 4 2 2 2 2 4" xfId="9373" xr:uid="{79F829E4-18B5-4366-B39E-0409A22C2666}"/>
    <cellStyle name="Normal 4 2 4 2 2 2 2 5" xfId="17811" xr:uid="{88DEEC33-BFE4-4BD2-8E46-371DCFA0C77F}"/>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1FA8F84E-0445-40C2-952A-BCD5FE6269A2}"/>
    <cellStyle name="Normal 4 2 4 2 2 2 3 2 2 3" xfId="24586" xr:uid="{CE603EC4-6C7E-4130-964C-4CA9E1C362A3}"/>
    <cellStyle name="Normal 4 2 4 2 2 2 3 2 3" xfId="11931" xr:uid="{D1444994-BB37-4E0D-92CE-8DEB208A2604}"/>
    <cellStyle name="Normal 4 2 4 2 2 2 3 2 4" xfId="20369" xr:uid="{B4998BAD-AB9A-443D-B0ED-F34FD989A011}"/>
    <cellStyle name="Normal 4 2 4 2 2 2 3 3" xfId="5562" xr:uid="{00000000-0005-0000-0000-000037130000}"/>
    <cellStyle name="Normal 4 2 4 2 2 2 3 3 2" xfId="14004" xr:uid="{08563BCF-0472-41E2-9FE2-9A41AD32CC2E}"/>
    <cellStyle name="Normal 4 2 4 2 2 2 3 3 3" xfId="22441" xr:uid="{4739DADF-A959-439A-9F8C-FE2F3AE75645}"/>
    <cellStyle name="Normal 4 2 4 2 2 2 3 4" xfId="9786" xr:uid="{15A62087-B8C0-4C46-90C9-E79186E1B86E}"/>
    <cellStyle name="Normal 4 2 4 2 2 2 3 5" xfId="18224" xr:uid="{4BBAA38F-65D4-4A7D-8C2D-84CB4E263007}"/>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7434D478-60A2-4B9A-A053-E3942B523BF1}"/>
    <cellStyle name="Normal 4 2 4 2 2 2 4 2 2 3" xfId="24999" xr:uid="{10F04886-B21D-4A38-861B-9C3A6BCF6BCC}"/>
    <cellStyle name="Normal 4 2 4 2 2 2 4 2 3" xfId="12344" xr:uid="{3229B70D-20AF-402A-8077-6CF91A9281DD}"/>
    <cellStyle name="Normal 4 2 4 2 2 2 4 2 4" xfId="20782" xr:uid="{AE9DD2CB-A733-4504-9576-2DC955865B1A}"/>
    <cellStyle name="Normal 4 2 4 2 2 2 4 3" xfId="5975" xr:uid="{00000000-0005-0000-0000-00003B130000}"/>
    <cellStyle name="Normal 4 2 4 2 2 2 4 3 2" xfId="14417" xr:uid="{55D7D3B5-E40A-41A1-B508-24FFAE50D12D}"/>
    <cellStyle name="Normal 4 2 4 2 2 2 4 3 3" xfId="22854" xr:uid="{C06A0C65-A076-4DEE-A30A-67FC92B8F3F6}"/>
    <cellStyle name="Normal 4 2 4 2 2 2 4 4" xfId="10199" xr:uid="{3E682359-0151-45E5-8ACE-2D2D2C646AE2}"/>
    <cellStyle name="Normal 4 2 4 2 2 2 4 5" xfId="18637" xr:uid="{7A26F3BA-4524-4F9E-87D5-B2C5BD6C5914}"/>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4C937ABF-6A51-4132-955C-31B736F33C96}"/>
    <cellStyle name="Normal 4 2 4 2 2 2 5 2 2 3" xfId="25412" xr:uid="{C5D6FBCD-34D2-410D-A1EC-6A43343E7239}"/>
    <cellStyle name="Normal 4 2 4 2 2 2 5 2 3" xfId="12757" xr:uid="{C6ADCCCE-6BA9-412D-8ED7-A438738A378C}"/>
    <cellStyle name="Normal 4 2 4 2 2 2 5 2 4" xfId="21195" xr:uid="{409EB133-434E-4228-87D1-19A72B3D111A}"/>
    <cellStyle name="Normal 4 2 4 2 2 2 5 3" xfId="6388" xr:uid="{00000000-0005-0000-0000-00003F130000}"/>
    <cellStyle name="Normal 4 2 4 2 2 2 5 3 2" xfId="14830" xr:uid="{AD45EAF4-EAD2-462C-B866-19C35AE80457}"/>
    <cellStyle name="Normal 4 2 4 2 2 2 5 3 3" xfId="23267" xr:uid="{88771978-EE91-43E6-BD10-52BD945150B7}"/>
    <cellStyle name="Normal 4 2 4 2 2 2 5 4" xfId="10612" xr:uid="{F21E7E05-4E39-480A-975D-5868DA067F98}"/>
    <cellStyle name="Normal 4 2 4 2 2 2 5 5" xfId="19050" xr:uid="{F5C4E355-7C85-4103-9ECB-3854DC89F5E6}"/>
    <cellStyle name="Normal 4 2 4 2 2 2 6" xfId="2517" xr:uid="{00000000-0005-0000-0000-000040130000}"/>
    <cellStyle name="Normal 4 2 4 2 2 2 6 2" xfId="6801" xr:uid="{00000000-0005-0000-0000-000041130000}"/>
    <cellStyle name="Normal 4 2 4 2 2 2 6 2 2" xfId="15243" xr:uid="{4DE1523B-C89F-45C4-8919-A79A27E3EDB1}"/>
    <cellStyle name="Normal 4 2 4 2 2 2 6 2 3" xfId="23680" xr:uid="{271023E9-9A3D-4A48-B266-C4709C482777}"/>
    <cellStyle name="Normal 4 2 4 2 2 2 6 3" xfId="11025" xr:uid="{FF9A4771-B118-4653-9E3B-3E26158E3898}"/>
    <cellStyle name="Normal 4 2 4 2 2 2 6 4" xfId="19463" xr:uid="{3D4E374D-CACE-436B-98BE-7EAE509525E3}"/>
    <cellStyle name="Normal 4 2 4 2 2 2 7" xfId="4736" xr:uid="{00000000-0005-0000-0000-000042130000}"/>
    <cellStyle name="Normal 4 2 4 2 2 2 7 2" xfId="13178" xr:uid="{1898B0F6-A7F6-45A3-A2F6-FE34850EBBE4}"/>
    <cellStyle name="Normal 4 2 4 2 2 2 7 3" xfId="21615" xr:uid="{FFF9C6D1-80B3-4E8B-8FCE-8E25DDF934F3}"/>
    <cellStyle name="Normal 4 2 4 2 2 2 8" xfId="8960" xr:uid="{490825CD-8F7A-4183-9A2B-00F0774AEF59}"/>
    <cellStyle name="Normal 4 2 4 2 2 2 9" xfId="17398" xr:uid="{2DDF51AB-BADF-4FA6-A0B8-A4DB09697B71}"/>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06F11E17-6B8E-4463-9BA4-F2C88FDCA346}"/>
    <cellStyle name="Normal 4 2 4 2 2 3 2 2 3" xfId="24172" xr:uid="{589D1FA7-D5AE-48DB-B182-9B9A76756D8E}"/>
    <cellStyle name="Normal 4 2 4 2 2 3 2 3" xfId="11517" xr:uid="{A2E8CCBC-AF78-4E64-A90E-680001DEA8F7}"/>
    <cellStyle name="Normal 4 2 4 2 2 3 2 4" xfId="19955" xr:uid="{EBB57503-E4BE-4257-BEFC-D12998085667}"/>
    <cellStyle name="Normal 4 2 4 2 2 3 3" xfId="5148" xr:uid="{00000000-0005-0000-0000-000046130000}"/>
    <cellStyle name="Normal 4 2 4 2 2 3 3 2" xfId="13590" xr:uid="{BAEEC21A-9CA3-4820-9136-014BD5CC85D1}"/>
    <cellStyle name="Normal 4 2 4 2 2 3 3 3" xfId="22027" xr:uid="{876EFB15-9C9C-4B06-86EF-06A868FB0976}"/>
    <cellStyle name="Normal 4 2 4 2 2 3 4" xfId="9372" xr:uid="{29839EC0-9699-4E44-9B68-263EA6FC3DCA}"/>
    <cellStyle name="Normal 4 2 4 2 2 3 5" xfId="17810" xr:uid="{DC3F98E0-D6C2-4B60-BBED-E6F7531B89ED}"/>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AC029072-580E-453C-9365-003E5EBD2D67}"/>
    <cellStyle name="Normal 4 2 4 2 2 4 2 2 3" xfId="24585" xr:uid="{04D07800-BF6F-4B47-ADFA-F6966CCC7343}"/>
    <cellStyle name="Normal 4 2 4 2 2 4 2 3" xfId="11930" xr:uid="{037503E5-FBF8-498F-BCD1-246ED254B56B}"/>
    <cellStyle name="Normal 4 2 4 2 2 4 2 4" xfId="20368" xr:uid="{49EA285F-0216-43F2-9190-E1136512889C}"/>
    <cellStyle name="Normal 4 2 4 2 2 4 3" xfId="5561" xr:uid="{00000000-0005-0000-0000-00004A130000}"/>
    <cellStyle name="Normal 4 2 4 2 2 4 3 2" xfId="14003" xr:uid="{4E118B65-3F0E-4DA5-879A-FB5D8A9AEE6E}"/>
    <cellStyle name="Normal 4 2 4 2 2 4 3 3" xfId="22440" xr:uid="{F2C4730A-DDBF-4128-B112-0F8CFAB5EC33}"/>
    <cellStyle name="Normal 4 2 4 2 2 4 4" xfId="9785" xr:uid="{690EE36D-1CCF-4D0F-8C8E-33A2041281C4}"/>
    <cellStyle name="Normal 4 2 4 2 2 4 5" xfId="18223" xr:uid="{B56E8699-1D5C-420A-B96C-57F98052DED3}"/>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DFF4EF41-9A1E-4F2E-B939-1F791BF9ECEA}"/>
    <cellStyle name="Normal 4 2 4 2 2 5 2 2 3" xfId="24998" xr:uid="{3A950D7A-94D3-488D-8AFA-34BA3AEA41F1}"/>
    <cellStyle name="Normal 4 2 4 2 2 5 2 3" xfId="12343" xr:uid="{E4669B79-0511-4781-9B06-68CE5387E799}"/>
    <cellStyle name="Normal 4 2 4 2 2 5 2 4" xfId="20781" xr:uid="{2FCEEA87-06B0-404D-81A3-7B740E0F43FE}"/>
    <cellStyle name="Normal 4 2 4 2 2 5 3" xfId="5974" xr:uid="{00000000-0005-0000-0000-00004E130000}"/>
    <cellStyle name="Normal 4 2 4 2 2 5 3 2" xfId="14416" xr:uid="{542B27A5-875D-4DF2-989B-AF49307BE3DD}"/>
    <cellStyle name="Normal 4 2 4 2 2 5 3 3" xfId="22853" xr:uid="{0CEB09A8-BA33-43BF-8BDE-E29A6A114539}"/>
    <cellStyle name="Normal 4 2 4 2 2 5 4" xfId="10198" xr:uid="{DB26C94E-E034-4B01-8C80-AEDD7E25B054}"/>
    <cellStyle name="Normal 4 2 4 2 2 5 5" xfId="18636" xr:uid="{FD98E37C-11C8-4014-9B5B-1F5E87537D7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095EA348-706F-4587-872B-822939901C10}"/>
    <cellStyle name="Normal 4 2 4 2 2 6 2 2 3" xfId="25411" xr:uid="{C4623144-9F8E-448B-8AF6-A13B7513F028}"/>
    <cellStyle name="Normal 4 2 4 2 2 6 2 3" xfId="12756" xr:uid="{A5AE3069-52A1-4C6F-A6F1-90DABFF768F9}"/>
    <cellStyle name="Normal 4 2 4 2 2 6 2 4" xfId="21194" xr:uid="{51FCC652-C6A4-42E4-BAF5-92A4C10E44D7}"/>
    <cellStyle name="Normal 4 2 4 2 2 6 3" xfId="6387" xr:uid="{00000000-0005-0000-0000-000052130000}"/>
    <cellStyle name="Normal 4 2 4 2 2 6 3 2" xfId="14829" xr:uid="{4D6B3E52-F266-4EFB-994F-F6C95768D70F}"/>
    <cellStyle name="Normal 4 2 4 2 2 6 3 3" xfId="23266" xr:uid="{33204C62-0A45-4234-8F83-C8E5B3BEA62B}"/>
    <cellStyle name="Normal 4 2 4 2 2 6 4" xfId="10611" xr:uid="{7300307A-AD01-408D-BFB4-13D19BEE99E9}"/>
    <cellStyle name="Normal 4 2 4 2 2 6 5" xfId="19049" xr:uid="{95BFE0D2-B19A-443A-BE5C-A488AFE85316}"/>
    <cellStyle name="Normal 4 2 4 2 2 7" xfId="2516" xr:uid="{00000000-0005-0000-0000-000053130000}"/>
    <cellStyle name="Normal 4 2 4 2 2 7 2" xfId="6800" xr:uid="{00000000-0005-0000-0000-000054130000}"/>
    <cellStyle name="Normal 4 2 4 2 2 7 2 2" xfId="15242" xr:uid="{1739610F-359E-469C-88E5-DAB9B7AA2B40}"/>
    <cellStyle name="Normal 4 2 4 2 2 7 2 3" xfId="23679" xr:uid="{3B915C92-4DDC-423F-A8BC-B2437C689465}"/>
    <cellStyle name="Normal 4 2 4 2 2 7 3" xfId="11024" xr:uid="{0D6452BB-957C-430A-A443-A10EC2A1A3DA}"/>
    <cellStyle name="Normal 4 2 4 2 2 7 4" xfId="19462" xr:uid="{644B8608-3FB3-47E2-8229-DF7B18DB6D6A}"/>
    <cellStyle name="Normal 4 2 4 2 2 8" xfId="4735" xr:uid="{00000000-0005-0000-0000-000055130000}"/>
    <cellStyle name="Normal 4 2 4 2 2 8 2" xfId="13177" xr:uid="{C39F2AD9-3774-444E-A191-F57EB4CF63A3}"/>
    <cellStyle name="Normal 4 2 4 2 2 8 3" xfId="21614" xr:uid="{65C9D5C3-6A12-49B7-9662-B9B733743E17}"/>
    <cellStyle name="Normal 4 2 4 2 2 9" xfId="8959" xr:uid="{FC811AD9-FAC6-4591-BF4A-A9BF95DFBEC1}"/>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3B8FA028-8434-4340-B4BA-F2DCD31A8569}"/>
    <cellStyle name="Normal 4 2 4 2 3 2 2 2 3" xfId="24174" xr:uid="{C112E9C9-968D-4915-B9B3-F71808F1A27F}"/>
    <cellStyle name="Normal 4 2 4 2 3 2 2 3" xfId="11519" xr:uid="{8B3E7BD1-B2BA-4A2B-869D-5EA7E7B4E8FC}"/>
    <cellStyle name="Normal 4 2 4 2 3 2 2 4" xfId="19957" xr:uid="{7D497C1E-2B2A-4C42-BF30-99B286E5A1A1}"/>
    <cellStyle name="Normal 4 2 4 2 3 2 3" xfId="5150" xr:uid="{00000000-0005-0000-0000-00005A130000}"/>
    <cellStyle name="Normal 4 2 4 2 3 2 3 2" xfId="13592" xr:uid="{4FC16E82-3196-4DB5-9209-5C5B46ED4F84}"/>
    <cellStyle name="Normal 4 2 4 2 3 2 3 3" xfId="22029" xr:uid="{F7C7CA22-BAC6-44AA-9DCF-F7CC331C7DC6}"/>
    <cellStyle name="Normal 4 2 4 2 3 2 4" xfId="9374" xr:uid="{4A1C6F99-8648-4153-A2EF-AF27C1471A75}"/>
    <cellStyle name="Normal 4 2 4 2 3 2 5" xfId="17812" xr:uid="{E5B1695D-8AB0-4AC7-BD23-6335D36B70B6}"/>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EC773AA2-5DF6-472F-B129-5F1CAFF15AC7}"/>
    <cellStyle name="Normal 4 2 4 2 3 3 2 2 3" xfId="24587" xr:uid="{532C392E-B640-44FD-8EC8-3521C11E6C5D}"/>
    <cellStyle name="Normal 4 2 4 2 3 3 2 3" xfId="11932" xr:uid="{B5631720-8C80-4E74-894E-D514EAD73D4B}"/>
    <cellStyle name="Normal 4 2 4 2 3 3 2 4" xfId="20370" xr:uid="{53BA4C6B-FE51-4735-8DE0-2DC4F7841E13}"/>
    <cellStyle name="Normal 4 2 4 2 3 3 3" xfId="5563" xr:uid="{00000000-0005-0000-0000-00005E130000}"/>
    <cellStyle name="Normal 4 2 4 2 3 3 3 2" xfId="14005" xr:uid="{E291AE38-824D-43C0-8FE9-2362239360CC}"/>
    <cellStyle name="Normal 4 2 4 2 3 3 3 3" xfId="22442" xr:uid="{DCBF3012-EF10-4EF9-8568-B7D46D364922}"/>
    <cellStyle name="Normal 4 2 4 2 3 3 4" xfId="9787" xr:uid="{F933607B-39E7-473C-B312-1A62AA05AE00}"/>
    <cellStyle name="Normal 4 2 4 2 3 3 5" xfId="18225" xr:uid="{2E4A1698-8B99-49CC-B520-3B95468E11D6}"/>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A004B4F3-C292-4AB1-B420-34E51813088B}"/>
    <cellStyle name="Normal 4 2 4 2 3 4 2 2 3" xfId="25000" xr:uid="{42AACFB2-B1CD-4ABF-B329-5C03E7E16775}"/>
    <cellStyle name="Normal 4 2 4 2 3 4 2 3" xfId="12345" xr:uid="{2203F31C-F2F5-4E4C-B261-7BA117708FCA}"/>
    <cellStyle name="Normal 4 2 4 2 3 4 2 4" xfId="20783" xr:uid="{3A71E8BA-3C6B-4F19-8E98-538F59F19872}"/>
    <cellStyle name="Normal 4 2 4 2 3 4 3" xfId="5976" xr:uid="{00000000-0005-0000-0000-000062130000}"/>
    <cellStyle name="Normal 4 2 4 2 3 4 3 2" xfId="14418" xr:uid="{EC36AEF7-1ADE-4829-99A2-559E2C675B47}"/>
    <cellStyle name="Normal 4 2 4 2 3 4 3 3" xfId="22855" xr:uid="{31382778-A331-431F-AA50-AADD416F8CF4}"/>
    <cellStyle name="Normal 4 2 4 2 3 4 4" xfId="10200" xr:uid="{5B89711A-4BF7-496F-8A27-553515ACB053}"/>
    <cellStyle name="Normal 4 2 4 2 3 4 5" xfId="18638" xr:uid="{E5F8C4B8-A93A-448E-AFFD-8798960C7EEA}"/>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C15C6DB5-E97D-4C20-B890-2F0BC49BCE7C}"/>
    <cellStyle name="Normal 4 2 4 2 3 5 2 2 3" xfId="25413" xr:uid="{A0FC9B63-7E93-4458-AFD5-6DE910C2538D}"/>
    <cellStyle name="Normal 4 2 4 2 3 5 2 3" xfId="12758" xr:uid="{3FA4D0AF-6FB2-428D-B563-D1DF02732F94}"/>
    <cellStyle name="Normal 4 2 4 2 3 5 2 4" xfId="21196" xr:uid="{BDFF1D23-D3F1-4507-8AEE-C36760F86456}"/>
    <cellStyle name="Normal 4 2 4 2 3 5 3" xfId="6389" xr:uid="{00000000-0005-0000-0000-000066130000}"/>
    <cellStyle name="Normal 4 2 4 2 3 5 3 2" xfId="14831" xr:uid="{C951DDD0-1312-4CD3-AF94-C7AAE536F8CF}"/>
    <cellStyle name="Normal 4 2 4 2 3 5 3 3" xfId="23268" xr:uid="{A376F0BD-CA11-4634-89AD-4E11B3D41054}"/>
    <cellStyle name="Normal 4 2 4 2 3 5 4" xfId="10613" xr:uid="{1D2453D4-8E55-49D4-9BCF-3A4377CC768C}"/>
    <cellStyle name="Normal 4 2 4 2 3 5 5" xfId="19051" xr:uid="{DB6C4166-B48E-43CF-AC9B-1C4D8D208DD2}"/>
    <cellStyle name="Normal 4 2 4 2 3 6" xfId="2518" xr:uid="{00000000-0005-0000-0000-000067130000}"/>
    <cellStyle name="Normal 4 2 4 2 3 6 2" xfId="6802" xr:uid="{00000000-0005-0000-0000-000068130000}"/>
    <cellStyle name="Normal 4 2 4 2 3 6 2 2" xfId="15244" xr:uid="{90C20D95-33D8-427A-9935-CEA8C0CCD615}"/>
    <cellStyle name="Normal 4 2 4 2 3 6 2 3" xfId="23681" xr:uid="{2927A442-5116-45A9-AEEE-C495846403C1}"/>
    <cellStyle name="Normal 4 2 4 2 3 6 3" xfId="11026" xr:uid="{BCE9BDB3-09A8-4F7A-B22B-A5A4905405DE}"/>
    <cellStyle name="Normal 4 2 4 2 3 6 4" xfId="19464" xr:uid="{38810AC3-F47B-44B0-ADBA-23AA3B76ACF6}"/>
    <cellStyle name="Normal 4 2 4 2 3 7" xfId="4737" xr:uid="{00000000-0005-0000-0000-000069130000}"/>
    <cellStyle name="Normal 4 2 4 2 3 7 2" xfId="13179" xr:uid="{8ED408BE-B77A-41C7-8C24-22D85A3E200A}"/>
    <cellStyle name="Normal 4 2 4 2 3 7 3" xfId="21616" xr:uid="{E42CBE38-5967-43F5-BAB2-5F8949299FBF}"/>
    <cellStyle name="Normal 4 2 4 2 3 8" xfId="8961" xr:uid="{2AF74DD2-0973-4292-A606-974014D6624C}"/>
    <cellStyle name="Normal 4 2 4 2 3 9" xfId="17399" xr:uid="{BDB685CF-2BD4-4DE9-A9EE-E5F30E880B41}"/>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46851ADA-7F78-4FAA-A1CC-BF0517769AE1}"/>
    <cellStyle name="Normal 4 2 4 2 4 2 2 3" xfId="24171" xr:uid="{B57CE32C-A347-46F6-8826-90706F39E2A4}"/>
    <cellStyle name="Normal 4 2 4 2 4 2 3" xfId="11516" xr:uid="{05C01278-BD4E-4512-9CFD-E5AF44958775}"/>
    <cellStyle name="Normal 4 2 4 2 4 2 4" xfId="19954" xr:uid="{F4C9A9A2-962E-42C4-99F9-EEB45AFF74D2}"/>
    <cellStyle name="Normal 4 2 4 2 4 3" xfId="5147" xr:uid="{00000000-0005-0000-0000-00006D130000}"/>
    <cellStyle name="Normal 4 2 4 2 4 3 2" xfId="13589" xr:uid="{A5409B4D-3E4A-47F8-8EED-750AF7ED3860}"/>
    <cellStyle name="Normal 4 2 4 2 4 3 3" xfId="22026" xr:uid="{D15BFBE7-AD4A-410E-988E-5EC793210246}"/>
    <cellStyle name="Normal 4 2 4 2 4 4" xfId="9371" xr:uid="{760E1735-ACBF-486F-A3F9-3D4B13201963}"/>
    <cellStyle name="Normal 4 2 4 2 4 5" xfId="17809" xr:uid="{4AE8147F-3F79-4263-A170-B7E9EEA30EDE}"/>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E2D74C85-9493-4148-8DCC-4BA0FB027E77}"/>
    <cellStyle name="Normal 4 2 4 2 5 2 2 3" xfId="24584" xr:uid="{6F17601C-70AB-4181-A526-B7E63E212546}"/>
    <cellStyle name="Normal 4 2 4 2 5 2 3" xfId="11929" xr:uid="{53287F72-E758-4525-8E4A-613FB0430D1F}"/>
    <cellStyle name="Normal 4 2 4 2 5 2 4" xfId="20367" xr:uid="{61356A53-30A5-483F-8FC9-825C88EBB435}"/>
    <cellStyle name="Normal 4 2 4 2 5 3" xfId="5560" xr:uid="{00000000-0005-0000-0000-000071130000}"/>
    <cellStyle name="Normal 4 2 4 2 5 3 2" xfId="14002" xr:uid="{1D708091-2759-491D-ADC8-BB9AA2A4AF6C}"/>
    <cellStyle name="Normal 4 2 4 2 5 3 3" xfId="22439" xr:uid="{F72DCED3-0721-4A12-8BDD-59D013F7A114}"/>
    <cellStyle name="Normal 4 2 4 2 5 4" xfId="9784" xr:uid="{D44FA07A-F4A2-40E4-92D6-B2E5893D8B62}"/>
    <cellStyle name="Normal 4 2 4 2 5 5" xfId="18222" xr:uid="{2BDCF6EE-AEFF-4C6C-91C0-2D544370DE16}"/>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4E26E2AD-EE6B-4840-A4F5-F333F8B3DC06}"/>
    <cellStyle name="Normal 4 2 4 2 6 2 2 3" xfId="24997" xr:uid="{FA841EF9-DCBC-4845-9CE4-550B395940F4}"/>
    <cellStyle name="Normal 4 2 4 2 6 2 3" xfId="12342" xr:uid="{D577DCE4-C6CE-422F-93B9-175891F44B16}"/>
    <cellStyle name="Normal 4 2 4 2 6 2 4" xfId="20780" xr:uid="{CCF7CF4A-B5B1-4ECC-85CA-78071FEAB8AB}"/>
    <cellStyle name="Normal 4 2 4 2 6 3" xfId="5973" xr:uid="{00000000-0005-0000-0000-000075130000}"/>
    <cellStyle name="Normal 4 2 4 2 6 3 2" xfId="14415" xr:uid="{6D404DF1-FAC7-468D-BD5C-6286F99E85B2}"/>
    <cellStyle name="Normal 4 2 4 2 6 3 3" xfId="22852" xr:uid="{3589A230-B461-4CB9-809F-5674054EC6B1}"/>
    <cellStyle name="Normal 4 2 4 2 6 4" xfId="10197" xr:uid="{F265B041-852C-48E8-BEF6-F6B72724D1D9}"/>
    <cellStyle name="Normal 4 2 4 2 6 5" xfId="18635" xr:uid="{8ECF8DCD-2099-422E-A466-B8B8B0CF604A}"/>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EE43AD79-F33B-455B-82F9-CCDAF7E9E6EC}"/>
    <cellStyle name="Normal 4 2 4 2 7 2 2 3" xfId="25410" xr:uid="{C652AAD6-BFC1-4B01-966F-9EABEFDB46B9}"/>
    <cellStyle name="Normal 4 2 4 2 7 2 3" xfId="12755" xr:uid="{00AD53FC-EFC1-4B75-A6D0-3F2ED02A5747}"/>
    <cellStyle name="Normal 4 2 4 2 7 2 4" xfId="21193" xr:uid="{D2FD590C-EA24-4360-B97A-5B4C521E6ED2}"/>
    <cellStyle name="Normal 4 2 4 2 7 3" xfId="6386" xr:uid="{00000000-0005-0000-0000-000079130000}"/>
    <cellStyle name="Normal 4 2 4 2 7 3 2" xfId="14828" xr:uid="{0A93E505-9DA3-4B3E-80DD-D0B97BC25B92}"/>
    <cellStyle name="Normal 4 2 4 2 7 3 3" xfId="23265" xr:uid="{9D4B4AE6-AD29-4723-A2CB-3F8A62827116}"/>
    <cellStyle name="Normal 4 2 4 2 7 4" xfId="10610" xr:uid="{FB3F0620-33ED-4E4B-9A71-7B23FD6912E6}"/>
    <cellStyle name="Normal 4 2 4 2 7 5" xfId="19048" xr:uid="{347C41F7-9698-450C-9B20-ED7EE2BD536A}"/>
    <cellStyle name="Normal 4 2 4 2 8" xfId="2515" xr:uid="{00000000-0005-0000-0000-00007A130000}"/>
    <cellStyle name="Normal 4 2 4 2 8 2" xfId="6799" xr:uid="{00000000-0005-0000-0000-00007B130000}"/>
    <cellStyle name="Normal 4 2 4 2 8 2 2" xfId="15241" xr:uid="{75C39099-C021-4A95-BFA3-EBBF7CA546D1}"/>
    <cellStyle name="Normal 4 2 4 2 8 2 3" xfId="23678" xr:uid="{99DD45B9-E0B5-4CF3-96FC-DEF1ACD229FB}"/>
    <cellStyle name="Normal 4 2 4 2 8 3" xfId="11023" xr:uid="{DFE0B3B9-81FE-44AA-838E-507F7C8C97ED}"/>
    <cellStyle name="Normal 4 2 4 2 8 4" xfId="19461" xr:uid="{F7B7CDE3-129B-446B-A078-F5F835CE8992}"/>
    <cellStyle name="Normal 4 2 4 2 9" xfId="4734" xr:uid="{00000000-0005-0000-0000-00007C130000}"/>
    <cellStyle name="Normal 4 2 4 2 9 2" xfId="13176" xr:uid="{82CE3522-A1CC-4FF6-9622-4386F91B40DE}"/>
    <cellStyle name="Normal 4 2 4 2 9 3" xfId="21613" xr:uid="{95265E42-E23A-4D77-8EB8-824C0183FBB5}"/>
    <cellStyle name="Normal 4 2 4 3" xfId="360" xr:uid="{00000000-0005-0000-0000-00007D130000}"/>
    <cellStyle name="Normal 4 2 4 3 10" xfId="17400" xr:uid="{FCAFEE6F-CCD8-4A77-B47F-27B5FDFA8B97}"/>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EC31B634-B311-4D5A-8983-867379E3B5E1}"/>
    <cellStyle name="Normal 4 2 4 3 2 2 2 2 3" xfId="24176" xr:uid="{867172AA-4937-4CE5-B62A-C295F3DCC8E5}"/>
    <cellStyle name="Normal 4 2 4 3 2 2 2 3" xfId="11521" xr:uid="{9DF5B2BD-5F69-4151-8013-F685716BD083}"/>
    <cellStyle name="Normal 4 2 4 3 2 2 2 4" xfId="19959" xr:uid="{1865169E-C72B-4CB1-9B32-7263BCE8974A}"/>
    <cellStyle name="Normal 4 2 4 3 2 2 3" xfId="5152" xr:uid="{00000000-0005-0000-0000-000082130000}"/>
    <cellStyle name="Normal 4 2 4 3 2 2 3 2" xfId="13594" xr:uid="{8DA9E07F-9D56-4E45-AD0B-731D1602D829}"/>
    <cellStyle name="Normal 4 2 4 3 2 2 3 3" xfId="22031" xr:uid="{D1D8A778-CB3F-41C3-A90E-A53B98FC7545}"/>
    <cellStyle name="Normal 4 2 4 3 2 2 4" xfId="9376" xr:uid="{C8AE12B2-1D21-4B1B-A553-0497DB390774}"/>
    <cellStyle name="Normal 4 2 4 3 2 2 5" xfId="17814" xr:uid="{10DF4BCA-5130-4DA1-B014-0A628403D90C}"/>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D9C4E191-6497-433A-92E5-11F5333833DA}"/>
    <cellStyle name="Normal 4 2 4 3 2 3 2 2 3" xfId="24589" xr:uid="{D6E01CB4-95FB-4C0F-AF34-2CE3136D5727}"/>
    <cellStyle name="Normal 4 2 4 3 2 3 2 3" xfId="11934" xr:uid="{052A6AD2-D62C-4748-946B-8DC8C7D6C47A}"/>
    <cellStyle name="Normal 4 2 4 3 2 3 2 4" xfId="20372" xr:uid="{9CE48FF1-FE6D-4D2C-A03D-BFADA5A81212}"/>
    <cellStyle name="Normal 4 2 4 3 2 3 3" xfId="5565" xr:uid="{00000000-0005-0000-0000-000086130000}"/>
    <cellStyle name="Normal 4 2 4 3 2 3 3 2" xfId="14007" xr:uid="{CE34C41F-9FB0-4F5B-BBB6-749F77CA7940}"/>
    <cellStyle name="Normal 4 2 4 3 2 3 3 3" xfId="22444" xr:uid="{AF5DBD66-BBB6-483D-B4B2-BC834478FDE3}"/>
    <cellStyle name="Normal 4 2 4 3 2 3 4" xfId="9789" xr:uid="{6CC6044E-9459-426C-8D46-353F544F9912}"/>
    <cellStyle name="Normal 4 2 4 3 2 3 5" xfId="18227" xr:uid="{3E5299B4-E513-4356-ACFF-DA1CCD69102F}"/>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0E9D9485-C194-4747-8E04-083B5DC15F20}"/>
    <cellStyle name="Normal 4 2 4 3 2 4 2 2 3" xfId="25002" xr:uid="{8DD74AC5-7415-4F0C-B282-4002DF9E3E91}"/>
    <cellStyle name="Normal 4 2 4 3 2 4 2 3" xfId="12347" xr:uid="{34267B47-17E8-4E4E-8F98-9132D4C5AC66}"/>
    <cellStyle name="Normal 4 2 4 3 2 4 2 4" xfId="20785" xr:uid="{4027E253-CD0E-4BCE-A931-A85F0F43AA36}"/>
    <cellStyle name="Normal 4 2 4 3 2 4 3" xfId="5978" xr:uid="{00000000-0005-0000-0000-00008A130000}"/>
    <cellStyle name="Normal 4 2 4 3 2 4 3 2" xfId="14420" xr:uid="{55F7B4E8-2066-4178-9F36-BC951A29AEDC}"/>
    <cellStyle name="Normal 4 2 4 3 2 4 3 3" xfId="22857" xr:uid="{5328BD6E-E6AF-43FD-B9EA-507599E80713}"/>
    <cellStyle name="Normal 4 2 4 3 2 4 4" xfId="10202" xr:uid="{53851E06-B73B-4A1B-95E7-A86E209F56D8}"/>
    <cellStyle name="Normal 4 2 4 3 2 4 5" xfId="18640" xr:uid="{B6FAFA56-8349-41D0-9DFD-D52F0392A71B}"/>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EA0AAA76-933A-45B3-BF67-6E9E0276F1EE}"/>
    <cellStyle name="Normal 4 2 4 3 2 5 2 2 3" xfId="25415" xr:uid="{1B2F8023-50A1-45A9-B2BF-BDCF79BCBFAC}"/>
    <cellStyle name="Normal 4 2 4 3 2 5 2 3" xfId="12760" xr:uid="{B7E4401F-E5D5-46D1-8200-12A94E94FD19}"/>
    <cellStyle name="Normal 4 2 4 3 2 5 2 4" xfId="21198" xr:uid="{BDE83148-1C9B-4DD5-B0AE-BE05353506BD}"/>
    <cellStyle name="Normal 4 2 4 3 2 5 3" xfId="6391" xr:uid="{00000000-0005-0000-0000-00008E130000}"/>
    <cellStyle name="Normal 4 2 4 3 2 5 3 2" xfId="14833" xr:uid="{CE2D2770-3488-498B-874D-62B57DF1E754}"/>
    <cellStyle name="Normal 4 2 4 3 2 5 3 3" xfId="23270" xr:uid="{3F300822-E423-484C-BED4-6CB8EA7BCF38}"/>
    <cellStyle name="Normal 4 2 4 3 2 5 4" xfId="10615" xr:uid="{45B9F0C1-BEED-469A-AF21-43270FCFE804}"/>
    <cellStyle name="Normal 4 2 4 3 2 5 5" xfId="19053" xr:uid="{4D324D34-C51E-4FBC-A87C-02F2E6099F85}"/>
    <cellStyle name="Normal 4 2 4 3 2 6" xfId="2520" xr:uid="{00000000-0005-0000-0000-00008F130000}"/>
    <cellStyle name="Normal 4 2 4 3 2 6 2" xfId="6804" xr:uid="{00000000-0005-0000-0000-000090130000}"/>
    <cellStyle name="Normal 4 2 4 3 2 6 2 2" xfId="15246" xr:uid="{51B593F6-9495-49FC-AA33-C9A2BE96F70E}"/>
    <cellStyle name="Normal 4 2 4 3 2 6 2 3" xfId="23683" xr:uid="{300794D2-0945-4CF4-BCBC-8F4FAAF87E4E}"/>
    <cellStyle name="Normal 4 2 4 3 2 6 3" xfId="11028" xr:uid="{95BD3F57-4C20-4AAC-AA5F-2B8B59011372}"/>
    <cellStyle name="Normal 4 2 4 3 2 6 4" xfId="19466" xr:uid="{6CADD8AE-540B-4718-8E4C-E7560BC2DA76}"/>
    <cellStyle name="Normal 4 2 4 3 2 7" xfId="4739" xr:uid="{00000000-0005-0000-0000-000091130000}"/>
    <cellStyle name="Normal 4 2 4 3 2 7 2" xfId="13181" xr:uid="{EEC889D8-5AC3-4E12-A2FE-31BAA112AD11}"/>
    <cellStyle name="Normal 4 2 4 3 2 7 3" xfId="21618" xr:uid="{D399D8DB-0678-4582-B2E2-1560D661FE1F}"/>
    <cellStyle name="Normal 4 2 4 3 2 8" xfId="8963" xr:uid="{E81D76BC-18BB-478B-B5EB-B218D4F2337A}"/>
    <cellStyle name="Normal 4 2 4 3 2 9" xfId="17401" xr:uid="{722B0431-B80E-4BBE-8F34-C316547272BC}"/>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A4D143DA-9AA9-4C11-867B-656F4C85CBD8}"/>
    <cellStyle name="Normal 4 2 4 3 3 2 2 3" xfId="24175" xr:uid="{C9EE8B0F-9A05-4286-BC1E-0A9048E153C3}"/>
    <cellStyle name="Normal 4 2 4 3 3 2 3" xfId="11520" xr:uid="{E06176CD-29D0-4496-8A42-9CDC548C635D}"/>
    <cellStyle name="Normal 4 2 4 3 3 2 4" xfId="19958" xr:uid="{24AEC304-5AA5-4748-9253-001664879632}"/>
    <cellStyle name="Normal 4 2 4 3 3 3" xfId="5151" xr:uid="{00000000-0005-0000-0000-000095130000}"/>
    <cellStyle name="Normal 4 2 4 3 3 3 2" xfId="13593" xr:uid="{492B8C5B-48BE-433D-94AF-5C7686CD2A17}"/>
    <cellStyle name="Normal 4 2 4 3 3 3 3" xfId="22030" xr:uid="{0B3E6236-E433-4D39-BABE-18091F6B4214}"/>
    <cellStyle name="Normal 4 2 4 3 3 4" xfId="9375" xr:uid="{4C4C0D44-3B07-4A4A-9245-C36BB63C2554}"/>
    <cellStyle name="Normal 4 2 4 3 3 5" xfId="17813" xr:uid="{5AC85D55-4CC0-443F-9910-22E13ED4D657}"/>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D80574CE-4FB2-4842-A0B0-87538BDF2670}"/>
    <cellStyle name="Normal 4 2 4 3 4 2 2 3" xfId="24588" xr:uid="{9352E5F5-FDB1-43CE-A40C-0EB12BB4AD27}"/>
    <cellStyle name="Normal 4 2 4 3 4 2 3" xfId="11933" xr:uid="{494C424E-49F7-4EAF-8EBF-28B728A12777}"/>
    <cellStyle name="Normal 4 2 4 3 4 2 4" xfId="20371" xr:uid="{742F15F3-A2FE-4C66-B17F-D0744A56C069}"/>
    <cellStyle name="Normal 4 2 4 3 4 3" xfId="5564" xr:uid="{00000000-0005-0000-0000-000099130000}"/>
    <cellStyle name="Normal 4 2 4 3 4 3 2" xfId="14006" xr:uid="{FEA37C42-27BE-4F58-AD38-E18A8DB514BB}"/>
    <cellStyle name="Normal 4 2 4 3 4 3 3" xfId="22443" xr:uid="{24B6181E-0B9A-4F4E-BA00-C5CDC5089405}"/>
    <cellStyle name="Normal 4 2 4 3 4 4" xfId="9788" xr:uid="{7E78AC6B-7B00-44C7-9D96-CAFD74579891}"/>
    <cellStyle name="Normal 4 2 4 3 4 5" xfId="18226" xr:uid="{980E6659-80C7-473F-AF7C-C0C77613E9B8}"/>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2C376FE5-9AE2-47AF-8FDE-58EFFE88F17F}"/>
    <cellStyle name="Normal 4 2 4 3 5 2 2 3" xfId="25001" xr:uid="{BBF10618-370D-4A8F-86F0-5B83210A58CB}"/>
    <cellStyle name="Normal 4 2 4 3 5 2 3" xfId="12346" xr:uid="{9D1033AB-569E-4D13-8671-0D4E764BD666}"/>
    <cellStyle name="Normal 4 2 4 3 5 2 4" xfId="20784" xr:uid="{231CE223-EFF6-4CBB-8F99-63E9BB71A278}"/>
    <cellStyle name="Normal 4 2 4 3 5 3" xfId="5977" xr:uid="{00000000-0005-0000-0000-00009D130000}"/>
    <cellStyle name="Normal 4 2 4 3 5 3 2" xfId="14419" xr:uid="{8194E9D2-006C-4541-B3CA-08C7FABE796B}"/>
    <cellStyle name="Normal 4 2 4 3 5 3 3" xfId="22856" xr:uid="{342A6AF4-5D0B-4403-A2AD-8E1B5B198816}"/>
    <cellStyle name="Normal 4 2 4 3 5 4" xfId="10201" xr:uid="{CCBCAD99-AB29-4FA1-A7AE-616CED4AD544}"/>
    <cellStyle name="Normal 4 2 4 3 5 5" xfId="18639" xr:uid="{AF024812-02A4-4886-B785-AC651B3FD0E7}"/>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105673CB-1917-4B90-88AC-B3A0237D1F29}"/>
    <cellStyle name="Normal 4 2 4 3 6 2 2 3" xfId="25414" xr:uid="{B30FF0F2-C706-4547-91AF-57FD96F9D381}"/>
    <cellStyle name="Normal 4 2 4 3 6 2 3" xfId="12759" xr:uid="{A85D96E9-8B10-4940-B0D5-4A1E7DB4E8D2}"/>
    <cellStyle name="Normal 4 2 4 3 6 2 4" xfId="21197" xr:uid="{06B5ECBF-2B88-4636-B638-3F1E285C8448}"/>
    <cellStyle name="Normal 4 2 4 3 6 3" xfId="6390" xr:uid="{00000000-0005-0000-0000-0000A1130000}"/>
    <cellStyle name="Normal 4 2 4 3 6 3 2" xfId="14832" xr:uid="{9587A8B8-D3FA-4A71-BF54-3256B732D847}"/>
    <cellStyle name="Normal 4 2 4 3 6 3 3" xfId="23269" xr:uid="{97B1E17B-929F-402B-AA9B-0856BE172CE7}"/>
    <cellStyle name="Normal 4 2 4 3 6 4" xfId="10614" xr:uid="{CFF0CC1D-6B7E-421B-98FC-78B7A5672222}"/>
    <cellStyle name="Normal 4 2 4 3 6 5" xfId="19052" xr:uid="{06130C26-1E97-4C27-A8DE-225B2033A1AB}"/>
    <cellStyle name="Normal 4 2 4 3 7" xfId="2519" xr:uid="{00000000-0005-0000-0000-0000A2130000}"/>
    <cellStyle name="Normal 4 2 4 3 7 2" xfId="6803" xr:uid="{00000000-0005-0000-0000-0000A3130000}"/>
    <cellStyle name="Normal 4 2 4 3 7 2 2" xfId="15245" xr:uid="{5E897596-BCD5-42D7-B92B-96D4EB996945}"/>
    <cellStyle name="Normal 4 2 4 3 7 2 3" xfId="23682" xr:uid="{53ED8D45-67DD-43AD-BE1D-CF14D23B66C5}"/>
    <cellStyle name="Normal 4 2 4 3 7 3" xfId="11027" xr:uid="{AFAD4F46-DD5D-46C2-AAD9-F08E5B8E3FDB}"/>
    <cellStyle name="Normal 4 2 4 3 7 4" xfId="19465" xr:uid="{48CD9F8A-99FF-43FF-B749-50F18794AF72}"/>
    <cellStyle name="Normal 4 2 4 3 8" xfId="4738" xr:uid="{00000000-0005-0000-0000-0000A4130000}"/>
    <cellStyle name="Normal 4 2 4 3 8 2" xfId="13180" xr:uid="{4505E311-E0F3-4824-9564-2B147309BD91}"/>
    <cellStyle name="Normal 4 2 4 3 8 3" xfId="21617" xr:uid="{337D1EEF-527F-45A6-8189-07F164E82CBF}"/>
    <cellStyle name="Normal 4 2 4 3 9" xfId="8962" xr:uid="{32E9E8DA-A95B-4E94-850F-4650B96DBF6A}"/>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90BDADE9-08FD-4E1C-8716-6E5C941F5DFB}"/>
    <cellStyle name="Normal 4 2 4 4 2 2 2 3" xfId="24177" xr:uid="{1399B3F0-0CAB-4090-AD12-2FDDCE1C4C63}"/>
    <cellStyle name="Normal 4 2 4 4 2 2 3" xfId="11522" xr:uid="{70E83331-B231-4B36-9A65-7D941C87C7D6}"/>
    <cellStyle name="Normal 4 2 4 4 2 2 4" xfId="19960" xr:uid="{BF3D5839-0BAB-4347-A5AD-6BFF8C4E55E0}"/>
    <cellStyle name="Normal 4 2 4 4 2 3" xfId="5153" xr:uid="{00000000-0005-0000-0000-0000A9130000}"/>
    <cellStyle name="Normal 4 2 4 4 2 3 2" xfId="13595" xr:uid="{69C6BC74-4623-4B69-A5F3-C702DDD82D68}"/>
    <cellStyle name="Normal 4 2 4 4 2 3 3" xfId="22032" xr:uid="{74258DA3-F7E3-4120-BD86-1B396E468CAF}"/>
    <cellStyle name="Normal 4 2 4 4 2 4" xfId="9377" xr:uid="{1D7386D0-F11A-4916-AE78-93C6C40207D0}"/>
    <cellStyle name="Normal 4 2 4 4 2 5" xfId="17815" xr:uid="{42D7846C-E4B0-4D36-83B8-7594BB81365A}"/>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1F076968-B789-4F9E-A410-2869080A4EDC}"/>
    <cellStyle name="Normal 4 2 4 4 3 2 2 3" xfId="24590" xr:uid="{C45557A9-927F-4566-82C6-EE7740FCEC00}"/>
    <cellStyle name="Normal 4 2 4 4 3 2 3" xfId="11935" xr:uid="{B90499D3-931A-4EB2-AFAF-474AB6DBD59B}"/>
    <cellStyle name="Normal 4 2 4 4 3 2 4" xfId="20373" xr:uid="{1040E860-6FB6-487E-A00E-46035FA9303D}"/>
    <cellStyle name="Normal 4 2 4 4 3 3" xfId="5566" xr:uid="{00000000-0005-0000-0000-0000AD130000}"/>
    <cellStyle name="Normal 4 2 4 4 3 3 2" xfId="14008" xr:uid="{2C3894B4-3769-4147-9206-698B2FC8A3D6}"/>
    <cellStyle name="Normal 4 2 4 4 3 3 3" xfId="22445" xr:uid="{029C5C6D-96F7-4732-A2C3-BB30BDB1ECE1}"/>
    <cellStyle name="Normal 4 2 4 4 3 4" xfId="9790" xr:uid="{1C2BF5B0-CC83-40D2-A4A2-127E8FA06084}"/>
    <cellStyle name="Normal 4 2 4 4 3 5" xfId="18228" xr:uid="{C802CB4F-E646-403F-B28C-C1735393EC42}"/>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1EBEDA6C-9513-46CB-8355-8E3420914183}"/>
    <cellStyle name="Normal 4 2 4 4 4 2 2 3" xfId="25003" xr:uid="{B74A70DE-C6B4-409D-9E03-16C1DF298AEE}"/>
    <cellStyle name="Normal 4 2 4 4 4 2 3" xfId="12348" xr:uid="{325B858B-6217-487B-B6D2-2B70B652E622}"/>
    <cellStyle name="Normal 4 2 4 4 4 2 4" xfId="20786" xr:uid="{ADB5DAD5-EE04-4083-9A3C-CC85E70E55AE}"/>
    <cellStyle name="Normal 4 2 4 4 4 3" xfId="5979" xr:uid="{00000000-0005-0000-0000-0000B1130000}"/>
    <cellStyle name="Normal 4 2 4 4 4 3 2" xfId="14421" xr:uid="{C20E35D6-921D-40FA-9220-C6BE4AE0B70B}"/>
    <cellStyle name="Normal 4 2 4 4 4 3 3" xfId="22858" xr:uid="{462A4409-A753-441A-B76C-1E9CCFD503FD}"/>
    <cellStyle name="Normal 4 2 4 4 4 4" xfId="10203" xr:uid="{DE5D68A2-911E-432D-8E34-8F4803C0BED7}"/>
    <cellStyle name="Normal 4 2 4 4 4 5" xfId="18641" xr:uid="{75694AE1-BE03-4086-9994-6D58E75BE4C8}"/>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47F8FA88-0F8E-465B-B87C-DB45343782D1}"/>
    <cellStyle name="Normal 4 2 4 4 5 2 2 3" xfId="25416" xr:uid="{4D6A9C38-8787-4DE0-855C-83240EFC1FB5}"/>
    <cellStyle name="Normal 4 2 4 4 5 2 3" xfId="12761" xr:uid="{E0EEAF02-4CB0-40F3-8AE0-EA84586F87E0}"/>
    <cellStyle name="Normal 4 2 4 4 5 2 4" xfId="21199" xr:uid="{EEF43448-9F8D-4411-89E1-E9FD608869E4}"/>
    <cellStyle name="Normal 4 2 4 4 5 3" xfId="6392" xr:uid="{00000000-0005-0000-0000-0000B5130000}"/>
    <cellStyle name="Normal 4 2 4 4 5 3 2" xfId="14834" xr:uid="{7960DA24-2477-4E43-92E0-53314D69F3A9}"/>
    <cellStyle name="Normal 4 2 4 4 5 3 3" xfId="23271" xr:uid="{184CD71D-F09A-48C1-A501-48874A8F1056}"/>
    <cellStyle name="Normal 4 2 4 4 5 4" xfId="10616" xr:uid="{96BFB7BF-6FB0-4012-BED4-1DAF53EA8C09}"/>
    <cellStyle name="Normal 4 2 4 4 5 5" xfId="19054" xr:uid="{69A267E4-CCA0-4612-A945-EAD88584366D}"/>
    <cellStyle name="Normal 4 2 4 4 6" xfId="2521" xr:uid="{00000000-0005-0000-0000-0000B6130000}"/>
    <cellStyle name="Normal 4 2 4 4 6 2" xfId="6805" xr:uid="{00000000-0005-0000-0000-0000B7130000}"/>
    <cellStyle name="Normal 4 2 4 4 6 2 2" xfId="15247" xr:uid="{30B94B87-481E-4515-A6EF-4C14C7CAD73A}"/>
    <cellStyle name="Normal 4 2 4 4 6 2 3" xfId="23684" xr:uid="{900323B0-2C1B-48F3-B3C0-008185A11F45}"/>
    <cellStyle name="Normal 4 2 4 4 6 3" xfId="11029" xr:uid="{A3B383F0-5AD2-4DE6-AE9D-D3A6F5DF137F}"/>
    <cellStyle name="Normal 4 2 4 4 6 4" xfId="19467" xr:uid="{161D02A9-DA07-46CA-BBE1-BF6202CB314D}"/>
    <cellStyle name="Normal 4 2 4 4 7" xfId="4740" xr:uid="{00000000-0005-0000-0000-0000B8130000}"/>
    <cellStyle name="Normal 4 2 4 4 7 2" xfId="13182" xr:uid="{D899D8D2-FD5F-47B2-A476-BA2B63CDC5DB}"/>
    <cellStyle name="Normal 4 2 4 4 7 3" xfId="21619" xr:uid="{993ECD4D-BEF3-491C-93E3-7E8158A6D081}"/>
    <cellStyle name="Normal 4 2 4 4 8" xfId="8964" xr:uid="{7177862F-1E57-4A72-ABEB-A520A2B45B1F}"/>
    <cellStyle name="Normal 4 2 4 4 9" xfId="17402" xr:uid="{B3A01242-A791-469F-A4B6-550BC94BC04B}"/>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C18311AC-476E-434C-B70A-AA36DD3EC305}"/>
    <cellStyle name="Normal 4 2 4 5 2 2 3" xfId="24170" xr:uid="{04B8E9F5-9C3C-496A-A6AB-BC0EEAB67D1A}"/>
    <cellStyle name="Normal 4 2 4 5 2 3" xfId="11515" xr:uid="{157C1D8B-9722-48E1-8095-02A5BE39CC82}"/>
    <cellStyle name="Normal 4 2 4 5 2 4" xfId="19953" xr:uid="{EEF69964-181A-44CB-ABD2-FD353C8D167E}"/>
    <cellStyle name="Normal 4 2 4 5 3" xfId="5146" xr:uid="{00000000-0005-0000-0000-0000BC130000}"/>
    <cellStyle name="Normal 4 2 4 5 3 2" xfId="13588" xr:uid="{81D1C98C-8959-4B7D-B55D-2F3F3BE2C44A}"/>
    <cellStyle name="Normal 4 2 4 5 3 3" xfId="22025" xr:uid="{22800ADE-C597-406D-9165-BFF4FA0EF947}"/>
    <cellStyle name="Normal 4 2 4 5 4" xfId="9370" xr:uid="{37BB2CDD-4904-448D-B8E1-72F354E585F8}"/>
    <cellStyle name="Normal 4 2 4 5 5" xfId="17808" xr:uid="{1FC87458-D54B-42A4-BDC1-50DF7D4EA2F6}"/>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32B61F45-692D-48AA-B761-4E70CDDC20B8}"/>
    <cellStyle name="Normal 4 2 4 6 2 2 3" xfId="24583" xr:uid="{60373B84-DC2D-4BDA-94FC-6928E73DAC3E}"/>
    <cellStyle name="Normal 4 2 4 6 2 3" xfId="11928" xr:uid="{FACF545B-ED4C-4E90-9992-6A70FE2BBC36}"/>
    <cellStyle name="Normal 4 2 4 6 2 4" xfId="20366" xr:uid="{A1274E9F-BBB7-4DD1-AE1A-20A8CE3C1B3D}"/>
    <cellStyle name="Normal 4 2 4 6 3" xfId="5559" xr:uid="{00000000-0005-0000-0000-0000C0130000}"/>
    <cellStyle name="Normal 4 2 4 6 3 2" xfId="14001" xr:uid="{13212174-2E80-4A4F-9702-3C0D278CD80F}"/>
    <cellStyle name="Normal 4 2 4 6 3 3" xfId="22438" xr:uid="{F61C9C25-BA64-4859-9503-126340BA5C14}"/>
    <cellStyle name="Normal 4 2 4 6 4" xfId="9783" xr:uid="{7A5AAE11-8BA4-47A8-8A81-AF093D0F5D30}"/>
    <cellStyle name="Normal 4 2 4 6 5" xfId="18221" xr:uid="{73024142-D3B8-4F2A-BAF5-A476DC0BE97E}"/>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FECED656-24C9-413A-ACFC-2A656DEED42F}"/>
    <cellStyle name="Normal 4 2 4 7 2 2 3" xfId="24996" xr:uid="{617DB66E-E5A9-47C9-A726-0AF468BDCDC0}"/>
    <cellStyle name="Normal 4 2 4 7 2 3" xfId="12341" xr:uid="{2D0EA72D-F1A4-4D0D-8C5F-A36B275A882C}"/>
    <cellStyle name="Normal 4 2 4 7 2 4" xfId="20779" xr:uid="{31B1998C-05DF-4AA8-9F6A-9DF0236B844A}"/>
    <cellStyle name="Normal 4 2 4 7 3" xfId="5972" xr:uid="{00000000-0005-0000-0000-0000C4130000}"/>
    <cellStyle name="Normal 4 2 4 7 3 2" xfId="14414" xr:uid="{485D548F-A1D3-42A7-87A6-37667A07E65A}"/>
    <cellStyle name="Normal 4 2 4 7 3 3" xfId="22851" xr:uid="{0094CE2F-F785-4B58-AE7A-3C82413550B2}"/>
    <cellStyle name="Normal 4 2 4 7 4" xfId="10196" xr:uid="{E8A829FC-6998-4465-89AC-050CA52F63E4}"/>
    <cellStyle name="Normal 4 2 4 7 5" xfId="18634" xr:uid="{20F307B3-0D7E-4DDB-A507-8D69F1E2D51D}"/>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799BD69F-1DE9-4248-B610-39D4F2DF1FB2}"/>
    <cellStyle name="Normal 4 2 4 8 2 2 3" xfId="25409" xr:uid="{1B5A3505-16D9-40CF-8A13-CFEE935F26E8}"/>
    <cellStyle name="Normal 4 2 4 8 2 3" xfId="12754" xr:uid="{1B6B8A8A-A746-4A30-8E0C-CC3D92B14910}"/>
    <cellStyle name="Normal 4 2 4 8 2 4" xfId="21192" xr:uid="{A70B0983-3826-4E1E-B70E-137B566FDF2F}"/>
    <cellStyle name="Normal 4 2 4 8 3" xfId="6385" xr:uid="{00000000-0005-0000-0000-0000C8130000}"/>
    <cellStyle name="Normal 4 2 4 8 3 2" xfId="14827" xr:uid="{FBF927D8-61FA-4F53-8403-057662C1006D}"/>
    <cellStyle name="Normal 4 2 4 8 3 3" xfId="23264" xr:uid="{05CFB09E-3781-4CB5-A62E-59F7602197DB}"/>
    <cellStyle name="Normal 4 2 4 8 4" xfId="10609" xr:uid="{5AF9B701-C01B-4CC2-A2C6-F8E8D1CCBB21}"/>
    <cellStyle name="Normal 4 2 4 8 5" xfId="19047" xr:uid="{B7134D89-ECFE-49D9-97E4-24A93060139C}"/>
    <cellStyle name="Normal 4 2 4 9" xfId="2514" xr:uid="{00000000-0005-0000-0000-0000C9130000}"/>
    <cellStyle name="Normal 4 2 4 9 2" xfId="6798" xr:uid="{00000000-0005-0000-0000-0000CA130000}"/>
    <cellStyle name="Normal 4 2 4 9 2 2" xfId="15240" xr:uid="{6FD8877B-D690-45D5-95C3-CC68568CCD13}"/>
    <cellStyle name="Normal 4 2 4 9 2 3" xfId="23677" xr:uid="{65C804C3-2B5E-4E87-B004-367E4F08B4B9}"/>
    <cellStyle name="Normal 4 2 4 9 3" xfId="11022" xr:uid="{29FC2DDE-22DA-499A-9792-AD7E27F136DC}"/>
    <cellStyle name="Normal 4 2 4 9 4" xfId="19460" xr:uid="{3B09D6CE-65A0-471B-A5BF-414F711258AC}"/>
    <cellStyle name="Normal 4 2 5" xfId="363" xr:uid="{00000000-0005-0000-0000-0000CB130000}"/>
    <cellStyle name="Normal 4 2 5 10" xfId="17403" xr:uid="{44AB22BE-BDE6-4729-8BBC-B2BCE4CCC043}"/>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F53C73A9-943F-48EF-9B52-80E7572F17CD}"/>
    <cellStyle name="Normal 4 2 5 2 2 2 2 3" xfId="24179" xr:uid="{85E1C3D6-3581-428D-8742-5C5E702080EE}"/>
    <cellStyle name="Normal 4 2 5 2 2 2 3" xfId="11524" xr:uid="{97124239-8A0C-462E-99E4-7474D7CD8CDB}"/>
    <cellStyle name="Normal 4 2 5 2 2 2 4" xfId="19962" xr:uid="{CDC92670-6659-4CD3-9648-74E5155C2951}"/>
    <cellStyle name="Normal 4 2 5 2 2 3" xfId="5155" xr:uid="{00000000-0005-0000-0000-0000D0130000}"/>
    <cellStyle name="Normal 4 2 5 2 2 3 2" xfId="13597" xr:uid="{92E5BFDF-8E0B-491D-A308-E18740F7EC2E}"/>
    <cellStyle name="Normal 4 2 5 2 2 3 3" xfId="22034" xr:uid="{C04647CA-449D-4707-9AF7-92B73011E01C}"/>
    <cellStyle name="Normal 4 2 5 2 2 4" xfId="9379" xr:uid="{2628200E-E349-4CDF-8FF0-B600CEAB2254}"/>
    <cellStyle name="Normal 4 2 5 2 2 5" xfId="17817" xr:uid="{C77A3B82-3D20-4358-A80C-73B068476F4D}"/>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68404F8E-FBEB-46FE-A02E-4C235C74DCA3}"/>
    <cellStyle name="Normal 4 2 5 2 3 2 2 3" xfId="24592" xr:uid="{5850E555-246C-488B-AC7E-1C2ECF78BBBC}"/>
    <cellStyle name="Normal 4 2 5 2 3 2 3" xfId="11937" xr:uid="{83A6FE3D-3E4B-4BBC-BBF9-FBB79137144E}"/>
    <cellStyle name="Normal 4 2 5 2 3 2 4" xfId="20375" xr:uid="{0DC28CD2-18AE-4FB1-8677-B5EE2E8BBF22}"/>
    <cellStyle name="Normal 4 2 5 2 3 3" xfId="5568" xr:uid="{00000000-0005-0000-0000-0000D4130000}"/>
    <cellStyle name="Normal 4 2 5 2 3 3 2" xfId="14010" xr:uid="{D5103A25-BAD8-4F3E-A7E4-2C4D9EAE9CD6}"/>
    <cellStyle name="Normal 4 2 5 2 3 3 3" xfId="22447" xr:uid="{04CED8D6-440F-4A26-8FC9-617E9F829BA5}"/>
    <cellStyle name="Normal 4 2 5 2 3 4" xfId="9792" xr:uid="{785308DC-E3A6-42A5-8C03-1B1ACF76CF43}"/>
    <cellStyle name="Normal 4 2 5 2 3 5" xfId="18230" xr:uid="{78F0F2F7-24CB-48AA-B9AA-918AE1B7D2CE}"/>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1059846D-2828-4C95-9925-B4C5B7559B33}"/>
    <cellStyle name="Normal 4 2 5 2 4 2 2 3" xfId="25005" xr:uid="{F3D6EF78-7ACC-46F5-A419-212AA72AA5A7}"/>
    <cellStyle name="Normal 4 2 5 2 4 2 3" xfId="12350" xr:uid="{161C998A-886F-495F-B975-1274810222BA}"/>
    <cellStyle name="Normal 4 2 5 2 4 2 4" xfId="20788" xr:uid="{9DC6E36D-71DC-4A97-B14E-323C3E6F8966}"/>
    <cellStyle name="Normal 4 2 5 2 4 3" xfId="5981" xr:uid="{00000000-0005-0000-0000-0000D8130000}"/>
    <cellStyle name="Normal 4 2 5 2 4 3 2" xfId="14423" xr:uid="{80B8559D-0642-48B8-AE8E-62DAF25ECBD1}"/>
    <cellStyle name="Normal 4 2 5 2 4 3 3" xfId="22860" xr:uid="{3E748C39-839C-4DBA-9467-F336FC972D64}"/>
    <cellStyle name="Normal 4 2 5 2 4 4" xfId="10205" xr:uid="{28CF8990-336C-4C5A-ACD6-3C0606FF55F8}"/>
    <cellStyle name="Normal 4 2 5 2 4 5" xfId="18643" xr:uid="{287F66BF-2C96-40BA-864D-131D61645485}"/>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A37B5AB8-7BD8-442F-83DC-F9E1333DB0A6}"/>
    <cellStyle name="Normal 4 2 5 2 5 2 2 3" xfId="25418" xr:uid="{DAF336F5-1C63-48F3-AAEB-A01AA94B8CD4}"/>
    <cellStyle name="Normal 4 2 5 2 5 2 3" xfId="12763" xr:uid="{BD1927E3-570F-40AA-A2D2-8C0CC614CB68}"/>
    <cellStyle name="Normal 4 2 5 2 5 2 4" xfId="21201" xr:uid="{E396244E-69BE-4985-8A9B-D01159F6963C}"/>
    <cellStyle name="Normal 4 2 5 2 5 3" xfId="6394" xr:uid="{00000000-0005-0000-0000-0000DC130000}"/>
    <cellStyle name="Normal 4 2 5 2 5 3 2" xfId="14836" xr:uid="{4FEDBE37-DBBE-4267-A23D-9CA183F1BE65}"/>
    <cellStyle name="Normal 4 2 5 2 5 3 3" xfId="23273" xr:uid="{67F27001-B26D-4CA2-8836-30344E0F2787}"/>
    <cellStyle name="Normal 4 2 5 2 5 4" xfId="10618" xr:uid="{17FD4A89-2808-4DE7-8CE0-840D0A8BA1DE}"/>
    <cellStyle name="Normal 4 2 5 2 5 5" xfId="19056" xr:uid="{A005E87D-6C97-4A20-A9E3-DA12C09AF90A}"/>
    <cellStyle name="Normal 4 2 5 2 6" xfId="2523" xr:uid="{00000000-0005-0000-0000-0000DD130000}"/>
    <cellStyle name="Normal 4 2 5 2 6 2" xfId="6807" xr:uid="{00000000-0005-0000-0000-0000DE130000}"/>
    <cellStyle name="Normal 4 2 5 2 6 2 2" xfId="15249" xr:uid="{5F0DF454-ACB2-4459-9FD1-F3BB3035BB1D}"/>
    <cellStyle name="Normal 4 2 5 2 6 2 3" xfId="23686" xr:uid="{69F56085-9640-4003-AD86-824734562AD3}"/>
    <cellStyle name="Normal 4 2 5 2 6 3" xfId="11031" xr:uid="{B306415B-BF5C-44A1-AFCE-E19E4296CD75}"/>
    <cellStyle name="Normal 4 2 5 2 6 4" xfId="19469" xr:uid="{FE78CE87-EC50-4A53-A36A-66460E12B2B9}"/>
    <cellStyle name="Normal 4 2 5 2 7" xfId="4742" xr:uid="{00000000-0005-0000-0000-0000DF130000}"/>
    <cellStyle name="Normal 4 2 5 2 7 2" xfId="13184" xr:uid="{0CAA18BC-2BC9-4F8C-AAC8-F395315CABA9}"/>
    <cellStyle name="Normal 4 2 5 2 7 3" xfId="21621" xr:uid="{F85D150E-33C4-46EF-A9E6-0D6C786A9FAC}"/>
    <cellStyle name="Normal 4 2 5 2 8" xfId="8966" xr:uid="{C537FE75-A2DD-4699-B501-5EE00590D6CA}"/>
    <cellStyle name="Normal 4 2 5 2 9" xfId="17404" xr:uid="{5F4111A2-EF71-4B89-9278-66F5555AD1F2}"/>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706CF9E9-13D8-4A8B-96AD-D6CBB5763558}"/>
    <cellStyle name="Normal 4 2 5 3 2 2 3" xfId="24178" xr:uid="{618E69BD-BA4A-4385-B225-AED6A68E7D33}"/>
    <cellStyle name="Normal 4 2 5 3 2 3" xfId="11523" xr:uid="{DCD3363F-A4C5-46A9-849F-93950EBA528F}"/>
    <cellStyle name="Normal 4 2 5 3 2 4" xfId="19961" xr:uid="{C99DBAA5-DFC7-4691-BD9A-8A00549F72BB}"/>
    <cellStyle name="Normal 4 2 5 3 3" xfId="5154" xr:uid="{00000000-0005-0000-0000-0000E3130000}"/>
    <cellStyle name="Normal 4 2 5 3 3 2" xfId="13596" xr:uid="{A50992B7-2FAB-4ABE-892E-AB34498AD7CE}"/>
    <cellStyle name="Normal 4 2 5 3 3 3" xfId="22033" xr:uid="{7E49CFF3-523E-4AB4-9F62-2E3E6402193A}"/>
    <cellStyle name="Normal 4 2 5 3 4" xfId="9378" xr:uid="{9E568066-CC83-40B1-8378-6DBFC5EDAADB}"/>
    <cellStyle name="Normal 4 2 5 3 5" xfId="17816" xr:uid="{9618A83D-AEBE-45AB-86E1-9B81B8202838}"/>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D422B1BB-F23C-4CB7-B725-8DA001B43873}"/>
    <cellStyle name="Normal 4 2 5 4 2 2 3" xfId="24591" xr:uid="{4B7233DF-6D11-43B7-AF76-72B3FF17B439}"/>
    <cellStyle name="Normal 4 2 5 4 2 3" xfId="11936" xr:uid="{41D88D1A-A1EE-4F33-875C-AAC919831077}"/>
    <cellStyle name="Normal 4 2 5 4 2 4" xfId="20374" xr:uid="{446D79D0-CF1B-4B4E-A732-35FB756C6519}"/>
    <cellStyle name="Normal 4 2 5 4 3" xfId="5567" xr:uid="{00000000-0005-0000-0000-0000E7130000}"/>
    <cellStyle name="Normal 4 2 5 4 3 2" xfId="14009" xr:uid="{A9934FE2-5A6D-4FB8-A267-18993D4ED15F}"/>
    <cellStyle name="Normal 4 2 5 4 3 3" xfId="22446" xr:uid="{552DE66F-5D63-41FE-867C-8E1A81DFD376}"/>
    <cellStyle name="Normal 4 2 5 4 4" xfId="9791" xr:uid="{46F566DF-0ABF-45E0-94FF-D7DBF17C55D4}"/>
    <cellStyle name="Normal 4 2 5 4 5" xfId="18229" xr:uid="{A8A15BC7-3999-4E68-AE9A-DA774D84BAFB}"/>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60E60B2F-0577-4E74-8467-876FACD7952A}"/>
    <cellStyle name="Normal 4 2 5 5 2 2 3" xfId="25004" xr:uid="{F65F2096-362A-4A9F-A0BF-CCC0A4B869AC}"/>
    <cellStyle name="Normal 4 2 5 5 2 3" xfId="12349" xr:uid="{5D1FA59F-6942-4B97-B632-6770B7DBE067}"/>
    <cellStyle name="Normal 4 2 5 5 2 4" xfId="20787" xr:uid="{778AB2D8-BE5F-490B-A991-C31D9D9DC569}"/>
    <cellStyle name="Normal 4 2 5 5 3" xfId="5980" xr:uid="{00000000-0005-0000-0000-0000EB130000}"/>
    <cellStyle name="Normal 4 2 5 5 3 2" xfId="14422" xr:uid="{6D23ED80-D076-4FC7-A72A-F711B52318EF}"/>
    <cellStyle name="Normal 4 2 5 5 3 3" xfId="22859" xr:uid="{BD7207E1-32E6-4823-A6EF-D25970D9109E}"/>
    <cellStyle name="Normal 4 2 5 5 4" xfId="10204" xr:uid="{166BC676-32A9-4CBE-B6A9-3CABDB7C862A}"/>
    <cellStyle name="Normal 4 2 5 5 5" xfId="18642" xr:uid="{D476B711-44CF-47CF-A891-543477444FEA}"/>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DB841E0D-D5AA-4572-9DF6-BF3D0262C65D}"/>
    <cellStyle name="Normal 4 2 5 6 2 2 3" xfId="25417" xr:uid="{6FCC4E1B-65A8-4B8C-B606-34CAB3CEF67D}"/>
    <cellStyle name="Normal 4 2 5 6 2 3" xfId="12762" xr:uid="{63F1BF19-E53A-4033-8F25-FD62909424E5}"/>
    <cellStyle name="Normal 4 2 5 6 2 4" xfId="21200" xr:uid="{49E03401-834C-4AF9-A1BB-116D5AC0A8FA}"/>
    <cellStyle name="Normal 4 2 5 6 3" xfId="6393" xr:uid="{00000000-0005-0000-0000-0000EF130000}"/>
    <cellStyle name="Normal 4 2 5 6 3 2" xfId="14835" xr:uid="{A4555FBE-CA9B-45D3-99AE-367056CCAD91}"/>
    <cellStyle name="Normal 4 2 5 6 3 3" xfId="23272" xr:uid="{2CD42E4D-5A28-4052-9092-26220DBDACDC}"/>
    <cellStyle name="Normal 4 2 5 6 4" xfId="10617" xr:uid="{1CF613EB-4731-47EB-A24E-D0261DC9D6C7}"/>
    <cellStyle name="Normal 4 2 5 6 5" xfId="19055" xr:uid="{EB101FF1-18F3-4D3F-B599-4E193A319028}"/>
    <cellStyle name="Normal 4 2 5 7" xfId="2522" xr:uid="{00000000-0005-0000-0000-0000F0130000}"/>
    <cellStyle name="Normal 4 2 5 7 2" xfId="6806" xr:uid="{00000000-0005-0000-0000-0000F1130000}"/>
    <cellStyle name="Normal 4 2 5 7 2 2" xfId="15248" xr:uid="{4D50A44B-0774-4E54-9941-FD5E4B0B70DA}"/>
    <cellStyle name="Normal 4 2 5 7 2 3" xfId="23685" xr:uid="{88826CFC-8C7C-4841-AF08-A0EA82A80798}"/>
    <cellStyle name="Normal 4 2 5 7 3" xfId="11030" xr:uid="{CDE31509-FF3A-4D1F-BE0A-A796C894E1F7}"/>
    <cellStyle name="Normal 4 2 5 7 4" xfId="19468" xr:uid="{716349D6-D98A-45E9-A0F1-6773C9B41A58}"/>
    <cellStyle name="Normal 4 2 5 8" xfId="4741" xr:uid="{00000000-0005-0000-0000-0000F2130000}"/>
    <cellStyle name="Normal 4 2 5 8 2" xfId="13183" xr:uid="{A13F5826-557E-4D36-91A2-966DA8745586}"/>
    <cellStyle name="Normal 4 2 5 8 3" xfId="21620" xr:uid="{7D92B85C-7E4A-498C-B68E-682882A62D1B}"/>
    <cellStyle name="Normal 4 2 5 9" xfId="8965" xr:uid="{8E5CDCDE-2912-4DD0-9A43-C8796AD321C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688D160E-EFC9-4192-8E7B-A0A80394DCAC}"/>
    <cellStyle name="Normal 4 2 6 2 2 2 3" xfId="24180" xr:uid="{29424067-973B-4EBE-A01F-B20DDEB61534}"/>
    <cellStyle name="Normal 4 2 6 2 2 3" xfId="11525" xr:uid="{84ADD075-2095-4DEC-9049-A3A04E5F408F}"/>
    <cellStyle name="Normal 4 2 6 2 2 4" xfId="19963" xr:uid="{405B5A4C-D2C4-4BA6-A545-F283DC2475CB}"/>
    <cellStyle name="Normal 4 2 6 2 3" xfId="5156" xr:uid="{00000000-0005-0000-0000-0000F7130000}"/>
    <cellStyle name="Normal 4 2 6 2 3 2" xfId="13598" xr:uid="{902784A0-214C-40D1-AE72-3E8C7C8F58A6}"/>
    <cellStyle name="Normal 4 2 6 2 3 3" xfId="22035" xr:uid="{76045C93-ECE4-44D4-A935-1A182C520F4F}"/>
    <cellStyle name="Normal 4 2 6 2 4" xfId="9380" xr:uid="{7AB45A8F-559C-4092-94D2-FB31C2D195D0}"/>
    <cellStyle name="Normal 4 2 6 2 5" xfId="17818" xr:uid="{6CF61AD9-8904-4B4B-9A02-2A1481B36021}"/>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C52EB596-3FA3-4A13-8E1C-00DEB9D3F1F5}"/>
    <cellStyle name="Normal 4 2 6 3 2 2 3" xfId="24593" xr:uid="{DB7770D8-17DB-40A0-8423-BF21B215A79E}"/>
    <cellStyle name="Normal 4 2 6 3 2 3" xfId="11938" xr:uid="{CAC96F9A-7CA3-4FB5-92E4-CF32B8ACA767}"/>
    <cellStyle name="Normal 4 2 6 3 2 4" xfId="20376" xr:uid="{82F5A444-86D4-48E0-B98B-6E5ADB1CD5B5}"/>
    <cellStyle name="Normal 4 2 6 3 3" xfId="5569" xr:uid="{00000000-0005-0000-0000-0000FB130000}"/>
    <cellStyle name="Normal 4 2 6 3 3 2" xfId="14011" xr:uid="{004419BF-55F1-4073-872B-EC87CD5F5973}"/>
    <cellStyle name="Normal 4 2 6 3 3 3" xfId="22448" xr:uid="{36C3D78E-B4C8-445A-B050-FB91FE31CC3B}"/>
    <cellStyle name="Normal 4 2 6 3 4" xfId="9793" xr:uid="{C424F8C4-24AE-4508-B089-85703CF698A9}"/>
    <cellStyle name="Normal 4 2 6 3 5" xfId="18231" xr:uid="{72B15034-17EA-4DB5-A98B-1732664A4BC1}"/>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8F7AA03C-BFFC-4CCA-AD4A-2547BB79737D}"/>
    <cellStyle name="Normal 4 2 6 4 2 2 3" xfId="25006" xr:uid="{8C086C79-1829-4313-9246-BA6FBB1C14FD}"/>
    <cellStyle name="Normal 4 2 6 4 2 3" xfId="12351" xr:uid="{923F4675-619A-4133-B79F-E013E6F14CB2}"/>
    <cellStyle name="Normal 4 2 6 4 2 4" xfId="20789" xr:uid="{C99D2AB1-9719-4B72-8D82-9129F29558B0}"/>
    <cellStyle name="Normal 4 2 6 4 3" xfId="5982" xr:uid="{00000000-0005-0000-0000-0000FF130000}"/>
    <cellStyle name="Normal 4 2 6 4 3 2" xfId="14424" xr:uid="{95091E4C-77BE-456E-BFE8-482560B81BA8}"/>
    <cellStyle name="Normal 4 2 6 4 3 3" xfId="22861" xr:uid="{6B957806-5128-4357-B6CC-7568682A88DF}"/>
    <cellStyle name="Normal 4 2 6 4 4" xfId="10206" xr:uid="{842EC6AF-26D7-4A43-A507-2CFE63942B4C}"/>
    <cellStyle name="Normal 4 2 6 4 5" xfId="18644" xr:uid="{0B2B0E92-BF37-41B3-BC08-C74D0770381C}"/>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C25E3DEA-1581-4C8D-979A-97FE6CB8B034}"/>
    <cellStyle name="Normal 4 2 6 5 2 2 3" xfId="25419" xr:uid="{8F1E12EB-2067-4BAB-8F42-F3AA75D99DFA}"/>
    <cellStyle name="Normal 4 2 6 5 2 3" xfId="12764" xr:uid="{26EFA134-9313-4E9A-89BB-2FF23E6E4C75}"/>
    <cellStyle name="Normal 4 2 6 5 2 4" xfId="21202" xr:uid="{304BBFB0-3728-46AE-8EE7-B40A0AD0D418}"/>
    <cellStyle name="Normal 4 2 6 5 3" xfId="6395" xr:uid="{00000000-0005-0000-0000-000003140000}"/>
    <cellStyle name="Normal 4 2 6 5 3 2" xfId="14837" xr:uid="{9F9BFA6C-A480-4040-AADD-E87FE6368C0E}"/>
    <cellStyle name="Normal 4 2 6 5 3 3" xfId="23274" xr:uid="{CD0F7484-E8A6-4B88-94E9-B054D789B642}"/>
    <cellStyle name="Normal 4 2 6 5 4" xfId="10619" xr:uid="{27E32A45-3DC8-4ABA-A721-61DF28DE570B}"/>
    <cellStyle name="Normal 4 2 6 5 5" xfId="19057" xr:uid="{A2D0892B-F801-40B5-A9BA-867D664E05CF}"/>
    <cellStyle name="Normal 4 2 6 6" xfId="2524" xr:uid="{00000000-0005-0000-0000-000004140000}"/>
    <cellStyle name="Normal 4 2 6 6 2" xfId="6808" xr:uid="{00000000-0005-0000-0000-000005140000}"/>
    <cellStyle name="Normal 4 2 6 6 2 2" xfId="15250" xr:uid="{18D4F467-A0BC-43CD-8B6B-FB771E2B59DC}"/>
    <cellStyle name="Normal 4 2 6 6 2 3" xfId="23687" xr:uid="{F5F309ED-4DBD-470C-8993-98CC24489997}"/>
    <cellStyle name="Normal 4 2 6 6 3" xfId="11032" xr:uid="{1A32082F-9E1C-4C05-973E-6CE9DB97DFF5}"/>
    <cellStyle name="Normal 4 2 6 6 4" xfId="19470" xr:uid="{62218F9E-6BDA-482F-B230-918A482F7BC7}"/>
    <cellStyle name="Normal 4 2 6 7" xfId="4743" xr:uid="{00000000-0005-0000-0000-000006140000}"/>
    <cellStyle name="Normal 4 2 6 7 2" xfId="13185" xr:uid="{947C97F6-0720-40E3-BAFB-998A9A10972B}"/>
    <cellStyle name="Normal 4 2 6 7 3" xfId="21622" xr:uid="{61E60F36-1F83-4ECB-829F-4AAF7D986709}"/>
    <cellStyle name="Normal 4 2 6 8" xfId="8967" xr:uid="{2046BD0A-F470-48BD-8573-0C4C1D642E94}"/>
    <cellStyle name="Normal 4 2 6 9" xfId="17405" xr:uid="{6594CA80-6877-434B-B2E2-1AAE9E518FBF}"/>
    <cellStyle name="Normal 4 3" xfId="366" xr:uid="{00000000-0005-0000-0000-000007140000}"/>
    <cellStyle name="Normal 4 3 10" xfId="8968" xr:uid="{A7F10956-6089-455E-930F-528EA3DD59D5}"/>
    <cellStyle name="Normal 4 3 11" xfId="17406" xr:uid="{71F84F77-7EFB-4B0B-A108-E9A60F6E2922}"/>
    <cellStyle name="Normal 4 3 2" xfId="367" xr:uid="{00000000-0005-0000-0000-000008140000}"/>
    <cellStyle name="Normal 4 3 2 2" xfId="368" xr:uid="{00000000-0005-0000-0000-000009140000}"/>
    <cellStyle name="Normal 4 3 2 2 2" xfId="369" xr:uid="{00000000-0005-0000-0000-00000A140000}"/>
    <cellStyle name="Normal 4 3 2 2 2 10" xfId="8969" xr:uid="{24866B81-EDD3-4541-89F8-4F8269CF0531}"/>
    <cellStyle name="Normal 4 3 2 2 2 11" xfId="17407" xr:uid="{0132205D-2AFE-4305-AF1F-25E2E3FCF872}"/>
    <cellStyle name="Normal 4 3 2 2 2 2" xfId="370" xr:uid="{00000000-0005-0000-0000-00000B140000}"/>
    <cellStyle name="Normal 4 3 2 2 2 2 10" xfId="17408" xr:uid="{8E1E4996-0DF9-444F-86BE-AD462270FD92}"/>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7058A95D-58B6-4041-AD9F-A425DFFFFF96}"/>
    <cellStyle name="Normal 4 3 2 2 2 2 2 2 2 2 3" xfId="24184" xr:uid="{D03FEB6A-C1EF-459A-8F9B-01CA23FC2EA0}"/>
    <cellStyle name="Normal 4 3 2 2 2 2 2 2 2 3" xfId="11529" xr:uid="{06F2F309-A2CA-4C4E-B114-B729A4940E29}"/>
    <cellStyle name="Normal 4 3 2 2 2 2 2 2 2 4" xfId="19967" xr:uid="{A8341064-2DB0-4BA9-AAC5-3665505BFB68}"/>
    <cellStyle name="Normal 4 3 2 2 2 2 2 2 3" xfId="5160" xr:uid="{00000000-0005-0000-0000-000010140000}"/>
    <cellStyle name="Normal 4 3 2 2 2 2 2 2 3 2" xfId="13602" xr:uid="{035DDE57-2D7F-462A-979E-F9AF60A3E8FB}"/>
    <cellStyle name="Normal 4 3 2 2 2 2 2 2 3 3" xfId="22039" xr:uid="{612CDBE3-3955-46B3-8F9D-2038C330DE5F}"/>
    <cellStyle name="Normal 4 3 2 2 2 2 2 2 4" xfId="9384" xr:uid="{61FF4FA6-EC96-426B-8E77-AC38DE3EF085}"/>
    <cellStyle name="Normal 4 3 2 2 2 2 2 2 5" xfId="17822" xr:uid="{C162B7F2-A3A4-49C1-965B-02C53C70BE73}"/>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63E4499A-26F1-4801-A84E-1A56A6EFA067}"/>
    <cellStyle name="Normal 4 3 2 2 2 2 2 3 2 2 3" xfId="24597" xr:uid="{0F541725-417A-4832-AAD3-6E62E3628036}"/>
    <cellStyle name="Normal 4 3 2 2 2 2 2 3 2 3" xfId="11942" xr:uid="{1B4BB530-86F6-43D6-BE3B-B91DADDC276D}"/>
    <cellStyle name="Normal 4 3 2 2 2 2 2 3 2 4" xfId="20380" xr:uid="{A5B90556-F2B5-4703-9C58-3378D8A3C99E}"/>
    <cellStyle name="Normal 4 3 2 2 2 2 2 3 3" xfId="5573" xr:uid="{00000000-0005-0000-0000-000014140000}"/>
    <cellStyle name="Normal 4 3 2 2 2 2 2 3 3 2" xfId="14015" xr:uid="{B7F5C263-8FE0-4E70-BA1C-74B5AE78ED0F}"/>
    <cellStyle name="Normal 4 3 2 2 2 2 2 3 3 3" xfId="22452" xr:uid="{6F2539E0-D88B-4C2C-AD18-D68E50313F4C}"/>
    <cellStyle name="Normal 4 3 2 2 2 2 2 3 4" xfId="9797" xr:uid="{6AFE85C2-C2F8-4F85-AD6C-F77FF7A16E6A}"/>
    <cellStyle name="Normal 4 3 2 2 2 2 2 3 5" xfId="18235" xr:uid="{9AFBDE86-9F54-4198-A065-BBADE61CD453}"/>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DF41FABF-3700-4689-8753-AA3C91A4E61B}"/>
    <cellStyle name="Normal 4 3 2 2 2 2 2 4 2 2 3" xfId="25010" xr:uid="{0E775D1C-B017-4085-B321-9DF490500EF9}"/>
    <cellStyle name="Normal 4 3 2 2 2 2 2 4 2 3" xfId="12355" xr:uid="{8D222274-39E4-41E7-86CC-3605C731CC12}"/>
    <cellStyle name="Normal 4 3 2 2 2 2 2 4 2 4" xfId="20793" xr:uid="{76954EC2-57A3-433C-B7AB-A60C3B1E557A}"/>
    <cellStyle name="Normal 4 3 2 2 2 2 2 4 3" xfId="5986" xr:uid="{00000000-0005-0000-0000-000018140000}"/>
    <cellStyle name="Normal 4 3 2 2 2 2 2 4 3 2" xfId="14428" xr:uid="{5F5ACA28-2B7F-4E65-A59E-12BFB88F925A}"/>
    <cellStyle name="Normal 4 3 2 2 2 2 2 4 3 3" xfId="22865" xr:uid="{868C23E0-D91A-43D4-AE2F-E3990335A617}"/>
    <cellStyle name="Normal 4 3 2 2 2 2 2 4 4" xfId="10210" xr:uid="{53B32859-87B8-4270-ACDA-4BB527C246DA}"/>
    <cellStyle name="Normal 4 3 2 2 2 2 2 4 5" xfId="18648" xr:uid="{877F2A71-7DDF-4EB7-AD48-3C07A4EE1881}"/>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8F368A81-C5DA-4C19-943A-4C40A38F22C3}"/>
    <cellStyle name="Normal 4 3 2 2 2 2 2 5 2 2 3" xfId="25423" xr:uid="{5EA57E5D-7BA5-465F-AE36-1D411236A766}"/>
    <cellStyle name="Normal 4 3 2 2 2 2 2 5 2 3" xfId="12768" xr:uid="{88EDDE70-A1E3-498B-B4FE-67DB435A8CA9}"/>
    <cellStyle name="Normal 4 3 2 2 2 2 2 5 2 4" xfId="21206" xr:uid="{802F2014-DBF4-4DD8-816C-999C48FE61A8}"/>
    <cellStyle name="Normal 4 3 2 2 2 2 2 5 3" xfId="6399" xr:uid="{00000000-0005-0000-0000-00001C140000}"/>
    <cellStyle name="Normal 4 3 2 2 2 2 2 5 3 2" xfId="14841" xr:uid="{231B51C6-D6A6-46F9-87C5-31227BF113B3}"/>
    <cellStyle name="Normal 4 3 2 2 2 2 2 5 3 3" xfId="23278" xr:uid="{2E9456AE-1590-457D-B130-DC12E6DE82BD}"/>
    <cellStyle name="Normal 4 3 2 2 2 2 2 5 4" xfId="10623" xr:uid="{80980C00-6FC1-4BB8-BE4F-E19B82EB5C9E}"/>
    <cellStyle name="Normal 4 3 2 2 2 2 2 5 5" xfId="19061" xr:uid="{3C2471FA-3D2D-4871-9E82-2B255BB9E714}"/>
    <cellStyle name="Normal 4 3 2 2 2 2 2 6" xfId="2528" xr:uid="{00000000-0005-0000-0000-00001D140000}"/>
    <cellStyle name="Normal 4 3 2 2 2 2 2 6 2" xfId="6812" xr:uid="{00000000-0005-0000-0000-00001E140000}"/>
    <cellStyle name="Normal 4 3 2 2 2 2 2 6 2 2" xfId="15254" xr:uid="{0D1063EC-12A0-4BF3-9024-6B93EC5919A7}"/>
    <cellStyle name="Normal 4 3 2 2 2 2 2 6 2 3" xfId="23691" xr:uid="{5AA8A020-1E07-4812-A9E5-CF5724C3CFA8}"/>
    <cellStyle name="Normal 4 3 2 2 2 2 2 6 3" xfId="11036" xr:uid="{482BB7E2-07E0-4D01-9F85-86F7373C47AC}"/>
    <cellStyle name="Normal 4 3 2 2 2 2 2 6 4" xfId="19474" xr:uid="{64430EFD-021B-4A69-A6F1-834D309D7E09}"/>
    <cellStyle name="Normal 4 3 2 2 2 2 2 7" xfId="4747" xr:uid="{00000000-0005-0000-0000-00001F140000}"/>
    <cellStyle name="Normal 4 3 2 2 2 2 2 7 2" xfId="13189" xr:uid="{946A54FD-346D-48AD-84D6-DB2FF675E9F7}"/>
    <cellStyle name="Normal 4 3 2 2 2 2 2 7 3" xfId="21626" xr:uid="{9452F9C9-03D5-48BF-A1D3-778F7DC60AB6}"/>
    <cellStyle name="Normal 4 3 2 2 2 2 2 8" xfId="8971" xr:uid="{D93C76C0-7647-4A86-AB8F-8447C2F85791}"/>
    <cellStyle name="Normal 4 3 2 2 2 2 2 9" xfId="17409" xr:uid="{E787B44A-71F3-4060-B7B1-BC276245A66B}"/>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25056CA8-3A59-405A-B7A2-7704BA483CA4}"/>
    <cellStyle name="Normal 4 3 2 2 2 2 3 2 2 3" xfId="24183" xr:uid="{549BC038-CE09-44C4-B96B-602052140CE3}"/>
    <cellStyle name="Normal 4 3 2 2 2 2 3 2 3" xfId="11528" xr:uid="{D701BEB3-6243-4810-80DF-6C5F27D9D52E}"/>
    <cellStyle name="Normal 4 3 2 2 2 2 3 2 4" xfId="19966" xr:uid="{EE585F0E-D673-4D13-9038-7FF8727B4683}"/>
    <cellStyle name="Normal 4 3 2 2 2 2 3 3" xfId="5159" xr:uid="{00000000-0005-0000-0000-000023140000}"/>
    <cellStyle name="Normal 4 3 2 2 2 2 3 3 2" xfId="13601" xr:uid="{A56F6BBA-F8E1-45FF-B098-D24DE2FB5C93}"/>
    <cellStyle name="Normal 4 3 2 2 2 2 3 3 3" xfId="22038" xr:uid="{14BE8790-4825-481E-B1AC-38CB02EB9827}"/>
    <cellStyle name="Normal 4 3 2 2 2 2 3 4" xfId="9383" xr:uid="{87393832-067C-4EB4-B7CA-024C243EF9BF}"/>
    <cellStyle name="Normal 4 3 2 2 2 2 3 5" xfId="17821" xr:uid="{D9A912C8-8009-4CF3-946D-B27E24203F2D}"/>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A1E1881B-1118-4451-B9E3-BA12E94131A9}"/>
    <cellStyle name="Normal 4 3 2 2 2 2 4 2 2 3" xfId="24596" xr:uid="{2D2D6AF5-10A7-4467-9888-87343693CEFF}"/>
    <cellStyle name="Normal 4 3 2 2 2 2 4 2 3" xfId="11941" xr:uid="{C55D3B99-4420-4ECD-94B5-6B60B81743D9}"/>
    <cellStyle name="Normal 4 3 2 2 2 2 4 2 4" xfId="20379" xr:uid="{54C6A1D5-5B09-47A8-9B69-5EF938ADA27E}"/>
    <cellStyle name="Normal 4 3 2 2 2 2 4 3" xfId="5572" xr:uid="{00000000-0005-0000-0000-000027140000}"/>
    <cellStyle name="Normal 4 3 2 2 2 2 4 3 2" xfId="14014" xr:uid="{2505FBCC-2E0D-44D9-ACA9-2280FB4756CB}"/>
    <cellStyle name="Normal 4 3 2 2 2 2 4 3 3" xfId="22451" xr:uid="{5C2C7CEA-177D-4186-8D49-34154210A2ED}"/>
    <cellStyle name="Normal 4 3 2 2 2 2 4 4" xfId="9796" xr:uid="{EDBD9586-4C5C-4837-99F8-CB43BE403DB5}"/>
    <cellStyle name="Normal 4 3 2 2 2 2 4 5" xfId="18234" xr:uid="{63653731-5F05-4378-92D5-F8EA19CB7DA5}"/>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C3BBFE62-1227-4AE1-A3B6-C162453C23EB}"/>
    <cellStyle name="Normal 4 3 2 2 2 2 5 2 2 3" xfId="25009" xr:uid="{40A35422-030A-4074-A873-06783C3A7A2E}"/>
    <cellStyle name="Normal 4 3 2 2 2 2 5 2 3" xfId="12354" xr:uid="{0B71FC83-1D1E-4272-BF54-8B9C9781AC65}"/>
    <cellStyle name="Normal 4 3 2 2 2 2 5 2 4" xfId="20792" xr:uid="{F06F284D-68B6-4D8C-8464-32646EA1D7C7}"/>
    <cellStyle name="Normal 4 3 2 2 2 2 5 3" xfId="5985" xr:uid="{00000000-0005-0000-0000-00002B140000}"/>
    <cellStyle name="Normal 4 3 2 2 2 2 5 3 2" xfId="14427" xr:uid="{2924D8A0-569C-4EDE-9490-98D4745B8235}"/>
    <cellStyle name="Normal 4 3 2 2 2 2 5 3 3" xfId="22864" xr:uid="{9FD513AA-A7A9-4553-B8A3-D606615037B0}"/>
    <cellStyle name="Normal 4 3 2 2 2 2 5 4" xfId="10209" xr:uid="{41F3F743-3552-49B6-BD2D-D540E2158426}"/>
    <cellStyle name="Normal 4 3 2 2 2 2 5 5" xfId="18647" xr:uid="{B09B3244-B006-46B5-850B-33B590F28AFD}"/>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D1F08186-A8FD-4CBA-B918-13C7903377E5}"/>
    <cellStyle name="Normal 4 3 2 2 2 2 6 2 2 3" xfId="25422" xr:uid="{EFA30D94-E37A-4D3A-B4AC-6AE2BD0B9400}"/>
    <cellStyle name="Normal 4 3 2 2 2 2 6 2 3" xfId="12767" xr:uid="{6FF66E4B-F97B-4B61-A9B4-59566D818840}"/>
    <cellStyle name="Normal 4 3 2 2 2 2 6 2 4" xfId="21205" xr:uid="{787D1978-9C38-4389-BC33-B2CB60AF55D5}"/>
    <cellStyle name="Normal 4 3 2 2 2 2 6 3" xfId="6398" xr:uid="{00000000-0005-0000-0000-00002F140000}"/>
    <cellStyle name="Normal 4 3 2 2 2 2 6 3 2" xfId="14840" xr:uid="{840AA4D0-A77F-44FF-9C67-E774BCB46747}"/>
    <cellStyle name="Normal 4 3 2 2 2 2 6 3 3" xfId="23277" xr:uid="{39C5A71B-203F-4DD3-A148-26A084B9E53F}"/>
    <cellStyle name="Normal 4 3 2 2 2 2 6 4" xfId="10622" xr:uid="{E0B011D0-00A4-4569-8331-E85CA530D010}"/>
    <cellStyle name="Normal 4 3 2 2 2 2 6 5" xfId="19060" xr:uid="{C9AAE139-7C28-411B-8BEF-090B61F798BD}"/>
    <cellStyle name="Normal 4 3 2 2 2 2 7" xfId="2527" xr:uid="{00000000-0005-0000-0000-000030140000}"/>
    <cellStyle name="Normal 4 3 2 2 2 2 7 2" xfId="6811" xr:uid="{00000000-0005-0000-0000-000031140000}"/>
    <cellStyle name="Normal 4 3 2 2 2 2 7 2 2" xfId="15253" xr:uid="{F0C6592D-D339-4248-B950-688CC08957F9}"/>
    <cellStyle name="Normal 4 3 2 2 2 2 7 2 3" xfId="23690" xr:uid="{307A9273-0FF2-40CE-831D-94EF27FD9498}"/>
    <cellStyle name="Normal 4 3 2 2 2 2 7 3" xfId="11035" xr:uid="{309AD0E2-F4F3-4219-8110-E6485E240380}"/>
    <cellStyle name="Normal 4 3 2 2 2 2 7 4" xfId="19473" xr:uid="{C4EAF5CB-EE80-4026-A1E1-BFD82A6450A1}"/>
    <cellStyle name="Normal 4 3 2 2 2 2 8" xfId="4746" xr:uid="{00000000-0005-0000-0000-000032140000}"/>
    <cellStyle name="Normal 4 3 2 2 2 2 8 2" xfId="13188" xr:uid="{5F2A2238-304C-4677-BC27-39CB44EFD721}"/>
    <cellStyle name="Normal 4 3 2 2 2 2 8 3" xfId="21625" xr:uid="{88656FDE-9C42-4EB7-9DED-F4EECE9FF6A1}"/>
    <cellStyle name="Normal 4 3 2 2 2 2 9" xfId="8970" xr:uid="{B90F9852-8053-4FF3-8A73-F8ED5B623E9F}"/>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3EAF570D-E836-48F7-85E8-9C2D40797E96}"/>
    <cellStyle name="Normal 4 3 2 2 2 3 2 2 2 3" xfId="24185" xr:uid="{A2913686-E071-499D-83D4-82E251A3623A}"/>
    <cellStyle name="Normal 4 3 2 2 2 3 2 2 3" xfId="11530" xr:uid="{F5EE9643-8A79-4229-8087-943BD3756740}"/>
    <cellStyle name="Normal 4 3 2 2 2 3 2 2 4" xfId="19968" xr:uid="{7CD6D435-B58A-4183-A21D-2C9F66F669EA}"/>
    <cellStyle name="Normal 4 3 2 2 2 3 2 3" xfId="5161" xr:uid="{00000000-0005-0000-0000-000037140000}"/>
    <cellStyle name="Normal 4 3 2 2 2 3 2 3 2" xfId="13603" xr:uid="{71282B65-57B4-4CCB-AA25-2A0080D30A1E}"/>
    <cellStyle name="Normal 4 3 2 2 2 3 2 3 3" xfId="22040" xr:uid="{9E898F4F-5590-44C5-8BC5-797E7829C960}"/>
    <cellStyle name="Normal 4 3 2 2 2 3 2 4" xfId="9385" xr:uid="{4C7A2E50-CA64-4B69-BB71-88A1BBB8A269}"/>
    <cellStyle name="Normal 4 3 2 2 2 3 2 5" xfId="17823" xr:uid="{35DF9913-2F9E-44DD-B1A9-934D491DBEE3}"/>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D5D38FF5-34B9-499D-B8EE-85929D135BDF}"/>
    <cellStyle name="Normal 4 3 2 2 2 3 3 2 2 3" xfId="24598" xr:uid="{4ECA7335-D14B-4C62-B6EA-6421010272C4}"/>
    <cellStyle name="Normal 4 3 2 2 2 3 3 2 3" xfId="11943" xr:uid="{C693A037-B9CD-49D6-A437-85838C99FDCB}"/>
    <cellStyle name="Normal 4 3 2 2 2 3 3 2 4" xfId="20381" xr:uid="{AFCC127F-849A-48FE-84F5-E0557162863B}"/>
    <cellStyle name="Normal 4 3 2 2 2 3 3 3" xfId="5574" xr:uid="{00000000-0005-0000-0000-00003B140000}"/>
    <cellStyle name="Normal 4 3 2 2 2 3 3 3 2" xfId="14016" xr:uid="{7E056ABE-5B53-4D63-84F3-A8FF453BBC8B}"/>
    <cellStyle name="Normal 4 3 2 2 2 3 3 3 3" xfId="22453" xr:uid="{7DBC5851-4C17-4E38-846B-A32C2825EDB6}"/>
    <cellStyle name="Normal 4 3 2 2 2 3 3 4" xfId="9798" xr:uid="{6E91AC88-13F6-47FE-9CB4-81D686D04FDE}"/>
    <cellStyle name="Normal 4 3 2 2 2 3 3 5" xfId="18236" xr:uid="{CB805936-3034-47D1-A637-82A2697870FF}"/>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27F9D7A0-50BD-4759-9574-409B6AF8E5E2}"/>
    <cellStyle name="Normal 4 3 2 2 2 3 4 2 2 3" xfId="25011" xr:uid="{DFF64421-2F4C-4855-B63E-AEA3B481727B}"/>
    <cellStyle name="Normal 4 3 2 2 2 3 4 2 3" xfId="12356" xr:uid="{A9E9E8B9-2070-4FDD-A242-E8519D127557}"/>
    <cellStyle name="Normal 4 3 2 2 2 3 4 2 4" xfId="20794" xr:uid="{B2DAC873-6680-4B9E-9552-74F6F82412C2}"/>
    <cellStyle name="Normal 4 3 2 2 2 3 4 3" xfId="5987" xr:uid="{00000000-0005-0000-0000-00003F140000}"/>
    <cellStyle name="Normal 4 3 2 2 2 3 4 3 2" xfId="14429" xr:uid="{A94AD3DA-1556-4718-AC9C-C0FD9E44CD32}"/>
    <cellStyle name="Normal 4 3 2 2 2 3 4 3 3" xfId="22866" xr:uid="{F10757F7-73DC-4B70-B76A-851826D35734}"/>
    <cellStyle name="Normal 4 3 2 2 2 3 4 4" xfId="10211" xr:uid="{35104953-2A8A-45F4-BA3A-45BE24C5D349}"/>
    <cellStyle name="Normal 4 3 2 2 2 3 4 5" xfId="18649" xr:uid="{8324E872-2B27-4269-BBB1-E29F3E2CCD72}"/>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7512A82A-1D08-4D1E-82EE-89C652D8F319}"/>
    <cellStyle name="Normal 4 3 2 2 2 3 5 2 2 3" xfId="25424" xr:uid="{36D6D6EB-8C51-4FBD-BAFE-2DFF4553DA55}"/>
    <cellStyle name="Normal 4 3 2 2 2 3 5 2 3" xfId="12769" xr:uid="{9EDB165B-E1F8-41DB-8A63-34A087330981}"/>
    <cellStyle name="Normal 4 3 2 2 2 3 5 2 4" xfId="21207" xr:uid="{CEFEF35E-017C-4BBE-B5F6-BFA77A2F5994}"/>
    <cellStyle name="Normal 4 3 2 2 2 3 5 3" xfId="6400" xr:uid="{00000000-0005-0000-0000-000043140000}"/>
    <cellStyle name="Normal 4 3 2 2 2 3 5 3 2" xfId="14842" xr:uid="{EAD1BFA6-9E4D-490D-BB8C-7F0FFD358DCA}"/>
    <cellStyle name="Normal 4 3 2 2 2 3 5 3 3" xfId="23279" xr:uid="{62B4EDD5-2143-4F00-ADC9-DACA96BB51DD}"/>
    <cellStyle name="Normal 4 3 2 2 2 3 5 4" xfId="10624" xr:uid="{C068BF10-503A-4BCA-B935-0E0F7E09C97A}"/>
    <cellStyle name="Normal 4 3 2 2 2 3 5 5" xfId="19062" xr:uid="{EEC269FE-4950-4823-AE68-1520430A2636}"/>
    <cellStyle name="Normal 4 3 2 2 2 3 6" xfId="2529" xr:uid="{00000000-0005-0000-0000-000044140000}"/>
    <cellStyle name="Normal 4 3 2 2 2 3 6 2" xfId="6813" xr:uid="{00000000-0005-0000-0000-000045140000}"/>
    <cellStyle name="Normal 4 3 2 2 2 3 6 2 2" xfId="15255" xr:uid="{9E707783-859C-4504-8062-667FB95D0DB1}"/>
    <cellStyle name="Normal 4 3 2 2 2 3 6 2 3" xfId="23692" xr:uid="{A2D03DB6-CD8E-46E6-BF14-87A42D14A079}"/>
    <cellStyle name="Normal 4 3 2 2 2 3 6 3" xfId="11037" xr:uid="{8B43AF0B-F362-4C35-B471-A9F2CE8FFAF7}"/>
    <cellStyle name="Normal 4 3 2 2 2 3 6 4" xfId="19475" xr:uid="{CCE4CC7E-E236-4CF9-A3A9-0885F2531353}"/>
    <cellStyle name="Normal 4 3 2 2 2 3 7" xfId="4748" xr:uid="{00000000-0005-0000-0000-000046140000}"/>
    <cellStyle name="Normal 4 3 2 2 2 3 7 2" xfId="13190" xr:uid="{9EA2A2D7-4EAB-4824-ADC4-033F8E78C200}"/>
    <cellStyle name="Normal 4 3 2 2 2 3 7 3" xfId="21627" xr:uid="{EFE45E16-9889-4C36-BD3F-3A5E0AD4E70B}"/>
    <cellStyle name="Normal 4 3 2 2 2 3 8" xfId="8972" xr:uid="{621D7039-4902-4CC1-AF62-80C7FD141513}"/>
    <cellStyle name="Normal 4 3 2 2 2 3 9" xfId="17410" xr:uid="{1C5BBCC1-4947-4718-96E0-A340571B6959}"/>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BF5A67A3-7AE2-4513-9416-BE6EB0A3D214}"/>
    <cellStyle name="Normal 4 3 2 2 2 4 2 2 3" xfId="24182" xr:uid="{C31E609F-8748-4E33-A74B-726855BAA9FF}"/>
    <cellStyle name="Normal 4 3 2 2 2 4 2 3" xfId="11527" xr:uid="{5E50CCBC-7538-4B0D-81C6-4B2EBAB956B3}"/>
    <cellStyle name="Normal 4 3 2 2 2 4 2 4" xfId="19965" xr:uid="{DD759E1E-D1CE-4650-A0D5-C11E3CA766B0}"/>
    <cellStyle name="Normal 4 3 2 2 2 4 3" xfId="5158" xr:uid="{00000000-0005-0000-0000-00004A140000}"/>
    <cellStyle name="Normal 4 3 2 2 2 4 3 2" xfId="13600" xr:uid="{2A8D6EC9-AD14-4046-89BF-3D4A44B20089}"/>
    <cellStyle name="Normal 4 3 2 2 2 4 3 3" xfId="22037" xr:uid="{46BB470E-0339-4E50-9E60-03F02FE3A3AA}"/>
    <cellStyle name="Normal 4 3 2 2 2 4 4" xfId="9382" xr:uid="{F95266F5-7A98-452D-96A7-11E0B221F821}"/>
    <cellStyle name="Normal 4 3 2 2 2 4 5" xfId="17820" xr:uid="{B4A0CB6D-CE91-4632-AD7D-06AB14319664}"/>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DFDA5853-22DE-45E2-925F-427442EBFE40}"/>
    <cellStyle name="Normal 4 3 2 2 2 5 2 2 3" xfId="24595" xr:uid="{47EEC7D6-5C23-4EF3-BA84-E6D0B959F2DA}"/>
    <cellStyle name="Normal 4 3 2 2 2 5 2 3" xfId="11940" xr:uid="{F1E30F83-5775-4286-83DB-837505706321}"/>
    <cellStyle name="Normal 4 3 2 2 2 5 2 4" xfId="20378" xr:uid="{E9F27C60-4DB6-4FDB-BF33-C7E544FA8D64}"/>
    <cellStyle name="Normal 4 3 2 2 2 5 3" xfId="5571" xr:uid="{00000000-0005-0000-0000-00004E140000}"/>
    <cellStyle name="Normal 4 3 2 2 2 5 3 2" xfId="14013" xr:uid="{21B7D35B-98BD-4FC3-B99C-33AB2113C2BE}"/>
    <cellStyle name="Normal 4 3 2 2 2 5 3 3" xfId="22450" xr:uid="{A7C7C5EF-37D0-4A70-9415-5E04787A1993}"/>
    <cellStyle name="Normal 4 3 2 2 2 5 4" xfId="9795" xr:uid="{4DDE71E8-C4AB-43B8-962C-A048798718FD}"/>
    <cellStyle name="Normal 4 3 2 2 2 5 5" xfId="18233" xr:uid="{CC0813C2-3E70-4145-9A00-BC511FC252A9}"/>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092777F0-AB29-4D94-B752-29444BCB7740}"/>
    <cellStyle name="Normal 4 3 2 2 2 6 2 2 3" xfId="25008" xr:uid="{6D97DDBF-91F3-493B-97DE-4590DFF90781}"/>
    <cellStyle name="Normal 4 3 2 2 2 6 2 3" xfId="12353" xr:uid="{B6FA0C67-1C4A-4BA8-9DB0-B5270C0F54AD}"/>
    <cellStyle name="Normal 4 3 2 2 2 6 2 4" xfId="20791" xr:uid="{2E697FE9-C07E-425E-8344-F5EF4D0AC3EB}"/>
    <cellStyle name="Normal 4 3 2 2 2 6 3" xfId="5984" xr:uid="{00000000-0005-0000-0000-000052140000}"/>
    <cellStyle name="Normal 4 3 2 2 2 6 3 2" xfId="14426" xr:uid="{15E58A18-A1BF-425F-9C22-CB6E8B2B9F0D}"/>
    <cellStyle name="Normal 4 3 2 2 2 6 3 3" xfId="22863" xr:uid="{2AEDD273-A071-43FF-B12A-0F27A5CC7896}"/>
    <cellStyle name="Normal 4 3 2 2 2 6 4" xfId="10208" xr:uid="{409B565D-6B13-481D-96D7-CFF886A2B42F}"/>
    <cellStyle name="Normal 4 3 2 2 2 6 5" xfId="18646" xr:uid="{927C6EE8-9C5B-4982-9710-A08595C95068}"/>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F779319D-3FDD-4AA5-B123-9B917CEB23A5}"/>
    <cellStyle name="Normal 4 3 2 2 2 7 2 2 3" xfId="25421" xr:uid="{BF1CF955-C298-493D-A7E7-07C1E0D8C4FF}"/>
    <cellStyle name="Normal 4 3 2 2 2 7 2 3" xfId="12766" xr:uid="{DBDA59BD-7D4A-42C4-8FC9-5AE2B35BA328}"/>
    <cellStyle name="Normal 4 3 2 2 2 7 2 4" xfId="21204" xr:uid="{4733313D-0F5D-492D-85FC-A4A0F0609D26}"/>
    <cellStyle name="Normal 4 3 2 2 2 7 3" xfId="6397" xr:uid="{00000000-0005-0000-0000-000056140000}"/>
    <cellStyle name="Normal 4 3 2 2 2 7 3 2" xfId="14839" xr:uid="{540BA82D-4447-4AC8-B723-1203A8D945F5}"/>
    <cellStyle name="Normal 4 3 2 2 2 7 3 3" xfId="23276" xr:uid="{1D9BA4DC-4E4F-4385-85EB-902AF70A6C7E}"/>
    <cellStyle name="Normal 4 3 2 2 2 7 4" xfId="10621" xr:uid="{AD820945-1A26-4590-A1DC-1D2F969C5FB6}"/>
    <cellStyle name="Normal 4 3 2 2 2 7 5" xfId="19059" xr:uid="{C14EB72A-7E70-4F17-AB43-87CC5F069138}"/>
    <cellStyle name="Normal 4 3 2 2 2 8" xfId="2526" xr:uid="{00000000-0005-0000-0000-000057140000}"/>
    <cellStyle name="Normal 4 3 2 2 2 8 2" xfId="6810" xr:uid="{00000000-0005-0000-0000-000058140000}"/>
    <cellStyle name="Normal 4 3 2 2 2 8 2 2" xfId="15252" xr:uid="{8D40ED8B-A91B-4325-ACC6-070CBE241DF0}"/>
    <cellStyle name="Normal 4 3 2 2 2 8 2 3" xfId="23689" xr:uid="{AED6ACBD-CEB7-4D78-BE29-9E4358472C8B}"/>
    <cellStyle name="Normal 4 3 2 2 2 8 3" xfId="11034" xr:uid="{0B727E39-6E55-430D-99B0-4CE6CE14C7A9}"/>
    <cellStyle name="Normal 4 3 2 2 2 8 4" xfId="19472" xr:uid="{FC21F38D-C5B3-45A8-96EB-531DB96DE9CF}"/>
    <cellStyle name="Normal 4 3 2 2 2 9" xfId="4745" xr:uid="{00000000-0005-0000-0000-000059140000}"/>
    <cellStyle name="Normal 4 3 2 2 2 9 2" xfId="13187" xr:uid="{EBA014AF-DFC2-4047-908F-1542F1BCAF6D}"/>
    <cellStyle name="Normal 4 3 2 2 2 9 3" xfId="21624" xr:uid="{623FF696-2DC5-475C-B708-FAF33DFAC6A8}"/>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85F4AEDE-3F1B-4CDC-8EF1-E6AC1ADD47B1}"/>
    <cellStyle name="Normal 4 3 3 11" xfId="17411" xr:uid="{488A1517-80FB-4105-96AD-31D728F2FA13}"/>
    <cellStyle name="Normal 4 3 3 2" xfId="375" xr:uid="{00000000-0005-0000-0000-00005E140000}"/>
    <cellStyle name="Normal 4 3 3 2 10" xfId="17412" xr:uid="{4D8192B9-4092-40A9-A315-304090E1EF55}"/>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A6DB4909-A7DF-41D3-97B0-0FC52D72710F}"/>
    <cellStyle name="Normal 4 3 3 2 2 2 2 2 3" xfId="24188" xr:uid="{0A4E8706-0215-4302-B340-A2FEE1E6CBFF}"/>
    <cellStyle name="Normal 4 3 3 2 2 2 2 3" xfId="11533" xr:uid="{B35BEEF4-83E4-41D0-9D1C-C5C04923F427}"/>
    <cellStyle name="Normal 4 3 3 2 2 2 2 4" xfId="19971" xr:uid="{6C9BB48B-25B1-4B7C-9641-05B72399501C}"/>
    <cellStyle name="Normal 4 3 3 2 2 2 3" xfId="5164" xr:uid="{00000000-0005-0000-0000-000063140000}"/>
    <cellStyle name="Normal 4 3 3 2 2 2 3 2" xfId="13606" xr:uid="{F1C90E2D-C033-42A2-A319-1572B789D8F4}"/>
    <cellStyle name="Normal 4 3 3 2 2 2 3 3" xfId="22043" xr:uid="{CDDFD4D9-FA64-4158-B34B-77EF9F5C0DD8}"/>
    <cellStyle name="Normal 4 3 3 2 2 2 4" xfId="9388" xr:uid="{03D88F0C-A423-441C-97A5-C23A9FC01258}"/>
    <cellStyle name="Normal 4 3 3 2 2 2 5" xfId="17826" xr:uid="{0B20C1D7-02A4-4934-B0C8-D6D8522F6E18}"/>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E8286B8A-DED5-425A-8731-86959309EB5C}"/>
    <cellStyle name="Normal 4 3 3 2 2 3 2 2 3" xfId="24601" xr:uid="{226DB8B3-CDA9-44B9-9B78-B951AABE77C4}"/>
    <cellStyle name="Normal 4 3 3 2 2 3 2 3" xfId="11946" xr:uid="{F39BE3B8-19CF-444E-AE66-C841C1A802F3}"/>
    <cellStyle name="Normal 4 3 3 2 2 3 2 4" xfId="20384" xr:uid="{FAB19115-689D-4767-A488-533C14382FC8}"/>
    <cellStyle name="Normal 4 3 3 2 2 3 3" xfId="5577" xr:uid="{00000000-0005-0000-0000-000067140000}"/>
    <cellStyle name="Normal 4 3 3 2 2 3 3 2" xfId="14019" xr:uid="{06646F54-B46E-4F1E-85C8-2704BE214A97}"/>
    <cellStyle name="Normal 4 3 3 2 2 3 3 3" xfId="22456" xr:uid="{EB319BF7-922B-4042-BAAF-B4D0DD9CB48D}"/>
    <cellStyle name="Normal 4 3 3 2 2 3 4" xfId="9801" xr:uid="{B5F16E8E-4A1E-4FDD-AEB6-E99616DA0B9D}"/>
    <cellStyle name="Normal 4 3 3 2 2 3 5" xfId="18239" xr:uid="{729FF904-FE94-423F-A320-44ADB431B55C}"/>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28FE2607-426B-4E51-AC0A-5503872CD0A6}"/>
    <cellStyle name="Normal 4 3 3 2 2 4 2 2 3" xfId="25014" xr:uid="{8686AF57-0F60-43DB-8709-DFD696725C32}"/>
    <cellStyle name="Normal 4 3 3 2 2 4 2 3" xfId="12359" xr:uid="{6DEDF9F4-5984-4139-8F34-8537D37FD07E}"/>
    <cellStyle name="Normal 4 3 3 2 2 4 2 4" xfId="20797" xr:uid="{F2C3D581-FE46-4CEE-86D1-D8040454065B}"/>
    <cellStyle name="Normal 4 3 3 2 2 4 3" xfId="5990" xr:uid="{00000000-0005-0000-0000-00006B140000}"/>
    <cellStyle name="Normal 4 3 3 2 2 4 3 2" xfId="14432" xr:uid="{59290284-A584-4FBE-8962-4B0FD35D51F2}"/>
    <cellStyle name="Normal 4 3 3 2 2 4 3 3" xfId="22869" xr:uid="{59598C00-60D7-417F-AAC7-67CCEA678BE6}"/>
    <cellStyle name="Normal 4 3 3 2 2 4 4" xfId="10214" xr:uid="{A6406B43-3F65-4B52-BD46-CCDA4A8B9A5C}"/>
    <cellStyle name="Normal 4 3 3 2 2 4 5" xfId="18652" xr:uid="{CB8ACDBB-4ED1-4DDE-81C5-25ED481D52AB}"/>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0DD60073-ABC5-431A-892D-BCDB16BE6AEC}"/>
    <cellStyle name="Normal 4 3 3 2 2 5 2 2 3" xfId="25427" xr:uid="{856BE824-9FCE-43D4-851B-D7C799FC483F}"/>
    <cellStyle name="Normal 4 3 3 2 2 5 2 3" xfId="12772" xr:uid="{C5234945-7B1B-4651-A965-875E4E8EFCB8}"/>
    <cellStyle name="Normal 4 3 3 2 2 5 2 4" xfId="21210" xr:uid="{533FA09B-7F5D-4FF8-BC4E-A7B4F13EC6ED}"/>
    <cellStyle name="Normal 4 3 3 2 2 5 3" xfId="6403" xr:uid="{00000000-0005-0000-0000-00006F140000}"/>
    <cellStyle name="Normal 4 3 3 2 2 5 3 2" xfId="14845" xr:uid="{6D40775D-916F-43F1-9128-8861AF95AC09}"/>
    <cellStyle name="Normal 4 3 3 2 2 5 3 3" xfId="23282" xr:uid="{D012E372-F5F6-4CF9-99C3-401EE30DF7CF}"/>
    <cellStyle name="Normal 4 3 3 2 2 5 4" xfId="10627" xr:uid="{E6796C93-C086-4E43-902F-FCF502328453}"/>
    <cellStyle name="Normal 4 3 3 2 2 5 5" xfId="19065" xr:uid="{E6BD2D74-B7A1-4924-AC27-F287F6624652}"/>
    <cellStyle name="Normal 4 3 3 2 2 6" xfId="2532" xr:uid="{00000000-0005-0000-0000-000070140000}"/>
    <cellStyle name="Normal 4 3 3 2 2 6 2" xfId="6816" xr:uid="{00000000-0005-0000-0000-000071140000}"/>
    <cellStyle name="Normal 4 3 3 2 2 6 2 2" xfId="15258" xr:uid="{883F8FA0-FAF7-4037-BE6D-495E558D03A0}"/>
    <cellStyle name="Normal 4 3 3 2 2 6 2 3" xfId="23695" xr:uid="{674D567F-A85F-4EC9-98A8-EA6C68F5086F}"/>
    <cellStyle name="Normal 4 3 3 2 2 6 3" xfId="11040" xr:uid="{2BFA39A3-0F8A-446A-9D53-74DF3779908C}"/>
    <cellStyle name="Normal 4 3 3 2 2 6 4" xfId="19478" xr:uid="{24F0AE52-37A1-44B5-90EC-87E53649B2FE}"/>
    <cellStyle name="Normal 4 3 3 2 2 7" xfId="4751" xr:uid="{00000000-0005-0000-0000-000072140000}"/>
    <cellStyle name="Normal 4 3 3 2 2 7 2" xfId="13193" xr:uid="{9CE097F5-653D-4DC6-A5EE-578D20A9611C}"/>
    <cellStyle name="Normal 4 3 3 2 2 7 3" xfId="21630" xr:uid="{C6526864-3AE4-4CD6-885B-3388147D809D}"/>
    <cellStyle name="Normal 4 3 3 2 2 8" xfId="8975" xr:uid="{8E107F10-22F2-4113-856F-19FDD9087E58}"/>
    <cellStyle name="Normal 4 3 3 2 2 9" xfId="17413" xr:uid="{56EF0CE5-E886-40A8-A6B4-35EB2EC1A409}"/>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B296219D-66B5-40D8-A7D9-5DAEFF1B36C2}"/>
    <cellStyle name="Normal 4 3 3 2 3 2 2 3" xfId="24187" xr:uid="{0ECBBD58-3811-49E1-9A92-2EFD2C9008BF}"/>
    <cellStyle name="Normal 4 3 3 2 3 2 3" xfId="11532" xr:uid="{A3B43E5D-0154-4597-829F-E2821ACDD977}"/>
    <cellStyle name="Normal 4 3 3 2 3 2 4" xfId="19970" xr:uid="{AA87B95F-197B-4EE1-A52F-F9CAAA081CBD}"/>
    <cellStyle name="Normal 4 3 3 2 3 3" xfId="5163" xr:uid="{00000000-0005-0000-0000-000076140000}"/>
    <cellStyle name="Normal 4 3 3 2 3 3 2" xfId="13605" xr:uid="{C221482E-970E-4536-9CCE-D8CBBF2AF244}"/>
    <cellStyle name="Normal 4 3 3 2 3 3 3" xfId="22042" xr:uid="{6819C1BC-55D4-4561-AA70-D6197BE866D8}"/>
    <cellStyle name="Normal 4 3 3 2 3 4" xfId="9387" xr:uid="{7D88ADF3-A579-4B80-BCAF-BEDE44496FF8}"/>
    <cellStyle name="Normal 4 3 3 2 3 5" xfId="17825" xr:uid="{DDDA5CAA-FE0C-47F9-9358-95887A0A1F31}"/>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0B714D2E-5312-4020-A7CB-8E6D1FC1629B}"/>
    <cellStyle name="Normal 4 3 3 2 4 2 2 3" xfId="24600" xr:uid="{CBA79DE2-FAED-4889-991F-7096ACE0CCE3}"/>
    <cellStyle name="Normal 4 3 3 2 4 2 3" xfId="11945" xr:uid="{BDBB0D83-41DD-48F4-AFC8-E0CF06EE26ED}"/>
    <cellStyle name="Normal 4 3 3 2 4 2 4" xfId="20383" xr:uid="{AE825D6A-F7E6-415B-AEA8-582829CB2D76}"/>
    <cellStyle name="Normal 4 3 3 2 4 3" xfId="5576" xr:uid="{00000000-0005-0000-0000-00007A140000}"/>
    <cellStyle name="Normal 4 3 3 2 4 3 2" xfId="14018" xr:uid="{1177F339-61EA-4BA8-BE12-F8D12D30F7CF}"/>
    <cellStyle name="Normal 4 3 3 2 4 3 3" xfId="22455" xr:uid="{800E0797-A3C5-4C7D-8638-A8B5404AE71D}"/>
    <cellStyle name="Normal 4 3 3 2 4 4" xfId="9800" xr:uid="{1801E5DA-71B8-4B7D-A2A6-8668E6B8CCD6}"/>
    <cellStyle name="Normal 4 3 3 2 4 5" xfId="18238" xr:uid="{DD5E65BC-7456-4CF7-A525-A69A0B84C38F}"/>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49AB6F4F-2F2D-439A-9D84-A281A77A851F}"/>
    <cellStyle name="Normal 4 3 3 2 5 2 2 3" xfId="25013" xr:uid="{46020AE0-2BCE-4873-84E1-572508739FE1}"/>
    <cellStyle name="Normal 4 3 3 2 5 2 3" xfId="12358" xr:uid="{AC5CFF9B-173C-4420-9E89-D9141B6691FF}"/>
    <cellStyle name="Normal 4 3 3 2 5 2 4" xfId="20796" xr:uid="{55BFFF67-DCF6-465C-8336-FAC7706FA560}"/>
    <cellStyle name="Normal 4 3 3 2 5 3" xfId="5989" xr:uid="{00000000-0005-0000-0000-00007E140000}"/>
    <cellStyle name="Normal 4 3 3 2 5 3 2" xfId="14431" xr:uid="{79619BA4-DA0E-4F57-89D4-2E5D20A82E70}"/>
    <cellStyle name="Normal 4 3 3 2 5 3 3" xfId="22868" xr:uid="{9A4364E3-B7D5-4B99-BD80-C1B7EBFECF96}"/>
    <cellStyle name="Normal 4 3 3 2 5 4" xfId="10213" xr:uid="{2068B8B5-FD64-45E1-8EC8-B9A42DF3D4DE}"/>
    <cellStyle name="Normal 4 3 3 2 5 5" xfId="18651" xr:uid="{B9B42263-1801-4361-815B-DECDD7B854F6}"/>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341FDFD1-741E-4EB2-AB5B-B4B33754AEE1}"/>
    <cellStyle name="Normal 4 3 3 2 6 2 2 3" xfId="25426" xr:uid="{8C5AF903-2B3B-43B0-AFEF-18544E4F6AFE}"/>
    <cellStyle name="Normal 4 3 3 2 6 2 3" xfId="12771" xr:uid="{8387E878-38B1-473A-8021-6B0B7914CACE}"/>
    <cellStyle name="Normal 4 3 3 2 6 2 4" xfId="21209" xr:uid="{F75A4555-FE5A-4448-8A1F-D37D9AD3BAAF}"/>
    <cellStyle name="Normal 4 3 3 2 6 3" xfId="6402" xr:uid="{00000000-0005-0000-0000-000082140000}"/>
    <cellStyle name="Normal 4 3 3 2 6 3 2" xfId="14844" xr:uid="{CD46A3AD-F0A0-45EB-874D-1F45DD9D1D5A}"/>
    <cellStyle name="Normal 4 3 3 2 6 3 3" xfId="23281" xr:uid="{618D5EE0-95F3-4B7E-9962-959833EAC86F}"/>
    <cellStyle name="Normal 4 3 3 2 6 4" xfId="10626" xr:uid="{1A605087-9E02-4CD6-A2D6-92FAC57DA1C6}"/>
    <cellStyle name="Normal 4 3 3 2 6 5" xfId="19064" xr:uid="{2D6AE346-0559-48D9-8F46-14CEC3CA8B34}"/>
    <cellStyle name="Normal 4 3 3 2 7" xfId="2531" xr:uid="{00000000-0005-0000-0000-000083140000}"/>
    <cellStyle name="Normal 4 3 3 2 7 2" xfId="6815" xr:uid="{00000000-0005-0000-0000-000084140000}"/>
    <cellStyle name="Normal 4 3 3 2 7 2 2" xfId="15257" xr:uid="{26D1CCFD-595C-49DD-AE94-1C7EA3F5CE3C}"/>
    <cellStyle name="Normal 4 3 3 2 7 2 3" xfId="23694" xr:uid="{0E730BD7-A0EB-4839-AAB6-05D3805FADEC}"/>
    <cellStyle name="Normal 4 3 3 2 7 3" xfId="11039" xr:uid="{20752880-4714-466C-A940-E48268EC699C}"/>
    <cellStyle name="Normal 4 3 3 2 7 4" xfId="19477" xr:uid="{FE1BC636-F97C-4187-8A9E-872075094DC7}"/>
    <cellStyle name="Normal 4 3 3 2 8" xfId="4750" xr:uid="{00000000-0005-0000-0000-000085140000}"/>
    <cellStyle name="Normal 4 3 3 2 8 2" xfId="13192" xr:uid="{37CC0560-72CB-4DBB-BE21-E2CB158D0723}"/>
    <cellStyle name="Normal 4 3 3 2 8 3" xfId="21629" xr:uid="{27F5162C-061A-4ACD-A5A1-AE7EC40719CE}"/>
    <cellStyle name="Normal 4 3 3 2 9" xfId="8974" xr:uid="{D5D96059-B1C4-48D6-A3C1-D9D836D417FD}"/>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99F650A9-E9BA-4B23-B887-7A4A1319D5E4}"/>
    <cellStyle name="Normal 4 3 3 3 2 2 2 3" xfId="24189" xr:uid="{EA13AFE8-739E-4F75-BB11-5FBACBD5E174}"/>
    <cellStyle name="Normal 4 3 3 3 2 2 3" xfId="11534" xr:uid="{0BC0880E-4FD3-4133-9BD4-509AC0B9C55B}"/>
    <cellStyle name="Normal 4 3 3 3 2 2 4" xfId="19972" xr:uid="{BA571813-1889-4933-9068-416FCF120849}"/>
    <cellStyle name="Normal 4 3 3 3 2 3" xfId="5165" xr:uid="{00000000-0005-0000-0000-00008A140000}"/>
    <cellStyle name="Normal 4 3 3 3 2 3 2" xfId="13607" xr:uid="{9EA60F04-5ADA-4A8C-83C3-678922A09D9B}"/>
    <cellStyle name="Normal 4 3 3 3 2 3 3" xfId="22044" xr:uid="{1255A3C9-A10B-46F9-BCC1-6586D3F37840}"/>
    <cellStyle name="Normal 4 3 3 3 2 4" xfId="9389" xr:uid="{897DC673-C299-409F-B7A5-75A827312708}"/>
    <cellStyle name="Normal 4 3 3 3 2 5" xfId="17827" xr:uid="{78A6A0FB-B26F-4F66-B022-4411B54055E2}"/>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029D7E9E-37CF-4B0A-8139-CC4E0B8A0104}"/>
    <cellStyle name="Normal 4 3 3 3 3 2 2 3" xfId="24602" xr:uid="{206DD4FA-EA4D-441B-A21A-528FA94B20D2}"/>
    <cellStyle name="Normal 4 3 3 3 3 2 3" xfId="11947" xr:uid="{429F630A-4A41-406F-949F-997415A44B08}"/>
    <cellStyle name="Normal 4 3 3 3 3 2 4" xfId="20385" xr:uid="{5C72DD02-E0C5-40DB-B4CC-F4F06F612657}"/>
    <cellStyle name="Normal 4 3 3 3 3 3" xfId="5578" xr:uid="{00000000-0005-0000-0000-00008E140000}"/>
    <cellStyle name="Normal 4 3 3 3 3 3 2" xfId="14020" xr:uid="{2390D4DE-A7D4-435D-B0CA-70C9A3FDE2F2}"/>
    <cellStyle name="Normal 4 3 3 3 3 3 3" xfId="22457" xr:uid="{936F05C7-95F7-4506-9F95-51A6328AFE12}"/>
    <cellStyle name="Normal 4 3 3 3 3 4" xfId="9802" xr:uid="{E1C7B1AC-3DAE-4550-9410-FB85A04EBE5E}"/>
    <cellStyle name="Normal 4 3 3 3 3 5" xfId="18240" xr:uid="{17E430E8-F259-49E7-B758-45457B1F2041}"/>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A6483E67-E68D-433C-BCAB-87CFDB3804F1}"/>
    <cellStyle name="Normal 4 3 3 3 4 2 2 3" xfId="25015" xr:uid="{43B718D0-A1E2-4A4B-B3B0-48E2CA147F95}"/>
    <cellStyle name="Normal 4 3 3 3 4 2 3" xfId="12360" xr:uid="{6E6647D2-0E58-4C26-B750-A2A76574924F}"/>
    <cellStyle name="Normal 4 3 3 3 4 2 4" xfId="20798" xr:uid="{A5D30B59-3A90-4015-AD62-7AAA20F96EC5}"/>
    <cellStyle name="Normal 4 3 3 3 4 3" xfId="5991" xr:uid="{00000000-0005-0000-0000-000092140000}"/>
    <cellStyle name="Normal 4 3 3 3 4 3 2" xfId="14433" xr:uid="{E0A1C2A6-A3EA-45E9-A0B1-82410EFDD452}"/>
    <cellStyle name="Normal 4 3 3 3 4 3 3" xfId="22870" xr:uid="{4E96BAF7-B8D4-4BC4-9D8F-05E81335F30F}"/>
    <cellStyle name="Normal 4 3 3 3 4 4" xfId="10215" xr:uid="{BA34BC68-4D18-4F81-B383-B6283A4D1864}"/>
    <cellStyle name="Normal 4 3 3 3 4 5" xfId="18653" xr:uid="{FE8C361D-7667-443F-A4BF-414878988069}"/>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6C6761C7-D254-4DDC-BEF9-17693B75BDA8}"/>
    <cellStyle name="Normal 4 3 3 3 5 2 2 3" xfId="25428" xr:uid="{39E8ACED-4F42-4F27-9ED4-FB60A67C3937}"/>
    <cellStyle name="Normal 4 3 3 3 5 2 3" xfId="12773" xr:uid="{B0E057B1-99E7-4FC2-A48D-56E0BE9A9A6A}"/>
    <cellStyle name="Normal 4 3 3 3 5 2 4" xfId="21211" xr:uid="{68825398-7EF4-4F2D-BE5E-35DB0410B0AE}"/>
    <cellStyle name="Normal 4 3 3 3 5 3" xfId="6404" xr:uid="{00000000-0005-0000-0000-000096140000}"/>
    <cellStyle name="Normal 4 3 3 3 5 3 2" xfId="14846" xr:uid="{F9F301A3-4466-4FA7-9814-9C6EC120ED07}"/>
    <cellStyle name="Normal 4 3 3 3 5 3 3" xfId="23283" xr:uid="{2645A276-4240-47F3-9DA2-03EA8AA34E1A}"/>
    <cellStyle name="Normal 4 3 3 3 5 4" xfId="10628" xr:uid="{D1C7513C-5ACA-4997-9119-9BD20A718AE3}"/>
    <cellStyle name="Normal 4 3 3 3 5 5" xfId="19066" xr:uid="{39A295B2-CB9C-42AF-B564-9E82E7A032BB}"/>
    <cellStyle name="Normal 4 3 3 3 6" xfId="2533" xr:uid="{00000000-0005-0000-0000-000097140000}"/>
    <cellStyle name="Normal 4 3 3 3 6 2" xfId="6817" xr:uid="{00000000-0005-0000-0000-000098140000}"/>
    <cellStyle name="Normal 4 3 3 3 6 2 2" xfId="15259" xr:uid="{99E36DD5-1524-47CB-B457-CE0B9780516C}"/>
    <cellStyle name="Normal 4 3 3 3 6 2 3" xfId="23696" xr:uid="{79ECE932-7ABF-4C9D-86E1-E358686EDC3D}"/>
    <cellStyle name="Normal 4 3 3 3 6 3" xfId="11041" xr:uid="{2D7FB462-D181-44CD-9A96-67555DAB7B26}"/>
    <cellStyle name="Normal 4 3 3 3 6 4" xfId="19479" xr:uid="{2FC7BC0C-6BC2-4F22-85E9-1B506DD99D2F}"/>
    <cellStyle name="Normal 4 3 3 3 7" xfId="4752" xr:uid="{00000000-0005-0000-0000-000099140000}"/>
    <cellStyle name="Normal 4 3 3 3 7 2" xfId="13194" xr:uid="{C40FD193-D88C-43E8-9179-AE6673AB5CB2}"/>
    <cellStyle name="Normal 4 3 3 3 7 3" xfId="21631" xr:uid="{211A8F30-3621-4106-9086-FD3B492184AE}"/>
    <cellStyle name="Normal 4 3 3 3 8" xfId="8976" xr:uid="{B276B30C-F645-4A35-AC86-44D6C20E393E}"/>
    <cellStyle name="Normal 4 3 3 3 9" xfId="17414" xr:uid="{E83A7A10-E7C6-49E1-B9AB-32E8A779D04D}"/>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BF5C4522-C3AB-45EB-BFD2-146CCB354F16}"/>
    <cellStyle name="Normal 4 3 3 4 2 2 3" xfId="24186" xr:uid="{AE510169-B608-45F6-A8D8-83A80644EF62}"/>
    <cellStyle name="Normal 4 3 3 4 2 3" xfId="11531" xr:uid="{423EBD28-90C4-4E48-AE34-142474697E96}"/>
    <cellStyle name="Normal 4 3 3 4 2 4" xfId="19969" xr:uid="{818C5354-EF85-4706-ABD7-BD60A2A705D3}"/>
    <cellStyle name="Normal 4 3 3 4 3" xfId="5162" xr:uid="{00000000-0005-0000-0000-00009D140000}"/>
    <cellStyle name="Normal 4 3 3 4 3 2" xfId="13604" xr:uid="{8ED35BAE-4E1B-4412-BE7C-A867F1E1B24C}"/>
    <cellStyle name="Normal 4 3 3 4 3 3" xfId="22041" xr:uid="{4F56EE08-05D6-4EF3-BEAA-C37B95B08FB2}"/>
    <cellStyle name="Normal 4 3 3 4 4" xfId="9386" xr:uid="{DB6DB262-6949-4C79-8FE5-60B41B06DEA8}"/>
    <cellStyle name="Normal 4 3 3 4 5" xfId="17824" xr:uid="{3229B042-94E4-4CFD-A384-F1EE4D4F8E8A}"/>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37AA6C1A-63C7-46A2-BFF3-467ADC4BF79E}"/>
    <cellStyle name="Normal 4 3 3 5 2 2 3" xfId="24599" xr:uid="{80CA24C6-1C57-4BF6-974D-B401CC0EE40E}"/>
    <cellStyle name="Normal 4 3 3 5 2 3" xfId="11944" xr:uid="{6392D4BB-066C-402B-A536-F66C11166553}"/>
    <cellStyle name="Normal 4 3 3 5 2 4" xfId="20382" xr:uid="{D8DDD7BF-3AE1-45DC-97FD-CF39FFF1DE5E}"/>
    <cellStyle name="Normal 4 3 3 5 3" xfId="5575" xr:uid="{00000000-0005-0000-0000-0000A1140000}"/>
    <cellStyle name="Normal 4 3 3 5 3 2" xfId="14017" xr:uid="{B1534ED1-CFA3-4DC9-A9B1-FA08BCAF9CDC}"/>
    <cellStyle name="Normal 4 3 3 5 3 3" xfId="22454" xr:uid="{A51EB081-9CE2-4230-9691-9FD1EF25EFD7}"/>
    <cellStyle name="Normal 4 3 3 5 4" xfId="9799" xr:uid="{CC41E49C-1DE4-43F4-9E33-13FD1CCA5219}"/>
    <cellStyle name="Normal 4 3 3 5 5" xfId="18237" xr:uid="{49B4CAC9-58E6-4E2B-8071-A5145EEBB3A9}"/>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509A9C1D-7A8F-4BA8-9AB7-C27EF5A83763}"/>
    <cellStyle name="Normal 4 3 3 6 2 2 3" xfId="25012" xr:uid="{6388F3BA-363A-4908-B1C7-902F16906C3D}"/>
    <cellStyle name="Normal 4 3 3 6 2 3" xfId="12357" xr:uid="{59AB7A1C-D2DF-4D4F-9B13-300314F47D84}"/>
    <cellStyle name="Normal 4 3 3 6 2 4" xfId="20795" xr:uid="{2CA0FA0B-F8F9-42AE-839D-6691364428D3}"/>
    <cellStyle name="Normal 4 3 3 6 3" xfId="5988" xr:uid="{00000000-0005-0000-0000-0000A5140000}"/>
    <cellStyle name="Normal 4 3 3 6 3 2" xfId="14430" xr:uid="{4C083142-C35D-4FAF-A367-D7E235EDE4B3}"/>
    <cellStyle name="Normal 4 3 3 6 3 3" xfId="22867" xr:uid="{C7EEC048-DEF9-45C1-A8D5-D906FC288650}"/>
    <cellStyle name="Normal 4 3 3 6 4" xfId="10212" xr:uid="{FC739136-4CDC-40D9-874C-D100F1178579}"/>
    <cellStyle name="Normal 4 3 3 6 5" xfId="18650" xr:uid="{0DEA2FAA-D0F8-4824-A95D-FF5419E64293}"/>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30B721A5-9783-4C5B-8316-93A19EC180E3}"/>
    <cellStyle name="Normal 4 3 3 7 2 2 3" xfId="25425" xr:uid="{5FAA7190-15B9-415D-A18A-935837AD933F}"/>
    <cellStyle name="Normal 4 3 3 7 2 3" xfId="12770" xr:uid="{E711A7D2-D0E5-46F5-BFE6-F03EEDA932AE}"/>
    <cellStyle name="Normal 4 3 3 7 2 4" xfId="21208" xr:uid="{377FEB8E-FBC5-4E03-906A-FA38E2E022F1}"/>
    <cellStyle name="Normal 4 3 3 7 3" xfId="6401" xr:uid="{00000000-0005-0000-0000-0000A9140000}"/>
    <cellStyle name="Normal 4 3 3 7 3 2" xfId="14843" xr:uid="{0D139200-074C-4595-AC0F-2959B0A2BA93}"/>
    <cellStyle name="Normal 4 3 3 7 3 3" xfId="23280" xr:uid="{2C6FD45A-11EE-4CFE-97BF-AA96176ABD37}"/>
    <cellStyle name="Normal 4 3 3 7 4" xfId="10625" xr:uid="{40F0A173-214B-4041-B90E-71138D071045}"/>
    <cellStyle name="Normal 4 3 3 7 5" xfId="19063" xr:uid="{1808E8AB-FE82-4A12-94BB-BA407246CA64}"/>
    <cellStyle name="Normal 4 3 3 8" xfId="2530" xr:uid="{00000000-0005-0000-0000-0000AA140000}"/>
    <cellStyle name="Normal 4 3 3 8 2" xfId="6814" xr:uid="{00000000-0005-0000-0000-0000AB140000}"/>
    <cellStyle name="Normal 4 3 3 8 2 2" xfId="15256" xr:uid="{1FC12BB1-1EB6-47AA-BAEB-2C88F2CC1EE5}"/>
    <cellStyle name="Normal 4 3 3 8 2 3" xfId="23693" xr:uid="{CEEFA327-2FD1-4ACE-BF2C-87FB0D2853B8}"/>
    <cellStyle name="Normal 4 3 3 8 3" xfId="11038" xr:uid="{5B36380B-D57B-4DC9-B066-7F133123EF7A}"/>
    <cellStyle name="Normal 4 3 3 8 4" xfId="19476" xr:uid="{8FFBF103-E81F-417D-A278-FD5C39AC0408}"/>
    <cellStyle name="Normal 4 3 3 9" xfId="4749" xr:uid="{00000000-0005-0000-0000-0000AC140000}"/>
    <cellStyle name="Normal 4 3 3 9 2" xfId="13191" xr:uid="{5288A111-7A93-42EA-9B4B-FD39DAB17AF2}"/>
    <cellStyle name="Normal 4 3 3 9 3" xfId="21628" xr:uid="{61C8020F-155B-4363-A3D1-AE8070EF5147}"/>
    <cellStyle name="Normal 4 3 4" xfId="842" xr:uid="{00000000-0005-0000-0000-0000AD140000}"/>
    <cellStyle name="Normal 4 3 4 2" xfId="3079" xr:uid="{00000000-0005-0000-0000-0000AE140000}"/>
    <cellStyle name="Normal 4 3 4 2 2" xfId="7302" xr:uid="{00000000-0005-0000-0000-0000AF140000}"/>
    <cellStyle name="Normal 4 3 4 2 2 2" xfId="15744" xr:uid="{D663FB77-958C-41DB-AFDF-A706935E56DF}"/>
    <cellStyle name="Normal 4 3 4 2 2 3" xfId="24181" xr:uid="{B5FD590F-3930-4734-B1CE-FEA41BF3048B}"/>
    <cellStyle name="Normal 4 3 4 2 3" xfId="11526" xr:uid="{3A7262D8-E549-46CE-8EBD-DE2013298DC0}"/>
    <cellStyle name="Normal 4 3 4 2 4" xfId="19964" xr:uid="{22E80643-60C8-4214-B959-5FF800E74EE6}"/>
    <cellStyle name="Normal 4 3 4 3" xfId="5157" xr:uid="{00000000-0005-0000-0000-0000B0140000}"/>
    <cellStyle name="Normal 4 3 4 3 2" xfId="13599" xr:uid="{3767FA59-E870-4D8E-AFC6-5BFC51CAFF68}"/>
    <cellStyle name="Normal 4 3 4 3 3" xfId="22036" xr:uid="{92863A99-735E-4443-A0D8-1A6290F9211F}"/>
    <cellStyle name="Normal 4 3 4 4" xfId="9381" xr:uid="{C607106F-5A1D-48BB-B31A-79402ADEDDDE}"/>
    <cellStyle name="Normal 4 3 4 5" xfId="17819" xr:uid="{048795EF-4D8A-4EED-BA13-1F9E4FD73D77}"/>
    <cellStyle name="Normal 4 3 5" xfId="1262" xr:uid="{00000000-0005-0000-0000-0000B1140000}"/>
    <cellStyle name="Normal 4 3 5 2" xfId="3492" xr:uid="{00000000-0005-0000-0000-0000B2140000}"/>
    <cellStyle name="Normal 4 3 5 2 2" xfId="7715" xr:uid="{00000000-0005-0000-0000-0000B3140000}"/>
    <cellStyle name="Normal 4 3 5 2 2 2" xfId="16157" xr:uid="{4341BECD-EB55-4962-BA70-F488B90951D3}"/>
    <cellStyle name="Normal 4 3 5 2 2 3" xfId="24594" xr:uid="{FC1DC3E1-EDF3-46BF-918C-141DD43E5F0D}"/>
    <cellStyle name="Normal 4 3 5 2 3" xfId="11939" xr:uid="{4AA771E1-E5F8-4724-A773-CE7A5EFCC40E}"/>
    <cellStyle name="Normal 4 3 5 2 4" xfId="20377" xr:uid="{D3797063-8A0C-4D1E-A66B-0C9AF9910F1C}"/>
    <cellStyle name="Normal 4 3 5 3" xfId="5570" xr:uid="{00000000-0005-0000-0000-0000B4140000}"/>
    <cellStyle name="Normal 4 3 5 3 2" xfId="14012" xr:uid="{2A4D981A-AE98-4588-BBAA-36CECD5EB6EF}"/>
    <cellStyle name="Normal 4 3 5 3 3" xfId="22449" xr:uid="{4DDC2434-AC89-426F-ADD6-D349B81ABDD7}"/>
    <cellStyle name="Normal 4 3 5 4" xfId="9794" xr:uid="{1740875A-990F-402B-9F74-ED01A4D60127}"/>
    <cellStyle name="Normal 4 3 5 5" xfId="18232" xr:uid="{1D9661C5-8FEB-4D78-9A0C-8A29BD96A144}"/>
    <cellStyle name="Normal 4 3 6" xfId="1675" xr:uid="{00000000-0005-0000-0000-0000B5140000}"/>
    <cellStyle name="Normal 4 3 6 2" xfId="3905" xr:uid="{00000000-0005-0000-0000-0000B6140000}"/>
    <cellStyle name="Normal 4 3 6 2 2" xfId="8128" xr:uid="{00000000-0005-0000-0000-0000B7140000}"/>
    <cellStyle name="Normal 4 3 6 2 2 2" xfId="16570" xr:uid="{F7AD28C1-053E-465E-A739-47EC2D36F21D}"/>
    <cellStyle name="Normal 4 3 6 2 2 3" xfId="25007" xr:uid="{6F6970B1-AA71-4568-837F-D164C5167E28}"/>
    <cellStyle name="Normal 4 3 6 2 3" xfId="12352" xr:uid="{8C4A6A0C-EFD1-434B-A91B-788714F30582}"/>
    <cellStyle name="Normal 4 3 6 2 4" xfId="20790" xr:uid="{02ECD474-AC3C-4DDF-9461-C962F1243227}"/>
    <cellStyle name="Normal 4 3 6 3" xfId="5983" xr:uid="{00000000-0005-0000-0000-0000B8140000}"/>
    <cellStyle name="Normal 4 3 6 3 2" xfId="14425" xr:uid="{72F67932-7B08-44F9-AFBA-97DA2A595143}"/>
    <cellStyle name="Normal 4 3 6 3 3" xfId="22862" xr:uid="{2969C84E-5438-4DA4-B3AD-3769E8F97F3C}"/>
    <cellStyle name="Normal 4 3 6 4" xfId="10207" xr:uid="{176CE20A-809C-48CF-8528-045334400530}"/>
    <cellStyle name="Normal 4 3 6 5" xfId="18645" xr:uid="{76E2BCEF-4A7A-439B-850F-6BEF7D4643EE}"/>
    <cellStyle name="Normal 4 3 7" xfId="2089" xr:uid="{00000000-0005-0000-0000-0000B9140000}"/>
    <cellStyle name="Normal 4 3 7 2" xfId="4318" xr:uid="{00000000-0005-0000-0000-0000BA140000}"/>
    <cellStyle name="Normal 4 3 7 2 2" xfId="8541" xr:uid="{00000000-0005-0000-0000-0000BB140000}"/>
    <cellStyle name="Normal 4 3 7 2 2 2" xfId="16983" xr:uid="{4AC1BE2D-8894-4061-94AA-52838DC54524}"/>
    <cellStyle name="Normal 4 3 7 2 2 3" xfId="25420" xr:uid="{8860D2D4-EE67-4E44-8EA2-66104C618004}"/>
    <cellStyle name="Normal 4 3 7 2 3" xfId="12765" xr:uid="{0DC4B038-4A04-443A-B766-C29413B13AA7}"/>
    <cellStyle name="Normal 4 3 7 2 4" xfId="21203" xr:uid="{FAC2B255-9578-42CF-86D1-7244C25B6780}"/>
    <cellStyle name="Normal 4 3 7 3" xfId="6396" xr:uid="{00000000-0005-0000-0000-0000BC140000}"/>
    <cellStyle name="Normal 4 3 7 3 2" xfId="14838" xr:uid="{34F9B613-50B4-4EBE-9912-7AAB8595FC88}"/>
    <cellStyle name="Normal 4 3 7 3 3" xfId="23275" xr:uid="{4159D1DC-880E-4835-9418-4B24B0279CBD}"/>
    <cellStyle name="Normal 4 3 7 4" xfId="10620" xr:uid="{C2AF2274-9E3A-4E31-A1C2-269EFD688C8D}"/>
    <cellStyle name="Normal 4 3 7 5" xfId="19058" xr:uid="{42323A44-B045-4972-9D59-88678FB290BE}"/>
    <cellStyle name="Normal 4 3 8" xfId="2525" xr:uid="{00000000-0005-0000-0000-0000BD140000}"/>
    <cellStyle name="Normal 4 3 8 2" xfId="6809" xr:uid="{00000000-0005-0000-0000-0000BE140000}"/>
    <cellStyle name="Normal 4 3 8 2 2" xfId="15251" xr:uid="{FA4D7309-A615-4AC2-880F-6BA158248079}"/>
    <cellStyle name="Normal 4 3 8 2 3" xfId="23688" xr:uid="{BA985945-9A04-4185-B029-C3542308575B}"/>
    <cellStyle name="Normal 4 3 8 3" xfId="11033" xr:uid="{D59B1A0E-1AE1-4220-9B95-E2BE128D6E86}"/>
    <cellStyle name="Normal 4 3 8 4" xfId="19471" xr:uid="{849C8077-4B44-4FF4-A6E8-DC77A631AAB1}"/>
    <cellStyle name="Normal 4 3 9" xfId="4744" xr:uid="{00000000-0005-0000-0000-0000BF140000}"/>
    <cellStyle name="Normal 4 3 9 2" xfId="13186" xr:uid="{CBB17EFA-4BC1-46D3-9D87-CE7E3C4B6E42}"/>
    <cellStyle name="Normal 4 3 9 3" xfId="21623" xr:uid="{72CCF60E-DB05-49F1-8496-6E9A735FC38B}"/>
    <cellStyle name="Normal 4 4" xfId="378" xr:uid="{00000000-0005-0000-0000-0000C0140000}"/>
    <cellStyle name="Normal 4 4 10" xfId="2534" xr:uid="{00000000-0005-0000-0000-0000C1140000}"/>
    <cellStyle name="Normal 4 4 10 2" xfId="6818" xr:uid="{00000000-0005-0000-0000-0000C2140000}"/>
    <cellStyle name="Normal 4 4 10 2 2" xfId="15260" xr:uid="{AAC0D57B-2AA7-4861-8332-6D3C1629D33E}"/>
    <cellStyle name="Normal 4 4 10 2 3" xfId="23697" xr:uid="{56EAC720-B27D-44BE-9A2D-C46CC6A3C582}"/>
    <cellStyle name="Normal 4 4 10 3" xfId="11042" xr:uid="{D221C7F2-72BB-4FE7-B48A-51886593FC99}"/>
    <cellStyle name="Normal 4 4 10 4" xfId="19480" xr:uid="{A5F27AA3-45BD-4585-A234-3561C1C75A3D}"/>
    <cellStyle name="Normal 4 4 11" xfId="4753" xr:uid="{00000000-0005-0000-0000-0000C3140000}"/>
    <cellStyle name="Normal 4 4 11 2" xfId="13195" xr:uid="{2E9F8741-C1E8-46AB-83D6-5541AE8E08E6}"/>
    <cellStyle name="Normal 4 4 11 3" xfId="21632" xr:uid="{CDED2626-20DB-422F-AAF5-D7095DC34932}"/>
    <cellStyle name="Normal 4 4 12" xfId="8977" xr:uid="{024E4E5C-A697-495B-BC06-DB1BE27562D5}"/>
    <cellStyle name="Normal 4 4 13" xfId="17415" xr:uid="{1FFBE32B-2769-4C53-8642-3533E4B2C208}"/>
    <cellStyle name="Normal 4 4 2" xfId="379" xr:uid="{00000000-0005-0000-0000-0000C4140000}"/>
    <cellStyle name="Normal 4 4 2 10" xfId="4754" xr:uid="{00000000-0005-0000-0000-0000C5140000}"/>
    <cellStyle name="Normal 4 4 2 10 2" xfId="13196" xr:uid="{A8116D66-5B01-46AE-8D6D-E61400BA79C6}"/>
    <cellStyle name="Normal 4 4 2 10 3" xfId="21633" xr:uid="{58EDF8C2-BE84-4424-AF19-E931E86D7D7A}"/>
    <cellStyle name="Normal 4 4 2 11" xfId="8978" xr:uid="{9DF1A9BA-0080-4B76-9E59-1E491050437C}"/>
    <cellStyle name="Normal 4 4 2 12" xfId="17416" xr:uid="{E7ADA5B9-3A42-48C4-83E3-00B70F59C7B5}"/>
    <cellStyle name="Normal 4 4 2 2" xfId="380" xr:uid="{00000000-0005-0000-0000-0000C6140000}"/>
    <cellStyle name="Normal 4 4 2 2 10" xfId="8979" xr:uid="{B4557D10-9218-456A-8924-ECC9453D69B5}"/>
    <cellStyle name="Normal 4 4 2 2 11" xfId="17417" xr:uid="{86B94D56-6FA9-40D5-B755-C3065F25B5A8}"/>
    <cellStyle name="Normal 4 4 2 2 2" xfId="381" xr:uid="{00000000-0005-0000-0000-0000C7140000}"/>
    <cellStyle name="Normal 4 4 2 2 2 10" xfId="17418" xr:uid="{1BC4A0DD-F3B0-4107-8D88-984025057751}"/>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3ACF3B20-0EB5-404B-B963-878B86A5DB8C}"/>
    <cellStyle name="Normal 4 4 2 2 2 2 2 2 2 3" xfId="24194" xr:uid="{D95ABA39-1944-4C1E-AEF6-5BED849A3DF1}"/>
    <cellStyle name="Normal 4 4 2 2 2 2 2 2 3" xfId="11539" xr:uid="{23FC1988-00E5-4516-91B6-532F645E0839}"/>
    <cellStyle name="Normal 4 4 2 2 2 2 2 2 4" xfId="19977" xr:uid="{A0A9F101-0F88-45D2-BA0C-F2C7AE388954}"/>
    <cellStyle name="Normal 4 4 2 2 2 2 2 3" xfId="5170" xr:uid="{00000000-0005-0000-0000-0000CC140000}"/>
    <cellStyle name="Normal 4 4 2 2 2 2 2 3 2" xfId="13612" xr:uid="{153227BD-F39C-4589-85B3-B8EDEAA3B198}"/>
    <cellStyle name="Normal 4 4 2 2 2 2 2 3 3" xfId="22049" xr:uid="{6CA73435-7B24-4AC1-8E1B-6180347AB8F6}"/>
    <cellStyle name="Normal 4 4 2 2 2 2 2 4" xfId="9394" xr:uid="{915CD443-0D3F-4997-B9E3-AD5379E5CF3D}"/>
    <cellStyle name="Normal 4 4 2 2 2 2 2 5" xfId="17832" xr:uid="{DA01D1B0-CFCC-4DB6-946B-A64AE7B3D601}"/>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4B6B0545-708D-4A69-998E-120B727C8BF7}"/>
    <cellStyle name="Normal 4 4 2 2 2 2 3 2 2 3" xfId="24607" xr:uid="{4F18004E-467B-4B74-B962-E851ACCD6C65}"/>
    <cellStyle name="Normal 4 4 2 2 2 2 3 2 3" xfId="11952" xr:uid="{2631A8BC-D157-48C1-A3D2-C684B636A5FD}"/>
    <cellStyle name="Normal 4 4 2 2 2 2 3 2 4" xfId="20390" xr:uid="{F44F2343-63FE-43B5-8245-FC3C05BB3909}"/>
    <cellStyle name="Normal 4 4 2 2 2 2 3 3" xfId="5583" xr:uid="{00000000-0005-0000-0000-0000D0140000}"/>
    <cellStyle name="Normal 4 4 2 2 2 2 3 3 2" xfId="14025" xr:uid="{70378D78-E842-40B5-A2BE-DEE5692806D4}"/>
    <cellStyle name="Normal 4 4 2 2 2 2 3 3 3" xfId="22462" xr:uid="{57054DFD-1DE9-43E6-B4D1-6A1D1CFED9F7}"/>
    <cellStyle name="Normal 4 4 2 2 2 2 3 4" xfId="9807" xr:uid="{672AEC9E-7A03-4545-B6F0-0D44AD6D51D0}"/>
    <cellStyle name="Normal 4 4 2 2 2 2 3 5" xfId="18245" xr:uid="{3D9DF38B-13F4-45AD-A80E-987A60D712EF}"/>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52BAFC4C-82BB-4084-985C-0B9B5E5AF978}"/>
    <cellStyle name="Normal 4 4 2 2 2 2 4 2 2 3" xfId="25020" xr:uid="{FD5ADE5E-3718-4A9C-858C-39B9536A0EFD}"/>
    <cellStyle name="Normal 4 4 2 2 2 2 4 2 3" xfId="12365" xr:uid="{D583182B-3D22-475B-AD9A-E17EDE1F527B}"/>
    <cellStyle name="Normal 4 4 2 2 2 2 4 2 4" xfId="20803" xr:uid="{4A0E7454-B262-4D8D-A99D-608D888BCAEE}"/>
    <cellStyle name="Normal 4 4 2 2 2 2 4 3" xfId="5996" xr:uid="{00000000-0005-0000-0000-0000D4140000}"/>
    <cellStyle name="Normal 4 4 2 2 2 2 4 3 2" xfId="14438" xr:uid="{83615DB2-27AA-4C3D-BE3E-77C40FADF2C5}"/>
    <cellStyle name="Normal 4 4 2 2 2 2 4 3 3" xfId="22875" xr:uid="{E70B79B5-944A-41EF-8FD3-64D5459E6E4F}"/>
    <cellStyle name="Normal 4 4 2 2 2 2 4 4" xfId="10220" xr:uid="{9C48BCE9-46EF-43E9-A271-77EE34B15AB5}"/>
    <cellStyle name="Normal 4 4 2 2 2 2 4 5" xfId="18658" xr:uid="{EEE456E2-98DD-44C0-A1DC-092990757339}"/>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565FE980-7FFD-43AE-A1C9-E1A34A48DA9E}"/>
    <cellStyle name="Normal 4 4 2 2 2 2 5 2 2 3" xfId="25433" xr:uid="{B0C21AF9-DE0E-4AC3-B474-16A7BAFE3C3A}"/>
    <cellStyle name="Normal 4 4 2 2 2 2 5 2 3" xfId="12778" xr:uid="{F5EEBF1D-FBC4-40EB-8EB3-F4151F1B342B}"/>
    <cellStyle name="Normal 4 4 2 2 2 2 5 2 4" xfId="21216" xr:uid="{48DD2479-C6F8-4B26-81F4-4AAE5CC8B4AE}"/>
    <cellStyle name="Normal 4 4 2 2 2 2 5 3" xfId="6409" xr:uid="{00000000-0005-0000-0000-0000D8140000}"/>
    <cellStyle name="Normal 4 4 2 2 2 2 5 3 2" xfId="14851" xr:uid="{851271EA-68E9-4CB1-A20B-365C5477EBB0}"/>
    <cellStyle name="Normal 4 4 2 2 2 2 5 3 3" xfId="23288" xr:uid="{0FB07C14-E97C-4D1D-92B1-57681410180C}"/>
    <cellStyle name="Normal 4 4 2 2 2 2 5 4" xfId="10633" xr:uid="{B2275776-4598-4D07-BCFC-425A2B75C933}"/>
    <cellStyle name="Normal 4 4 2 2 2 2 5 5" xfId="19071" xr:uid="{99E52EEF-9CF5-4C27-82EB-B29C8886BF63}"/>
    <cellStyle name="Normal 4 4 2 2 2 2 6" xfId="2538" xr:uid="{00000000-0005-0000-0000-0000D9140000}"/>
    <cellStyle name="Normal 4 4 2 2 2 2 6 2" xfId="6822" xr:uid="{00000000-0005-0000-0000-0000DA140000}"/>
    <cellStyle name="Normal 4 4 2 2 2 2 6 2 2" xfId="15264" xr:uid="{2B3E90BF-D8C4-4B6C-A51E-EA4FA815E1DF}"/>
    <cellStyle name="Normal 4 4 2 2 2 2 6 2 3" xfId="23701" xr:uid="{003E35AB-143A-4F4E-B578-6191451D1EB2}"/>
    <cellStyle name="Normal 4 4 2 2 2 2 6 3" xfId="11046" xr:uid="{5EAD5155-D7EB-425C-B36E-08070CA4DC66}"/>
    <cellStyle name="Normal 4 4 2 2 2 2 6 4" xfId="19484" xr:uid="{47C61778-1A53-4DE7-8481-4109E0B9F12C}"/>
    <cellStyle name="Normal 4 4 2 2 2 2 7" xfId="4757" xr:uid="{00000000-0005-0000-0000-0000DB140000}"/>
    <cellStyle name="Normal 4 4 2 2 2 2 7 2" xfId="13199" xr:uid="{F9CD36D6-0DEF-4A54-AD2D-581249A27768}"/>
    <cellStyle name="Normal 4 4 2 2 2 2 7 3" xfId="21636" xr:uid="{37E87B17-2DB6-4F0D-BF6B-475EA39AE2B5}"/>
    <cellStyle name="Normal 4 4 2 2 2 2 8" xfId="8981" xr:uid="{AE0FB3D3-0AB5-4F1E-98B7-15F4454F8A00}"/>
    <cellStyle name="Normal 4 4 2 2 2 2 9" xfId="17419" xr:uid="{462766FF-58AA-4133-9772-D11D4FF05368}"/>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94A7A3AB-E811-43CF-9148-A5716149C47E}"/>
    <cellStyle name="Normal 4 4 2 2 2 3 2 2 3" xfId="24193" xr:uid="{9349639A-249A-4916-AE86-C071D37162C9}"/>
    <cellStyle name="Normal 4 4 2 2 2 3 2 3" xfId="11538" xr:uid="{00E1A3CA-7582-4695-AE79-895E87927A14}"/>
    <cellStyle name="Normal 4 4 2 2 2 3 2 4" xfId="19976" xr:uid="{2DFABC89-3A10-4960-85C9-2B244A6D372E}"/>
    <cellStyle name="Normal 4 4 2 2 2 3 3" xfId="5169" xr:uid="{00000000-0005-0000-0000-0000DF140000}"/>
    <cellStyle name="Normal 4 4 2 2 2 3 3 2" xfId="13611" xr:uid="{6184402F-5ED2-473F-BF21-2C9825BB839C}"/>
    <cellStyle name="Normal 4 4 2 2 2 3 3 3" xfId="22048" xr:uid="{5798D84F-1EDE-4186-A524-1D9B4B25F7FF}"/>
    <cellStyle name="Normal 4 4 2 2 2 3 4" xfId="9393" xr:uid="{1E708E81-0356-47E5-B73E-EC37703FF1C7}"/>
    <cellStyle name="Normal 4 4 2 2 2 3 5" xfId="17831" xr:uid="{8001DD89-B645-461D-ABA4-A3D96F4939A5}"/>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34E487AA-E826-4677-9E42-1C96B916C07A}"/>
    <cellStyle name="Normal 4 4 2 2 2 4 2 2 3" xfId="24606" xr:uid="{F9FCA7EF-4382-4EB8-9F81-E6F634E6BB71}"/>
    <cellStyle name="Normal 4 4 2 2 2 4 2 3" xfId="11951" xr:uid="{A48BEE5B-2E1A-4ED9-8B3F-AA42A8333581}"/>
    <cellStyle name="Normal 4 4 2 2 2 4 2 4" xfId="20389" xr:uid="{869F5A99-8E40-4152-8909-62D2A4B7F76B}"/>
    <cellStyle name="Normal 4 4 2 2 2 4 3" xfId="5582" xr:uid="{00000000-0005-0000-0000-0000E3140000}"/>
    <cellStyle name="Normal 4 4 2 2 2 4 3 2" xfId="14024" xr:uid="{02FB2751-0E30-44C4-89FF-DBB2E8A6B969}"/>
    <cellStyle name="Normal 4 4 2 2 2 4 3 3" xfId="22461" xr:uid="{8B9935B7-FDFA-46B0-8582-50B76D969A94}"/>
    <cellStyle name="Normal 4 4 2 2 2 4 4" xfId="9806" xr:uid="{9B54374C-766D-4225-833F-95FB2153A882}"/>
    <cellStyle name="Normal 4 4 2 2 2 4 5" xfId="18244" xr:uid="{523C43BD-1E2B-4C07-8262-1847162337A9}"/>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950D1F0D-6B56-4619-83F1-74F2349050D1}"/>
    <cellStyle name="Normal 4 4 2 2 2 5 2 2 3" xfId="25019" xr:uid="{00772925-25AD-47F6-AC3C-14D7F484B806}"/>
    <cellStyle name="Normal 4 4 2 2 2 5 2 3" xfId="12364" xr:uid="{8214848C-132E-4F84-A70C-DEA97F0FE3AF}"/>
    <cellStyle name="Normal 4 4 2 2 2 5 2 4" xfId="20802" xr:uid="{B098DF26-29DB-487B-B32F-9BDD65CE496C}"/>
    <cellStyle name="Normal 4 4 2 2 2 5 3" xfId="5995" xr:uid="{00000000-0005-0000-0000-0000E7140000}"/>
    <cellStyle name="Normal 4 4 2 2 2 5 3 2" xfId="14437" xr:uid="{0B1F5DCD-60F9-490F-9E9C-336585743F60}"/>
    <cellStyle name="Normal 4 4 2 2 2 5 3 3" xfId="22874" xr:uid="{364121E0-20EC-4ECB-8564-64B7177101D8}"/>
    <cellStyle name="Normal 4 4 2 2 2 5 4" xfId="10219" xr:uid="{63D746DF-FC0B-4CB9-95BF-CA7F09EF6B12}"/>
    <cellStyle name="Normal 4 4 2 2 2 5 5" xfId="18657" xr:uid="{7A79AF9B-16B0-4DAE-8A57-063A2AF5C365}"/>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427891E9-308A-4075-880E-F4FF940AD6AF}"/>
    <cellStyle name="Normal 4 4 2 2 2 6 2 2 3" xfId="25432" xr:uid="{6BE71987-BB7E-4CB1-9384-6E40929668E5}"/>
    <cellStyle name="Normal 4 4 2 2 2 6 2 3" xfId="12777" xr:uid="{9363E9AC-26D6-49F7-8B86-B40434B4C2DF}"/>
    <cellStyle name="Normal 4 4 2 2 2 6 2 4" xfId="21215" xr:uid="{38C6926F-3F0D-4827-9D6D-B1D5CF379A1D}"/>
    <cellStyle name="Normal 4 4 2 2 2 6 3" xfId="6408" xr:uid="{00000000-0005-0000-0000-0000EB140000}"/>
    <cellStyle name="Normal 4 4 2 2 2 6 3 2" xfId="14850" xr:uid="{7C9C4850-DE1C-4690-B700-0F847434BBD4}"/>
    <cellStyle name="Normal 4 4 2 2 2 6 3 3" xfId="23287" xr:uid="{F4E37E3E-5CAD-4A60-B1FB-E5F0CE7FC46E}"/>
    <cellStyle name="Normal 4 4 2 2 2 6 4" xfId="10632" xr:uid="{9B0A8881-2EBF-41CE-8F79-8453E030CA2B}"/>
    <cellStyle name="Normal 4 4 2 2 2 6 5" xfId="19070" xr:uid="{60684D16-59AD-4219-9BD1-B499AF0D5477}"/>
    <cellStyle name="Normal 4 4 2 2 2 7" xfId="2537" xr:uid="{00000000-0005-0000-0000-0000EC140000}"/>
    <cellStyle name="Normal 4 4 2 2 2 7 2" xfId="6821" xr:uid="{00000000-0005-0000-0000-0000ED140000}"/>
    <cellStyle name="Normal 4 4 2 2 2 7 2 2" xfId="15263" xr:uid="{A8CAA5C4-57B2-40E9-9748-7743B7E8202A}"/>
    <cellStyle name="Normal 4 4 2 2 2 7 2 3" xfId="23700" xr:uid="{869CD1F7-0C8C-4B12-A85F-5B0DFB6BB243}"/>
    <cellStyle name="Normal 4 4 2 2 2 7 3" xfId="11045" xr:uid="{49C6EF89-AAA6-4F1B-9263-A936815B1EFD}"/>
    <cellStyle name="Normal 4 4 2 2 2 7 4" xfId="19483" xr:uid="{72046ADF-DE79-44C8-9E88-078053325F24}"/>
    <cellStyle name="Normal 4 4 2 2 2 8" xfId="4756" xr:uid="{00000000-0005-0000-0000-0000EE140000}"/>
    <cellStyle name="Normal 4 4 2 2 2 8 2" xfId="13198" xr:uid="{116244A6-842E-457A-A959-9B3D0C7335C4}"/>
    <cellStyle name="Normal 4 4 2 2 2 8 3" xfId="21635" xr:uid="{966689CD-D778-407B-B47B-1624B517E54E}"/>
    <cellStyle name="Normal 4 4 2 2 2 9" xfId="8980" xr:uid="{D927EFAB-EDD0-4FE9-8D99-8251ACEDC658}"/>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17F9D0DD-DA8D-4C48-ACFF-668C69F7D1D0}"/>
    <cellStyle name="Normal 4 4 2 2 3 2 2 2 3" xfId="24195" xr:uid="{AEBFC690-03B9-4D09-BB30-CD9B9AF10406}"/>
    <cellStyle name="Normal 4 4 2 2 3 2 2 3" xfId="11540" xr:uid="{0887F1A6-6889-4269-A46D-7D64FEFE60A7}"/>
    <cellStyle name="Normal 4 4 2 2 3 2 2 4" xfId="19978" xr:uid="{80EF01EB-7793-4E99-9D02-604BEBCE3AFF}"/>
    <cellStyle name="Normal 4 4 2 2 3 2 3" xfId="5171" xr:uid="{00000000-0005-0000-0000-0000F3140000}"/>
    <cellStyle name="Normal 4 4 2 2 3 2 3 2" xfId="13613" xr:uid="{35F70C94-831F-45C4-B902-E7480A876CCE}"/>
    <cellStyle name="Normal 4 4 2 2 3 2 3 3" xfId="22050" xr:uid="{71039B65-A301-41AE-A030-855F0C7DCAF4}"/>
    <cellStyle name="Normal 4 4 2 2 3 2 4" xfId="9395" xr:uid="{5715E1C2-8961-4987-A8AB-CD6222A39D24}"/>
    <cellStyle name="Normal 4 4 2 2 3 2 5" xfId="17833" xr:uid="{0726E32B-37D4-4D50-AE23-A50BA7A131C6}"/>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2F57989A-680A-4753-A7FE-A4239DF2F283}"/>
    <cellStyle name="Normal 4 4 2 2 3 3 2 2 3" xfId="24608" xr:uid="{887E2CA7-B276-4A28-A26B-9455F89D6CDA}"/>
    <cellStyle name="Normal 4 4 2 2 3 3 2 3" xfId="11953" xr:uid="{24E26F97-CDCB-4F3C-9023-6B0434F57998}"/>
    <cellStyle name="Normal 4 4 2 2 3 3 2 4" xfId="20391" xr:uid="{952EEE7F-ACA8-43EA-B513-827BDA67271D}"/>
    <cellStyle name="Normal 4 4 2 2 3 3 3" xfId="5584" xr:uid="{00000000-0005-0000-0000-0000F7140000}"/>
    <cellStyle name="Normal 4 4 2 2 3 3 3 2" xfId="14026" xr:uid="{B5EA5FEF-3631-4C9B-BB04-FEC3544828BA}"/>
    <cellStyle name="Normal 4 4 2 2 3 3 3 3" xfId="22463" xr:uid="{FAB74931-F56C-4E43-BE9B-FD8B44E0A5FD}"/>
    <cellStyle name="Normal 4 4 2 2 3 3 4" xfId="9808" xr:uid="{66FA418E-A777-4E62-B102-59F77231FB6A}"/>
    <cellStyle name="Normal 4 4 2 2 3 3 5" xfId="18246" xr:uid="{0C96EA3A-BA2E-4D91-90EF-E7EC58DF692E}"/>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F62A6955-0AD3-49CC-B05D-C7CB11480CAE}"/>
    <cellStyle name="Normal 4 4 2 2 3 4 2 2 3" xfId="25021" xr:uid="{34FFAA3D-0156-4CA0-B910-22ABB55A5A0D}"/>
    <cellStyle name="Normal 4 4 2 2 3 4 2 3" xfId="12366" xr:uid="{DDA1FACC-1B5E-4AA2-AEA7-C40D4C40F500}"/>
    <cellStyle name="Normal 4 4 2 2 3 4 2 4" xfId="20804" xr:uid="{077DEF31-AE13-4E76-B852-822C0ADF1C20}"/>
    <cellStyle name="Normal 4 4 2 2 3 4 3" xfId="5997" xr:uid="{00000000-0005-0000-0000-0000FB140000}"/>
    <cellStyle name="Normal 4 4 2 2 3 4 3 2" xfId="14439" xr:uid="{9E2E2630-45AA-418E-B06B-8BB82ABF8A07}"/>
    <cellStyle name="Normal 4 4 2 2 3 4 3 3" xfId="22876" xr:uid="{F2FE7E1A-647C-45DF-B7A3-B941EF762AE8}"/>
    <cellStyle name="Normal 4 4 2 2 3 4 4" xfId="10221" xr:uid="{03108A84-8269-440B-95F8-08BAA3B931F9}"/>
    <cellStyle name="Normal 4 4 2 2 3 4 5" xfId="18659" xr:uid="{47D4C010-F33F-48CD-9BFF-1FBA10188578}"/>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6BAFA7CD-3EF8-454F-9724-9BFF25C75B79}"/>
    <cellStyle name="Normal 4 4 2 2 3 5 2 2 3" xfId="25434" xr:uid="{82EFC12C-BECF-4C95-95EC-71F8B4F093EF}"/>
    <cellStyle name="Normal 4 4 2 2 3 5 2 3" xfId="12779" xr:uid="{2FBBC6C9-6CA5-43DB-8A3F-B46A7AE97B6E}"/>
    <cellStyle name="Normal 4 4 2 2 3 5 2 4" xfId="21217" xr:uid="{015F422C-7D75-4229-81A7-687877209686}"/>
    <cellStyle name="Normal 4 4 2 2 3 5 3" xfId="6410" xr:uid="{00000000-0005-0000-0000-0000FF140000}"/>
    <cellStyle name="Normal 4 4 2 2 3 5 3 2" xfId="14852" xr:uid="{6BD23008-AE7E-4F0C-A24E-1D7F885C6E4E}"/>
    <cellStyle name="Normal 4 4 2 2 3 5 3 3" xfId="23289" xr:uid="{6DCFD753-397A-447B-937D-B7AF48FDA5E5}"/>
    <cellStyle name="Normal 4 4 2 2 3 5 4" xfId="10634" xr:uid="{D0CCF8FB-2C9E-45B0-8EDB-6F700275BA81}"/>
    <cellStyle name="Normal 4 4 2 2 3 5 5" xfId="19072" xr:uid="{2B365436-0AF2-47E2-8813-086E0A8799D1}"/>
    <cellStyle name="Normal 4 4 2 2 3 6" xfId="2539" xr:uid="{00000000-0005-0000-0000-000000150000}"/>
    <cellStyle name="Normal 4 4 2 2 3 6 2" xfId="6823" xr:uid="{00000000-0005-0000-0000-000001150000}"/>
    <cellStyle name="Normal 4 4 2 2 3 6 2 2" xfId="15265" xr:uid="{0EF4D626-6C56-4BAB-B616-D3240344F435}"/>
    <cellStyle name="Normal 4 4 2 2 3 6 2 3" xfId="23702" xr:uid="{9ED63692-29F2-4C9F-9E7C-23C5D452D30C}"/>
    <cellStyle name="Normal 4 4 2 2 3 6 3" xfId="11047" xr:uid="{7E56C58A-EBBA-4E31-9DFC-8268BFFDE5FD}"/>
    <cellStyle name="Normal 4 4 2 2 3 6 4" xfId="19485" xr:uid="{34544DED-22A8-4DEE-965E-047473102FC4}"/>
    <cellStyle name="Normal 4 4 2 2 3 7" xfId="4758" xr:uid="{00000000-0005-0000-0000-000002150000}"/>
    <cellStyle name="Normal 4 4 2 2 3 7 2" xfId="13200" xr:uid="{6362812A-F237-4F6E-BC98-223F70E0BBCA}"/>
    <cellStyle name="Normal 4 4 2 2 3 7 3" xfId="21637" xr:uid="{B18EE666-B5CD-4C09-B047-7C78D38605AE}"/>
    <cellStyle name="Normal 4 4 2 2 3 8" xfId="8982" xr:uid="{A8C6760A-C91A-439B-9441-A4F51CDAC163}"/>
    <cellStyle name="Normal 4 4 2 2 3 9" xfId="17420" xr:uid="{757259A8-EBA2-48B7-998C-69DA375ADE57}"/>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283D1A50-D060-4F85-840E-A79F43E65AE8}"/>
    <cellStyle name="Normal 4 4 2 2 4 2 2 3" xfId="24192" xr:uid="{1AC4D9B6-C287-4D04-A906-C0AB651F615B}"/>
    <cellStyle name="Normal 4 4 2 2 4 2 3" xfId="11537" xr:uid="{17CB38A6-570A-4607-8610-9C503D3E0BC0}"/>
    <cellStyle name="Normal 4 4 2 2 4 2 4" xfId="19975" xr:uid="{5D8B6EF9-3064-4C96-BD40-49B1A4943097}"/>
    <cellStyle name="Normal 4 4 2 2 4 3" xfId="5168" xr:uid="{00000000-0005-0000-0000-000006150000}"/>
    <cellStyle name="Normal 4 4 2 2 4 3 2" xfId="13610" xr:uid="{142A57E5-C094-4119-8CEE-EB677F91F197}"/>
    <cellStyle name="Normal 4 4 2 2 4 3 3" xfId="22047" xr:uid="{F50FA4F3-0D45-4F14-8B00-9D208810D9AF}"/>
    <cellStyle name="Normal 4 4 2 2 4 4" xfId="9392" xr:uid="{D7771E99-60AD-4EB6-AE2D-41FA42BFDF22}"/>
    <cellStyle name="Normal 4 4 2 2 4 5" xfId="17830" xr:uid="{7D2F55DE-3E68-42BA-B601-7453A1471C89}"/>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4EF51C2C-EF28-4EA2-8C43-7A14BE2DE244}"/>
    <cellStyle name="Normal 4 4 2 2 5 2 2 3" xfId="24605" xr:uid="{96FE670E-FD72-40AD-B8E1-ABCBF4DCE9E9}"/>
    <cellStyle name="Normal 4 4 2 2 5 2 3" xfId="11950" xr:uid="{4032A70E-7762-44ED-B478-4C1A57BED5CF}"/>
    <cellStyle name="Normal 4 4 2 2 5 2 4" xfId="20388" xr:uid="{C64221E9-661B-4F02-B46B-A94C3229A400}"/>
    <cellStyle name="Normal 4 4 2 2 5 3" xfId="5581" xr:uid="{00000000-0005-0000-0000-00000A150000}"/>
    <cellStyle name="Normal 4 4 2 2 5 3 2" xfId="14023" xr:uid="{EBE1ABC8-647D-42AD-A1BB-4D6B78B49105}"/>
    <cellStyle name="Normal 4 4 2 2 5 3 3" xfId="22460" xr:uid="{5914F22B-ABD1-4AB4-B437-C3C05CAB3C64}"/>
    <cellStyle name="Normal 4 4 2 2 5 4" xfId="9805" xr:uid="{8BB59A27-B1DE-4538-8E56-D56FA94B184C}"/>
    <cellStyle name="Normal 4 4 2 2 5 5" xfId="18243" xr:uid="{F47C2E6C-75F6-4AE9-9A37-791553E61F6E}"/>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7937EBCD-0E12-4FE3-8535-01585DF22794}"/>
    <cellStyle name="Normal 4 4 2 2 6 2 2 3" xfId="25018" xr:uid="{21B46B08-3F4A-4616-B47D-54AA0EA3B776}"/>
    <cellStyle name="Normal 4 4 2 2 6 2 3" xfId="12363" xr:uid="{C24B5A4D-4504-421A-A9CC-F423C5DA2AB7}"/>
    <cellStyle name="Normal 4 4 2 2 6 2 4" xfId="20801" xr:uid="{E4A86288-FDA4-4F46-96AF-4583AA1C5A7E}"/>
    <cellStyle name="Normal 4 4 2 2 6 3" xfId="5994" xr:uid="{00000000-0005-0000-0000-00000E150000}"/>
    <cellStyle name="Normal 4 4 2 2 6 3 2" xfId="14436" xr:uid="{111FCC3C-24D3-4BA7-9D24-BB2ED2F6B524}"/>
    <cellStyle name="Normal 4 4 2 2 6 3 3" xfId="22873" xr:uid="{A22945D7-0F1B-41FE-9F3D-499C2635C891}"/>
    <cellStyle name="Normal 4 4 2 2 6 4" xfId="10218" xr:uid="{D175E9E3-AA0C-4FAA-A42A-2AAE1B2A3934}"/>
    <cellStyle name="Normal 4 4 2 2 6 5" xfId="18656" xr:uid="{0EBE29B8-7A19-4089-93DB-41A4DE4BE9F3}"/>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17286AB8-442B-4534-9482-C3FA0B32A5D6}"/>
    <cellStyle name="Normal 4 4 2 2 7 2 2 3" xfId="25431" xr:uid="{E702DCB3-5E5E-4A9E-8090-8EEF9148F40B}"/>
    <cellStyle name="Normal 4 4 2 2 7 2 3" xfId="12776" xr:uid="{04E684E0-427D-43FD-925B-2BD558E0E1E5}"/>
    <cellStyle name="Normal 4 4 2 2 7 2 4" xfId="21214" xr:uid="{FF18EE01-D016-4B5E-8D2D-5AE29FE0DA76}"/>
    <cellStyle name="Normal 4 4 2 2 7 3" xfId="6407" xr:uid="{00000000-0005-0000-0000-000012150000}"/>
    <cellStyle name="Normal 4 4 2 2 7 3 2" xfId="14849" xr:uid="{1D00A7E8-B2E4-4126-8D78-117127395D99}"/>
    <cellStyle name="Normal 4 4 2 2 7 3 3" xfId="23286" xr:uid="{B2599242-4762-4970-A965-108574A7A354}"/>
    <cellStyle name="Normal 4 4 2 2 7 4" xfId="10631" xr:uid="{5C3952BF-D6AD-4810-93C7-2E6FBC6CABE2}"/>
    <cellStyle name="Normal 4 4 2 2 7 5" xfId="19069" xr:uid="{C95F042A-801F-4438-A211-0D9976F6DB29}"/>
    <cellStyle name="Normal 4 4 2 2 8" xfId="2536" xr:uid="{00000000-0005-0000-0000-000013150000}"/>
    <cellStyle name="Normal 4 4 2 2 8 2" xfId="6820" xr:uid="{00000000-0005-0000-0000-000014150000}"/>
    <cellStyle name="Normal 4 4 2 2 8 2 2" xfId="15262" xr:uid="{0B269C2E-78AD-4583-A80B-3376364B95F5}"/>
    <cellStyle name="Normal 4 4 2 2 8 2 3" xfId="23699" xr:uid="{36BB1092-75E5-487C-B84C-C64ADECF6A14}"/>
    <cellStyle name="Normal 4 4 2 2 8 3" xfId="11044" xr:uid="{AF80D957-6435-483C-8997-A62B9E9C6FF3}"/>
    <cellStyle name="Normal 4 4 2 2 8 4" xfId="19482" xr:uid="{1022CF8B-C5CB-4CD3-9722-614DFBA33C97}"/>
    <cellStyle name="Normal 4 4 2 2 9" xfId="4755" xr:uid="{00000000-0005-0000-0000-000015150000}"/>
    <cellStyle name="Normal 4 4 2 2 9 2" xfId="13197" xr:uid="{47178D80-9616-4DC6-96A6-596E98B13F47}"/>
    <cellStyle name="Normal 4 4 2 2 9 3" xfId="21634" xr:uid="{8CD8E0CB-071D-4D3A-B039-B4AF42447760}"/>
    <cellStyle name="Normal 4 4 2 3" xfId="384" xr:uid="{00000000-0005-0000-0000-000016150000}"/>
    <cellStyle name="Normal 4 4 2 3 10" xfId="17421" xr:uid="{E1DCA574-A1B3-48EF-8ACB-A8DB90E67081}"/>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BC2BFE10-2E05-49B3-BE43-C46D35503DD4}"/>
    <cellStyle name="Normal 4 4 2 3 2 2 2 2 3" xfId="24197" xr:uid="{8150125C-DEEB-451B-BFF6-6DCE7BC3E9E0}"/>
    <cellStyle name="Normal 4 4 2 3 2 2 2 3" xfId="11542" xr:uid="{6A01AE23-0DED-4B7C-B666-D0C7094FA8C0}"/>
    <cellStyle name="Normal 4 4 2 3 2 2 2 4" xfId="19980" xr:uid="{5E6F2780-CC49-4E4D-AB6B-4818ABE0EEA5}"/>
    <cellStyle name="Normal 4 4 2 3 2 2 3" xfId="5173" xr:uid="{00000000-0005-0000-0000-00001B150000}"/>
    <cellStyle name="Normal 4 4 2 3 2 2 3 2" xfId="13615" xr:uid="{71689BF1-29DB-4F95-B3EA-C594A07BA786}"/>
    <cellStyle name="Normal 4 4 2 3 2 2 3 3" xfId="22052" xr:uid="{503C98FC-855C-49D8-85B2-1B510B28EA95}"/>
    <cellStyle name="Normal 4 4 2 3 2 2 4" xfId="9397" xr:uid="{9D5B3D68-F243-42DF-9845-8696BFC58E01}"/>
    <cellStyle name="Normal 4 4 2 3 2 2 5" xfId="17835" xr:uid="{3C4EFCB6-587F-4CC7-9F26-CE86BE5DC942}"/>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144669B9-02D1-4C86-BCA3-695121E69631}"/>
    <cellStyle name="Normal 4 4 2 3 2 3 2 2 3" xfId="24610" xr:uid="{3E806E39-3502-4EE6-B256-55266B8AF9CC}"/>
    <cellStyle name="Normal 4 4 2 3 2 3 2 3" xfId="11955" xr:uid="{5E60CA18-07B2-4156-A6C9-4974D3960E0E}"/>
    <cellStyle name="Normal 4 4 2 3 2 3 2 4" xfId="20393" xr:uid="{E48C6F98-740C-47D3-8EBF-A839172871B8}"/>
    <cellStyle name="Normal 4 4 2 3 2 3 3" xfId="5586" xr:uid="{00000000-0005-0000-0000-00001F150000}"/>
    <cellStyle name="Normal 4 4 2 3 2 3 3 2" xfId="14028" xr:uid="{CFCEF163-53CE-4D39-BC78-A6E8CD43A2F1}"/>
    <cellStyle name="Normal 4 4 2 3 2 3 3 3" xfId="22465" xr:uid="{F1FB2706-620E-4245-8E24-572E6610A201}"/>
    <cellStyle name="Normal 4 4 2 3 2 3 4" xfId="9810" xr:uid="{BC543F10-E277-4034-8039-632C2E293715}"/>
    <cellStyle name="Normal 4 4 2 3 2 3 5" xfId="18248" xr:uid="{08B761CF-FBE1-4666-B67A-21D516E5F741}"/>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A1126A65-3E2E-48A3-A8FD-DB1DCA121C7A}"/>
    <cellStyle name="Normal 4 4 2 3 2 4 2 2 3" xfId="25023" xr:uid="{433BE82D-5F4D-4805-AB74-8F7160375501}"/>
    <cellStyle name="Normal 4 4 2 3 2 4 2 3" xfId="12368" xr:uid="{D930D266-A412-43F4-B4EC-C1BCD7525782}"/>
    <cellStyle name="Normal 4 4 2 3 2 4 2 4" xfId="20806" xr:uid="{5520AADC-0CAB-4AEF-9022-B02973743C0D}"/>
    <cellStyle name="Normal 4 4 2 3 2 4 3" xfId="5999" xr:uid="{00000000-0005-0000-0000-000023150000}"/>
    <cellStyle name="Normal 4 4 2 3 2 4 3 2" xfId="14441" xr:uid="{E7899E66-474A-4478-B868-5AC1E79A3765}"/>
    <cellStyle name="Normal 4 4 2 3 2 4 3 3" xfId="22878" xr:uid="{97F5F9F3-5639-4561-B8FF-E3AC307E6C19}"/>
    <cellStyle name="Normal 4 4 2 3 2 4 4" xfId="10223" xr:uid="{BC4212E7-FCE9-4B5F-A1FA-5BF077F4C80B}"/>
    <cellStyle name="Normal 4 4 2 3 2 4 5" xfId="18661" xr:uid="{4F739472-D354-4157-A101-DBD322662CB6}"/>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9DC9092B-CD84-4C24-BB1B-A88D511FB27E}"/>
    <cellStyle name="Normal 4 4 2 3 2 5 2 2 3" xfId="25436" xr:uid="{E3F8B697-09A4-480D-BC98-83BFDD8570BD}"/>
    <cellStyle name="Normal 4 4 2 3 2 5 2 3" xfId="12781" xr:uid="{B5A49B60-6E10-4D2B-933C-C5114F75D7AB}"/>
    <cellStyle name="Normal 4 4 2 3 2 5 2 4" xfId="21219" xr:uid="{DB01990F-A0AF-44DD-BD6A-AFA859401EF3}"/>
    <cellStyle name="Normal 4 4 2 3 2 5 3" xfId="6412" xr:uid="{00000000-0005-0000-0000-000027150000}"/>
    <cellStyle name="Normal 4 4 2 3 2 5 3 2" xfId="14854" xr:uid="{EB234466-526B-4C4E-9C2F-F36D54510FC2}"/>
    <cellStyle name="Normal 4 4 2 3 2 5 3 3" xfId="23291" xr:uid="{D45561E8-730E-4283-A014-D5B2DBB9BC7C}"/>
    <cellStyle name="Normal 4 4 2 3 2 5 4" xfId="10636" xr:uid="{B141047D-5749-4790-8ADC-3E0A6BA99CA7}"/>
    <cellStyle name="Normal 4 4 2 3 2 5 5" xfId="19074" xr:uid="{12E8D98E-FE67-4831-A007-229E670504C4}"/>
    <cellStyle name="Normal 4 4 2 3 2 6" xfId="2541" xr:uid="{00000000-0005-0000-0000-000028150000}"/>
    <cellStyle name="Normal 4 4 2 3 2 6 2" xfId="6825" xr:uid="{00000000-0005-0000-0000-000029150000}"/>
    <cellStyle name="Normal 4 4 2 3 2 6 2 2" xfId="15267" xr:uid="{92EEC781-DCC2-48C1-A646-8311769F58F1}"/>
    <cellStyle name="Normal 4 4 2 3 2 6 2 3" xfId="23704" xr:uid="{32E36E14-A525-4029-8563-AC07EDCACDB4}"/>
    <cellStyle name="Normal 4 4 2 3 2 6 3" xfId="11049" xr:uid="{E84A2752-D418-4F26-9741-EEF5EC9CEDCC}"/>
    <cellStyle name="Normal 4 4 2 3 2 6 4" xfId="19487" xr:uid="{8E3F6F4B-FEC1-4149-B825-CD6AF05ADB7F}"/>
    <cellStyle name="Normal 4 4 2 3 2 7" xfId="4760" xr:uid="{00000000-0005-0000-0000-00002A150000}"/>
    <cellStyle name="Normal 4 4 2 3 2 7 2" xfId="13202" xr:uid="{75B28279-4E97-4183-A8BA-44C169AADAFE}"/>
    <cellStyle name="Normal 4 4 2 3 2 7 3" xfId="21639" xr:uid="{99422FF1-05CF-4B1B-BADF-53DE4B4665E7}"/>
    <cellStyle name="Normal 4 4 2 3 2 8" xfId="8984" xr:uid="{242B9B75-358F-4040-BD20-7274AB386A53}"/>
    <cellStyle name="Normal 4 4 2 3 2 9" xfId="17422" xr:uid="{99D3EC40-0442-40F0-A2F2-5091D0C8AABB}"/>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BDC960B1-8136-467F-8D42-33BDF11C1E5B}"/>
    <cellStyle name="Normal 4 4 2 3 3 2 2 3" xfId="24196" xr:uid="{0DD1920A-8D67-4FC0-845B-C4BF4841B68D}"/>
    <cellStyle name="Normal 4 4 2 3 3 2 3" xfId="11541" xr:uid="{FA905387-C787-45EB-9262-E61970D36008}"/>
    <cellStyle name="Normal 4 4 2 3 3 2 4" xfId="19979" xr:uid="{1164D586-7643-442B-BCC7-3703E7C3F4C0}"/>
    <cellStyle name="Normal 4 4 2 3 3 3" xfId="5172" xr:uid="{00000000-0005-0000-0000-00002E150000}"/>
    <cellStyle name="Normal 4 4 2 3 3 3 2" xfId="13614" xr:uid="{551DEB09-2350-408D-BBDD-81ABDAD4DBEF}"/>
    <cellStyle name="Normal 4 4 2 3 3 3 3" xfId="22051" xr:uid="{D72A82EC-43E9-4568-8C48-F857BCA55874}"/>
    <cellStyle name="Normal 4 4 2 3 3 4" xfId="9396" xr:uid="{2FC2CC6B-70B6-486B-A03C-2C539D945243}"/>
    <cellStyle name="Normal 4 4 2 3 3 5" xfId="17834" xr:uid="{B1A3D2A2-87B1-4413-AAEB-1CEAE52F3BAE}"/>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F5BB5B48-501B-45B2-9D53-2971A47C3DBB}"/>
    <cellStyle name="Normal 4 4 2 3 4 2 2 3" xfId="24609" xr:uid="{792436C2-5D69-4BB5-917C-E9C179A247EF}"/>
    <cellStyle name="Normal 4 4 2 3 4 2 3" xfId="11954" xr:uid="{3CA098C5-D4D0-4387-AE9A-D67F21F4CE2E}"/>
    <cellStyle name="Normal 4 4 2 3 4 2 4" xfId="20392" xr:uid="{FF3F7C5C-E343-4EFB-BF24-976400E3DA72}"/>
    <cellStyle name="Normal 4 4 2 3 4 3" xfId="5585" xr:uid="{00000000-0005-0000-0000-000032150000}"/>
    <cellStyle name="Normal 4 4 2 3 4 3 2" xfId="14027" xr:uid="{10EB3EEF-D5EA-4464-AA60-70EAC9E3DDDE}"/>
    <cellStyle name="Normal 4 4 2 3 4 3 3" xfId="22464" xr:uid="{BD69BEC3-D76C-49DD-B7E8-F9215F0A82C4}"/>
    <cellStyle name="Normal 4 4 2 3 4 4" xfId="9809" xr:uid="{F22823B4-B935-48F3-B1C8-093063AAC40D}"/>
    <cellStyle name="Normal 4 4 2 3 4 5" xfId="18247" xr:uid="{5A1353B6-AD87-43F2-9310-8E2F7C8A7001}"/>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BA4B7B3C-BF01-4E7E-BF7E-453FBBF3C6E6}"/>
    <cellStyle name="Normal 4 4 2 3 5 2 2 3" xfId="25022" xr:uid="{D01FE898-69D3-4AD6-9D66-98A753ECCCC6}"/>
    <cellStyle name="Normal 4 4 2 3 5 2 3" xfId="12367" xr:uid="{42609278-E5B4-4C07-82AD-15E0B2B48069}"/>
    <cellStyle name="Normal 4 4 2 3 5 2 4" xfId="20805" xr:uid="{6E8954D3-C3F9-4664-AF81-887A9CD40A47}"/>
    <cellStyle name="Normal 4 4 2 3 5 3" xfId="5998" xr:uid="{00000000-0005-0000-0000-000036150000}"/>
    <cellStyle name="Normal 4 4 2 3 5 3 2" xfId="14440" xr:uid="{4E7BB86C-CC49-4724-AF1D-5F5781C9FAFA}"/>
    <cellStyle name="Normal 4 4 2 3 5 3 3" xfId="22877" xr:uid="{6C22CC02-B036-4242-867E-8EC275C512F2}"/>
    <cellStyle name="Normal 4 4 2 3 5 4" xfId="10222" xr:uid="{9A6ACA88-6720-4B97-B6A1-32489B8DC617}"/>
    <cellStyle name="Normal 4 4 2 3 5 5" xfId="18660" xr:uid="{0F314E8E-EE03-4B75-8585-6A39C873234D}"/>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1AB900B5-D262-4C5E-803C-BB63F44A92A7}"/>
    <cellStyle name="Normal 4 4 2 3 6 2 2 3" xfId="25435" xr:uid="{6BCE41D6-BA68-4171-8BC1-BD7750F0F962}"/>
    <cellStyle name="Normal 4 4 2 3 6 2 3" xfId="12780" xr:uid="{D1762A2C-BB70-44A6-8DE8-5EA5F6692A3F}"/>
    <cellStyle name="Normal 4 4 2 3 6 2 4" xfId="21218" xr:uid="{C88A95EC-96EC-49A7-B55C-38FFB6E9D5E6}"/>
    <cellStyle name="Normal 4 4 2 3 6 3" xfId="6411" xr:uid="{00000000-0005-0000-0000-00003A150000}"/>
    <cellStyle name="Normal 4 4 2 3 6 3 2" xfId="14853" xr:uid="{41E2B321-8338-4368-A904-F6D74755C903}"/>
    <cellStyle name="Normal 4 4 2 3 6 3 3" xfId="23290" xr:uid="{EBE7E43C-0A81-448A-AA24-6649E54B8082}"/>
    <cellStyle name="Normal 4 4 2 3 6 4" xfId="10635" xr:uid="{D77D23F7-9103-47AC-959F-989B521EEA30}"/>
    <cellStyle name="Normal 4 4 2 3 6 5" xfId="19073" xr:uid="{BFA49E76-68DE-4A6C-80A9-0B449E0E23B9}"/>
    <cellStyle name="Normal 4 4 2 3 7" xfId="2540" xr:uid="{00000000-0005-0000-0000-00003B150000}"/>
    <cellStyle name="Normal 4 4 2 3 7 2" xfId="6824" xr:uid="{00000000-0005-0000-0000-00003C150000}"/>
    <cellStyle name="Normal 4 4 2 3 7 2 2" xfId="15266" xr:uid="{CC085B5A-4C42-4552-9D28-B40FA29E90A9}"/>
    <cellStyle name="Normal 4 4 2 3 7 2 3" xfId="23703" xr:uid="{E27668B8-E462-44C5-9462-A3D58EE367ED}"/>
    <cellStyle name="Normal 4 4 2 3 7 3" xfId="11048" xr:uid="{2E7C264F-2973-4957-BF34-CDA9D00B58C1}"/>
    <cellStyle name="Normal 4 4 2 3 7 4" xfId="19486" xr:uid="{24EFB405-4D78-4139-816D-C2AAC757F92D}"/>
    <cellStyle name="Normal 4 4 2 3 8" xfId="4759" xr:uid="{00000000-0005-0000-0000-00003D150000}"/>
    <cellStyle name="Normal 4 4 2 3 8 2" xfId="13201" xr:uid="{BB54C715-4ADD-4932-AC19-2F4669BB0476}"/>
    <cellStyle name="Normal 4 4 2 3 8 3" xfId="21638" xr:uid="{B6E0E9FD-F26D-4029-8B3A-9667DC65B1ED}"/>
    <cellStyle name="Normal 4 4 2 3 9" xfId="8983" xr:uid="{B48DF472-AECE-48EF-BB1B-91A37A0AD691}"/>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8F5D02D9-87B7-4106-8EB6-F0B1B91DBE56}"/>
    <cellStyle name="Normal 4 4 2 4 2 2 2 3" xfId="24198" xr:uid="{807714BD-4EDE-4F6E-813B-94C0D5F77EAD}"/>
    <cellStyle name="Normal 4 4 2 4 2 2 3" xfId="11543" xr:uid="{7DED62E5-75E6-43E4-8E2E-30EE653740DE}"/>
    <cellStyle name="Normal 4 4 2 4 2 2 4" xfId="19981" xr:uid="{F03EB6F1-D7FA-4DF5-8C16-1A9A59767705}"/>
    <cellStyle name="Normal 4 4 2 4 2 3" xfId="5174" xr:uid="{00000000-0005-0000-0000-000042150000}"/>
    <cellStyle name="Normal 4 4 2 4 2 3 2" xfId="13616" xr:uid="{DAC363ED-71A0-43B1-AF01-B4B692C5902C}"/>
    <cellStyle name="Normal 4 4 2 4 2 3 3" xfId="22053" xr:uid="{54B1CCFB-0734-4A9B-902A-40B915B5A201}"/>
    <cellStyle name="Normal 4 4 2 4 2 4" xfId="9398" xr:uid="{2878448B-BADB-4A3A-88BE-21BFAA43198C}"/>
    <cellStyle name="Normal 4 4 2 4 2 5" xfId="17836" xr:uid="{E961E75F-41F5-4B6D-AF8C-B2187BBCE691}"/>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A1680BE5-145A-4779-BDBD-F38C59F0C3E7}"/>
    <cellStyle name="Normal 4 4 2 4 3 2 2 3" xfId="24611" xr:uid="{D7DE17C0-A6C8-4ACE-BD36-E186D6C5DE75}"/>
    <cellStyle name="Normal 4 4 2 4 3 2 3" xfId="11956" xr:uid="{82E7EEED-47F9-43EA-9927-72913F5B0173}"/>
    <cellStyle name="Normal 4 4 2 4 3 2 4" xfId="20394" xr:uid="{DCB26ECC-5570-4717-8B25-895FE1751F2F}"/>
    <cellStyle name="Normal 4 4 2 4 3 3" xfId="5587" xr:uid="{00000000-0005-0000-0000-000046150000}"/>
    <cellStyle name="Normal 4 4 2 4 3 3 2" xfId="14029" xr:uid="{A1B30CB1-C603-441D-9A77-40072943F13C}"/>
    <cellStyle name="Normal 4 4 2 4 3 3 3" xfId="22466" xr:uid="{9E39B4A8-A19C-419D-9125-0905A728AAE5}"/>
    <cellStyle name="Normal 4 4 2 4 3 4" xfId="9811" xr:uid="{3F4899E8-1BCD-423C-8FAC-4DD16E1A5D4A}"/>
    <cellStyle name="Normal 4 4 2 4 3 5" xfId="18249" xr:uid="{A40331C4-E08C-4EC4-AF3A-B571FE58AC7F}"/>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58AE68E4-1080-4373-9389-3C484ABF68B5}"/>
    <cellStyle name="Normal 4 4 2 4 4 2 2 3" xfId="25024" xr:uid="{0C65479A-5448-450B-A79D-59F440DD06AD}"/>
    <cellStyle name="Normal 4 4 2 4 4 2 3" xfId="12369" xr:uid="{015CE9CC-7AC7-410E-A718-2DC94826E102}"/>
    <cellStyle name="Normal 4 4 2 4 4 2 4" xfId="20807" xr:uid="{69263029-AE8C-4915-8FFD-D7E4BBEE4ADA}"/>
    <cellStyle name="Normal 4 4 2 4 4 3" xfId="6000" xr:uid="{00000000-0005-0000-0000-00004A150000}"/>
    <cellStyle name="Normal 4 4 2 4 4 3 2" xfId="14442" xr:uid="{454E9C46-F23A-4917-B47B-2DB96732C5BA}"/>
    <cellStyle name="Normal 4 4 2 4 4 3 3" xfId="22879" xr:uid="{FC10F365-A5C9-47BF-97F2-2FF320C9C3F6}"/>
    <cellStyle name="Normal 4 4 2 4 4 4" xfId="10224" xr:uid="{62061A64-74F6-4100-87EC-A38BA9781DD4}"/>
    <cellStyle name="Normal 4 4 2 4 4 5" xfId="18662" xr:uid="{007860B9-064A-4C77-825F-0B97FC02FFE9}"/>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A7409C28-81A2-4528-A4CE-918EAB07F068}"/>
    <cellStyle name="Normal 4 4 2 4 5 2 2 3" xfId="25437" xr:uid="{8E318D6A-D0D1-429F-8351-BC2E7D4C7955}"/>
    <cellStyle name="Normal 4 4 2 4 5 2 3" xfId="12782" xr:uid="{690F2F26-CFD0-4DB0-8AA1-559F86271105}"/>
    <cellStyle name="Normal 4 4 2 4 5 2 4" xfId="21220" xr:uid="{E4FEBA95-B84A-4FD9-BEEB-F47D5E72972D}"/>
    <cellStyle name="Normal 4 4 2 4 5 3" xfId="6413" xr:uid="{00000000-0005-0000-0000-00004E150000}"/>
    <cellStyle name="Normal 4 4 2 4 5 3 2" xfId="14855" xr:uid="{742A7405-CFEA-41FB-A988-8E1731B7B1C5}"/>
    <cellStyle name="Normal 4 4 2 4 5 3 3" xfId="23292" xr:uid="{D173F9BD-4445-4B26-A94B-52006095E10C}"/>
    <cellStyle name="Normal 4 4 2 4 5 4" xfId="10637" xr:uid="{D12BDDB4-6D6C-4194-870D-A6A42AC54491}"/>
    <cellStyle name="Normal 4 4 2 4 5 5" xfId="19075" xr:uid="{3B50F7E0-0145-44A6-8ABD-128B8B98DEDF}"/>
    <cellStyle name="Normal 4 4 2 4 6" xfId="2542" xr:uid="{00000000-0005-0000-0000-00004F150000}"/>
    <cellStyle name="Normal 4 4 2 4 6 2" xfId="6826" xr:uid="{00000000-0005-0000-0000-000050150000}"/>
    <cellStyle name="Normal 4 4 2 4 6 2 2" xfId="15268" xr:uid="{7B6C2D2F-E0DA-4FDB-B0BE-27D4A82B3572}"/>
    <cellStyle name="Normal 4 4 2 4 6 2 3" xfId="23705" xr:uid="{F3DF8953-488A-47C5-87F9-0A836F73013C}"/>
    <cellStyle name="Normal 4 4 2 4 6 3" xfId="11050" xr:uid="{C4268B13-2471-4688-A3A1-D282DBDD436E}"/>
    <cellStyle name="Normal 4 4 2 4 6 4" xfId="19488" xr:uid="{121EE61D-AA74-44DF-BC99-73FBC1F5BF89}"/>
    <cellStyle name="Normal 4 4 2 4 7" xfId="4761" xr:uid="{00000000-0005-0000-0000-000051150000}"/>
    <cellStyle name="Normal 4 4 2 4 7 2" xfId="13203" xr:uid="{72C5AC43-5D3C-4B56-B8B5-292B25C57DF9}"/>
    <cellStyle name="Normal 4 4 2 4 7 3" xfId="21640" xr:uid="{2F742C3E-8D3C-4DEF-84EF-92144EA52AF4}"/>
    <cellStyle name="Normal 4 4 2 4 8" xfId="8985" xr:uid="{EF2CA62A-1E50-47A2-9C6C-69F8E78B7A86}"/>
    <cellStyle name="Normal 4 4 2 4 9" xfId="17423" xr:uid="{5FC94D1A-6E93-4919-8B74-C834031DEC01}"/>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B09482C9-BC2B-47E4-AD1A-BD81349D22F5}"/>
    <cellStyle name="Normal 4 4 2 5 2 2 3" xfId="24191" xr:uid="{6C42D337-5D65-42A9-B835-B7A7B63C12BF}"/>
    <cellStyle name="Normal 4 4 2 5 2 3" xfId="11536" xr:uid="{A5E01489-367C-46F7-A7CA-57DB64659C7E}"/>
    <cellStyle name="Normal 4 4 2 5 2 4" xfId="19974" xr:uid="{71938601-5462-4BBD-8516-943B6A0F38C3}"/>
    <cellStyle name="Normal 4 4 2 5 3" xfId="5167" xr:uid="{00000000-0005-0000-0000-000055150000}"/>
    <cellStyle name="Normal 4 4 2 5 3 2" xfId="13609" xr:uid="{DA9BF618-1D67-4F97-9CDD-6DBE1B0518B0}"/>
    <cellStyle name="Normal 4 4 2 5 3 3" xfId="22046" xr:uid="{05084CA0-16AD-4F0E-ACFC-F5C2C0E38B3E}"/>
    <cellStyle name="Normal 4 4 2 5 4" xfId="9391" xr:uid="{CA8219DC-B828-43F3-AF22-82568E708371}"/>
    <cellStyle name="Normal 4 4 2 5 5" xfId="17829" xr:uid="{A9374AFA-04A6-4989-9CDB-45CEE5E850AC}"/>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93FFF324-BD1B-4023-B117-9AD528F9F641}"/>
    <cellStyle name="Normal 4 4 2 6 2 2 3" xfId="24604" xr:uid="{4DE390D3-A12E-416B-8457-05534E48AEFC}"/>
    <cellStyle name="Normal 4 4 2 6 2 3" xfId="11949" xr:uid="{6F075C1B-58F4-468C-A0F6-F9F6EAE0BE22}"/>
    <cellStyle name="Normal 4 4 2 6 2 4" xfId="20387" xr:uid="{D5B66168-FD62-4662-BBCF-2C6F8B9B3F00}"/>
    <cellStyle name="Normal 4 4 2 6 3" xfId="5580" xr:uid="{00000000-0005-0000-0000-000059150000}"/>
    <cellStyle name="Normal 4 4 2 6 3 2" xfId="14022" xr:uid="{B2B4C043-C077-4537-B54A-E6944351D797}"/>
    <cellStyle name="Normal 4 4 2 6 3 3" xfId="22459" xr:uid="{E1A06C76-132A-4306-B16B-AAFEB256EEA5}"/>
    <cellStyle name="Normal 4 4 2 6 4" xfId="9804" xr:uid="{36EC2B1E-FF65-4ADE-9CAB-729E9652CDA6}"/>
    <cellStyle name="Normal 4 4 2 6 5" xfId="18242" xr:uid="{2AFE8429-FF87-4043-A74D-5D5209987167}"/>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42FB8758-5D4D-4E8E-861D-6DD41BC77572}"/>
    <cellStyle name="Normal 4 4 2 7 2 2 3" xfId="25017" xr:uid="{3CB31F13-5B97-421A-A197-5D5AC787A6CE}"/>
    <cellStyle name="Normal 4 4 2 7 2 3" xfId="12362" xr:uid="{41C99345-59C9-4DFC-B218-7670E03A752D}"/>
    <cellStyle name="Normal 4 4 2 7 2 4" xfId="20800" xr:uid="{E70820CA-A112-4FE7-9B54-3BFF88647E0F}"/>
    <cellStyle name="Normal 4 4 2 7 3" xfId="5993" xr:uid="{00000000-0005-0000-0000-00005D150000}"/>
    <cellStyle name="Normal 4 4 2 7 3 2" xfId="14435" xr:uid="{52A85923-15E1-41AD-9CDF-8DDF2762C4AD}"/>
    <cellStyle name="Normal 4 4 2 7 3 3" xfId="22872" xr:uid="{CC892CC0-2EBD-4883-8B8D-44BE9A6F5916}"/>
    <cellStyle name="Normal 4 4 2 7 4" xfId="10217" xr:uid="{FB61D365-2057-4EE9-AF14-B0F13F06E5C4}"/>
    <cellStyle name="Normal 4 4 2 7 5" xfId="18655" xr:uid="{7BA9752B-0F0B-44A1-90F1-7E3E1754FFD7}"/>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148FE815-129F-4E52-BB3C-D4BD52027B9F}"/>
    <cellStyle name="Normal 4 4 2 8 2 2 3" xfId="25430" xr:uid="{82793D5C-6BA4-489D-B22E-346AC969CF72}"/>
    <cellStyle name="Normal 4 4 2 8 2 3" xfId="12775" xr:uid="{224A5D30-C803-4E43-8AE8-D015B1F48A16}"/>
    <cellStyle name="Normal 4 4 2 8 2 4" xfId="21213" xr:uid="{5D9E25AB-B15F-4013-A972-63D439594029}"/>
    <cellStyle name="Normal 4 4 2 8 3" xfId="6406" xr:uid="{00000000-0005-0000-0000-000061150000}"/>
    <cellStyle name="Normal 4 4 2 8 3 2" xfId="14848" xr:uid="{0781E866-49FA-407A-A7C8-81BAEA2B3887}"/>
    <cellStyle name="Normal 4 4 2 8 3 3" xfId="23285" xr:uid="{9E2E2BB5-0B47-4B37-B3D9-28C33DEEED06}"/>
    <cellStyle name="Normal 4 4 2 8 4" xfId="10630" xr:uid="{F0570DF7-07C0-4A2E-BF19-27E96F6F0575}"/>
    <cellStyle name="Normal 4 4 2 8 5" xfId="19068" xr:uid="{266DF67C-ADE4-49F5-959B-BC4548BFA7E8}"/>
    <cellStyle name="Normal 4 4 2 9" xfId="2535" xr:uid="{00000000-0005-0000-0000-000062150000}"/>
    <cellStyle name="Normal 4 4 2 9 2" xfId="6819" xr:uid="{00000000-0005-0000-0000-000063150000}"/>
    <cellStyle name="Normal 4 4 2 9 2 2" xfId="15261" xr:uid="{26EF76B7-4929-4329-855A-AB4C6DC9339C}"/>
    <cellStyle name="Normal 4 4 2 9 2 3" xfId="23698" xr:uid="{2D822D6E-D15A-4B41-9B04-D44900C3D24D}"/>
    <cellStyle name="Normal 4 4 2 9 3" xfId="11043" xr:uid="{9D896C98-7BEF-41C7-B3B3-3B306F405349}"/>
    <cellStyle name="Normal 4 4 2 9 4" xfId="19481" xr:uid="{8E439717-0762-41D3-9215-AB571C80234E}"/>
    <cellStyle name="Normal 4 4 3" xfId="387" xr:uid="{00000000-0005-0000-0000-000064150000}"/>
    <cellStyle name="Normal 4 4 3 10" xfId="8986" xr:uid="{B6DD9BAF-A1EA-4A5A-AD67-C4F3FE2E4F00}"/>
    <cellStyle name="Normal 4 4 3 11" xfId="17424" xr:uid="{35B62D2A-47FB-437E-96E8-565E392ED93C}"/>
    <cellStyle name="Normal 4 4 3 2" xfId="388" xr:uid="{00000000-0005-0000-0000-000065150000}"/>
    <cellStyle name="Normal 4 4 3 2 10" xfId="17425" xr:uid="{9339535D-4BF0-4D65-A1A3-58F185495B5D}"/>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2CB596A8-DEAA-4E8E-8C59-822C3FC997AE}"/>
    <cellStyle name="Normal 4 4 3 2 2 2 2 2 3" xfId="24201" xr:uid="{CD93C547-418B-46F1-8F94-38DEEEDB8EF1}"/>
    <cellStyle name="Normal 4 4 3 2 2 2 2 3" xfId="11546" xr:uid="{F52DB037-659C-486E-827B-91EA7B04B847}"/>
    <cellStyle name="Normal 4 4 3 2 2 2 2 4" xfId="19984" xr:uid="{15273DF1-C152-4527-9942-3A2008E9B477}"/>
    <cellStyle name="Normal 4 4 3 2 2 2 3" xfId="5177" xr:uid="{00000000-0005-0000-0000-00006A150000}"/>
    <cellStyle name="Normal 4 4 3 2 2 2 3 2" xfId="13619" xr:uid="{4D397FA7-5C43-4D5F-B9FB-843B68582447}"/>
    <cellStyle name="Normal 4 4 3 2 2 2 3 3" xfId="22056" xr:uid="{2B45B0C1-7EAF-46D6-BC94-7C12793F97C2}"/>
    <cellStyle name="Normal 4 4 3 2 2 2 4" xfId="9401" xr:uid="{BD5A53B0-E06C-4AB8-A68D-DA3DA0B79B2C}"/>
    <cellStyle name="Normal 4 4 3 2 2 2 5" xfId="17839" xr:uid="{757F6306-129B-4382-B257-C4C5DE4EFB49}"/>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27011410-6CDC-462F-A72F-98BF8C74F0A4}"/>
    <cellStyle name="Normal 4 4 3 2 2 3 2 2 3" xfId="24614" xr:uid="{795B9519-626D-4D10-A1CC-173E991784FD}"/>
    <cellStyle name="Normal 4 4 3 2 2 3 2 3" xfId="11959" xr:uid="{B6C849ED-ED57-435E-8FC8-F3591112BA7E}"/>
    <cellStyle name="Normal 4 4 3 2 2 3 2 4" xfId="20397" xr:uid="{2F4679D7-ABF5-476C-8CF4-54DF08EFDF02}"/>
    <cellStyle name="Normal 4 4 3 2 2 3 3" xfId="5590" xr:uid="{00000000-0005-0000-0000-00006E150000}"/>
    <cellStyle name="Normal 4 4 3 2 2 3 3 2" xfId="14032" xr:uid="{34AE47D3-19F0-4BF4-B6E3-8189420B0853}"/>
    <cellStyle name="Normal 4 4 3 2 2 3 3 3" xfId="22469" xr:uid="{787D5671-DE35-40B7-8F39-36E7AC47933F}"/>
    <cellStyle name="Normal 4 4 3 2 2 3 4" xfId="9814" xr:uid="{E34C4547-6E06-4D96-8FED-286EE42B5287}"/>
    <cellStyle name="Normal 4 4 3 2 2 3 5" xfId="18252" xr:uid="{E0C03806-C295-47B6-9518-D31C54BF9364}"/>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6B352059-EAFB-46BA-AC20-CD35CCB1EAB0}"/>
    <cellStyle name="Normal 4 4 3 2 2 4 2 2 3" xfId="25027" xr:uid="{459078B3-F9A2-4204-8B63-903BC6E6D074}"/>
    <cellStyle name="Normal 4 4 3 2 2 4 2 3" xfId="12372" xr:uid="{4E9B886E-9F88-4E35-B1CF-D0B9CE9FF9F7}"/>
    <cellStyle name="Normal 4 4 3 2 2 4 2 4" xfId="20810" xr:uid="{7A8A181A-672E-428C-AF38-DAAB5E14FF02}"/>
    <cellStyle name="Normal 4 4 3 2 2 4 3" xfId="6003" xr:uid="{00000000-0005-0000-0000-000072150000}"/>
    <cellStyle name="Normal 4 4 3 2 2 4 3 2" xfId="14445" xr:uid="{5F6818A2-3A80-4548-9317-FDC690D39FB4}"/>
    <cellStyle name="Normal 4 4 3 2 2 4 3 3" xfId="22882" xr:uid="{E12575BA-9402-4D58-AEC6-E88FF9F48620}"/>
    <cellStyle name="Normal 4 4 3 2 2 4 4" xfId="10227" xr:uid="{EA7BB674-2BB5-4250-81FF-77B2D148BC0F}"/>
    <cellStyle name="Normal 4 4 3 2 2 4 5" xfId="18665" xr:uid="{EF8BD6DA-9D08-4CF9-A5DC-F61B7EFA971C}"/>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0402DDD1-7285-495A-82A9-A8632766B70F}"/>
    <cellStyle name="Normal 4 4 3 2 2 5 2 2 3" xfId="25440" xr:uid="{D7355104-E1A5-48DD-BF94-28D7F9C94055}"/>
    <cellStyle name="Normal 4 4 3 2 2 5 2 3" xfId="12785" xr:uid="{0C23F48B-0511-414B-B3A6-E409B8709EB4}"/>
    <cellStyle name="Normal 4 4 3 2 2 5 2 4" xfId="21223" xr:uid="{261BCEF6-35C4-410C-AA0E-3BC397896C96}"/>
    <cellStyle name="Normal 4 4 3 2 2 5 3" xfId="6416" xr:uid="{00000000-0005-0000-0000-000076150000}"/>
    <cellStyle name="Normal 4 4 3 2 2 5 3 2" xfId="14858" xr:uid="{FA9BDA61-93D4-49A2-8766-0D4BD4FE7630}"/>
    <cellStyle name="Normal 4 4 3 2 2 5 3 3" xfId="23295" xr:uid="{D97DD696-089A-4009-85DC-4DB13C2200A9}"/>
    <cellStyle name="Normal 4 4 3 2 2 5 4" xfId="10640" xr:uid="{DBC3A58A-3254-41A8-84AC-E84395EC6554}"/>
    <cellStyle name="Normal 4 4 3 2 2 5 5" xfId="19078" xr:uid="{1082721E-B4C7-446D-949A-9C8086F76959}"/>
    <cellStyle name="Normal 4 4 3 2 2 6" xfId="2545" xr:uid="{00000000-0005-0000-0000-000077150000}"/>
    <cellStyle name="Normal 4 4 3 2 2 6 2" xfId="6829" xr:uid="{00000000-0005-0000-0000-000078150000}"/>
    <cellStyle name="Normal 4 4 3 2 2 6 2 2" xfId="15271" xr:uid="{9BCEB8FD-A6B3-416F-9BFE-0930F4D47A2B}"/>
    <cellStyle name="Normal 4 4 3 2 2 6 2 3" xfId="23708" xr:uid="{32C5FF4B-1D34-466D-B8B7-E2F6E9353419}"/>
    <cellStyle name="Normal 4 4 3 2 2 6 3" xfId="11053" xr:uid="{93F33542-6A31-461A-B2B4-826CF3F8D4A9}"/>
    <cellStyle name="Normal 4 4 3 2 2 6 4" xfId="19491" xr:uid="{6C39EC42-13FC-47E2-81CF-DEA89D5154DF}"/>
    <cellStyle name="Normal 4 4 3 2 2 7" xfId="4764" xr:uid="{00000000-0005-0000-0000-000079150000}"/>
    <cellStyle name="Normal 4 4 3 2 2 7 2" xfId="13206" xr:uid="{8C0E94B2-A567-436D-A360-226F40F317F9}"/>
    <cellStyle name="Normal 4 4 3 2 2 7 3" xfId="21643" xr:uid="{D416CC2D-E57C-4073-B6C6-29582CF5781D}"/>
    <cellStyle name="Normal 4 4 3 2 2 8" xfId="8988" xr:uid="{94D3F389-AA7E-4D3F-B184-0FFCF7C10168}"/>
    <cellStyle name="Normal 4 4 3 2 2 9" xfId="17426" xr:uid="{93B96A3D-4C0A-4332-9FB6-9BCE793E3FA7}"/>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E1BB8B27-2756-4528-BDA7-4D545CCB249C}"/>
    <cellStyle name="Normal 4 4 3 2 3 2 2 3" xfId="24200" xr:uid="{3C47D7B3-A155-4609-BFB6-99CFAD483626}"/>
    <cellStyle name="Normal 4 4 3 2 3 2 3" xfId="11545" xr:uid="{8CA142CA-E318-4E7B-A510-38EF45B9CA24}"/>
    <cellStyle name="Normal 4 4 3 2 3 2 4" xfId="19983" xr:uid="{3993A837-D786-4B91-BA36-1F0A8B860BCA}"/>
    <cellStyle name="Normal 4 4 3 2 3 3" xfId="5176" xr:uid="{00000000-0005-0000-0000-00007D150000}"/>
    <cellStyle name="Normal 4 4 3 2 3 3 2" xfId="13618" xr:uid="{859B4493-0B69-420F-B00E-FD5E535DF39A}"/>
    <cellStyle name="Normal 4 4 3 2 3 3 3" xfId="22055" xr:uid="{6225D5FD-74A4-435F-BC7B-B6F5C3F47116}"/>
    <cellStyle name="Normal 4 4 3 2 3 4" xfId="9400" xr:uid="{FA0F0EE2-0221-458E-9E36-AB70B0115746}"/>
    <cellStyle name="Normal 4 4 3 2 3 5" xfId="17838" xr:uid="{CFCE8B35-0564-44DC-9D43-ECF7249B825D}"/>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F5DA8651-8C0E-408E-B06C-27CD1F72650E}"/>
    <cellStyle name="Normal 4 4 3 2 4 2 2 3" xfId="24613" xr:uid="{3018A376-C97E-4E4B-97D9-EBC13523699D}"/>
    <cellStyle name="Normal 4 4 3 2 4 2 3" xfId="11958" xr:uid="{985380CE-9AF5-4520-A51B-3D5995814A81}"/>
    <cellStyle name="Normal 4 4 3 2 4 2 4" xfId="20396" xr:uid="{8B9CB2F5-2567-4C42-AB8A-86B44B87FF1D}"/>
    <cellStyle name="Normal 4 4 3 2 4 3" xfId="5589" xr:uid="{00000000-0005-0000-0000-000081150000}"/>
    <cellStyle name="Normal 4 4 3 2 4 3 2" xfId="14031" xr:uid="{4BB6ACC0-EC9C-4AB0-AA02-100AC07B9CC1}"/>
    <cellStyle name="Normal 4 4 3 2 4 3 3" xfId="22468" xr:uid="{01667EE5-B5AB-44A2-B9BF-42FCA9D758D0}"/>
    <cellStyle name="Normal 4 4 3 2 4 4" xfId="9813" xr:uid="{94B998F2-C729-4693-A5F0-1570A86043ED}"/>
    <cellStyle name="Normal 4 4 3 2 4 5" xfId="18251" xr:uid="{73354C12-EA22-4494-9896-F18A2D84431E}"/>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77BF1BCA-A45B-4902-AA29-3093184DE01C}"/>
    <cellStyle name="Normal 4 4 3 2 5 2 2 3" xfId="25026" xr:uid="{E75F6981-89D6-4DDE-9655-853B46A640D7}"/>
    <cellStyle name="Normal 4 4 3 2 5 2 3" xfId="12371" xr:uid="{F777F3F6-A688-4960-AA26-87E264EF7384}"/>
    <cellStyle name="Normal 4 4 3 2 5 2 4" xfId="20809" xr:uid="{C1EAC161-BF84-47AC-A882-389F5AD42476}"/>
    <cellStyle name="Normal 4 4 3 2 5 3" xfId="6002" xr:uid="{00000000-0005-0000-0000-000085150000}"/>
    <cellStyle name="Normal 4 4 3 2 5 3 2" xfId="14444" xr:uid="{E8FA8FC5-85E7-4347-A6EE-0A69BBFC529B}"/>
    <cellStyle name="Normal 4 4 3 2 5 3 3" xfId="22881" xr:uid="{88A51931-D1F8-4EA2-BEE0-D585E0B5D585}"/>
    <cellStyle name="Normal 4 4 3 2 5 4" xfId="10226" xr:uid="{F9422C0F-03D2-4E73-AF6D-3160A50861E0}"/>
    <cellStyle name="Normal 4 4 3 2 5 5" xfId="18664" xr:uid="{941DD890-F0D8-4606-82F7-08C70DEC271A}"/>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88F75C69-5CAF-4FDB-B9F4-4F6A1C30F8DE}"/>
    <cellStyle name="Normal 4 4 3 2 6 2 2 3" xfId="25439" xr:uid="{A1DA6DC1-1D0C-48F4-8599-1B940DEAC9E0}"/>
    <cellStyle name="Normal 4 4 3 2 6 2 3" xfId="12784" xr:uid="{9A1B2240-C462-493B-B646-730BBA969155}"/>
    <cellStyle name="Normal 4 4 3 2 6 2 4" xfId="21222" xr:uid="{026F59B2-0028-41BA-96E0-A4E273C751CF}"/>
    <cellStyle name="Normal 4 4 3 2 6 3" xfId="6415" xr:uid="{00000000-0005-0000-0000-000089150000}"/>
    <cellStyle name="Normal 4 4 3 2 6 3 2" xfId="14857" xr:uid="{857510E0-58B8-423C-83F3-D36C8761D325}"/>
    <cellStyle name="Normal 4 4 3 2 6 3 3" xfId="23294" xr:uid="{944634D1-E1EE-45BF-AA87-1ADD9B580AE8}"/>
    <cellStyle name="Normal 4 4 3 2 6 4" xfId="10639" xr:uid="{6542F934-1577-4A03-AF68-8A717F2EE7B2}"/>
    <cellStyle name="Normal 4 4 3 2 6 5" xfId="19077" xr:uid="{C51484FD-4A78-47CF-BA2F-69EFA4946F99}"/>
    <cellStyle name="Normal 4 4 3 2 7" xfId="2544" xr:uid="{00000000-0005-0000-0000-00008A150000}"/>
    <cellStyle name="Normal 4 4 3 2 7 2" xfId="6828" xr:uid="{00000000-0005-0000-0000-00008B150000}"/>
    <cellStyle name="Normal 4 4 3 2 7 2 2" xfId="15270" xr:uid="{B62ADAE4-7B02-4D92-8823-3BD411A5A477}"/>
    <cellStyle name="Normal 4 4 3 2 7 2 3" xfId="23707" xr:uid="{CA89DF9F-7C4C-4C60-B0FC-3EE70BC50244}"/>
    <cellStyle name="Normal 4 4 3 2 7 3" xfId="11052" xr:uid="{6352A403-B061-4A43-A3B1-5B2ADD795A67}"/>
    <cellStyle name="Normal 4 4 3 2 7 4" xfId="19490" xr:uid="{F4F5490A-8C89-4E77-B700-ABB52CA7487C}"/>
    <cellStyle name="Normal 4 4 3 2 8" xfId="4763" xr:uid="{00000000-0005-0000-0000-00008C150000}"/>
    <cellStyle name="Normal 4 4 3 2 8 2" xfId="13205" xr:uid="{6759DCFF-647F-4709-A4E1-285CD86446EC}"/>
    <cellStyle name="Normal 4 4 3 2 8 3" xfId="21642" xr:uid="{BD939609-C357-40A7-8872-953411ED01E7}"/>
    <cellStyle name="Normal 4 4 3 2 9" xfId="8987" xr:uid="{A272EE50-627E-44AC-9D3C-4DE2FC933DFC}"/>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009ABFAA-B747-4FBD-B96E-DB4B638F5FB3}"/>
    <cellStyle name="Normal 4 4 3 3 2 2 2 3" xfId="24202" xr:uid="{9C31E504-1D65-4039-8849-E4EBA5CE806D}"/>
    <cellStyle name="Normal 4 4 3 3 2 2 3" xfId="11547" xr:uid="{C83960C2-35A0-480A-A9F6-ADDDCF6F07A4}"/>
    <cellStyle name="Normal 4 4 3 3 2 2 4" xfId="19985" xr:uid="{FC7187AA-A671-4537-8B8C-85EFCF46ADAD}"/>
    <cellStyle name="Normal 4 4 3 3 2 3" xfId="5178" xr:uid="{00000000-0005-0000-0000-000091150000}"/>
    <cellStyle name="Normal 4 4 3 3 2 3 2" xfId="13620" xr:uid="{B218E7F6-7E7E-4A66-9F21-C9D190D388E1}"/>
    <cellStyle name="Normal 4 4 3 3 2 3 3" xfId="22057" xr:uid="{0EC54DDD-DEE7-4DFA-9F1D-5B0DD56292F3}"/>
    <cellStyle name="Normal 4 4 3 3 2 4" xfId="9402" xr:uid="{456729E0-7C31-4888-957D-1434BB728433}"/>
    <cellStyle name="Normal 4 4 3 3 2 5" xfId="17840" xr:uid="{DEE97FBF-A77A-441B-8AC9-DDDB95D148C3}"/>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6F552FAE-A0DC-46EA-92F3-9176182AAF66}"/>
    <cellStyle name="Normal 4 4 3 3 3 2 2 3" xfId="24615" xr:uid="{43FFFB19-90F7-4261-915C-BE46D00DB0D3}"/>
    <cellStyle name="Normal 4 4 3 3 3 2 3" xfId="11960" xr:uid="{D9216B65-30E6-465B-A69F-D0ADF5305F90}"/>
    <cellStyle name="Normal 4 4 3 3 3 2 4" xfId="20398" xr:uid="{821B8520-A706-4BD1-8416-18A5B107B7AE}"/>
    <cellStyle name="Normal 4 4 3 3 3 3" xfId="5591" xr:uid="{00000000-0005-0000-0000-000095150000}"/>
    <cellStyle name="Normal 4 4 3 3 3 3 2" xfId="14033" xr:uid="{9340EC95-9CA0-4A4E-BDBC-0DD4468EFD99}"/>
    <cellStyle name="Normal 4 4 3 3 3 3 3" xfId="22470" xr:uid="{216C6942-2518-4D01-A305-BD1D80E56202}"/>
    <cellStyle name="Normal 4 4 3 3 3 4" xfId="9815" xr:uid="{EBDA91A9-6D3D-42D1-8612-7571BF5996ED}"/>
    <cellStyle name="Normal 4 4 3 3 3 5" xfId="18253" xr:uid="{AA009FDD-3FC9-4F3C-B43F-AD37D96528A6}"/>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B2EBB564-A6F2-4E7E-B0B4-969D8A293214}"/>
    <cellStyle name="Normal 4 4 3 3 4 2 2 3" xfId="25028" xr:uid="{5AF1FFCE-5978-4C6D-9A2E-2714AB3D810A}"/>
    <cellStyle name="Normal 4 4 3 3 4 2 3" xfId="12373" xr:uid="{2145E787-3F55-48F7-AA31-7EBA47C62FFF}"/>
    <cellStyle name="Normal 4 4 3 3 4 2 4" xfId="20811" xr:uid="{64C4DC07-8E0E-4818-A21D-7C74927DD077}"/>
    <cellStyle name="Normal 4 4 3 3 4 3" xfId="6004" xr:uid="{00000000-0005-0000-0000-000099150000}"/>
    <cellStyle name="Normal 4 4 3 3 4 3 2" xfId="14446" xr:uid="{5D7E9A7B-E796-4D3E-8817-9BE48AF26F12}"/>
    <cellStyle name="Normal 4 4 3 3 4 3 3" xfId="22883" xr:uid="{9A660AD9-5832-470D-8B11-981EB857D514}"/>
    <cellStyle name="Normal 4 4 3 3 4 4" xfId="10228" xr:uid="{EA57E268-085E-4954-9389-29CEF4220EAE}"/>
    <cellStyle name="Normal 4 4 3 3 4 5" xfId="18666" xr:uid="{CDB83673-C65D-4C2B-8B9D-7BC554402E59}"/>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7E367CDE-8AC9-43FD-B646-7D1D7911B006}"/>
    <cellStyle name="Normal 4 4 3 3 5 2 2 3" xfId="25441" xr:uid="{2D4F6F2E-D417-44E5-A879-F104930202CA}"/>
    <cellStyle name="Normal 4 4 3 3 5 2 3" xfId="12786" xr:uid="{C7BFDB8B-1366-486F-A791-B186CF536781}"/>
    <cellStyle name="Normal 4 4 3 3 5 2 4" xfId="21224" xr:uid="{56B40262-92B4-479A-89A8-B2248FD7B624}"/>
    <cellStyle name="Normal 4 4 3 3 5 3" xfId="6417" xr:uid="{00000000-0005-0000-0000-00009D150000}"/>
    <cellStyle name="Normal 4 4 3 3 5 3 2" xfId="14859" xr:uid="{CA8D5320-6F23-4232-BE6E-45C2E5D29D09}"/>
    <cellStyle name="Normal 4 4 3 3 5 3 3" xfId="23296" xr:uid="{6BE31889-B17A-4A0D-9C37-268B51B9BA8A}"/>
    <cellStyle name="Normal 4 4 3 3 5 4" xfId="10641" xr:uid="{C6D28A25-5071-4AAD-9537-BC0F32030B91}"/>
    <cellStyle name="Normal 4 4 3 3 5 5" xfId="19079" xr:uid="{B4763B6C-04D0-4EDA-A6F6-623F52F143EF}"/>
    <cellStyle name="Normal 4 4 3 3 6" xfId="2546" xr:uid="{00000000-0005-0000-0000-00009E150000}"/>
    <cellStyle name="Normal 4 4 3 3 6 2" xfId="6830" xr:uid="{00000000-0005-0000-0000-00009F150000}"/>
    <cellStyle name="Normal 4 4 3 3 6 2 2" xfId="15272" xr:uid="{5435675D-C02B-40FE-8567-2F54C5A90B2A}"/>
    <cellStyle name="Normal 4 4 3 3 6 2 3" xfId="23709" xr:uid="{AFC1A9F9-16BB-436D-B8C3-C45DBF0FBA9D}"/>
    <cellStyle name="Normal 4 4 3 3 6 3" xfId="11054" xr:uid="{DFE8D031-FC4C-4109-A8D4-062B77199CC1}"/>
    <cellStyle name="Normal 4 4 3 3 6 4" xfId="19492" xr:uid="{3AC4058E-CE79-4CF8-9F6B-8A7747EFF7F7}"/>
    <cellStyle name="Normal 4 4 3 3 7" xfId="4765" xr:uid="{00000000-0005-0000-0000-0000A0150000}"/>
    <cellStyle name="Normal 4 4 3 3 7 2" xfId="13207" xr:uid="{816FD0E1-D478-4439-A801-CAA04E31B809}"/>
    <cellStyle name="Normal 4 4 3 3 7 3" xfId="21644" xr:uid="{29779103-1372-491C-80C9-1758AA03FB5F}"/>
    <cellStyle name="Normal 4 4 3 3 8" xfId="8989" xr:uid="{82B52756-B5CB-42C8-A698-18BE94E2C427}"/>
    <cellStyle name="Normal 4 4 3 3 9" xfId="17427" xr:uid="{5C894D71-8965-4C59-B01D-73F280BB365E}"/>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58BDE7A3-61F9-46EC-A083-A07D7B3A49A0}"/>
    <cellStyle name="Normal 4 4 3 4 2 2 3" xfId="24199" xr:uid="{219A9E60-9F80-4F63-9186-955A322A9DFD}"/>
    <cellStyle name="Normal 4 4 3 4 2 3" xfId="11544" xr:uid="{E63C51A3-E4B1-495D-88B4-4ED3378B4FB3}"/>
    <cellStyle name="Normal 4 4 3 4 2 4" xfId="19982" xr:uid="{74D530D4-3DA6-4EA3-9C67-680FBC9AF5DC}"/>
    <cellStyle name="Normal 4 4 3 4 3" xfId="5175" xr:uid="{00000000-0005-0000-0000-0000A4150000}"/>
    <cellStyle name="Normal 4 4 3 4 3 2" xfId="13617" xr:uid="{035D62B0-9A11-4109-A53E-F6C9B0330ED9}"/>
    <cellStyle name="Normal 4 4 3 4 3 3" xfId="22054" xr:uid="{19E58B16-8C4B-4788-AC01-7C53BFEF0A39}"/>
    <cellStyle name="Normal 4 4 3 4 4" xfId="9399" xr:uid="{A4211863-084D-48B5-A916-58944B923134}"/>
    <cellStyle name="Normal 4 4 3 4 5" xfId="17837" xr:uid="{2E04F6D5-E1C4-40BC-8B76-A3B048FA8FC7}"/>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267FCEB0-082D-4B15-A167-AE3590CC65EC}"/>
    <cellStyle name="Normal 4 4 3 5 2 2 3" xfId="24612" xr:uid="{33552AE4-D0B2-4A71-A77D-343536EFD82D}"/>
    <cellStyle name="Normal 4 4 3 5 2 3" xfId="11957" xr:uid="{FE29C611-37E0-4E32-BB4C-00EEC8A82997}"/>
    <cellStyle name="Normal 4 4 3 5 2 4" xfId="20395" xr:uid="{3F455745-C025-464D-A069-CB3A469E9B0E}"/>
    <cellStyle name="Normal 4 4 3 5 3" xfId="5588" xr:uid="{00000000-0005-0000-0000-0000A8150000}"/>
    <cellStyle name="Normal 4 4 3 5 3 2" xfId="14030" xr:uid="{52F301B1-20AE-45E2-A4EC-3D912520D373}"/>
    <cellStyle name="Normal 4 4 3 5 3 3" xfId="22467" xr:uid="{CB6BCECC-CBAF-436E-9EBE-8F31E2A7527C}"/>
    <cellStyle name="Normal 4 4 3 5 4" xfId="9812" xr:uid="{874F4BBA-9282-4594-A755-BB0E6C880CF2}"/>
    <cellStyle name="Normal 4 4 3 5 5" xfId="18250" xr:uid="{E299BD89-3ACA-466D-A84D-354C6D7C2EBB}"/>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F73CB647-650E-4F49-B70E-C38479459676}"/>
    <cellStyle name="Normal 4 4 3 6 2 2 3" xfId="25025" xr:uid="{B1AF8F57-68AC-44FA-B092-BEB042018EED}"/>
    <cellStyle name="Normal 4 4 3 6 2 3" xfId="12370" xr:uid="{BC51D815-9029-4473-9CB2-59A9817B2988}"/>
    <cellStyle name="Normal 4 4 3 6 2 4" xfId="20808" xr:uid="{DA6A091B-B230-4419-8FA3-84E3890CB671}"/>
    <cellStyle name="Normal 4 4 3 6 3" xfId="6001" xr:uid="{00000000-0005-0000-0000-0000AC150000}"/>
    <cellStyle name="Normal 4 4 3 6 3 2" xfId="14443" xr:uid="{5029F4A3-2369-4989-912C-B1C11DE9582E}"/>
    <cellStyle name="Normal 4 4 3 6 3 3" xfId="22880" xr:uid="{E7E98F2A-790D-4CE7-963B-379B5472E713}"/>
    <cellStyle name="Normal 4 4 3 6 4" xfId="10225" xr:uid="{7F97570F-C390-4A3A-ABE4-8F25F5AE5A08}"/>
    <cellStyle name="Normal 4 4 3 6 5" xfId="18663" xr:uid="{58585C50-5507-4F72-9799-7BC4FED7F448}"/>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F7CCE34D-A641-4F17-A94D-E69D5729396A}"/>
    <cellStyle name="Normal 4 4 3 7 2 2 3" xfId="25438" xr:uid="{F4A2289F-013B-4F5B-9AC2-09A7932BB2E9}"/>
    <cellStyle name="Normal 4 4 3 7 2 3" xfId="12783" xr:uid="{BD48CD25-1E32-4DD6-A056-582007EC287C}"/>
    <cellStyle name="Normal 4 4 3 7 2 4" xfId="21221" xr:uid="{E57FADF3-6546-49B4-AED9-5515B006B774}"/>
    <cellStyle name="Normal 4 4 3 7 3" xfId="6414" xr:uid="{00000000-0005-0000-0000-0000B0150000}"/>
    <cellStyle name="Normal 4 4 3 7 3 2" xfId="14856" xr:uid="{006F5385-109A-465F-9796-C631CAAA5A3C}"/>
    <cellStyle name="Normal 4 4 3 7 3 3" xfId="23293" xr:uid="{946E5F37-ABF8-426B-9F2E-8346DB12E28B}"/>
    <cellStyle name="Normal 4 4 3 7 4" xfId="10638" xr:uid="{9BEBEE5A-34F8-47A3-AF0E-2B0E6600D95C}"/>
    <cellStyle name="Normal 4 4 3 7 5" xfId="19076" xr:uid="{FCB1076A-432A-4A87-89B8-7CF548AD15C1}"/>
    <cellStyle name="Normal 4 4 3 8" xfId="2543" xr:uid="{00000000-0005-0000-0000-0000B1150000}"/>
    <cellStyle name="Normal 4 4 3 8 2" xfId="6827" xr:uid="{00000000-0005-0000-0000-0000B2150000}"/>
    <cellStyle name="Normal 4 4 3 8 2 2" xfId="15269" xr:uid="{4344A9CB-715C-42A5-9277-698CE4BAE80A}"/>
    <cellStyle name="Normal 4 4 3 8 2 3" xfId="23706" xr:uid="{1D1F8212-793F-433B-8A33-5265D2C82698}"/>
    <cellStyle name="Normal 4 4 3 8 3" xfId="11051" xr:uid="{7023110C-56D3-4365-9BCF-77250E9EABE4}"/>
    <cellStyle name="Normal 4 4 3 8 4" xfId="19489" xr:uid="{29E00E2E-76D1-4BEC-B692-56EA6DAF89A8}"/>
    <cellStyle name="Normal 4 4 3 9" xfId="4762" xr:uid="{00000000-0005-0000-0000-0000B3150000}"/>
    <cellStyle name="Normal 4 4 3 9 2" xfId="13204" xr:uid="{B02BD9E8-360C-44FD-B5B5-836203F8A112}"/>
    <cellStyle name="Normal 4 4 3 9 3" xfId="21641" xr:uid="{0A7C168B-D97C-468A-8AAB-AD954EA668E5}"/>
    <cellStyle name="Normal 4 4 4" xfId="391" xr:uid="{00000000-0005-0000-0000-0000B4150000}"/>
    <cellStyle name="Normal 4 4 4 10" xfId="17428" xr:uid="{930D2804-29EA-448E-8923-55263286697A}"/>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C3BB108B-2337-4FC2-8B9E-DE4FE469A105}"/>
    <cellStyle name="Normal 4 4 4 2 2 2 2 3" xfId="24204" xr:uid="{97AD9BF4-E678-4E12-A77A-9B01EAB049E3}"/>
    <cellStyle name="Normal 4 4 4 2 2 2 3" xfId="11549" xr:uid="{C392A025-F4A0-402B-82E2-32FC30057B76}"/>
    <cellStyle name="Normal 4 4 4 2 2 2 4" xfId="19987" xr:uid="{BD0D1EE5-7AC4-47E5-A47F-2A25CB316D59}"/>
    <cellStyle name="Normal 4 4 4 2 2 3" xfId="5180" xr:uid="{00000000-0005-0000-0000-0000B9150000}"/>
    <cellStyle name="Normal 4 4 4 2 2 3 2" xfId="13622" xr:uid="{E76CAA88-F61A-4EC0-8FC6-E0C12BEB7D32}"/>
    <cellStyle name="Normal 4 4 4 2 2 3 3" xfId="22059" xr:uid="{008C9CD4-07B1-4748-BD72-36CE69A5CAB1}"/>
    <cellStyle name="Normal 4 4 4 2 2 4" xfId="9404" xr:uid="{13683657-1140-4F34-B5B7-CF70456BC70D}"/>
    <cellStyle name="Normal 4 4 4 2 2 5" xfId="17842" xr:uid="{E6A5F78B-6BA6-47C9-89F1-1ABA62A2EB12}"/>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66AF5EC9-788B-4E97-B110-E9D101F8CEEE}"/>
    <cellStyle name="Normal 4 4 4 2 3 2 2 3" xfId="24617" xr:uid="{993DEF4F-4393-4352-9C34-BA22C78D7EE7}"/>
    <cellStyle name="Normal 4 4 4 2 3 2 3" xfId="11962" xr:uid="{D37E0FFF-E372-44A4-AB1D-50BE6F47EAEB}"/>
    <cellStyle name="Normal 4 4 4 2 3 2 4" xfId="20400" xr:uid="{FDEAB954-811E-429C-A18B-088124F435FE}"/>
    <cellStyle name="Normal 4 4 4 2 3 3" xfId="5593" xr:uid="{00000000-0005-0000-0000-0000BD150000}"/>
    <cellStyle name="Normal 4 4 4 2 3 3 2" xfId="14035" xr:uid="{E8679A62-97B4-4E1F-8844-71B6113B2F87}"/>
    <cellStyle name="Normal 4 4 4 2 3 3 3" xfId="22472" xr:uid="{5768B5C4-93DF-44EC-AFC4-13295B0D659A}"/>
    <cellStyle name="Normal 4 4 4 2 3 4" xfId="9817" xr:uid="{8CD86528-2797-4737-B3E3-1209E2683E00}"/>
    <cellStyle name="Normal 4 4 4 2 3 5" xfId="18255" xr:uid="{42B101A8-23CD-4458-B047-C34D44E30D8D}"/>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D9CE9463-483C-41C7-B32C-3B4E9C13023F}"/>
    <cellStyle name="Normal 4 4 4 2 4 2 2 3" xfId="25030" xr:uid="{F82C30DB-2059-4048-9F84-7D877B759198}"/>
    <cellStyle name="Normal 4 4 4 2 4 2 3" xfId="12375" xr:uid="{E69547C0-B5A2-469C-A37C-C1A7FBC62086}"/>
    <cellStyle name="Normal 4 4 4 2 4 2 4" xfId="20813" xr:uid="{86A7763D-E570-41CE-91EA-51B529F05EFC}"/>
    <cellStyle name="Normal 4 4 4 2 4 3" xfId="6006" xr:uid="{00000000-0005-0000-0000-0000C1150000}"/>
    <cellStyle name="Normal 4 4 4 2 4 3 2" xfId="14448" xr:uid="{4FEB01BA-2742-4434-AE49-D755EC1577B5}"/>
    <cellStyle name="Normal 4 4 4 2 4 3 3" xfId="22885" xr:uid="{70C2F66E-57D1-4AC7-A5BC-062C7AFA5A0E}"/>
    <cellStyle name="Normal 4 4 4 2 4 4" xfId="10230" xr:uid="{8F9ABED6-9253-4E51-AAAB-3B069D83DD2C}"/>
    <cellStyle name="Normal 4 4 4 2 4 5" xfId="18668" xr:uid="{E2002763-4331-413E-8E09-05A9588A53FB}"/>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C99B2769-32E6-4F72-B806-C2B5FC35A448}"/>
    <cellStyle name="Normal 4 4 4 2 5 2 2 3" xfId="25443" xr:uid="{E38069F7-AC24-4377-9D9C-4E7C586A66AF}"/>
    <cellStyle name="Normal 4 4 4 2 5 2 3" xfId="12788" xr:uid="{91EF0136-CE34-4B92-99F1-440D794F8C69}"/>
    <cellStyle name="Normal 4 4 4 2 5 2 4" xfId="21226" xr:uid="{2729BE81-AE18-41B9-9CBC-E22FFFF327D8}"/>
    <cellStyle name="Normal 4 4 4 2 5 3" xfId="6419" xr:uid="{00000000-0005-0000-0000-0000C5150000}"/>
    <cellStyle name="Normal 4 4 4 2 5 3 2" xfId="14861" xr:uid="{5AE9A524-DB16-4D03-889B-32CFFB067B69}"/>
    <cellStyle name="Normal 4 4 4 2 5 3 3" xfId="23298" xr:uid="{C82C897E-ED62-4CE4-AD21-0CAAB9016C08}"/>
    <cellStyle name="Normal 4 4 4 2 5 4" xfId="10643" xr:uid="{E14F7B8B-84D2-4935-B7AF-9B11B924E418}"/>
    <cellStyle name="Normal 4 4 4 2 5 5" xfId="19081" xr:uid="{66FAA8C6-FCE8-4C23-87C8-C00E57A62FB9}"/>
    <cellStyle name="Normal 4 4 4 2 6" xfId="2548" xr:uid="{00000000-0005-0000-0000-0000C6150000}"/>
    <cellStyle name="Normal 4 4 4 2 6 2" xfId="6832" xr:uid="{00000000-0005-0000-0000-0000C7150000}"/>
    <cellStyle name="Normal 4 4 4 2 6 2 2" xfId="15274" xr:uid="{9A439322-3828-46CD-97C4-393D62411B53}"/>
    <cellStyle name="Normal 4 4 4 2 6 2 3" xfId="23711" xr:uid="{29EAD23B-2028-4E19-AA05-71D79B4DE1C0}"/>
    <cellStyle name="Normal 4 4 4 2 6 3" xfId="11056" xr:uid="{15B85A60-8B6F-41F9-ADAF-1E4398CF7111}"/>
    <cellStyle name="Normal 4 4 4 2 6 4" xfId="19494" xr:uid="{BDE56E97-B4BB-4B7F-BB95-FC8087BB7551}"/>
    <cellStyle name="Normal 4 4 4 2 7" xfId="4767" xr:uid="{00000000-0005-0000-0000-0000C8150000}"/>
    <cellStyle name="Normal 4 4 4 2 7 2" xfId="13209" xr:uid="{ABCA11CF-55FA-40C2-929D-F53B4205D01E}"/>
    <cellStyle name="Normal 4 4 4 2 7 3" xfId="21646" xr:uid="{C4118DBE-1AE3-4D49-B80B-2949D155A82D}"/>
    <cellStyle name="Normal 4 4 4 2 8" xfId="8991" xr:uid="{F39C2107-7E90-4CCD-BE68-80A9A5D844D1}"/>
    <cellStyle name="Normal 4 4 4 2 9" xfId="17429" xr:uid="{40F57FA6-50E5-4798-B062-DBECC52B50CE}"/>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46C620BD-1825-4FB9-B75A-F28919C90E4F}"/>
    <cellStyle name="Normal 4 4 4 3 2 2 3" xfId="24203" xr:uid="{7A64FD07-12AD-413A-81DF-F0C6E1010DBB}"/>
    <cellStyle name="Normal 4 4 4 3 2 3" xfId="11548" xr:uid="{9D24C83A-3992-48C2-BA58-7CE62E4CF7BD}"/>
    <cellStyle name="Normal 4 4 4 3 2 4" xfId="19986" xr:uid="{76BC98FD-F764-4FA6-821B-82A63B95AECF}"/>
    <cellStyle name="Normal 4 4 4 3 3" xfId="5179" xr:uid="{00000000-0005-0000-0000-0000CC150000}"/>
    <cellStyle name="Normal 4 4 4 3 3 2" xfId="13621" xr:uid="{187850B4-CC5E-4C2E-B885-F68A0EDD82BE}"/>
    <cellStyle name="Normal 4 4 4 3 3 3" xfId="22058" xr:uid="{7C7B4362-BC23-44D8-BE6E-D75A4500E93F}"/>
    <cellStyle name="Normal 4 4 4 3 4" xfId="9403" xr:uid="{F97F8F86-B36C-4C7F-A6A0-287E472605AE}"/>
    <cellStyle name="Normal 4 4 4 3 5" xfId="17841" xr:uid="{DE1CCEBF-FF3B-427A-96D1-87A4D4BD465A}"/>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BEDE9086-5F06-4A06-B48A-3BB3E5A1D3E4}"/>
    <cellStyle name="Normal 4 4 4 4 2 2 3" xfId="24616" xr:uid="{00FE7C20-14BB-405F-9560-C9BA4F66F831}"/>
    <cellStyle name="Normal 4 4 4 4 2 3" xfId="11961" xr:uid="{921D857F-573C-4DDC-B8E4-93F655DEA7BF}"/>
    <cellStyle name="Normal 4 4 4 4 2 4" xfId="20399" xr:uid="{E7E4CE34-8BF1-4680-83E0-2F87E8AAC53B}"/>
    <cellStyle name="Normal 4 4 4 4 3" xfId="5592" xr:uid="{00000000-0005-0000-0000-0000D0150000}"/>
    <cellStyle name="Normal 4 4 4 4 3 2" xfId="14034" xr:uid="{CB667251-2037-4D07-A2D9-8743078EBC22}"/>
    <cellStyle name="Normal 4 4 4 4 3 3" xfId="22471" xr:uid="{5037DF33-BF02-46EF-AECA-C998B173C77A}"/>
    <cellStyle name="Normal 4 4 4 4 4" xfId="9816" xr:uid="{E5A4F1F7-5196-4B41-84BB-984900B89906}"/>
    <cellStyle name="Normal 4 4 4 4 5" xfId="18254" xr:uid="{355CA757-846C-4FE3-8289-80A914145EDF}"/>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CE6BE23E-4A95-4C8D-9235-11A3150CA1AF}"/>
    <cellStyle name="Normal 4 4 4 5 2 2 3" xfId="25029" xr:uid="{CB58FC17-292A-4135-B1DA-8246A8B5CFE9}"/>
    <cellStyle name="Normal 4 4 4 5 2 3" xfId="12374" xr:uid="{33E9C55D-A782-421D-8ED1-9536F41EAFB3}"/>
    <cellStyle name="Normal 4 4 4 5 2 4" xfId="20812" xr:uid="{0FD5EAA8-D00B-4E53-A185-9D6A87EF2824}"/>
    <cellStyle name="Normal 4 4 4 5 3" xfId="6005" xr:uid="{00000000-0005-0000-0000-0000D4150000}"/>
    <cellStyle name="Normal 4 4 4 5 3 2" xfId="14447" xr:uid="{7DB0570F-AA5C-413A-BA77-A0535A02988C}"/>
    <cellStyle name="Normal 4 4 4 5 3 3" xfId="22884" xr:uid="{003E110B-0FD3-43F8-8C39-D789D125BF94}"/>
    <cellStyle name="Normal 4 4 4 5 4" xfId="10229" xr:uid="{5CA01E3D-B1A1-4AC3-A882-C0B74C1EA754}"/>
    <cellStyle name="Normal 4 4 4 5 5" xfId="18667" xr:uid="{19009626-05ED-495C-9F4A-A58F48F96677}"/>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C7780B17-CF7C-407C-876A-A63D0F064985}"/>
    <cellStyle name="Normal 4 4 4 6 2 2 3" xfId="25442" xr:uid="{7B2AF4D6-D1DA-4F50-BA81-01A990053022}"/>
    <cellStyle name="Normal 4 4 4 6 2 3" xfId="12787" xr:uid="{07AFF9B7-E346-4C12-9645-FAE4971366E8}"/>
    <cellStyle name="Normal 4 4 4 6 2 4" xfId="21225" xr:uid="{1DB8A24F-64D6-41F5-BC8F-A0ADCABBB893}"/>
    <cellStyle name="Normal 4 4 4 6 3" xfId="6418" xr:uid="{00000000-0005-0000-0000-0000D8150000}"/>
    <cellStyle name="Normal 4 4 4 6 3 2" xfId="14860" xr:uid="{4EAD5BE3-9136-4506-8F48-54EFA2CEB6AC}"/>
    <cellStyle name="Normal 4 4 4 6 3 3" xfId="23297" xr:uid="{8DC61F23-5B67-4E0A-8BD3-518E6EC4C443}"/>
    <cellStyle name="Normal 4 4 4 6 4" xfId="10642" xr:uid="{6C9EE21C-2E9B-4C99-B2FB-EA9360E67920}"/>
    <cellStyle name="Normal 4 4 4 6 5" xfId="19080" xr:uid="{AA0821B2-77CB-41E4-8303-D89738FD6917}"/>
    <cellStyle name="Normal 4 4 4 7" xfId="2547" xr:uid="{00000000-0005-0000-0000-0000D9150000}"/>
    <cellStyle name="Normal 4 4 4 7 2" xfId="6831" xr:uid="{00000000-0005-0000-0000-0000DA150000}"/>
    <cellStyle name="Normal 4 4 4 7 2 2" xfId="15273" xr:uid="{AA9250E4-F88E-48ED-A5AB-73002D130F24}"/>
    <cellStyle name="Normal 4 4 4 7 2 3" xfId="23710" xr:uid="{DF6E0D84-0F4B-4E61-A316-22A6ECFC1A63}"/>
    <cellStyle name="Normal 4 4 4 7 3" xfId="11055" xr:uid="{A8AA4CD9-1B32-4810-BE89-21D6B66E11D9}"/>
    <cellStyle name="Normal 4 4 4 7 4" xfId="19493" xr:uid="{16B671AB-E9A5-4D7F-BA5E-935D20D80A33}"/>
    <cellStyle name="Normal 4 4 4 8" xfId="4766" xr:uid="{00000000-0005-0000-0000-0000DB150000}"/>
    <cellStyle name="Normal 4 4 4 8 2" xfId="13208" xr:uid="{D6779380-DF8C-4D49-939F-ABA90F965EFB}"/>
    <cellStyle name="Normal 4 4 4 8 3" xfId="21645" xr:uid="{D6E91CB4-0EF1-4D65-ABE0-6112E925A7E6}"/>
    <cellStyle name="Normal 4 4 4 9" xfId="8990" xr:uid="{B54F4299-D412-4F33-87F4-14E700A694BB}"/>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808ED9F2-C73E-4A99-943C-41635C2EC562}"/>
    <cellStyle name="Normal 4 4 5 2 2 2 3" xfId="24205" xr:uid="{832B200A-AE31-4AA8-999E-1C9C8D9FF20C}"/>
    <cellStyle name="Normal 4 4 5 2 2 3" xfId="11550" xr:uid="{90B570F4-3FBD-4E4C-811E-1DC9369A33BD}"/>
    <cellStyle name="Normal 4 4 5 2 2 4" xfId="19988" xr:uid="{B8EE671A-24AD-4E7E-AD52-54830B1B9E93}"/>
    <cellStyle name="Normal 4 4 5 2 3" xfId="5181" xr:uid="{00000000-0005-0000-0000-0000E0150000}"/>
    <cellStyle name="Normal 4 4 5 2 3 2" xfId="13623" xr:uid="{4539F945-7494-4946-9B3C-F0B881DA0436}"/>
    <cellStyle name="Normal 4 4 5 2 3 3" xfId="22060" xr:uid="{F1A462FF-D755-4784-AF01-570D6880DE89}"/>
    <cellStyle name="Normal 4 4 5 2 4" xfId="9405" xr:uid="{B7FD7021-573B-48A7-B003-904902A36885}"/>
    <cellStyle name="Normal 4 4 5 2 5" xfId="17843" xr:uid="{83583EC5-246F-4C5E-B60F-7A384BBD9F8E}"/>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BEDF0DFE-49CA-4CA2-A01A-15AEC612E86B}"/>
    <cellStyle name="Normal 4 4 5 3 2 2 3" xfId="24618" xr:uid="{849C6D15-5FDD-4DF2-9904-5976BAA2CE01}"/>
    <cellStyle name="Normal 4 4 5 3 2 3" xfId="11963" xr:uid="{B2C83189-4D80-4E2A-8B25-6CF51E2F09AA}"/>
    <cellStyle name="Normal 4 4 5 3 2 4" xfId="20401" xr:uid="{161179BE-E6B4-45B0-8B42-48CFE6DB43B9}"/>
    <cellStyle name="Normal 4 4 5 3 3" xfId="5594" xr:uid="{00000000-0005-0000-0000-0000E4150000}"/>
    <cellStyle name="Normal 4 4 5 3 3 2" xfId="14036" xr:uid="{2CA296EC-CD29-4DD2-8492-75F380435E68}"/>
    <cellStyle name="Normal 4 4 5 3 3 3" xfId="22473" xr:uid="{7E5B712F-A4DB-4F35-B80C-46045ECB76EA}"/>
    <cellStyle name="Normal 4 4 5 3 4" xfId="9818" xr:uid="{157CC788-6F2C-4E02-9058-C89A2FAB672F}"/>
    <cellStyle name="Normal 4 4 5 3 5" xfId="18256" xr:uid="{E75C8638-CABC-414D-9BB0-42DCAADF48A7}"/>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F18B67CE-A07B-4E54-B604-ACF3C8A8DE87}"/>
    <cellStyle name="Normal 4 4 5 4 2 2 3" xfId="25031" xr:uid="{7EA5DB30-A124-49D6-85AB-2F86D952EFFA}"/>
    <cellStyle name="Normal 4 4 5 4 2 3" xfId="12376" xr:uid="{9F094352-7CD3-46DA-B874-46E26BE29E22}"/>
    <cellStyle name="Normal 4 4 5 4 2 4" xfId="20814" xr:uid="{A57EF73B-B376-487C-8225-EBCF59A60C54}"/>
    <cellStyle name="Normal 4 4 5 4 3" xfId="6007" xr:uid="{00000000-0005-0000-0000-0000E8150000}"/>
    <cellStyle name="Normal 4 4 5 4 3 2" xfId="14449" xr:uid="{47FE0600-4F28-48AA-828E-A518C1731673}"/>
    <cellStyle name="Normal 4 4 5 4 3 3" xfId="22886" xr:uid="{F7F4D164-FA1C-4289-B368-3D8C4CE74132}"/>
    <cellStyle name="Normal 4 4 5 4 4" xfId="10231" xr:uid="{131B8798-B704-4D18-9486-4A9833093EE3}"/>
    <cellStyle name="Normal 4 4 5 4 5" xfId="18669" xr:uid="{47FF1B47-6AA7-48F1-9523-AD26AC4EAA9C}"/>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6217D44F-FA61-4409-B81F-B50FAA808DD6}"/>
    <cellStyle name="Normal 4 4 5 5 2 2 3" xfId="25444" xr:uid="{14C9DA3B-C820-4D3A-84F9-305B2767DCCA}"/>
    <cellStyle name="Normal 4 4 5 5 2 3" xfId="12789" xr:uid="{26843A6A-D136-4A3E-95E3-216084C74354}"/>
    <cellStyle name="Normal 4 4 5 5 2 4" xfId="21227" xr:uid="{92B631F3-3A19-4695-BF93-CF0DA313C792}"/>
    <cellStyle name="Normal 4 4 5 5 3" xfId="6420" xr:uid="{00000000-0005-0000-0000-0000EC150000}"/>
    <cellStyle name="Normal 4 4 5 5 3 2" xfId="14862" xr:uid="{342C8542-6211-406D-9D57-F6404CC55CC5}"/>
    <cellStyle name="Normal 4 4 5 5 3 3" xfId="23299" xr:uid="{FA54D0A3-196B-4F5A-AB1A-84F7D2A99D88}"/>
    <cellStyle name="Normal 4 4 5 5 4" xfId="10644" xr:uid="{E570830D-DB35-4F78-AA52-13D72171F0C5}"/>
    <cellStyle name="Normal 4 4 5 5 5" xfId="19082" xr:uid="{6522A355-B386-4AD1-92F9-2D3F08EB0A2B}"/>
    <cellStyle name="Normal 4 4 5 6" xfId="2549" xr:uid="{00000000-0005-0000-0000-0000ED150000}"/>
    <cellStyle name="Normal 4 4 5 6 2" xfId="6833" xr:uid="{00000000-0005-0000-0000-0000EE150000}"/>
    <cellStyle name="Normal 4 4 5 6 2 2" xfId="15275" xr:uid="{C8D24F57-E8E3-41A1-81E2-72BEF0DD3E9E}"/>
    <cellStyle name="Normal 4 4 5 6 2 3" xfId="23712" xr:uid="{39816194-07C0-48CC-AF85-6346608FB8D5}"/>
    <cellStyle name="Normal 4 4 5 6 3" xfId="11057" xr:uid="{C62C10ED-451B-43B1-BDB4-4A7C5A9D7D83}"/>
    <cellStyle name="Normal 4 4 5 6 4" xfId="19495" xr:uid="{C00B3904-F8AF-4A94-B1AC-DA5EA8184BB4}"/>
    <cellStyle name="Normal 4 4 5 7" xfId="4768" xr:uid="{00000000-0005-0000-0000-0000EF150000}"/>
    <cellStyle name="Normal 4 4 5 7 2" xfId="13210" xr:uid="{C9C9F4E9-271D-403A-91BF-A225149EC9FD}"/>
    <cellStyle name="Normal 4 4 5 7 3" xfId="21647" xr:uid="{869D409B-C7AA-48DB-8320-E5C3503A65AD}"/>
    <cellStyle name="Normal 4 4 5 8" xfId="8992" xr:uid="{D803DFA6-B9FF-4F15-A93A-157579CCF529}"/>
    <cellStyle name="Normal 4 4 5 9" xfId="17430" xr:uid="{92D53DAE-8A90-4219-A963-C80CAE14B2CC}"/>
    <cellStyle name="Normal 4 4 6" xfId="853" xr:uid="{00000000-0005-0000-0000-0000F0150000}"/>
    <cellStyle name="Normal 4 4 6 2" xfId="3088" xr:uid="{00000000-0005-0000-0000-0000F1150000}"/>
    <cellStyle name="Normal 4 4 6 2 2" xfId="7311" xr:uid="{00000000-0005-0000-0000-0000F2150000}"/>
    <cellStyle name="Normal 4 4 6 2 2 2" xfId="15753" xr:uid="{C7C6E9C2-BE94-4847-AD89-861D98E9F902}"/>
    <cellStyle name="Normal 4 4 6 2 2 3" xfId="24190" xr:uid="{E789B473-9EC3-48ED-BCC5-9010443C65C8}"/>
    <cellStyle name="Normal 4 4 6 2 3" xfId="11535" xr:uid="{C4C6B704-0A54-4F5F-9136-4AABCAB60E72}"/>
    <cellStyle name="Normal 4 4 6 2 4" xfId="19973" xr:uid="{DF4D119E-C06F-4F30-839D-86A5F8E40D73}"/>
    <cellStyle name="Normal 4 4 6 3" xfId="5166" xr:uid="{00000000-0005-0000-0000-0000F3150000}"/>
    <cellStyle name="Normal 4 4 6 3 2" xfId="13608" xr:uid="{FF54EB4F-3804-4232-A275-4B134EA79CB1}"/>
    <cellStyle name="Normal 4 4 6 3 3" xfId="22045" xr:uid="{651A79A8-065B-40E4-9FDF-C4A75F813CF0}"/>
    <cellStyle name="Normal 4 4 6 4" xfId="9390" xr:uid="{DFCC0AFF-1D0D-417F-AF5C-A3D5E68697F1}"/>
    <cellStyle name="Normal 4 4 6 5" xfId="17828" xr:uid="{2BD0DF34-3B92-4CDF-82D1-886A391C75E9}"/>
    <cellStyle name="Normal 4 4 7" xfId="1271" xr:uid="{00000000-0005-0000-0000-0000F4150000}"/>
    <cellStyle name="Normal 4 4 7 2" xfId="3501" xr:uid="{00000000-0005-0000-0000-0000F5150000}"/>
    <cellStyle name="Normal 4 4 7 2 2" xfId="7724" xr:uid="{00000000-0005-0000-0000-0000F6150000}"/>
    <cellStyle name="Normal 4 4 7 2 2 2" xfId="16166" xr:uid="{674B846E-CCE6-4446-8BC2-E8A887BA1851}"/>
    <cellStyle name="Normal 4 4 7 2 2 3" xfId="24603" xr:uid="{7F27A904-17CF-4741-AA23-DB8251780196}"/>
    <cellStyle name="Normal 4 4 7 2 3" xfId="11948" xr:uid="{2006F936-6221-4EC3-B933-831BA202BF7C}"/>
    <cellStyle name="Normal 4 4 7 2 4" xfId="20386" xr:uid="{BAF2F705-EE8C-420C-97CD-450D508FDCCA}"/>
    <cellStyle name="Normal 4 4 7 3" xfId="5579" xr:uid="{00000000-0005-0000-0000-0000F7150000}"/>
    <cellStyle name="Normal 4 4 7 3 2" xfId="14021" xr:uid="{19794145-AA86-46B5-BF47-0DC48A862B99}"/>
    <cellStyle name="Normal 4 4 7 3 3" xfId="22458" xr:uid="{06504839-E164-432E-8817-736C08126490}"/>
    <cellStyle name="Normal 4 4 7 4" xfId="9803" xr:uid="{78EB5560-57E9-4D16-8EA5-F61890683175}"/>
    <cellStyle name="Normal 4 4 7 5" xfId="18241" xr:uid="{83CE3B32-C3FA-4090-89C7-A992B072D49A}"/>
    <cellStyle name="Normal 4 4 8" xfId="1684" xr:uid="{00000000-0005-0000-0000-0000F8150000}"/>
    <cellStyle name="Normal 4 4 8 2" xfId="3914" xr:uid="{00000000-0005-0000-0000-0000F9150000}"/>
    <cellStyle name="Normal 4 4 8 2 2" xfId="8137" xr:uid="{00000000-0005-0000-0000-0000FA150000}"/>
    <cellStyle name="Normal 4 4 8 2 2 2" xfId="16579" xr:uid="{A76A3F41-1409-474C-A3A4-B4910938B25C}"/>
    <cellStyle name="Normal 4 4 8 2 2 3" xfId="25016" xr:uid="{5150F2E5-C010-47EA-8F24-215FCBE3E07A}"/>
    <cellStyle name="Normal 4 4 8 2 3" xfId="12361" xr:uid="{0A41F192-AEC5-4C60-8A89-D425834F06F7}"/>
    <cellStyle name="Normal 4 4 8 2 4" xfId="20799" xr:uid="{3CFA51DA-5954-4953-82C9-F9A1DDD0CB10}"/>
    <cellStyle name="Normal 4 4 8 3" xfId="5992" xr:uid="{00000000-0005-0000-0000-0000FB150000}"/>
    <cellStyle name="Normal 4 4 8 3 2" xfId="14434" xr:uid="{ABF25CB4-4141-44F2-B97F-F9D92EF2B095}"/>
    <cellStyle name="Normal 4 4 8 3 3" xfId="22871" xr:uid="{04904B8F-435E-4065-A1E5-BE6E9AE702F6}"/>
    <cellStyle name="Normal 4 4 8 4" xfId="10216" xr:uid="{EE2E7547-2BB3-443F-9C07-DAB099CE4352}"/>
    <cellStyle name="Normal 4 4 8 5" xfId="18654" xr:uid="{06B2700B-2366-40CA-93C3-F10A98064B8D}"/>
    <cellStyle name="Normal 4 4 9" xfId="2098" xr:uid="{00000000-0005-0000-0000-0000FC150000}"/>
    <cellStyle name="Normal 4 4 9 2" xfId="4327" xr:uid="{00000000-0005-0000-0000-0000FD150000}"/>
    <cellStyle name="Normal 4 4 9 2 2" xfId="8550" xr:uid="{00000000-0005-0000-0000-0000FE150000}"/>
    <cellStyle name="Normal 4 4 9 2 2 2" xfId="16992" xr:uid="{9003EF44-4341-4F07-82A3-BDE18B24497F}"/>
    <cellStyle name="Normal 4 4 9 2 2 3" xfId="25429" xr:uid="{21096DBB-361C-4E70-B554-DA752CD7A5A0}"/>
    <cellStyle name="Normal 4 4 9 2 3" xfId="12774" xr:uid="{64D0CA2E-8C50-4517-A212-2191D3C0B1C6}"/>
    <cellStyle name="Normal 4 4 9 2 4" xfId="21212" xr:uid="{FCAD37FC-81D5-4BE3-BE23-DF7D77A9F467}"/>
    <cellStyle name="Normal 4 4 9 3" xfId="6405" xr:uid="{00000000-0005-0000-0000-0000FF150000}"/>
    <cellStyle name="Normal 4 4 9 3 2" xfId="14847" xr:uid="{38904DF1-81CB-4EB6-9686-88D5FAE24910}"/>
    <cellStyle name="Normal 4 4 9 3 3" xfId="23284" xr:uid="{EEF2CF6D-27F7-4779-9DA9-C2CCC7AC6C5E}"/>
    <cellStyle name="Normal 4 4 9 4" xfId="10629" xr:uid="{7AC7039B-6CBD-4706-A277-527DF2A9C60E}"/>
    <cellStyle name="Normal 4 4 9 5" xfId="19067" xr:uid="{697EBD92-AE69-40E8-92FE-F2576F5C0E71}"/>
    <cellStyle name="Normal 4 5" xfId="394" xr:uid="{00000000-0005-0000-0000-000000160000}"/>
    <cellStyle name="Normal 4 6" xfId="395" xr:uid="{00000000-0005-0000-0000-000001160000}"/>
    <cellStyle name="Normal 4 6 10" xfId="4769" xr:uid="{00000000-0005-0000-0000-000002160000}"/>
    <cellStyle name="Normal 4 6 10 2" xfId="13211" xr:uid="{DF2F0C51-7733-4876-A5F3-B07F6CD1D90A}"/>
    <cellStyle name="Normal 4 6 10 3" xfId="21648" xr:uid="{D9B21B77-DE04-4283-AEBD-75B278E20D1D}"/>
    <cellStyle name="Normal 4 6 11" xfId="8993" xr:uid="{7D018AEE-39AC-41B6-A237-E93774474ED9}"/>
    <cellStyle name="Normal 4 6 12" xfId="17431" xr:uid="{26FAD7E7-C2FF-4E01-A6E9-E2FD8DB4573F}"/>
    <cellStyle name="Normal 4 6 2" xfId="396" xr:uid="{00000000-0005-0000-0000-000003160000}"/>
    <cellStyle name="Normal 4 6 2 10" xfId="8994" xr:uid="{CD3CEBC7-7A19-4ED4-B8CF-1866332F3FB4}"/>
    <cellStyle name="Normal 4 6 2 11" xfId="17432" xr:uid="{DF6254BE-7FE4-4BEF-8D23-B0E103D8BD67}"/>
    <cellStyle name="Normal 4 6 2 2" xfId="397" xr:uid="{00000000-0005-0000-0000-000004160000}"/>
    <cellStyle name="Normal 4 6 2 2 10" xfId="17433" xr:uid="{F2EE2928-7BC9-4659-8A01-85FA57AD921E}"/>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480C2DA2-43B1-448E-A311-7152AE7CB084}"/>
    <cellStyle name="Normal 4 6 2 2 2 2 2 2 3" xfId="24209" xr:uid="{EB70246C-2876-44A4-A0FE-178F7F1693D7}"/>
    <cellStyle name="Normal 4 6 2 2 2 2 2 3" xfId="11554" xr:uid="{D31468FD-22A3-4F4E-B1C2-B39AB7763CA4}"/>
    <cellStyle name="Normal 4 6 2 2 2 2 2 4" xfId="19992" xr:uid="{6E07A759-E4F9-4400-A4B3-C146C546CB66}"/>
    <cellStyle name="Normal 4 6 2 2 2 2 3" xfId="5185" xr:uid="{00000000-0005-0000-0000-000009160000}"/>
    <cellStyle name="Normal 4 6 2 2 2 2 3 2" xfId="13627" xr:uid="{79FD61A7-46A3-4A05-BC5D-400BB489E888}"/>
    <cellStyle name="Normal 4 6 2 2 2 2 3 3" xfId="22064" xr:uid="{ACACB05A-FB4A-4C03-A86B-D42D36F29D55}"/>
    <cellStyle name="Normal 4 6 2 2 2 2 4" xfId="9409" xr:uid="{3232DC6A-1461-4829-94E1-BD43C1B47A5A}"/>
    <cellStyle name="Normal 4 6 2 2 2 2 5" xfId="17847" xr:uid="{1FDC63D3-1820-49AA-8106-EF1AFDF0891E}"/>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481AC06A-2D3A-45CF-92C7-1A6FA572E50D}"/>
    <cellStyle name="Normal 4 6 2 2 2 3 2 2 3" xfId="24622" xr:uid="{2E286678-1154-4D2B-B277-65C12C9F4AF5}"/>
    <cellStyle name="Normal 4 6 2 2 2 3 2 3" xfId="11967" xr:uid="{4A36C7F9-B3F4-479E-85C6-9EFADE69274B}"/>
    <cellStyle name="Normal 4 6 2 2 2 3 2 4" xfId="20405" xr:uid="{997D55BE-322C-4D30-9407-BDD6E6813E00}"/>
    <cellStyle name="Normal 4 6 2 2 2 3 3" xfId="5598" xr:uid="{00000000-0005-0000-0000-00000D160000}"/>
    <cellStyle name="Normal 4 6 2 2 2 3 3 2" xfId="14040" xr:uid="{269D423C-6635-4F55-A1DC-59F334FAD388}"/>
    <cellStyle name="Normal 4 6 2 2 2 3 3 3" xfId="22477" xr:uid="{2D4D7B3F-0269-4B47-BE6C-B0BF0942720B}"/>
    <cellStyle name="Normal 4 6 2 2 2 3 4" xfId="9822" xr:uid="{831F6962-52B1-4798-91B5-B7691E549CB8}"/>
    <cellStyle name="Normal 4 6 2 2 2 3 5" xfId="18260" xr:uid="{649B5EB2-1629-4AEE-8F78-9B1ECA472A89}"/>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2407AF7E-C61C-4A26-891A-73EE95331C18}"/>
    <cellStyle name="Normal 4 6 2 2 2 4 2 2 3" xfId="25035" xr:uid="{ED02EF3C-7DFF-4EFB-8A38-B7C2A2734AC9}"/>
    <cellStyle name="Normal 4 6 2 2 2 4 2 3" xfId="12380" xr:uid="{66A646E7-E730-4820-8562-44D64480A821}"/>
    <cellStyle name="Normal 4 6 2 2 2 4 2 4" xfId="20818" xr:uid="{54DD81C8-C8FC-4606-B3DA-6613044FB21F}"/>
    <cellStyle name="Normal 4 6 2 2 2 4 3" xfId="6011" xr:uid="{00000000-0005-0000-0000-000011160000}"/>
    <cellStyle name="Normal 4 6 2 2 2 4 3 2" xfId="14453" xr:uid="{509770CB-346A-40D3-92A5-86964AAF183A}"/>
    <cellStyle name="Normal 4 6 2 2 2 4 3 3" xfId="22890" xr:uid="{14B86965-865C-4968-B739-E57690302B8D}"/>
    <cellStyle name="Normal 4 6 2 2 2 4 4" xfId="10235" xr:uid="{CD15F215-30F4-4D05-92E3-3C3D9375A8FB}"/>
    <cellStyle name="Normal 4 6 2 2 2 4 5" xfId="18673" xr:uid="{1124BDBE-E4A5-40AA-805B-85FEDB97B2FB}"/>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FFC5064F-E021-498C-B10C-3A452634C249}"/>
    <cellStyle name="Normal 4 6 2 2 2 5 2 2 3" xfId="25448" xr:uid="{15BDC382-6429-47E5-AE40-403A5DCDD08B}"/>
    <cellStyle name="Normal 4 6 2 2 2 5 2 3" xfId="12793" xr:uid="{5F2A85C3-C835-48E4-9E13-8BEE22D77885}"/>
    <cellStyle name="Normal 4 6 2 2 2 5 2 4" xfId="21231" xr:uid="{47B4FA9D-12CC-4289-9068-01018E25995C}"/>
    <cellStyle name="Normal 4 6 2 2 2 5 3" xfId="6424" xr:uid="{00000000-0005-0000-0000-000015160000}"/>
    <cellStyle name="Normal 4 6 2 2 2 5 3 2" xfId="14866" xr:uid="{B620A296-199B-46E1-8D60-F8B11B42B054}"/>
    <cellStyle name="Normal 4 6 2 2 2 5 3 3" xfId="23303" xr:uid="{20AD3A5E-6364-4EB6-8221-08A184DBF13D}"/>
    <cellStyle name="Normal 4 6 2 2 2 5 4" xfId="10648" xr:uid="{BD916961-ED43-4BF8-BFC5-996D7EFDB2F4}"/>
    <cellStyle name="Normal 4 6 2 2 2 5 5" xfId="19086" xr:uid="{7231D219-933E-4CDC-942A-1709DC7C59F4}"/>
    <cellStyle name="Normal 4 6 2 2 2 6" xfId="2553" xr:uid="{00000000-0005-0000-0000-000016160000}"/>
    <cellStyle name="Normal 4 6 2 2 2 6 2" xfId="6837" xr:uid="{00000000-0005-0000-0000-000017160000}"/>
    <cellStyle name="Normal 4 6 2 2 2 6 2 2" xfId="15279" xr:uid="{259704F8-FC77-47D1-A98D-8BC330E30604}"/>
    <cellStyle name="Normal 4 6 2 2 2 6 2 3" xfId="23716" xr:uid="{D1A23260-3162-4754-B86F-0120C4093C56}"/>
    <cellStyle name="Normal 4 6 2 2 2 6 3" xfId="11061" xr:uid="{2B983B87-EC60-44B9-B68D-CE542B090861}"/>
    <cellStyle name="Normal 4 6 2 2 2 6 4" xfId="19499" xr:uid="{FF9FC76B-11EB-4589-9774-A96F46963DAA}"/>
    <cellStyle name="Normal 4 6 2 2 2 7" xfId="4772" xr:uid="{00000000-0005-0000-0000-000018160000}"/>
    <cellStyle name="Normal 4 6 2 2 2 7 2" xfId="13214" xr:uid="{35D55BF8-F554-404A-82E1-BB6DBFFA7153}"/>
    <cellStyle name="Normal 4 6 2 2 2 7 3" xfId="21651" xr:uid="{D6BD49D9-CC7F-4400-A72F-9BFFDA5B73AD}"/>
    <cellStyle name="Normal 4 6 2 2 2 8" xfId="8996" xr:uid="{C560919A-C67B-4C3F-B119-BAF6997D7386}"/>
    <cellStyle name="Normal 4 6 2 2 2 9" xfId="17434" xr:uid="{98130194-99C9-41E1-A032-8FF6434E491A}"/>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F44119A2-B7A9-4774-BCEB-91DBB4736A32}"/>
    <cellStyle name="Normal 4 6 2 2 3 2 2 3" xfId="24208" xr:uid="{5C2880F9-691C-43AE-BAF1-F30222244564}"/>
    <cellStyle name="Normal 4 6 2 2 3 2 3" xfId="11553" xr:uid="{EEFC1A91-9166-4864-8627-5CE661646DBC}"/>
    <cellStyle name="Normal 4 6 2 2 3 2 4" xfId="19991" xr:uid="{12D79F99-A47C-45F6-8374-C1EFC421FE14}"/>
    <cellStyle name="Normal 4 6 2 2 3 3" xfId="5184" xr:uid="{00000000-0005-0000-0000-00001C160000}"/>
    <cellStyle name="Normal 4 6 2 2 3 3 2" xfId="13626" xr:uid="{6BDC98B1-19D6-4C3B-A579-2D26653C0992}"/>
    <cellStyle name="Normal 4 6 2 2 3 3 3" xfId="22063" xr:uid="{D4A84977-A00C-45FA-AF34-CCBC73FCF959}"/>
    <cellStyle name="Normal 4 6 2 2 3 4" xfId="9408" xr:uid="{5C729B2E-CBC1-4FA2-AA99-1D1BE442CEB6}"/>
    <cellStyle name="Normal 4 6 2 2 3 5" xfId="17846" xr:uid="{5F77D67B-464B-481B-961C-B7053B88EA2A}"/>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2C07B0DF-A67D-4EAB-B21D-F4B9C19BD61B}"/>
    <cellStyle name="Normal 4 6 2 2 4 2 2 3" xfId="24621" xr:uid="{5BAA2FC6-494F-48E3-8355-5DA5ED556942}"/>
    <cellStyle name="Normal 4 6 2 2 4 2 3" xfId="11966" xr:uid="{1B7D5120-57F9-423B-B1D9-B58FC167E9C1}"/>
    <cellStyle name="Normal 4 6 2 2 4 2 4" xfId="20404" xr:uid="{BE32A137-F87E-431F-8741-B2784FD9C7C5}"/>
    <cellStyle name="Normal 4 6 2 2 4 3" xfId="5597" xr:uid="{00000000-0005-0000-0000-000020160000}"/>
    <cellStyle name="Normal 4 6 2 2 4 3 2" xfId="14039" xr:uid="{E5813D2E-DDA1-4460-A112-F7F0C0577E01}"/>
    <cellStyle name="Normal 4 6 2 2 4 3 3" xfId="22476" xr:uid="{E813A2AD-6736-4C1E-A8C5-47FED0E4E014}"/>
    <cellStyle name="Normal 4 6 2 2 4 4" xfId="9821" xr:uid="{7046A6A7-30AA-4DE7-868F-D978BFE974B9}"/>
    <cellStyle name="Normal 4 6 2 2 4 5" xfId="18259" xr:uid="{92651C9B-09CB-408D-9A5C-C6BC7363E4A6}"/>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5B3AA19B-70CF-4BA6-B251-0F7F7FF24D6B}"/>
    <cellStyle name="Normal 4 6 2 2 5 2 2 3" xfId="25034" xr:uid="{D91D7241-1352-4F2F-82D9-8A5FFDC2D00C}"/>
    <cellStyle name="Normal 4 6 2 2 5 2 3" xfId="12379" xr:uid="{5305EAA1-79D8-4F6B-8444-89E5DEE1BB3B}"/>
    <cellStyle name="Normal 4 6 2 2 5 2 4" xfId="20817" xr:uid="{6F252670-3873-47EB-8BEA-A6C6A16A1955}"/>
    <cellStyle name="Normal 4 6 2 2 5 3" xfId="6010" xr:uid="{00000000-0005-0000-0000-000024160000}"/>
    <cellStyle name="Normal 4 6 2 2 5 3 2" xfId="14452" xr:uid="{8D4456C3-F7D1-404B-B29F-11873DF34539}"/>
    <cellStyle name="Normal 4 6 2 2 5 3 3" xfId="22889" xr:uid="{5F52DC5A-E7DA-4929-8802-18276498FA80}"/>
    <cellStyle name="Normal 4 6 2 2 5 4" xfId="10234" xr:uid="{48BBD48D-9222-4C0F-B2EA-454E0967980F}"/>
    <cellStyle name="Normal 4 6 2 2 5 5" xfId="18672" xr:uid="{1DB1F230-2188-40B2-AC13-CAFA56D7D4B0}"/>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9025CCCE-981C-4D21-80FC-72BA7294A12B}"/>
    <cellStyle name="Normal 4 6 2 2 6 2 2 3" xfId="25447" xr:uid="{2AA5F58F-CD8D-4FCA-BF9D-0C7B15EE9C17}"/>
    <cellStyle name="Normal 4 6 2 2 6 2 3" xfId="12792" xr:uid="{BADC764F-FF28-4F1D-ADB2-03277AC06B4E}"/>
    <cellStyle name="Normal 4 6 2 2 6 2 4" xfId="21230" xr:uid="{7457D4BE-C7A1-4659-A448-3DA024C1BB92}"/>
    <cellStyle name="Normal 4 6 2 2 6 3" xfId="6423" xr:uid="{00000000-0005-0000-0000-000028160000}"/>
    <cellStyle name="Normal 4 6 2 2 6 3 2" xfId="14865" xr:uid="{3143A7AC-74B6-41C4-97DC-23C4998053E5}"/>
    <cellStyle name="Normal 4 6 2 2 6 3 3" xfId="23302" xr:uid="{7C0ECB27-A26C-4856-A12D-7F86EF33B606}"/>
    <cellStyle name="Normal 4 6 2 2 6 4" xfId="10647" xr:uid="{72AADBED-3927-49D7-A894-EB85047BD954}"/>
    <cellStyle name="Normal 4 6 2 2 6 5" xfId="19085" xr:uid="{74027ADB-D867-401C-949A-357E78AB51B2}"/>
    <cellStyle name="Normal 4 6 2 2 7" xfId="2552" xr:uid="{00000000-0005-0000-0000-000029160000}"/>
    <cellStyle name="Normal 4 6 2 2 7 2" xfId="6836" xr:uid="{00000000-0005-0000-0000-00002A160000}"/>
    <cellStyle name="Normal 4 6 2 2 7 2 2" xfId="15278" xr:uid="{71C0F190-6F33-48A1-864B-A0096749D364}"/>
    <cellStyle name="Normal 4 6 2 2 7 2 3" xfId="23715" xr:uid="{61D5A7B3-DE31-44DC-AB48-4D2043650312}"/>
    <cellStyle name="Normal 4 6 2 2 7 3" xfId="11060" xr:uid="{FBDE3307-7BF4-4CF4-A4CD-A069F60C7EC8}"/>
    <cellStyle name="Normal 4 6 2 2 7 4" xfId="19498" xr:uid="{77A1DB01-EDE7-4A38-9738-184CED1A249D}"/>
    <cellStyle name="Normal 4 6 2 2 8" xfId="4771" xr:uid="{00000000-0005-0000-0000-00002B160000}"/>
    <cellStyle name="Normal 4 6 2 2 8 2" xfId="13213" xr:uid="{72BCB26E-1207-4885-9C88-6BCF7F674E4F}"/>
    <cellStyle name="Normal 4 6 2 2 8 3" xfId="21650" xr:uid="{31F90556-CF32-47EB-8DAF-10ECB728346D}"/>
    <cellStyle name="Normal 4 6 2 2 9" xfId="8995" xr:uid="{0FE800CD-92B4-4B0D-9633-FFD181D22186}"/>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6DEC15BF-F41C-4700-ACA2-78DC2ED05711}"/>
    <cellStyle name="Normal 4 6 2 3 2 2 2 3" xfId="24210" xr:uid="{FE68D989-9D20-4666-93A6-FE24E977AD7D}"/>
    <cellStyle name="Normal 4 6 2 3 2 2 3" xfId="11555" xr:uid="{3519BA9E-6AD9-4E01-9E30-576E2CEFC124}"/>
    <cellStyle name="Normal 4 6 2 3 2 2 4" xfId="19993" xr:uid="{BD2E0A14-7D1B-404F-80B6-70A303A6F71C}"/>
    <cellStyle name="Normal 4 6 2 3 2 3" xfId="5186" xr:uid="{00000000-0005-0000-0000-000030160000}"/>
    <cellStyle name="Normal 4 6 2 3 2 3 2" xfId="13628" xr:uid="{3FE96A7E-7A30-4E68-9D4E-5FE57DE4FD38}"/>
    <cellStyle name="Normal 4 6 2 3 2 3 3" xfId="22065" xr:uid="{2FF6824A-618D-48B6-90CB-428D61D8120C}"/>
    <cellStyle name="Normal 4 6 2 3 2 4" xfId="9410" xr:uid="{02DB661D-EE03-44C5-9A11-C97B982D4B05}"/>
    <cellStyle name="Normal 4 6 2 3 2 5" xfId="17848" xr:uid="{20D96689-5519-4384-8C8C-84EBC6B68F11}"/>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BD899571-82CC-4950-ADD5-17D63BCD22E8}"/>
    <cellStyle name="Normal 4 6 2 3 3 2 2 3" xfId="24623" xr:uid="{74DDEDC2-80C4-4B3A-BEA3-B0DB4CFB4DA5}"/>
    <cellStyle name="Normal 4 6 2 3 3 2 3" xfId="11968" xr:uid="{1EAEA849-9A99-4168-9F85-B8A01C5D79D1}"/>
    <cellStyle name="Normal 4 6 2 3 3 2 4" xfId="20406" xr:uid="{B6E35275-A01B-4C5B-BC7E-0E91F3A4FA36}"/>
    <cellStyle name="Normal 4 6 2 3 3 3" xfId="5599" xr:uid="{00000000-0005-0000-0000-000034160000}"/>
    <cellStyle name="Normal 4 6 2 3 3 3 2" xfId="14041" xr:uid="{AD737146-E58A-4BF6-AF17-74A1D526EAA4}"/>
    <cellStyle name="Normal 4 6 2 3 3 3 3" xfId="22478" xr:uid="{13B9E4FF-FBC6-41E2-89BA-45D824379484}"/>
    <cellStyle name="Normal 4 6 2 3 3 4" xfId="9823" xr:uid="{D7F2EAFF-3BA0-464C-B880-CE2E57AD02F5}"/>
    <cellStyle name="Normal 4 6 2 3 3 5" xfId="18261" xr:uid="{4CC61E70-B8EE-43FF-92C2-E17115218398}"/>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F8458993-36D3-41E3-8C78-46DE8ADFC666}"/>
    <cellStyle name="Normal 4 6 2 3 4 2 2 3" xfId="25036" xr:uid="{B601EA5F-64F5-4D93-AEDF-D6AE926E89A5}"/>
    <cellStyle name="Normal 4 6 2 3 4 2 3" xfId="12381" xr:uid="{EA7A4030-1072-4CEA-9207-427B1A524E5A}"/>
    <cellStyle name="Normal 4 6 2 3 4 2 4" xfId="20819" xr:uid="{1BC9DD65-9FC3-4A1B-BA12-2C094FF0D262}"/>
    <cellStyle name="Normal 4 6 2 3 4 3" xfId="6012" xr:uid="{00000000-0005-0000-0000-000038160000}"/>
    <cellStyle name="Normal 4 6 2 3 4 3 2" xfId="14454" xr:uid="{3AD00567-352B-4706-9F31-153A7A40596E}"/>
    <cellStyle name="Normal 4 6 2 3 4 3 3" xfId="22891" xr:uid="{412F881A-CCF8-4C1E-B09D-679F05D4CD75}"/>
    <cellStyle name="Normal 4 6 2 3 4 4" xfId="10236" xr:uid="{156C1146-B8DF-458D-9E42-A4A3E7F8904B}"/>
    <cellStyle name="Normal 4 6 2 3 4 5" xfId="18674" xr:uid="{D07FB1C4-63B8-4C92-97EC-68968860CC4B}"/>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463957B7-06B8-4BB2-AEB4-C3930FAAD000}"/>
    <cellStyle name="Normal 4 6 2 3 5 2 2 3" xfId="25449" xr:uid="{0DF05D8E-A500-4CA2-958F-C8F4134EAA69}"/>
    <cellStyle name="Normal 4 6 2 3 5 2 3" xfId="12794" xr:uid="{8CC908DA-6E10-4C30-A805-DD2C5BE681F9}"/>
    <cellStyle name="Normal 4 6 2 3 5 2 4" xfId="21232" xr:uid="{E9EA4236-C9B0-46BF-BE6E-2E43D78EDBD3}"/>
    <cellStyle name="Normal 4 6 2 3 5 3" xfId="6425" xr:uid="{00000000-0005-0000-0000-00003C160000}"/>
    <cellStyle name="Normal 4 6 2 3 5 3 2" xfId="14867" xr:uid="{A887D439-C823-43BC-B7AF-AFA1EFF1910A}"/>
    <cellStyle name="Normal 4 6 2 3 5 3 3" xfId="23304" xr:uid="{9CEE197B-93FD-467F-8657-71FDC79AA1F5}"/>
    <cellStyle name="Normal 4 6 2 3 5 4" xfId="10649" xr:uid="{4B0F3A36-47ED-4A5A-AA65-8EFE1BE28246}"/>
    <cellStyle name="Normal 4 6 2 3 5 5" xfId="19087" xr:uid="{697D0B4C-8331-4BC7-8C41-716648B989DA}"/>
    <cellStyle name="Normal 4 6 2 3 6" xfId="2554" xr:uid="{00000000-0005-0000-0000-00003D160000}"/>
    <cellStyle name="Normal 4 6 2 3 6 2" xfId="6838" xr:uid="{00000000-0005-0000-0000-00003E160000}"/>
    <cellStyle name="Normal 4 6 2 3 6 2 2" xfId="15280" xr:uid="{9836C138-0278-4124-82E1-7CE86DC47432}"/>
    <cellStyle name="Normal 4 6 2 3 6 2 3" xfId="23717" xr:uid="{70B6B495-A762-4C8B-AAAC-CEC50C27A9B3}"/>
    <cellStyle name="Normal 4 6 2 3 6 3" xfId="11062" xr:uid="{74E1B0A1-0812-41E9-B003-31117E0EFA47}"/>
    <cellStyle name="Normal 4 6 2 3 6 4" xfId="19500" xr:uid="{38AFC903-9A66-436A-9E0A-CDD449F85044}"/>
    <cellStyle name="Normal 4 6 2 3 7" xfId="4773" xr:uid="{00000000-0005-0000-0000-00003F160000}"/>
    <cellStyle name="Normal 4 6 2 3 7 2" xfId="13215" xr:uid="{1408AACD-8E1F-4603-99F2-5C17E627283B}"/>
    <cellStyle name="Normal 4 6 2 3 7 3" xfId="21652" xr:uid="{C298127A-3F3D-4D52-9E65-F6BD61527C79}"/>
    <cellStyle name="Normal 4 6 2 3 8" xfId="8997" xr:uid="{F41350B1-642B-4E42-A0AD-51E1E16C95C3}"/>
    <cellStyle name="Normal 4 6 2 3 9" xfId="17435" xr:uid="{3A0C0F64-B449-4783-8560-B3B1D8565650}"/>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6E9CCE70-CA6B-46E1-A7D1-4A090EC2A010}"/>
    <cellStyle name="Normal 4 6 2 4 2 2 3" xfId="24207" xr:uid="{4685398B-624A-472C-B121-A6936EDA7CD7}"/>
    <cellStyle name="Normal 4 6 2 4 2 3" xfId="11552" xr:uid="{3834AF5B-CCB5-46C4-9896-956C36281FEA}"/>
    <cellStyle name="Normal 4 6 2 4 2 4" xfId="19990" xr:uid="{E6456893-5F07-40D6-A187-50EFF75FD5ED}"/>
    <cellStyle name="Normal 4 6 2 4 3" xfId="5183" xr:uid="{00000000-0005-0000-0000-000043160000}"/>
    <cellStyle name="Normal 4 6 2 4 3 2" xfId="13625" xr:uid="{9CA07943-BE54-4330-AADB-D35A66A866C2}"/>
    <cellStyle name="Normal 4 6 2 4 3 3" xfId="22062" xr:uid="{340F9831-4CE4-4EE8-85D0-DD4DA7582624}"/>
    <cellStyle name="Normal 4 6 2 4 4" xfId="9407" xr:uid="{4A388F75-4619-4896-AEA6-3204608FDBA8}"/>
    <cellStyle name="Normal 4 6 2 4 5" xfId="17845" xr:uid="{33181094-DF0D-478D-B8AC-613AAAE12E1F}"/>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2DF0F43B-364E-4E65-BCB2-EE130BB2F704}"/>
    <cellStyle name="Normal 4 6 2 5 2 2 3" xfId="24620" xr:uid="{413B87FD-7263-49E1-963F-1F82577D9C13}"/>
    <cellStyle name="Normal 4 6 2 5 2 3" xfId="11965" xr:uid="{E1C0A7C0-7515-41A0-B2B3-C92E76DB32E1}"/>
    <cellStyle name="Normal 4 6 2 5 2 4" xfId="20403" xr:uid="{10D77C40-3B34-4856-A5DE-1E6F2A4A1F00}"/>
    <cellStyle name="Normal 4 6 2 5 3" xfId="5596" xr:uid="{00000000-0005-0000-0000-000047160000}"/>
    <cellStyle name="Normal 4 6 2 5 3 2" xfId="14038" xr:uid="{E7A6A619-3A5C-4E9D-B954-FCF11C038D37}"/>
    <cellStyle name="Normal 4 6 2 5 3 3" xfId="22475" xr:uid="{58E8A09F-15F7-4DE6-8C70-82BB427506B4}"/>
    <cellStyle name="Normal 4 6 2 5 4" xfId="9820" xr:uid="{83786AE6-736A-4C1C-B6E1-B4B26D186168}"/>
    <cellStyle name="Normal 4 6 2 5 5" xfId="18258" xr:uid="{F765B8F1-E4CC-4B7B-A4AF-3C77BA266959}"/>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0901E019-F83F-469B-9E5C-84577E561F8D}"/>
    <cellStyle name="Normal 4 6 2 6 2 2 3" xfId="25033" xr:uid="{42C47163-B5B6-49B2-BF7B-3784CD6A07A3}"/>
    <cellStyle name="Normal 4 6 2 6 2 3" xfId="12378" xr:uid="{77CB3E90-88D1-4888-802E-36FD74601152}"/>
    <cellStyle name="Normal 4 6 2 6 2 4" xfId="20816" xr:uid="{FF4132DA-DE02-4B2D-A5FD-6FD768D9BFAB}"/>
    <cellStyle name="Normal 4 6 2 6 3" xfId="6009" xr:uid="{00000000-0005-0000-0000-00004B160000}"/>
    <cellStyle name="Normal 4 6 2 6 3 2" xfId="14451" xr:uid="{5A3B5E55-F986-4FCA-BD7C-7679AFDC6759}"/>
    <cellStyle name="Normal 4 6 2 6 3 3" xfId="22888" xr:uid="{C0997BE2-8D67-45D9-951B-5B347C7E5B7F}"/>
    <cellStyle name="Normal 4 6 2 6 4" xfId="10233" xr:uid="{0ECB89E0-AD74-4BA7-83E6-0AB9AFA92F2A}"/>
    <cellStyle name="Normal 4 6 2 6 5" xfId="18671" xr:uid="{646A0DFC-1CA4-46CC-8D3D-90AB63057731}"/>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579002C3-154D-4E7F-9B50-18BE5BAA97E3}"/>
    <cellStyle name="Normal 4 6 2 7 2 2 3" xfId="25446" xr:uid="{EE856D54-A80D-4646-BCA4-B0F633B5C5FB}"/>
    <cellStyle name="Normal 4 6 2 7 2 3" xfId="12791" xr:uid="{3F1D0079-C92B-43FC-9E9B-DBF9BA98251A}"/>
    <cellStyle name="Normal 4 6 2 7 2 4" xfId="21229" xr:uid="{C258263B-2545-4E2C-8142-7AD2B3689DDA}"/>
    <cellStyle name="Normal 4 6 2 7 3" xfId="6422" xr:uid="{00000000-0005-0000-0000-00004F160000}"/>
    <cellStyle name="Normal 4 6 2 7 3 2" xfId="14864" xr:uid="{FE530A8E-AFF8-4D78-B6E5-EA472A4C3CDF}"/>
    <cellStyle name="Normal 4 6 2 7 3 3" xfId="23301" xr:uid="{323FFDCE-C9E6-4450-97F2-E621078AED44}"/>
    <cellStyle name="Normal 4 6 2 7 4" xfId="10646" xr:uid="{FA713994-DD48-47FD-AD12-CE7FCE6C0C42}"/>
    <cellStyle name="Normal 4 6 2 7 5" xfId="19084" xr:uid="{E9D4F0F4-5520-4D01-9918-5BEFC84A9665}"/>
    <cellStyle name="Normal 4 6 2 8" xfId="2551" xr:uid="{00000000-0005-0000-0000-000050160000}"/>
    <cellStyle name="Normal 4 6 2 8 2" xfId="6835" xr:uid="{00000000-0005-0000-0000-000051160000}"/>
    <cellStyle name="Normal 4 6 2 8 2 2" xfId="15277" xr:uid="{2E3DA078-441A-4965-8F9C-2B6B1BA7FB1B}"/>
    <cellStyle name="Normal 4 6 2 8 2 3" xfId="23714" xr:uid="{DDF61CC5-6BD0-4506-9535-A0D3D17B57CB}"/>
    <cellStyle name="Normal 4 6 2 8 3" xfId="11059" xr:uid="{D1B8B874-3F0A-4FEF-8C86-45FFE0FF5DE1}"/>
    <cellStyle name="Normal 4 6 2 8 4" xfId="19497" xr:uid="{74BF232F-56E9-4A9E-B2BA-AAB42857506E}"/>
    <cellStyle name="Normal 4 6 2 9" xfId="4770" xr:uid="{00000000-0005-0000-0000-000052160000}"/>
    <cellStyle name="Normal 4 6 2 9 2" xfId="13212" xr:uid="{CE7D1BE5-D75A-477D-B7E1-07FCC1286069}"/>
    <cellStyle name="Normal 4 6 2 9 3" xfId="21649" xr:uid="{B56528B2-72FD-4FCF-9448-C98FD6CAFF64}"/>
    <cellStyle name="Normal 4 6 3" xfId="400" xr:uid="{00000000-0005-0000-0000-000053160000}"/>
    <cellStyle name="Normal 4 6 3 10" xfId="17436" xr:uid="{FDB2D386-FFA8-4445-8420-7E6E416ED60B}"/>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85D0EFCF-5D34-423F-BBC4-44299752E8AE}"/>
    <cellStyle name="Normal 4 6 3 2 2 2 2 3" xfId="24212" xr:uid="{B2517BB8-A4F5-4DC2-A84C-92CA027ABFDA}"/>
    <cellStyle name="Normal 4 6 3 2 2 2 3" xfId="11557" xr:uid="{3DA882FC-2D21-4B65-9C7E-B80C104D6BF3}"/>
    <cellStyle name="Normal 4 6 3 2 2 2 4" xfId="19995" xr:uid="{52801B7E-7611-49AD-9B92-AA02023601FD}"/>
    <cellStyle name="Normal 4 6 3 2 2 3" xfId="5188" xr:uid="{00000000-0005-0000-0000-000058160000}"/>
    <cellStyle name="Normal 4 6 3 2 2 3 2" xfId="13630" xr:uid="{3C49AE13-26AD-4EFF-BEA9-8AE1E6C2B970}"/>
    <cellStyle name="Normal 4 6 3 2 2 3 3" xfId="22067" xr:uid="{DDC8FDFA-36D5-41E4-8748-A970BC879183}"/>
    <cellStyle name="Normal 4 6 3 2 2 4" xfId="9412" xr:uid="{F43395B0-B7B4-49CF-A744-09EEF9A94041}"/>
    <cellStyle name="Normal 4 6 3 2 2 5" xfId="17850" xr:uid="{6A91BB52-A658-4CD3-8654-7A171D78E7F9}"/>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B87B107A-7AAE-4B31-9062-E1B9B4A85AB0}"/>
    <cellStyle name="Normal 4 6 3 2 3 2 2 3" xfId="24625" xr:uid="{F0D8EB19-DE3F-48FD-A7BA-5DFA2E6F5C88}"/>
    <cellStyle name="Normal 4 6 3 2 3 2 3" xfId="11970" xr:uid="{11F740FE-1C38-448A-9C73-91245800CE96}"/>
    <cellStyle name="Normal 4 6 3 2 3 2 4" xfId="20408" xr:uid="{E6244776-3068-425E-9519-3935047F8D1F}"/>
    <cellStyle name="Normal 4 6 3 2 3 3" xfId="5601" xr:uid="{00000000-0005-0000-0000-00005C160000}"/>
    <cellStyle name="Normal 4 6 3 2 3 3 2" xfId="14043" xr:uid="{5BBBFA26-95EA-452C-B8AF-C95DCC6AC30C}"/>
    <cellStyle name="Normal 4 6 3 2 3 3 3" xfId="22480" xr:uid="{B7DC4CA2-ADEA-4A4D-8AC4-A71698BDFB1D}"/>
    <cellStyle name="Normal 4 6 3 2 3 4" xfId="9825" xr:uid="{36617D2B-08F4-42A3-8B84-00E78A48E7D5}"/>
    <cellStyle name="Normal 4 6 3 2 3 5" xfId="18263" xr:uid="{05338B16-9319-493E-9FE3-D6E916DEB85B}"/>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20F42728-67DB-49AC-967B-47A5488A74FC}"/>
    <cellStyle name="Normal 4 6 3 2 4 2 2 3" xfId="25038" xr:uid="{C73B0725-BE99-4BB2-827A-B84A6C155EAD}"/>
    <cellStyle name="Normal 4 6 3 2 4 2 3" xfId="12383" xr:uid="{7B238206-0516-4941-A113-6165812294A8}"/>
    <cellStyle name="Normal 4 6 3 2 4 2 4" xfId="20821" xr:uid="{4AC096B1-3748-4F61-A7F1-DEB9BF178ED8}"/>
    <cellStyle name="Normal 4 6 3 2 4 3" xfId="6014" xr:uid="{00000000-0005-0000-0000-000060160000}"/>
    <cellStyle name="Normal 4 6 3 2 4 3 2" xfId="14456" xr:uid="{1879314B-550A-4457-B455-975617C3D5C8}"/>
    <cellStyle name="Normal 4 6 3 2 4 3 3" xfId="22893" xr:uid="{7D3F9ABE-7CE0-401C-8ABF-CEE1FDDE2224}"/>
    <cellStyle name="Normal 4 6 3 2 4 4" xfId="10238" xr:uid="{781CC3C8-E58D-4F37-8A9C-2DBC20AC543F}"/>
    <cellStyle name="Normal 4 6 3 2 4 5" xfId="18676" xr:uid="{73988B67-6E14-493B-B660-AD6FF8C84C2D}"/>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623FA405-EDE9-4D60-A394-7378A091221B}"/>
    <cellStyle name="Normal 4 6 3 2 5 2 2 3" xfId="25451" xr:uid="{BF672C03-945D-4646-AC20-5B2D594629C5}"/>
    <cellStyle name="Normal 4 6 3 2 5 2 3" xfId="12796" xr:uid="{718FB614-DD35-4E6A-A673-A6720FB255A3}"/>
    <cellStyle name="Normal 4 6 3 2 5 2 4" xfId="21234" xr:uid="{B8D421A7-CAC8-4B64-8B9F-0872528464A3}"/>
    <cellStyle name="Normal 4 6 3 2 5 3" xfId="6427" xr:uid="{00000000-0005-0000-0000-000064160000}"/>
    <cellStyle name="Normal 4 6 3 2 5 3 2" xfId="14869" xr:uid="{DB80F5F3-3645-4BD2-8E3C-AA9CCD1B71D3}"/>
    <cellStyle name="Normal 4 6 3 2 5 3 3" xfId="23306" xr:uid="{5B08D3D8-F47D-4ACF-8A54-7E1A93B69073}"/>
    <cellStyle name="Normal 4 6 3 2 5 4" xfId="10651" xr:uid="{93B1236A-0B90-4C39-97C0-CEA209D92C45}"/>
    <cellStyle name="Normal 4 6 3 2 5 5" xfId="19089" xr:uid="{AAF1D8C0-1166-40E0-8AC1-1FADBB6904B0}"/>
    <cellStyle name="Normal 4 6 3 2 6" xfId="2556" xr:uid="{00000000-0005-0000-0000-000065160000}"/>
    <cellStyle name="Normal 4 6 3 2 6 2" xfId="6840" xr:uid="{00000000-0005-0000-0000-000066160000}"/>
    <cellStyle name="Normal 4 6 3 2 6 2 2" xfId="15282" xr:uid="{E8ABC0A8-BC2E-4D65-9C56-372674864EC5}"/>
    <cellStyle name="Normal 4 6 3 2 6 2 3" xfId="23719" xr:uid="{B5265606-5A4E-4E2F-8777-148B3B122DE6}"/>
    <cellStyle name="Normal 4 6 3 2 6 3" xfId="11064" xr:uid="{CD01EA17-6BA7-4BE1-B5AF-9F970571A0E1}"/>
    <cellStyle name="Normal 4 6 3 2 6 4" xfId="19502" xr:uid="{44E7BDA8-9B88-42A9-82A6-5BB9CFAE6583}"/>
    <cellStyle name="Normal 4 6 3 2 7" xfId="4775" xr:uid="{00000000-0005-0000-0000-000067160000}"/>
    <cellStyle name="Normal 4 6 3 2 7 2" xfId="13217" xr:uid="{4E8CAA26-E401-4A7D-A143-7A5C40F81E4B}"/>
    <cellStyle name="Normal 4 6 3 2 7 3" xfId="21654" xr:uid="{179FE541-BC65-44B8-B34E-AB7F79E8E9C8}"/>
    <cellStyle name="Normal 4 6 3 2 8" xfId="8999" xr:uid="{2CA35B10-5CD3-4491-A881-4751E0242C6C}"/>
    <cellStyle name="Normal 4 6 3 2 9" xfId="17437" xr:uid="{C5970A87-6D04-439A-BD3C-C7FB812DA881}"/>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FC88BC35-BB02-48A2-AE29-75903C70764F}"/>
    <cellStyle name="Normal 4 6 3 3 2 2 3" xfId="24211" xr:uid="{385618D0-4D20-43B4-9917-175AE96B23F0}"/>
    <cellStyle name="Normal 4 6 3 3 2 3" xfId="11556" xr:uid="{9B56211A-0B81-42CC-A004-1D22BD7F3B05}"/>
    <cellStyle name="Normal 4 6 3 3 2 4" xfId="19994" xr:uid="{3A7BEE7C-D5FE-46F9-930D-D0FF2A08BA1F}"/>
    <cellStyle name="Normal 4 6 3 3 3" xfId="5187" xr:uid="{00000000-0005-0000-0000-00006B160000}"/>
    <cellStyle name="Normal 4 6 3 3 3 2" xfId="13629" xr:uid="{63992414-F25C-4EB8-A147-AB216BB11BA1}"/>
    <cellStyle name="Normal 4 6 3 3 3 3" xfId="22066" xr:uid="{4DC36B0A-6900-4862-BB97-160E45A5C808}"/>
    <cellStyle name="Normal 4 6 3 3 4" xfId="9411" xr:uid="{52EDAA06-582C-490B-9EAB-6450BAC35C59}"/>
    <cellStyle name="Normal 4 6 3 3 5" xfId="17849" xr:uid="{EC33CBE8-82F9-4B42-BE78-71B2A79251DA}"/>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273A03E8-A927-4FE6-BBB1-0351FF8728BD}"/>
    <cellStyle name="Normal 4 6 3 4 2 2 3" xfId="24624" xr:uid="{0EA5DF17-3AD3-4E9A-95C1-4494D4FA9A9F}"/>
    <cellStyle name="Normal 4 6 3 4 2 3" xfId="11969" xr:uid="{F1ACF90D-4135-4246-8483-F35D4D91A76B}"/>
    <cellStyle name="Normal 4 6 3 4 2 4" xfId="20407" xr:uid="{8AC3C401-9B8E-4EA3-8D68-96BC5CC2953E}"/>
    <cellStyle name="Normal 4 6 3 4 3" xfId="5600" xr:uid="{00000000-0005-0000-0000-00006F160000}"/>
    <cellStyle name="Normal 4 6 3 4 3 2" xfId="14042" xr:uid="{D160A6B3-6FD5-42EB-9B0B-DB0DE278AF75}"/>
    <cellStyle name="Normal 4 6 3 4 3 3" xfId="22479" xr:uid="{D4A0F7F8-EAEF-40C6-87FF-B60169F182F7}"/>
    <cellStyle name="Normal 4 6 3 4 4" xfId="9824" xr:uid="{BCB4699A-93C0-4611-ADC7-4D6B0DEDBC0E}"/>
    <cellStyle name="Normal 4 6 3 4 5" xfId="18262" xr:uid="{197F3153-46F3-4A5A-9D6F-51AF2D26E887}"/>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73389B7D-3475-4327-8388-6AA237F1BE58}"/>
    <cellStyle name="Normal 4 6 3 5 2 2 3" xfId="25037" xr:uid="{0B5AE0DF-8E8A-4B74-AEB6-C82898DABB16}"/>
    <cellStyle name="Normal 4 6 3 5 2 3" xfId="12382" xr:uid="{D39EE524-4029-463F-A084-345966C0439B}"/>
    <cellStyle name="Normal 4 6 3 5 2 4" xfId="20820" xr:uid="{E66DEC9D-998F-4E40-A485-FDD8FECBE561}"/>
    <cellStyle name="Normal 4 6 3 5 3" xfId="6013" xr:uid="{00000000-0005-0000-0000-000073160000}"/>
    <cellStyle name="Normal 4 6 3 5 3 2" xfId="14455" xr:uid="{F8AA6092-D775-459B-8CA8-232A21770B54}"/>
    <cellStyle name="Normal 4 6 3 5 3 3" xfId="22892" xr:uid="{4657D444-3703-4854-B1B6-5FB0557F4200}"/>
    <cellStyle name="Normal 4 6 3 5 4" xfId="10237" xr:uid="{14F04240-743F-46C4-A57D-6D23D517A132}"/>
    <cellStyle name="Normal 4 6 3 5 5" xfId="18675" xr:uid="{23C1089E-FA68-4CB7-AF23-E599054369B6}"/>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39605D8F-6F25-4122-AF9C-586E0648A946}"/>
    <cellStyle name="Normal 4 6 3 6 2 2 3" xfId="25450" xr:uid="{AA8E6404-3895-40F9-8EEC-EF907C88C478}"/>
    <cellStyle name="Normal 4 6 3 6 2 3" xfId="12795" xr:uid="{004206C6-AACA-4B04-A6BF-0F6AC9CB196E}"/>
    <cellStyle name="Normal 4 6 3 6 2 4" xfId="21233" xr:uid="{EAE24848-29BB-471A-B975-95BCAD093DB7}"/>
    <cellStyle name="Normal 4 6 3 6 3" xfId="6426" xr:uid="{00000000-0005-0000-0000-000077160000}"/>
    <cellStyle name="Normal 4 6 3 6 3 2" xfId="14868" xr:uid="{E343D4C1-AE91-409D-B0E4-637F3508D80F}"/>
    <cellStyle name="Normal 4 6 3 6 3 3" xfId="23305" xr:uid="{04177A7A-49C0-476C-930A-9C8055536BBF}"/>
    <cellStyle name="Normal 4 6 3 6 4" xfId="10650" xr:uid="{C3F760F8-8320-48F7-9C8D-8F229DC6F647}"/>
    <cellStyle name="Normal 4 6 3 6 5" xfId="19088" xr:uid="{3E3813C0-6F69-4D28-A2BC-F3079A1F5758}"/>
    <cellStyle name="Normal 4 6 3 7" xfId="2555" xr:uid="{00000000-0005-0000-0000-000078160000}"/>
    <cellStyle name="Normal 4 6 3 7 2" xfId="6839" xr:uid="{00000000-0005-0000-0000-000079160000}"/>
    <cellStyle name="Normal 4 6 3 7 2 2" xfId="15281" xr:uid="{609D94E8-E581-4703-A2FA-FD1026EA1419}"/>
    <cellStyle name="Normal 4 6 3 7 2 3" xfId="23718" xr:uid="{E08F6112-A389-48F0-A0CF-F5D82E9BECCF}"/>
    <cellStyle name="Normal 4 6 3 7 3" xfId="11063" xr:uid="{16E97B91-4519-4854-A24F-82F52A8973DB}"/>
    <cellStyle name="Normal 4 6 3 7 4" xfId="19501" xr:uid="{31AFA149-F538-462E-BA23-97EC73DA38B2}"/>
    <cellStyle name="Normal 4 6 3 8" xfId="4774" xr:uid="{00000000-0005-0000-0000-00007A160000}"/>
    <cellStyle name="Normal 4 6 3 8 2" xfId="13216" xr:uid="{F4F66921-9D78-4178-A477-2407A8184B5E}"/>
    <cellStyle name="Normal 4 6 3 8 3" xfId="21653" xr:uid="{130434B1-30E5-4097-B0A5-7D7028FFFE2B}"/>
    <cellStyle name="Normal 4 6 3 9" xfId="8998" xr:uid="{025C378A-2F45-4152-BC59-3B36731E804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545949B3-DB39-4DFA-A077-5BE650B91CCC}"/>
    <cellStyle name="Normal 4 6 4 2 2 2 3" xfId="24213" xr:uid="{2C853F56-6945-471D-937A-4BAD150D5A00}"/>
    <cellStyle name="Normal 4 6 4 2 2 3" xfId="11558" xr:uid="{AE0DAE6C-5120-4EBD-AF77-075A5E4446CD}"/>
    <cellStyle name="Normal 4 6 4 2 2 4" xfId="19996" xr:uid="{7463A07D-4928-4A02-A500-3A275E3668B8}"/>
    <cellStyle name="Normal 4 6 4 2 3" xfId="5189" xr:uid="{00000000-0005-0000-0000-00007F160000}"/>
    <cellStyle name="Normal 4 6 4 2 3 2" xfId="13631" xr:uid="{843BD4D5-250A-490C-89CC-CB6BFF84844A}"/>
    <cellStyle name="Normal 4 6 4 2 3 3" xfId="22068" xr:uid="{55BDB7FF-B10E-4BA0-96AC-AA1536190E98}"/>
    <cellStyle name="Normal 4 6 4 2 4" xfId="9413" xr:uid="{78F9A2D0-7B1D-47EF-AE11-B9821DE2D32B}"/>
    <cellStyle name="Normal 4 6 4 2 5" xfId="17851" xr:uid="{53BF3833-CC2F-46AE-B599-57959B89C656}"/>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8266B6AF-534C-4613-812D-6FCE06EDAD77}"/>
    <cellStyle name="Normal 4 6 4 3 2 2 3" xfId="24626" xr:uid="{F809D5A5-8B4C-4EB3-A74D-BF6688DA0D57}"/>
    <cellStyle name="Normal 4 6 4 3 2 3" xfId="11971" xr:uid="{D9D58205-099B-40C8-83DC-105DC17BA05B}"/>
    <cellStyle name="Normal 4 6 4 3 2 4" xfId="20409" xr:uid="{4BED5683-D156-482E-B9D2-ED2DB564F1B7}"/>
    <cellStyle name="Normal 4 6 4 3 3" xfId="5602" xr:uid="{00000000-0005-0000-0000-000083160000}"/>
    <cellStyle name="Normal 4 6 4 3 3 2" xfId="14044" xr:uid="{679B1A87-7DDD-4AB3-860D-1A5355250D64}"/>
    <cellStyle name="Normal 4 6 4 3 3 3" xfId="22481" xr:uid="{FFFB5D3F-3BC6-4FB6-B9C8-9017A7126F09}"/>
    <cellStyle name="Normal 4 6 4 3 4" xfId="9826" xr:uid="{951FFAA3-E91E-481F-B537-37187E6C5EA5}"/>
    <cellStyle name="Normal 4 6 4 3 5" xfId="18264" xr:uid="{5E928A7B-8ECF-4AA2-B784-DB546816A761}"/>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CD91495B-22DA-4F95-AF86-99ADE355A61D}"/>
    <cellStyle name="Normal 4 6 4 4 2 2 3" xfId="25039" xr:uid="{4A687A01-6BC9-4AAA-A519-BF77DD4DC18C}"/>
    <cellStyle name="Normal 4 6 4 4 2 3" xfId="12384" xr:uid="{4BD6BE07-E591-491C-9938-7FF42670B25F}"/>
    <cellStyle name="Normal 4 6 4 4 2 4" xfId="20822" xr:uid="{0FCC2B30-1A4C-4F68-B25A-83DFF4575F54}"/>
    <cellStyle name="Normal 4 6 4 4 3" xfId="6015" xr:uid="{00000000-0005-0000-0000-000087160000}"/>
    <cellStyle name="Normal 4 6 4 4 3 2" xfId="14457" xr:uid="{5437FDAA-03F4-44EE-A18C-4BADE9B8E47C}"/>
    <cellStyle name="Normal 4 6 4 4 3 3" xfId="22894" xr:uid="{6E599D1E-0A75-4525-AE10-27761FDA8B8D}"/>
    <cellStyle name="Normal 4 6 4 4 4" xfId="10239" xr:uid="{0E1DA9B1-4DF7-4BFA-8B2F-86D90ADEDCC2}"/>
    <cellStyle name="Normal 4 6 4 4 5" xfId="18677" xr:uid="{9A06ED32-28BC-4A04-BF7D-2504947FF94F}"/>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D5270566-4CBC-4ABD-BD5B-9106A09AC2D9}"/>
    <cellStyle name="Normal 4 6 4 5 2 2 3" xfId="25452" xr:uid="{CA28CC1A-5C57-4B8E-8D75-A96DAF299272}"/>
    <cellStyle name="Normal 4 6 4 5 2 3" xfId="12797" xr:uid="{B83A4727-2009-46D5-8367-0702645DFCA6}"/>
    <cellStyle name="Normal 4 6 4 5 2 4" xfId="21235" xr:uid="{45F2D36F-F90D-4DF5-9473-895C38002168}"/>
    <cellStyle name="Normal 4 6 4 5 3" xfId="6428" xr:uid="{00000000-0005-0000-0000-00008B160000}"/>
    <cellStyle name="Normal 4 6 4 5 3 2" xfId="14870" xr:uid="{8EF8C207-D063-4ACA-B3A6-3B43E8426B5C}"/>
    <cellStyle name="Normal 4 6 4 5 3 3" xfId="23307" xr:uid="{92B903F0-8B20-4418-961B-8FEDF5913FD3}"/>
    <cellStyle name="Normal 4 6 4 5 4" xfId="10652" xr:uid="{BC2DD62B-86F8-4C1A-8CB1-400EE97479ED}"/>
    <cellStyle name="Normal 4 6 4 5 5" xfId="19090" xr:uid="{9A9A506D-7A15-46F3-8C69-C20469838E64}"/>
    <cellStyle name="Normal 4 6 4 6" xfId="2557" xr:uid="{00000000-0005-0000-0000-00008C160000}"/>
    <cellStyle name="Normal 4 6 4 6 2" xfId="6841" xr:uid="{00000000-0005-0000-0000-00008D160000}"/>
    <cellStyle name="Normal 4 6 4 6 2 2" xfId="15283" xr:uid="{94A422EA-E999-4FF3-BB38-BBB1849FBFA0}"/>
    <cellStyle name="Normal 4 6 4 6 2 3" xfId="23720" xr:uid="{999FA135-638D-4460-897E-7CBC76E04CD0}"/>
    <cellStyle name="Normal 4 6 4 6 3" xfId="11065" xr:uid="{EA105C9B-9907-4A50-99F1-AC426DEB19C8}"/>
    <cellStyle name="Normal 4 6 4 6 4" xfId="19503" xr:uid="{FE76C887-8118-4E03-A805-2A40A0FB72A8}"/>
    <cellStyle name="Normal 4 6 4 7" xfId="4776" xr:uid="{00000000-0005-0000-0000-00008E160000}"/>
    <cellStyle name="Normal 4 6 4 7 2" xfId="13218" xr:uid="{70D95256-C76B-4663-883D-1BEE4F64C62F}"/>
    <cellStyle name="Normal 4 6 4 7 3" xfId="21655" xr:uid="{ECAAD102-1BF1-4E82-BA2D-7B3C077A4D63}"/>
    <cellStyle name="Normal 4 6 4 8" xfId="9000" xr:uid="{B29D00E4-D99F-4E7A-8E6C-6C535755892E}"/>
    <cellStyle name="Normal 4 6 4 9" xfId="17438" xr:uid="{94D34D33-1293-49D1-BDE1-11CDF4135954}"/>
    <cellStyle name="Normal 4 6 5" xfId="869" xr:uid="{00000000-0005-0000-0000-00008F160000}"/>
    <cellStyle name="Normal 4 6 5 2" xfId="3104" xr:uid="{00000000-0005-0000-0000-000090160000}"/>
    <cellStyle name="Normal 4 6 5 2 2" xfId="7327" xr:uid="{00000000-0005-0000-0000-000091160000}"/>
    <cellStyle name="Normal 4 6 5 2 2 2" xfId="15769" xr:uid="{635087A8-A193-45CF-B56E-08FD07997B8B}"/>
    <cellStyle name="Normal 4 6 5 2 2 3" xfId="24206" xr:uid="{75DB17B7-445F-4CA1-BDD5-F1BA5024B470}"/>
    <cellStyle name="Normal 4 6 5 2 3" xfId="11551" xr:uid="{EACC1D0E-0728-4781-9236-BAA147760947}"/>
    <cellStyle name="Normal 4 6 5 2 4" xfId="19989" xr:uid="{C275625F-BC9F-460A-89C6-66CBCC627AFE}"/>
    <cellStyle name="Normal 4 6 5 3" xfId="5182" xr:uid="{00000000-0005-0000-0000-000092160000}"/>
    <cellStyle name="Normal 4 6 5 3 2" xfId="13624" xr:uid="{C64B373C-9EFA-4E89-83DA-D00125663925}"/>
    <cellStyle name="Normal 4 6 5 3 3" xfId="22061" xr:uid="{9FF88234-D471-40D2-B803-BDD0CA0347DD}"/>
    <cellStyle name="Normal 4 6 5 4" xfId="9406" xr:uid="{F9BDDF7B-31C6-4E98-AD7F-3C77AB997367}"/>
    <cellStyle name="Normal 4 6 5 5" xfId="17844" xr:uid="{73DCEE4E-445F-4A53-93FB-5014E6FFFA81}"/>
    <cellStyle name="Normal 4 6 6" xfId="1287" xr:uid="{00000000-0005-0000-0000-000093160000}"/>
    <cellStyle name="Normal 4 6 6 2" xfId="3517" xr:uid="{00000000-0005-0000-0000-000094160000}"/>
    <cellStyle name="Normal 4 6 6 2 2" xfId="7740" xr:uid="{00000000-0005-0000-0000-000095160000}"/>
    <cellStyle name="Normal 4 6 6 2 2 2" xfId="16182" xr:uid="{575F2B8E-5403-46A9-AA67-926AA52AD292}"/>
    <cellStyle name="Normal 4 6 6 2 2 3" xfId="24619" xr:uid="{93C27D78-3C9F-4AF7-ABC6-F1DB04CF20E4}"/>
    <cellStyle name="Normal 4 6 6 2 3" xfId="11964" xr:uid="{2EDDAFC4-D00A-40DE-A518-D880084F83A8}"/>
    <cellStyle name="Normal 4 6 6 2 4" xfId="20402" xr:uid="{F4F62A89-1B10-4866-9D37-4041C22651B0}"/>
    <cellStyle name="Normal 4 6 6 3" xfId="5595" xr:uid="{00000000-0005-0000-0000-000096160000}"/>
    <cellStyle name="Normal 4 6 6 3 2" xfId="14037" xr:uid="{B49E76FA-F186-41C6-8F3D-30C688B2894D}"/>
    <cellStyle name="Normal 4 6 6 3 3" xfId="22474" xr:uid="{B27E826D-5BE2-485A-B683-807E6525E662}"/>
    <cellStyle name="Normal 4 6 6 4" xfId="9819" xr:uid="{0147D66D-1811-4E16-9D1F-03B388834C25}"/>
    <cellStyle name="Normal 4 6 6 5" xfId="18257" xr:uid="{FB5678C3-FD17-4657-A590-59BC23D1579E}"/>
    <cellStyle name="Normal 4 6 7" xfId="1700" xr:uid="{00000000-0005-0000-0000-000097160000}"/>
    <cellStyle name="Normal 4 6 7 2" xfId="3930" xr:uid="{00000000-0005-0000-0000-000098160000}"/>
    <cellStyle name="Normal 4 6 7 2 2" xfId="8153" xr:uid="{00000000-0005-0000-0000-000099160000}"/>
    <cellStyle name="Normal 4 6 7 2 2 2" xfId="16595" xr:uid="{954B7570-F109-476B-835C-012693AC465C}"/>
    <cellStyle name="Normal 4 6 7 2 2 3" xfId="25032" xr:uid="{4FAD56F4-B542-42F0-9085-EBB3AD634179}"/>
    <cellStyle name="Normal 4 6 7 2 3" xfId="12377" xr:uid="{A47C252E-AA78-4BCB-9C79-6E8F07B01B89}"/>
    <cellStyle name="Normal 4 6 7 2 4" xfId="20815" xr:uid="{8EE04F28-E958-4E3D-99F3-CF2B501AD508}"/>
    <cellStyle name="Normal 4 6 7 3" xfId="6008" xr:uid="{00000000-0005-0000-0000-00009A160000}"/>
    <cellStyle name="Normal 4 6 7 3 2" xfId="14450" xr:uid="{8048B147-F8FF-4A7C-B49B-BE136BB1F280}"/>
    <cellStyle name="Normal 4 6 7 3 3" xfId="22887" xr:uid="{CBFD73D0-3FA1-4B16-8F31-8105A09D9FAC}"/>
    <cellStyle name="Normal 4 6 7 4" xfId="10232" xr:uid="{86B8E2D9-1E87-4521-858D-2AD6A8525ED2}"/>
    <cellStyle name="Normal 4 6 7 5" xfId="18670" xr:uid="{DE2DAFEE-F05D-41A8-9E87-0EA3B83E876F}"/>
    <cellStyle name="Normal 4 6 8" xfId="2114" xr:uid="{00000000-0005-0000-0000-00009B160000}"/>
    <cellStyle name="Normal 4 6 8 2" xfId="4343" xr:uid="{00000000-0005-0000-0000-00009C160000}"/>
    <cellStyle name="Normal 4 6 8 2 2" xfId="8566" xr:uid="{00000000-0005-0000-0000-00009D160000}"/>
    <cellStyle name="Normal 4 6 8 2 2 2" xfId="17008" xr:uid="{D5DC5A61-A31D-4A6F-90E1-86954B2C5E01}"/>
    <cellStyle name="Normal 4 6 8 2 2 3" xfId="25445" xr:uid="{B44190C6-D785-47B9-8474-2976E93492EE}"/>
    <cellStyle name="Normal 4 6 8 2 3" xfId="12790" xr:uid="{4D21EA3B-ACCE-4BC6-8968-5DC20794E725}"/>
    <cellStyle name="Normal 4 6 8 2 4" xfId="21228" xr:uid="{409457ED-52C1-4A3E-A4CF-E7C0DF8CC48D}"/>
    <cellStyle name="Normal 4 6 8 3" xfId="6421" xr:uid="{00000000-0005-0000-0000-00009E160000}"/>
    <cellStyle name="Normal 4 6 8 3 2" xfId="14863" xr:uid="{2ADBF56A-B4E2-455B-BECD-FEF05277B80B}"/>
    <cellStyle name="Normal 4 6 8 3 3" xfId="23300" xr:uid="{9B8491CE-CA52-4F26-A018-4BEAEC292650}"/>
    <cellStyle name="Normal 4 6 8 4" xfId="10645" xr:uid="{339E6E8E-4C2E-43FD-BB4A-7B795E5CF8D2}"/>
    <cellStyle name="Normal 4 6 8 5" xfId="19083" xr:uid="{08B914CA-38F6-4B61-A579-5BD54447AFA9}"/>
    <cellStyle name="Normal 4 6 9" xfId="2550" xr:uid="{00000000-0005-0000-0000-00009F160000}"/>
    <cellStyle name="Normal 4 6 9 2" xfId="6834" xr:uid="{00000000-0005-0000-0000-0000A0160000}"/>
    <cellStyle name="Normal 4 6 9 2 2" xfId="15276" xr:uid="{5DC76F1D-7D59-4EC3-8423-72D81BDCE029}"/>
    <cellStyle name="Normal 4 6 9 2 3" xfId="23713" xr:uid="{D61BE804-1B7D-4771-9601-5FB9295C8F0B}"/>
    <cellStyle name="Normal 4 6 9 3" xfId="11058" xr:uid="{CD4D0EFA-9A53-45F7-B2AE-80A6D8ABC5BA}"/>
    <cellStyle name="Normal 4 6 9 4" xfId="19496" xr:uid="{312C73C2-70E1-4BAF-A6E1-F2E5C07B0011}"/>
    <cellStyle name="Normal 4 7" xfId="403" xr:uid="{00000000-0005-0000-0000-0000A1160000}"/>
    <cellStyle name="Normal 4 7 10" xfId="17439" xr:uid="{D372DF97-02C9-485D-A323-F238F9F4A0A6}"/>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BF4C7D05-1631-4FD3-A058-9C80B5293528}"/>
    <cellStyle name="Normal 4 7 2 2 2 2 3" xfId="24215" xr:uid="{199DDF17-CBB2-42A4-9FF8-28B7F6C53BFF}"/>
    <cellStyle name="Normal 4 7 2 2 2 3" xfId="11560" xr:uid="{8E926315-4D17-4F11-9914-A8319AEFDB2E}"/>
    <cellStyle name="Normal 4 7 2 2 2 4" xfId="19998" xr:uid="{997B895E-6350-4939-9A3B-DE98795CB8CD}"/>
    <cellStyle name="Normal 4 7 2 2 3" xfId="5191" xr:uid="{00000000-0005-0000-0000-0000A6160000}"/>
    <cellStyle name="Normal 4 7 2 2 3 2" xfId="13633" xr:uid="{D8CD5B2C-3CA8-4C98-AD09-38E84492913C}"/>
    <cellStyle name="Normal 4 7 2 2 3 3" xfId="22070" xr:uid="{AC235056-2F39-4E4C-986E-BA286D45B823}"/>
    <cellStyle name="Normal 4 7 2 2 4" xfId="9415" xr:uid="{4033238E-9925-491F-8EA5-77D86218A0FB}"/>
    <cellStyle name="Normal 4 7 2 2 5" xfId="17853" xr:uid="{0F5C58CC-53D9-445F-8889-7C380650FA47}"/>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74155C70-1386-4966-9E5F-2430768C09E8}"/>
    <cellStyle name="Normal 4 7 2 3 2 2 3" xfId="24628" xr:uid="{BCF4FE66-7871-4086-8974-67A14FCEB2BB}"/>
    <cellStyle name="Normal 4 7 2 3 2 3" xfId="11973" xr:uid="{2B88BC16-448B-4A00-9A13-C48960B52DAD}"/>
    <cellStyle name="Normal 4 7 2 3 2 4" xfId="20411" xr:uid="{18C410F0-7DA5-4D22-82BC-93B38D54C436}"/>
    <cellStyle name="Normal 4 7 2 3 3" xfId="5604" xr:uid="{00000000-0005-0000-0000-0000AA160000}"/>
    <cellStyle name="Normal 4 7 2 3 3 2" xfId="14046" xr:uid="{B5BD8BE9-2D21-40E3-AA49-03DF7C55BE81}"/>
    <cellStyle name="Normal 4 7 2 3 3 3" xfId="22483" xr:uid="{B3C21BDD-6CB4-4E46-BD99-C11EE8071A70}"/>
    <cellStyle name="Normal 4 7 2 3 4" xfId="9828" xr:uid="{36A45618-FAB3-4E6F-B07E-0F198638F2D0}"/>
    <cellStyle name="Normal 4 7 2 3 5" xfId="18266" xr:uid="{A2A56660-270D-4C88-B90E-0E8DAA6B2805}"/>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DF4CCCBD-F22B-4ADC-A9BC-1419247FCC8E}"/>
    <cellStyle name="Normal 4 7 2 4 2 2 3" xfId="25041" xr:uid="{DFF2DEA5-7FBB-4097-BB47-E74660777B90}"/>
    <cellStyle name="Normal 4 7 2 4 2 3" xfId="12386" xr:uid="{00C5ACA1-4B61-423F-809B-883FF98073C5}"/>
    <cellStyle name="Normal 4 7 2 4 2 4" xfId="20824" xr:uid="{571F89F9-0BE2-489D-8E61-BAEEBBB9E401}"/>
    <cellStyle name="Normal 4 7 2 4 3" xfId="6017" xr:uid="{00000000-0005-0000-0000-0000AE160000}"/>
    <cellStyle name="Normal 4 7 2 4 3 2" xfId="14459" xr:uid="{6F0FB91C-DE8E-4945-B468-42984B2E640D}"/>
    <cellStyle name="Normal 4 7 2 4 3 3" xfId="22896" xr:uid="{4045136A-2546-4574-8D99-3F63C692507D}"/>
    <cellStyle name="Normal 4 7 2 4 4" xfId="10241" xr:uid="{F60B9D91-10D0-4C3F-B9C2-2B1158CC35B2}"/>
    <cellStyle name="Normal 4 7 2 4 5" xfId="18679" xr:uid="{914C860C-AE4D-4AB8-8E28-2BF30838C389}"/>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D09CD763-6C12-4130-9E1E-5A666CCF2E0A}"/>
    <cellStyle name="Normal 4 7 2 5 2 2 3" xfId="25454" xr:uid="{55280045-AAAA-456C-B482-CEFB6EE3E4D5}"/>
    <cellStyle name="Normal 4 7 2 5 2 3" xfId="12799" xr:uid="{10AEE835-84F2-4634-B4AA-4B5AFADC7256}"/>
    <cellStyle name="Normal 4 7 2 5 2 4" xfId="21237" xr:uid="{732AE13B-5746-44D9-876A-039098D815E1}"/>
    <cellStyle name="Normal 4 7 2 5 3" xfId="6430" xr:uid="{00000000-0005-0000-0000-0000B2160000}"/>
    <cellStyle name="Normal 4 7 2 5 3 2" xfId="14872" xr:uid="{F46CD39E-3E19-4FF9-B2D2-80ED2C8D2552}"/>
    <cellStyle name="Normal 4 7 2 5 3 3" xfId="23309" xr:uid="{89181A49-C14F-4173-B3A2-28C95804AED3}"/>
    <cellStyle name="Normal 4 7 2 5 4" xfId="10654" xr:uid="{DB685454-94D1-4480-8811-47ABDD2B6229}"/>
    <cellStyle name="Normal 4 7 2 5 5" xfId="19092" xr:uid="{07A51661-F010-452D-B5C6-6AE0C2191AED}"/>
    <cellStyle name="Normal 4 7 2 6" xfId="2559" xr:uid="{00000000-0005-0000-0000-0000B3160000}"/>
    <cellStyle name="Normal 4 7 2 6 2" xfId="6843" xr:uid="{00000000-0005-0000-0000-0000B4160000}"/>
    <cellStyle name="Normal 4 7 2 6 2 2" xfId="15285" xr:uid="{61FE8C6D-74EA-4F31-BD45-A51871F140B9}"/>
    <cellStyle name="Normal 4 7 2 6 2 3" xfId="23722" xr:uid="{46582EE5-4CE6-4072-B96F-E5A0940769BE}"/>
    <cellStyle name="Normal 4 7 2 6 3" xfId="11067" xr:uid="{AD7BFF07-5BBA-4510-8539-3D48B7057E45}"/>
    <cellStyle name="Normal 4 7 2 6 4" xfId="19505" xr:uid="{2034AC5B-6909-4798-9648-65C5874815FF}"/>
    <cellStyle name="Normal 4 7 2 7" xfId="4778" xr:uid="{00000000-0005-0000-0000-0000B5160000}"/>
    <cellStyle name="Normal 4 7 2 7 2" xfId="13220" xr:uid="{929EB6AD-02C9-498D-97EF-73E81A1DBAC8}"/>
    <cellStyle name="Normal 4 7 2 7 3" xfId="21657" xr:uid="{74439147-5962-498D-961C-EB067D7CA7BF}"/>
    <cellStyle name="Normal 4 7 2 8" xfId="9002" xr:uid="{4801AB92-6A73-4974-AA0F-9D2F6AE3E9B2}"/>
    <cellStyle name="Normal 4 7 2 9" xfId="17440" xr:uid="{70EE8E8C-FC6C-43B2-B217-8FAC06BA2261}"/>
    <cellStyle name="Normal 4 7 3" xfId="877" xr:uid="{00000000-0005-0000-0000-0000B6160000}"/>
    <cellStyle name="Normal 4 7 3 2" xfId="3112" xr:uid="{00000000-0005-0000-0000-0000B7160000}"/>
    <cellStyle name="Normal 4 7 3 2 2" xfId="7335" xr:uid="{00000000-0005-0000-0000-0000B8160000}"/>
    <cellStyle name="Normal 4 7 3 2 2 2" xfId="15777" xr:uid="{AF96CA09-3788-45AC-B000-6DD8353F7DD4}"/>
    <cellStyle name="Normal 4 7 3 2 2 3" xfId="24214" xr:uid="{E9910107-0E81-4233-BDB5-CBED5DF13360}"/>
    <cellStyle name="Normal 4 7 3 2 3" xfId="11559" xr:uid="{64734FC9-C4BD-4593-BD53-12D86AD144B9}"/>
    <cellStyle name="Normal 4 7 3 2 4" xfId="19997" xr:uid="{B93C2134-A43F-4A2A-9839-6A42D02FB6EC}"/>
    <cellStyle name="Normal 4 7 3 3" xfId="5190" xr:uid="{00000000-0005-0000-0000-0000B9160000}"/>
    <cellStyle name="Normal 4 7 3 3 2" xfId="13632" xr:uid="{EFFF353F-154E-40EA-A6E7-FADFADE38C02}"/>
    <cellStyle name="Normal 4 7 3 3 3" xfId="22069" xr:uid="{4DCE2277-705F-4088-AB31-F31C35225089}"/>
    <cellStyle name="Normal 4 7 3 4" xfId="9414" xr:uid="{B02952D0-D901-4375-9271-7C6FD413CB67}"/>
    <cellStyle name="Normal 4 7 3 5" xfId="17852" xr:uid="{4B9E089D-FD04-4142-9446-A7D324A1D6D0}"/>
    <cellStyle name="Normal 4 7 4" xfId="1295" xr:uid="{00000000-0005-0000-0000-0000BA160000}"/>
    <cellStyle name="Normal 4 7 4 2" xfId="3525" xr:uid="{00000000-0005-0000-0000-0000BB160000}"/>
    <cellStyle name="Normal 4 7 4 2 2" xfId="7748" xr:uid="{00000000-0005-0000-0000-0000BC160000}"/>
    <cellStyle name="Normal 4 7 4 2 2 2" xfId="16190" xr:uid="{DC5C0685-0231-4622-A057-CA0B6D6DC825}"/>
    <cellStyle name="Normal 4 7 4 2 2 3" xfId="24627" xr:uid="{CAD23FC4-DEF9-46A7-B761-77F73D0F1C61}"/>
    <cellStyle name="Normal 4 7 4 2 3" xfId="11972" xr:uid="{FF8DDF95-DEA5-4547-A902-5EB16A2E0DD7}"/>
    <cellStyle name="Normal 4 7 4 2 4" xfId="20410" xr:uid="{C9D4EDB7-524C-4E96-A310-9069397ECFC7}"/>
    <cellStyle name="Normal 4 7 4 3" xfId="5603" xr:uid="{00000000-0005-0000-0000-0000BD160000}"/>
    <cellStyle name="Normal 4 7 4 3 2" xfId="14045" xr:uid="{6BA26081-16C4-409C-9B93-49C0B2096868}"/>
    <cellStyle name="Normal 4 7 4 3 3" xfId="22482" xr:uid="{851BC354-4149-4213-970E-4C576CCCB8CC}"/>
    <cellStyle name="Normal 4 7 4 4" xfId="9827" xr:uid="{823C77EF-BEC8-4B47-99F3-F91DB6B5B98C}"/>
    <cellStyle name="Normal 4 7 4 5" xfId="18265" xr:uid="{FE856FAB-F144-4910-B9A6-B728EF77B99F}"/>
    <cellStyle name="Normal 4 7 5" xfId="1708" xr:uid="{00000000-0005-0000-0000-0000BE160000}"/>
    <cellStyle name="Normal 4 7 5 2" xfId="3938" xr:uid="{00000000-0005-0000-0000-0000BF160000}"/>
    <cellStyle name="Normal 4 7 5 2 2" xfId="8161" xr:uid="{00000000-0005-0000-0000-0000C0160000}"/>
    <cellStyle name="Normal 4 7 5 2 2 2" xfId="16603" xr:uid="{C4F1D820-9660-417B-B430-4CC3709CEB06}"/>
    <cellStyle name="Normal 4 7 5 2 2 3" xfId="25040" xr:uid="{CD86A3CE-EBC2-4FF3-8DD3-ECF59CB682B5}"/>
    <cellStyle name="Normal 4 7 5 2 3" xfId="12385" xr:uid="{59C0F38B-7775-4070-973D-2853D137FD2F}"/>
    <cellStyle name="Normal 4 7 5 2 4" xfId="20823" xr:uid="{5CFEF588-474A-4CD1-97EB-F4481734207A}"/>
    <cellStyle name="Normal 4 7 5 3" xfId="6016" xr:uid="{00000000-0005-0000-0000-0000C1160000}"/>
    <cellStyle name="Normal 4 7 5 3 2" xfId="14458" xr:uid="{3395B54D-0EC2-46F0-8C5B-045D052D715D}"/>
    <cellStyle name="Normal 4 7 5 3 3" xfId="22895" xr:uid="{FB6441D2-6344-421E-97FA-5950C317D7A4}"/>
    <cellStyle name="Normal 4 7 5 4" xfId="10240" xr:uid="{6F10B9C6-D53F-4B8B-8FFC-E95DCEDA2A2B}"/>
    <cellStyle name="Normal 4 7 5 5" xfId="18678" xr:uid="{06721930-B1CA-4AAA-B377-330D6E90C70B}"/>
    <cellStyle name="Normal 4 7 6" xfId="2122" xr:uid="{00000000-0005-0000-0000-0000C2160000}"/>
    <cellStyle name="Normal 4 7 6 2" xfId="4351" xr:uid="{00000000-0005-0000-0000-0000C3160000}"/>
    <cellStyle name="Normal 4 7 6 2 2" xfId="8574" xr:uid="{00000000-0005-0000-0000-0000C4160000}"/>
    <cellStyle name="Normal 4 7 6 2 2 2" xfId="17016" xr:uid="{1B6156AC-4AC6-4740-9F8F-E804901E4896}"/>
    <cellStyle name="Normal 4 7 6 2 2 3" xfId="25453" xr:uid="{4B99977F-59B8-4FFC-918E-BD505FBDED31}"/>
    <cellStyle name="Normal 4 7 6 2 3" xfId="12798" xr:uid="{FC372BD3-D93F-414E-BF20-5F126E34C51B}"/>
    <cellStyle name="Normal 4 7 6 2 4" xfId="21236" xr:uid="{8FFCA169-4513-4FEB-A021-3CA4208D324D}"/>
    <cellStyle name="Normal 4 7 6 3" xfId="6429" xr:uid="{00000000-0005-0000-0000-0000C5160000}"/>
    <cellStyle name="Normal 4 7 6 3 2" xfId="14871" xr:uid="{60938C54-1929-4076-840F-795BA364E71B}"/>
    <cellStyle name="Normal 4 7 6 3 3" xfId="23308" xr:uid="{50CD83FA-B716-4284-8289-C8CC0AA78963}"/>
    <cellStyle name="Normal 4 7 6 4" xfId="10653" xr:uid="{21C57ECB-A9CF-4A55-9278-3DB69F07FCCB}"/>
    <cellStyle name="Normal 4 7 6 5" xfId="19091" xr:uid="{8DDAD21D-BDA5-4103-857C-14E36833062E}"/>
    <cellStyle name="Normal 4 7 7" xfId="2558" xr:uid="{00000000-0005-0000-0000-0000C6160000}"/>
    <cellStyle name="Normal 4 7 7 2" xfId="6842" xr:uid="{00000000-0005-0000-0000-0000C7160000}"/>
    <cellStyle name="Normal 4 7 7 2 2" xfId="15284" xr:uid="{0EBD684D-7D8D-4230-9082-8CFC6F2BF89E}"/>
    <cellStyle name="Normal 4 7 7 2 3" xfId="23721" xr:uid="{8DAAAA89-8FCD-46CA-99B3-C3F096727CD8}"/>
    <cellStyle name="Normal 4 7 7 3" xfId="11066" xr:uid="{8F04B47F-6E7D-40CF-AE86-83BED99729B3}"/>
    <cellStyle name="Normal 4 7 7 4" xfId="19504" xr:uid="{32021FF9-73EF-4433-9834-28D369F4C6B3}"/>
    <cellStyle name="Normal 4 7 8" xfId="4777" xr:uid="{00000000-0005-0000-0000-0000C8160000}"/>
    <cellStyle name="Normal 4 7 8 2" xfId="13219" xr:uid="{06A2B0B6-060B-4E9D-81CC-D1485CF42C96}"/>
    <cellStyle name="Normal 4 7 8 3" xfId="21656" xr:uid="{9E175862-530F-407D-9C43-74CC2CD82A1D}"/>
    <cellStyle name="Normal 4 7 9" xfId="9001" xr:uid="{74790674-9643-4258-8844-8E8051B2C0F6}"/>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DBE4ECBF-E663-4D9B-9290-774B65A8FE34}"/>
    <cellStyle name="Normal 4 8 2 2 2 3" xfId="24216" xr:uid="{06B665FA-7EAD-4E7A-A732-001B7EF73826}"/>
    <cellStyle name="Normal 4 8 2 2 3" xfId="11561" xr:uid="{72712919-7867-441B-B2AD-7BB3CC622B9A}"/>
    <cellStyle name="Normal 4 8 2 2 4" xfId="19999" xr:uid="{52393777-51A4-4813-907B-C044B1A84109}"/>
    <cellStyle name="Normal 4 8 2 3" xfId="5192" xr:uid="{00000000-0005-0000-0000-0000CD160000}"/>
    <cellStyle name="Normal 4 8 2 3 2" xfId="13634" xr:uid="{C0FA9DBB-ACD5-4EFA-AC12-807D7285341D}"/>
    <cellStyle name="Normal 4 8 2 3 3" xfId="22071" xr:uid="{F0DADE61-021B-4183-ACDB-9FB5D8696F7A}"/>
    <cellStyle name="Normal 4 8 2 4" xfId="9416" xr:uid="{DD7C2022-7FCC-4A8E-B2A1-0B7AB4939FE9}"/>
    <cellStyle name="Normal 4 8 2 5" xfId="17854" xr:uid="{5AC734EF-7568-43CE-B0D4-816591C6323A}"/>
    <cellStyle name="Normal 4 8 3" xfId="1297" xr:uid="{00000000-0005-0000-0000-0000CE160000}"/>
    <cellStyle name="Normal 4 8 3 2" xfId="3527" xr:uid="{00000000-0005-0000-0000-0000CF160000}"/>
    <cellStyle name="Normal 4 8 3 2 2" xfId="7750" xr:uid="{00000000-0005-0000-0000-0000D0160000}"/>
    <cellStyle name="Normal 4 8 3 2 2 2" xfId="16192" xr:uid="{59CAFBE8-9424-4C51-AD2B-5509F3E43290}"/>
    <cellStyle name="Normal 4 8 3 2 2 3" xfId="24629" xr:uid="{09640105-9CDF-4319-904A-21A208BBEC01}"/>
    <cellStyle name="Normal 4 8 3 2 3" xfId="11974" xr:uid="{664EAD64-62DF-4763-9599-15FE0AE0B735}"/>
    <cellStyle name="Normal 4 8 3 2 4" xfId="20412" xr:uid="{D7EC53BF-837D-4416-BB43-E5131126D00F}"/>
    <cellStyle name="Normal 4 8 3 3" xfId="5605" xr:uid="{00000000-0005-0000-0000-0000D1160000}"/>
    <cellStyle name="Normal 4 8 3 3 2" xfId="14047" xr:uid="{0973A6E3-5DE6-4EC9-AD80-9FE0787748FA}"/>
    <cellStyle name="Normal 4 8 3 3 3" xfId="22484" xr:uid="{E5467DAB-BCEE-4032-8B7D-63789BE595F2}"/>
    <cellStyle name="Normal 4 8 3 4" xfId="9829" xr:uid="{963D5A5F-C735-4E54-8648-CD2119D4BFCF}"/>
    <cellStyle name="Normal 4 8 3 5" xfId="18267" xr:uid="{636CAE2E-B990-453E-A544-A72004413E39}"/>
    <cellStyle name="Normal 4 8 4" xfId="1710" xr:uid="{00000000-0005-0000-0000-0000D2160000}"/>
    <cellStyle name="Normal 4 8 4 2" xfId="3940" xr:uid="{00000000-0005-0000-0000-0000D3160000}"/>
    <cellStyle name="Normal 4 8 4 2 2" xfId="8163" xr:uid="{00000000-0005-0000-0000-0000D4160000}"/>
    <cellStyle name="Normal 4 8 4 2 2 2" xfId="16605" xr:uid="{49746D1C-A7B4-4882-81B1-68911D0A753B}"/>
    <cellStyle name="Normal 4 8 4 2 2 3" xfId="25042" xr:uid="{C55C80A1-2A3B-46C5-9A5E-968290DD5A3E}"/>
    <cellStyle name="Normal 4 8 4 2 3" xfId="12387" xr:uid="{13A8D729-7BA8-432B-8F70-5378612FC2DE}"/>
    <cellStyle name="Normal 4 8 4 2 4" xfId="20825" xr:uid="{D69E6636-1EED-49FB-9B25-82746FFFE223}"/>
    <cellStyle name="Normal 4 8 4 3" xfId="6018" xr:uid="{00000000-0005-0000-0000-0000D5160000}"/>
    <cellStyle name="Normal 4 8 4 3 2" xfId="14460" xr:uid="{3AE06ACC-95F1-45DA-BAED-91E27350CFB3}"/>
    <cellStyle name="Normal 4 8 4 3 3" xfId="22897" xr:uid="{1974A649-D973-4190-9DD7-9348D959B545}"/>
    <cellStyle name="Normal 4 8 4 4" xfId="10242" xr:uid="{20280EEB-535E-4A6D-871F-C000DDD2AA12}"/>
    <cellStyle name="Normal 4 8 4 5" xfId="18680" xr:uid="{9F329372-C4FC-41CA-9100-EB531120F848}"/>
    <cellStyle name="Normal 4 8 5" xfId="2124" xr:uid="{00000000-0005-0000-0000-0000D6160000}"/>
    <cellStyle name="Normal 4 8 5 2" xfId="4353" xr:uid="{00000000-0005-0000-0000-0000D7160000}"/>
    <cellStyle name="Normal 4 8 5 2 2" xfId="8576" xr:uid="{00000000-0005-0000-0000-0000D8160000}"/>
    <cellStyle name="Normal 4 8 5 2 2 2" xfId="17018" xr:uid="{8B326518-5EE4-4C3B-96F8-6FD2E1499772}"/>
    <cellStyle name="Normal 4 8 5 2 2 3" xfId="25455" xr:uid="{93509C22-8537-4FB8-B4BF-3136617A6803}"/>
    <cellStyle name="Normal 4 8 5 2 3" xfId="12800" xr:uid="{2EC778BD-C3AD-480F-8D0F-CDE9441F7743}"/>
    <cellStyle name="Normal 4 8 5 2 4" xfId="21238" xr:uid="{4C429DF5-4F1E-44A5-AAA6-A3A57FFD705B}"/>
    <cellStyle name="Normal 4 8 5 3" xfId="6431" xr:uid="{00000000-0005-0000-0000-0000D9160000}"/>
    <cellStyle name="Normal 4 8 5 3 2" xfId="14873" xr:uid="{A0428CA1-62CA-4119-B6F5-72C0590671EA}"/>
    <cellStyle name="Normal 4 8 5 3 3" xfId="23310" xr:uid="{A6736044-3740-46FA-98C5-868B6A4960A7}"/>
    <cellStyle name="Normal 4 8 5 4" xfId="10655" xr:uid="{91267C78-6CF3-40A2-B1F7-935A73FB0E54}"/>
    <cellStyle name="Normal 4 8 5 5" xfId="19093" xr:uid="{C1EEF7F1-6C0C-4318-BD1B-81D81A17A6AC}"/>
    <cellStyle name="Normal 4 8 6" xfId="2560" xr:uid="{00000000-0005-0000-0000-0000DA160000}"/>
    <cellStyle name="Normal 4 8 6 2" xfId="6844" xr:uid="{00000000-0005-0000-0000-0000DB160000}"/>
    <cellStyle name="Normal 4 8 6 2 2" xfId="15286" xr:uid="{D47D00F0-AC08-4357-A224-BB61FB52CC0E}"/>
    <cellStyle name="Normal 4 8 6 2 3" xfId="23723" xr:uid="{EF631C8C-B0DB-43D5-B717-E3DFBA3EDB41}"/>
    <cellStyle name="Normal 4 8 6 3" xfId="11068" xr:uid="{0123F851-D213-4E66-B08A-866DC3742C51}"/>
    <cellStyle name="Normal 4 8 6 4" xfId="19506" xr:uid="{B75CF5E2-5370-49AE-A46F-88BBCBA577BE}"/>
    <cellStyle name="Normal 4 8 7" xfId="4779" xr:uid="{00000000-0005-0000-0000-0000DC160000}"/>
    <cellStyle name="Normal 4 8 7 2" xfId="13221" xr:uid="{931EF171-327E-4D56-90A2-F1EFB7201246}"/>
    <cellStyle name="Normal 4 8 7 3" xfId="21658" xr:uid="{00198242-81AF-4DFC-B5C0-F7E3B1FD90E4}"/>
    <cellStyle name="Normal 4 8 8" xfId="9003" xr:uid="{1981E872-D859-4BFF-AC16-6AD11E78DC0D}"/>
    <cellStyle name="Normal 4 8 9" xfId="17441" xr:uid="{572D2B8C-D9EA-40A8-8138-DA1FB85A68FA}"/>
    <cellStyle name="Normal 4 9" xfId="4716" xr:uid="{00000000-0005-0000-0000-0000DD160000}"/>
    <cellStyle name="Normal 4 9 2" xfId="13158" xr:uid="{1DAA08AD-6150-40C6-9BD8-5D1AA6FE173F}"/>
    <cellStyle name="Normal 4 9 3" xfId="21595" xr:uid="{EA678AA7-6171-43D9-AF3B-7EDEF7E20C6E}"/>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79946680-6839-4214-A7F9-239CE1CDD268}"/>
    <cellStyle name="Normal 5 10 2 2 3" xfId="25043" xr:uid="{86D9F168-CDAD-4D78-8BF5-2DBEE50F5C31}"/>
    <cellStyle name="Normal 5 10 2 3" xfId="12388" xr:uid="{37785A0D-5441-4A59-A713-047F422B08DB}"/>
    <cellStyle name="Normal 5 10 2 4" xfId="20826" xr:uid="{89FDC70C-0124-45C8-A082-A4CCDDA76AFF}"/>
    <cellStyle name="Normal 5 10 3" xfId="6019" xr:uid="{00000000-0005-0000-0000-0000E2160000}"/>
    <cellStyle name="Normal 5 10 3 2" xfId="14461" xr:uid="{16D6DE29-149C-4C56-AB21-05C6995F4DA5}"/>
    <cellStyle name="Normal 5 10 3 3" xfId="22898" xr:uid="{C732F9DA-F676-46EA-9BFE-DA1E8E07E34F}"/>
    <cellStyle name="Normal 5 10 4" xfId="10243" xr:uid="{91C8482B-D878-4FD1-83C1-B41AE26CA9CD}"/>
    <cellStyle name="Normal 5 10 5" xfId="18681" xr:uid="{1948AF05-9513-4264-A688-385017225307}"/>
    <cellStyle name="Normal 5 11" xfId="2125" xr:uid="{00000000-0005-0000-0000-0000E3160000}"/>
    <cellStyle name="Normal 5 11 2" xfId="4354" xr:uid="{00000000-0005-0000-0000-0000E4160000}"/>
    <cellStyle name="Normal 5 11 2 2" xfId="8577" xr:uid="{00000000-0005-0000-0000-0000E5160000}"/>
    <cellStyle name="Normal 5 11 2 2 2" xfId="17019" xr:uid="{211E4417-D08C-43DF-BDC6-AA154D6C3305}"/>
    <cellStyle name="Normal 5 11 2 2 3" xfId="25456" xr:uid="{A8DA17A5-3962-46AD-82A0-219A5818D1EC}"/>
    <cellStyle name="Normal 5 11 2 3" xfId="12801" xr:uid="{6E6704C2-1F18-499E-ACC2-BF208CFD9F93}"/>
    <cellStyle name="Normal 5 11 2 4" xfId="21239" xr:uid="{B95C04BE-3854-431B-8101-C6BA33A8E55A}"/>
    <cellStyle name="Normal 5 11 3" xfId="6432" xr:uid="{00000000-0005-0000-0000-0000E6160000}"/>
    <cellStyle name="Normal 5 11 3 2" xfId="14874" xr:uid="{17DBCC12-D904-48F0-979D-845E24A85DE7}"/>
    <cellStyle name="Normal 5 11 3 3" xfId="23311" xr:uid="{CE4B86B4-6933-4CED-A8EA-AE071ED61174}"/>
    <cellStyle name="Normal 5 11 4" xfId="10656" xr:uid="{53A09C1D-38F2-4D33-8241-30DA23FA52C5}"/>
    <cellStyle name="Normal 5 11 5" xfId="19094" xr:uid="{3319617A-26DC-46B4-8F1E-D008328EBDD1}"/>
    <cellStyle name="Normal 5 12" xfId="2561" xr:uid="{00000000-0005-0000-0000-0000E7160000}"/>
    <cellStyle name="Normal 5 12 2" xfId="6845" xr:uid="{00000000-0005-0000-0000-0000E8160000}"/>
    <cellStyle name="Normal 5 12 2 2" xfId="15287" xr:uid="{E13BDBEF-1108-43A0-B8AF-43F6A85FBC4D}"/>
    <cellStyle name="Normal 5 12 2 3" xfId="23724" xr:uid="{60B6C563-F43E-4AEB-BCE1-DBCD83ABCAC8}"/>
    <cellStyle name="Normal 5 12 3" xfId="11069" xr:uid="{F96C7B0E-7210-42D3-A4A0-1FC165FE51F3}"/>
    <cellStyle name="Normal 5 12 4" xfId="19507" xr:uid="{D1BE7B4D-4A70-417B-A190-5014BB3CCAE3}"/>
    <cellStyle name="Normal 5 13" xfId="4780" xr:uid="{00000000-0005-0000-0000-0000E9160000}"/>
    <cellStyle name="Normal 5 13 2" xfId="13222" xr:uid="{838FD6C5-EEB3-4834-A14F-F1667A340BBA}"/>
    <cellStyle name="Normal 5 13 3" xfId="21659" xr:uid="{698EEC20-17E7-4AEA-AC65-5F72598C2D91}"/>
    <cellStyle name="Normal 5 14" xfId="9004" xr:uid="{8ACE5EDE-7B98-4690-80F8-663221709CBF}"/>
    <cellStyle name="Normal 5 15" xfId="17442" xr:uid="{E8A53CF4-9833-4C5D-AD96-CBBA0B367BE6}"/>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577BCD26-C99D-4860-AA03-527FD6315065}"/>
    <cellStyle name="Normal 5 2 10 2 2 3" xfId="25457" xr:uid="{FC722B7D-69F3-4F6B-9466-6E0F5ACB821F}"/>
    <cellStyle name="Normal 5 2 10 2 3" xfId="12802" xr:uid="{8DED49EE-0917-4FBE-8DA6-DE77DB9B2802}"/>
    <cellStyle name="Normal 5 2 10 2 4" xfId="21240" xr:uid="{5A349E05-30B8-42E1-A3F2-A2B071C85C30}"/>
    <cellStyle name="Normal 5 2 10 3" xfId="6433" xr:uid="{00000000-0005-0000-0000-0000EE160000}"/>
    <cellStyle name="Normal 5 2 10 3 2" xfId="14875" xr:uid="{3A4806F6-17E4-4B59-8F79-51CFDD245519}"/>
    <cellStyle name="Normal 5 2 10 3 3" xfId="23312" xr:uid="{F4C58F08-1FDD-423B-8271-F37EA3076DD2}"/>
    <cellStyle name="Normal 5 2 10 4" xfId="10657" xr:uid="{D0C61294-4B75-41A3-820D-B7C53DCF5612}"/>
    <cellStyle name="Normal 5 2 10 5" xfId="19095" xr:uid="{AB87D6CF-D779-4FFC-81A2-1B31F007140E}"/>
    <cellStyle name="Normal 5 2 11" xfId="2562" xr:uid="{00000000-0005-0000-0000-0000EF160000}"/>
    <cellStyle name="Normal 5 2 11 2" xfId="6846" xr:uid="{00000000-0005-0000-0000-0000F0160000}"/>
    <cellStyle name="Normal 5 2 11 2 2" xfId="15288" xr:uid="{313F94B2-31AB-495A-A268-A2611AD793B0}"/>
    <cellStyle name="Normal 5 2 11 2 3" xfId="23725" xr:uid="{AE357FB5-A33B-46EC-855A-468D0B732AF3}"/>
    <cellStyle name="Normal 5 2 11 3" xfId="11070" xr:uid="{D0292972-754C-4CBD-8AC8-76EFDBA672AA}"/>
    <cellStyle name="Normal 5 2 11 4" xfId="19508" xr:uid="{F206DED9-33E6-42E0-9063-409FC7332A4A}"/>
    <cellStyle name="Normal 5 2 12" xfId="4781" xr:uid="{00000000-0005-0000-0000-0000F1160000}"/>
    <cellStyle name="Normal 5 2 12 2" xfId="13223" xr:uid="{889AC62F-D66F-4873-83BB-D0A35D366492}"/>
    <cellStyle name="Normal 5 2 12 3" xfId="21660" xr:uid="{79B49210-6356-4848-A456-BB6388747D79}"/>
    <cellStyle name="Normal 5 2 13" xfId="9005" xr:uid="{A01F8ADD-459E-4DA7-9EDC-F49F4D5B6C63}"/>
    <cellStyle name="Normal 5 2 14" xfId="17443" xr:uid="{A815D297-7C66-4641-9F1E-8BFBA6F321B2}"/>
    <cellStyle name="Normal 5 2 2" xfId="408" xr:uid="{00000000-0005-0000-0000-0000F2160000}"/>
    <cellStyle name="Normal 5 2 2 10" xfId="2563" xr:uid="{00000000-0005-0000-0000-0000F3160000}"/>
    <cellStyle name="Normal 5 2 2 10 2" xfId="6847" xr:uid="{00000000-0005-0000-0000-0000F4160000}"/>
    <cellStyle name="Normal 5 2 2 10 2 2" xfId="15289" xr:uid="{CC742BC5-3852-4B9D-85A9-E635E4E33452}"/>
    <cellStyle name="Normal 5 2 2 10 2 3" xfId="23726" xr:uid="{9BD7A3B8-BD9E-45F1-81BA-D0F34A6C6A37}"/>
    <cellStyle name="Normal 5 2 2 10 3" xfId="11071" xr:uid="{F79F8DD5-167E-4F27-B7CA-8278580D7120}"/>
    <cellStyle name="Normal 5 2 2 10 4" xfId="19509" xr:uid="{5DC1665C-D381-4AA3-8387-B4A6B819325D}"/>
    <cellStyle name="Normal 5 2 2 11" xfId="4782" xr:uid="{00000000-0005-0000-0000-0000F5160000}"/>
    <cellStyle name="Normal 5 2 2 11 2" xfId="13224" xr:uid="{53FDA18A-E855-4EE6-B908-625CF56E9A2B}"/>
    <cellStyle name="Normal 5 2 2 11 3" xfId="21661" xr:uid="{BECD8DB5-BD5B-477D-A8B8-02DF61F546ED}"/>
    <cellStyle name="Normal 5 2 2 12" xfId="9006" xr:uid="{99E97D6B-6F1F-46BA-9A66-04A54CD06859}"/>
    <cellStyle name="Normal 5 2 2 13" xfId="17444" xr:uid="{DFCAC421-0EEF-460A-ABA4-74F211B0DBAB}"/>
    <cellStyle name="Normal 5 2 2 2" xfId="409" xr:uid="{00000000-0005-0000-0000-0000F6160000}"/>
    <cellStyle name="Normal 5 2 2 2 10" xfId="4783" xr:uid="{00000000-0005-0000-0000-0000F7160000}"/>
    <cellStyle name="Normal 5 2 2 2 10 2" xfId="13225" xr:uid="{A344AAD8-1058-4113-A77B-FDE0BABB31A2}"/>
    <cellStyle name="Normal 5 2 2 2 10 3" xfId="21662" xr:uid="{FCFC2CC5-526D-4A93-942C-93AAF26B97FC}"/>
    <cellStyle name="Normal 5 2 2 2 11" xfId="9007" xr:uid="{7F95F179-5DA5-4EBF-86D9-F73A20BA8947}"/>
    <cellStyle name="Normal 5 2 2 2 12" xfId="17445" xr:uid="{514F0A12-C9B4-4CAE-8F13-86EA0738C623}"/>
    <cellStyle name="Normal 5 2 2 2 2" xfId="410" xr:uid="{00000000-0005-0000-0000-0000F8160000}"/>
    <cellStyle name="Normal 5 2 2 2 2 10" xfId="9008" xr:uid="{F87D6FA4-97AC-4CB9-A142-1B9951E4A521}"/>
    <cellStyle name="Normal 5 2 2 2 2 11" xfId="17446" xr:uid="{6A29A4A1-C7CF-42D6-BB56-47B5A041E2F2}"/>
    <cellStyle name="Normal 5 2 2 2 2 2" xfId="411" xr:uid="{00000000-0005-0000-0000-0000F9160000}"/>
    <cellStyle name="Normal 5 2 2 2 2 2 10" xfId="17447" xr:uid="{D770D65A-216E-484C-8AD4-11C0654D71A9}"/>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73BA5006-27FF-4758-830B-BB42C60BB6F8}"/>
    <cellStyle name="Normal 5 2 2 2 2 2 2 2 2 2 3" xfId="24223" xr:uid="{840497FB-C409-48F9-9049-1A91ECDDA895}"/>
    <cellStyle name="Normal 5 2 2 2 2 2 2 2 2 3" xfId="11568" xr:uid="{D508FEC5-BE88-4201-B03E-B56BA8D1B2F0}"/>
    <cellStyle name="Normal 5 2 2 2 2 2 2 2 2 4" xfId="20006" xr:uid="{087BF4BC-20FF-4B53-B11F-4FEBE62A6358}"/>
    <cellStyle name="Normal 5 2 2 2 2 2 2 2 3" xfId="5199" xr:uid="{00000000-0005-0000-0000-0000FE160000}"/>
    <cellStyle name="Normal 5 2 2 2 2 2 2 2 3 2" xfId="13641" xr:uid="{C90CD845-3998-421E-A1A9-0E3E1686B054}"/>
    <cellStyle name="Normal 5 2 2 2 2 2 2 2 3 3" xfId="22078" xr:uid="{E83A605E-0662-4991-B412-94F45FEDDF0D}"/>
    <cellStyle name="Normal 5 2 2 2 2 2 2 2 4" xfId="9423" xr:uid="{060649B1-5AFE-4FA9-8A66-4312FC1ECEA5}"/>
    <cellStyle name="Normal 5 2 2 2 2 2 2 2 5" xfId="17861" xr:uid="{E131CA8F-E6C5-4BD6-A96B-51D483CD08AF}"/>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72147FDA-8CA3-44EE-A05F-402E7C071F42}"/>
    <cellStyle name="Normal 5 2 2 2 2 2 2 3 2 2 3" xfId="24636" xr:uid="{8BB4E206-8D2C-4125-8E83-EA5D0C8A23E9}"/>
    <cellStyle name="Normal 5 2 2 2 2 2 2 3 2 3" xfId="11981" xr:uid="{99560C8A-B1B5-4D99-87AB-E7EE742FCE5C}"/>
    <cellStyle name="Normal 5 2 2 2 2 2 2 3 2 4" xfId="20419" xr:uid="{3000132A-147E-4815-B1AD-8D255DBCB835}"/>
    <cellStyle name="Normal 5 2 2 2 2 2 2 3 3" xfId="5612" xr:uid="{00000000-0005-0000-0000-000002170000}"/>
    <cellStyle name="Normal 5 2 2 2 2 2 2 3 3 2" xfId="14054" xr:uid="{CB183A8A-00A6-4642-B818-284D37E4F7BC}"/>
    <cellStyle name="Normal 5 2 2 2 2 2 2 3 3 3" xfId="22491" xr:uid="{3EF4CF93-9ADD-431B-AED4-B285EBC9CBCB}"/>
    <cellStyle name="Normal 5 2 2 2 2 2 2 3 4" xfId="9836" xr:uid="{FD25819B-4EAA-44CE-910F-F7FF4001370E}"/>
    <cellStyle name="Normal 5 2 2 2 2 2 2 3 5" xfId="18274" xr:uid="{9068F2CA-BC15-44B6-AA6E-454D065981B2}"/>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22E22400-2C07-4C03-B16F-B798922D455E}"/>
    <cellStyle name="Normal 5 2 2 2 2 2 2 4 2 2 3" xfId="25049" xr:uid="{F5BFE1A2-0BE2-4B7B-96F1-42CEB8D85777}"/>
    <cellStyle name="Normal 5 2 2 2 2 2 2 4 2 3" xfId="12394" xr:uid="{11F60BB7-8C3E-4835-A3F2-0CCE98D17B5B}"/>
    <cellStyle name="Normal 5 2 2 2 2 2 2 4 2 4" xfId="20832" xr:uid="{8D5FAB19-5342-4D85-8B9A-2634B1EF419A}"/>
    <cellStyle name="Normal 5 2 2 2 2 2 2 4 3" xfId="6025" xr:uid="{00000000-0005-0000-0000-000006170000}"/>
    <cellStyle name="Normal 5 2 2 2 2 2 2 4 3 2" xfId="14467" xr:uid="{FFCE9655-746F-4C34-90AB-4C4323E3A058}"/>
    <cellStyle name="Normal 5 2 2 2 2 2 2 4 3 3" xfId="22904" xr:uid="{30BBB404-50E7-4F0A-B329-1C79AC39AE4E}"/>
    <cellStyle name="Normal 5 2 2 2 2 2 2 4 4" xfId="10249" xr:uid="{9488275E-B293-41D1-AC9E-BCE2D33CE116}"/>
    <cellStyle name="Normal 5 2 2 2 2 2 2 4 5" xfId="18687" xr:uid="{495CCE9C-FB41-49C2-916A-7CCCA5FF38AA}"/>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B2943735-FD73-48F5-8E5E-2A61101223B0}"/>
    <cellStyle name="Normal 5 2 2 2 2 2 2 5 2 2 3" xfId="25462" xr:uid="{54238CC4-F5C9-4FA7-85A9-244E5BF69FA0}"/>
    <cellStyle name="Normal 5 2 2 2 2 2 2 5 2 3" xfId="12807" xr:uid="{820CCD7D-4EA9-4FD4-9C10-43909933A7CD}"/>
    <cellStyle name="Normal 5 2 2 2 2 2 2 5 2 4" xfId="21245" xr:uid="{7045990E-A43C-421E-BD84-EFA1D22CA48C}"/>
    <cellStyle name="Normal 5 2 2 2 2 2 2 5 3" xfId="6438" xr:uid="{00000000-0005-0000-0000-00000A170000}"/>
    <cellStyle name="Normal 5 2 2 2 2 2 2 5 3 2" xfId="14880" xr:uid="{8A3A1599-ED15-495A-B1DD-5A4483CD60BD}"/>
    <cellStyle name="Normal 5 2 2 2 2 2 2 5 3 3" xfId="23317" xr:uid="{28401438-AF20-4869-9CDF-C2E85C49E5DC}"/>
    <cellStyle name="Normal 5 2 2 2 2 2 2 5 4" xfId="10662" xr:uid="{DAD027DE-43D5-461C-B2E2-7770C3856610}"/>
    <cellStyle name="Normal 5 2 2 2 2 2 2 5 5" xfId="19100" xr:uid="{340629D9-1A1B-4055-BECA-E904244AA3A9}"/>
    <cellStyle name="Normal 5 2 2 2 2 2 2 6" xfId="2567" xr:uid="{00000000-0005-0000-0000-00000B170000}"/>
    <cellStyle name="Normal 5 2 2 2 2 2 2 6 2" xfId="6851" xr:uid="{00000000-0005-0000-0000-00000C170000}"/>
    <cellStyle name="Normal 5 2 2 2 2 2 2 6 2 2" xfId="15293" xr:uid="{268C27BA-1B07-4699-B639-E0DF063B041E}"/>
    <cellStyle name="Normal 5 2 2 2 2 2 2 6 2 3" xfId="23730" xr:uid="{BCB22FFF-FCED-45C8-A40F-BED9D5215E66}"/>
    <cellStyle name="Normal 5 2 2 2 2 2 2 6 3" xfId="11075" xr:uid="{92850805-245D-4D88-9881-B2CDABDDD9CF}"/>
    <cellStyle name="Normal 5 2 2 2 2 2 2 6 4" xfId="19513" xr:uid="{395D8EE0-BDD0-4448-9B81-8C8BD40F6AB4}"/>
    <cellStyle name="Normal 5 2 2 2 2 2 2 7" xfId="4786" xr:uid="{00000000-0005-0000-0000-00000D170000}"/>
    <cellStyle name="Normal 5 2 2 2 2 2 2 7 2" xfId="13228" xr:uid="{87EE7C30-5272-4A52-AB8D-99401D83774C}"/>
    <cellStyle name="Normal 5 2 2 2 2 2 2 7 3" xfId="21665" xr:uid="{CD7D939F-39F4-476F-B4F1-E405B3C52217}"/>
    <cellStyle name="Normal 5 2 2 2 2 2 2 8" xfId="9010" xr:uid="{CD6BFA18-0B48-4C9D-B486-2F4E2C754692}"/>
    <cellStyle name="Normal 5 2 2 2 2 2 2 9" xfId="17448" xr:uid="{799E9F41-36B5-43BF-BF93-C5990196E73E}"/>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759DEE1D-C040-4096-952A-B814703199ED}"/>
    <cellStyle name="Normal 5 2 2 2 2 2 3 2 2 3" xfId="24222" xr:uid="{F08D56E8-55F4-447E-97E9-F45A5871B6D4}"/>
    <cellStyle name="Normal 5 2 2 2 2 2 3 2 3" xfId="11567" xr:uid="{9FBC9CDA-3B10-4911-BAF1-82B6656A974A}"/>
    <cellStyle name="Normal 5 2 2 2 2 2 3 2 4" xfId="20005" xr:uid="{DE80560C-7E08-4665-9128-FA200E008EFB}"/>
    <cellStyle name="Normal 5 2 2 2 2 2 3 3" xfId="5198" xr:uid="{00000000-0005-0000-0000-000011170000}"/>
    <cellStyle name="Normal 5 2 2 2 2 2 3 3 2" xfId="13640" xr:uid="{D6FD14C1-C470-4257-9E35-90908791416E}"/>
    <cellStyle name="Normal 5 2 2 2 2 2 3 3 3" xfId="22077" xr:uid="{53EAC367-F164-46E3-BCFF-2FF0A1009AAB}"/>
    <cellStyle name="Normal 5 2 2 2 2 2 3 4" xfId="9422" xr:uid="{BA449735-7CD0-4342-8960-FBF00F1E3259}"/>
    <cellStyle name="Normal 5 2 2 2 2 2 3 5" xfId="17860" xr:uid="{96F4634D-46EB-40FF-A2B3-3411109A305D}"/>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E1979CEB-EDAB-4DB5-9608-13F25FE2ADC6}"/>
    <cellStyle name="Normal 5 2 2 2 2 2 4 2 2 3" xfId="24635" xr:uid="{9F3B2387-39FE-4CDA-87C8-A3799CC601AC}"/>
    <cellStyle name="Normal 5 2 2 2 2 2 4 2 3" xfId="11980" xr:uid="{860A6D38-BCA5-4AE3-B086-0A8CBA04D2A9}"/>
    <cellStyle name="Normal 5 2 2 2 2 2 4 2 4" xfId="20418" xr:uid="{59BEF5D1-8919-4D5D-9B99-FEEC3322580F}"/>
    <cellStyle name="Normal 5 2 2 2 2 2 4 3" xfId="5611" xr:uid="{00000000-0005-0000-0000-000015170000}"/>
    <cellStyle name="Normal 5 2 2 2 2 2 4 3 2" xfId="14053" xr:uid="{CC39A990-5294-46E8-8E31-B5CFBC78D62E}"/>
    <cellStyle name="Normal 5 2 2 2 2 2 4 3 3" xfId="22490" xr:uid="{EB265AFE-1E93-489A-AC6E-6BF27B1D5A2B}"/>
    <cellStyle name="Normal 5 2 2 2 2 2 4 4" xfId="9835" xr:uid="{658760E1-4AEE-4AA9-85DE-5F73F7B416CB}"/>
    <cellStyle name="Normal 5 2 2 2 2 2 4 5" xfId="18273" xr:uid="{04E610E1-77EC-4993-8E3F-C712E6E952A3}"/>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F0E8A25C-B487-4FE8-9DD6-E7A29C4F33E2}"/>
    <cellStyle name="Normal 5 2 2 2 2 2 5 2 2 3" xfId="25048" xr:uid="{2ED41BD9-A3C6-40EB-95ED-A0DED524CBA8}"/>
    <cellStyle name="Normal 5 2 2 2 2 2 5 2 3" xfId="12393" xr:uid="{57442F69-B485-4AEA-9FE2-D78FED46B93F}"/>
    <cellStyle name="Normal 5 2 2 2 2 2 5 2 4" xfId="20831" xr:uid="{418DB26B-3092-4644-82AA-8C59F9C9C5EC}"/>
    <cellStyle name="Normal 5 2 2 2 2 2 5 3" xfId="6024" xr:uid="{00000000-0005-0000-0000-000019170000}"/>
    <cellStyle name="Normal 5 2 2 2 2 2 5 3 2" xfId="14466" xr:uid="{880E96B8-3697-4E46-AC5C-BAB3A9D9A35A}"/>
    <cellStyle name="Normal 5 2 2 2 2 2 5 3 3" xfId="22903" xr:uid="{1A37D171-C9D3-4E0D-8A25-6B859BA9CBAA}"/>
    <cellStyle name="Normal 5 2 2 2 2 2 5 4" xfId="10248" xr:uid="{78223B47-CBC7-4DCF-9E37-5523EA1097B0}"/>
    <cellStyle name="Normal 5 2 2 2 2 2 5 5" xfId="18686" xr:uid="{199408DC-D1A5-495A-A9B9-F42A094165CD}"/>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BDD67752-0853-4C24-9CEB-ADEB29669952}"/>
    <cellStyle name="Normal 5 2 2 2 2 2 6 2 2 3" xfId="25461" xr:uid="{4695BDF2-94C4-4CD2-BC8E-1D514E8FCE84}"/>
    <cellStyle name="Normal 5 2 2 2 2 2 6 2 3" xfId="12806" xr:uid="{C3E7E1DE-0127-42D7-AB98-A3DAD8AC7DCA}"/>
    <cellStyle name="Normal 5 2 2 2 2 2 6 2 4" xfId="21244" xr:uid="{F7925B1F-A223-42AA-ADE6-9697C329AAAE}"/>
    <cellStyle name="Normal 5 2 2 2 2 2 6 3" xfId="6437" xr:uid="{00000000-0005-0000-0000-00001D170000}"/>
    <cellStyle name="Normal 5 2 2 2 2 2 6 3 2" xfId="14879" xr:uid="{DA646BA4-6E15-4EC1-8E0F-BF9B292E7549}"/>
    <cellStyle name="Normal 5 2 2 2 2 2 6 3 3" xfId="23316" xr:uid="{DDBD7CD1-CF6F-4583-BF82-9513230EFDAF}"/>
    <cellStyle name="Normal 5 2 2 2 2 2 6 4" xfId="10661" xr:uid="{62A501DC-12C9-47E5-B3ED-10615A03BDF9}"/>
    <cellStyle name="Normal 5 2 2 2 2 2 6 5" xfId="19099" xr:uid="{56011907-3022-4FC6-8952-AD04FF73BCBA}"/>
    <cellStyle name="Normal 5 2 2 2 2 2 7" xfId="2566" xr:uid="{00000000-0005-0000-0000-00001E170000}"/>
    <cellStyle name="Normal 5 2 2 2 2 2 7 2" xfId="6850" xr:uid="{00000000-0005-0000-0000-00001F170000}"/>
    <cellStyle name="Normal 5 2 2 2 2 2 7 2 2" xfId="15292" xr:uid="{1534072B-118C-4DC1-875D-C0648011099B}"/>
    <cellStyle name="Normal 5 2 2 2 2 2 7 2 3" xfId="23729" xr:uid="{CB273DBC-17BA-447C-BEF0-BBC4618B4CD0}"/>
    <cellStyle name="Normal 5 2 2 2 2 2 7 3" xfId="11074" xr:uid="{0E7F05C1-24AD-4E58-9525-3DC3EAEAF51D}"/>
    <cellStyle name="Normal 5 2 2 2 2 2 7 4" xfId="19512" xr:uid="{A052BE0C-CF14-41A7-A935-A10437482879}"/>
    <cellStyle name="Normal 5 2 2 2 2 2 8" xfId="4785" xr:uid="{00000000-0005-0000-0000-000020170000}"/>
    <cellStyle name="Normal 5 2 2 2 2 2 8 2" xfId="13227" xr:uid="{41982527-FBE5-4A74-A4AC-1E7C80E3CBED}"/>
    <cellStyle name="Normal 5 2 2 2 2 2 8 3" xfId="21664" xr:uid="{7A0F093C-587F-4136-9993-AAF71F177802}"/>
    <cellStyle name="Normal 5 2 2 2 2 2 9" xfId="9009" xr:uid="{73F802A3-6AE1-4DDE-99EE-B51938AFCDFA}"/>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A4EA1B87-F078-4826-B2EF-4B338F394146}"/>
    <cellStyle name="Normal 5 2 2 2 2 3 2 2 2 3" xfId="24224" xr:uid="{A63CDEFE-478A-423E-86C1-12EB9CD37C99}"/>
    <cellStyle name="Normal 5 2 2 2 2 3 2 2 3" xfId="11569" xr:uid="{DF3ED77F-1162-4B08-BA1A-CF3D061F0AA4}"/>
    <cellStyle name="Normal 5 2 2 2 2 3 2 2 4" xfId="20007" xr:uid="{B1A89EF3-1E60-4023-B510-105DC452FD9A}"/>
    <cellStyle name="Normal 5 2 2 2 2 3 2 3" xfId="5200" xr:uid="{00000000-0005-0000-0000-000025170000}"/>
    <cellStyle name="Normal 5 2 2 2 2 3 2 3 2" xfId="13642" xr:uid="{86C7F7E4-E969-4F0A-B488-D3432B5F2F34}"/>
    <cellStyle name="Normal 5 2 2 2 2 3 2 3 3" xfId="22079" xr:uid="{70551338-1B69-49DC-80CA-56B72BB2FF6E}"/>
    <cellStyle name="Normal 5 2 2 2 2 3 2 4" xfId="9424" xr:uid="{FAEBE689-3194-457B-9B64-BDEFE35C3BF1}"/>
    <cellStyle name="Normal 5 2 2 2 2 3 2 5" xfId="17862" xr:uid="{43D8260C-89F2-4534-BE3D-7B5209EEAAB5}"/>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516A9ABE-D323-4394-963A-BD4E3AD0530A}"/>
    <cellStyle name="Normal 5 2 2 2 2 3 3 2 2 3" xfId="24637" xr:uid="{B8D1C758-DAAB-4DC0-91E8-E8A64A604CEF}"/>
    <cellStyle name="Normal 5 2 2 2 2 3 3 2 3" xfId="11982" xr:uid="{72C8F80D-849E-4CA8-929E-8D84F8DC00C8}"/>
    <cellStyle name="Normal 5 2 2 2 2 3 3 2 4" xfId="20420" xr:uid="{25F9531B-8EB3-4DBE-9524-7B734F8FE226}"/>
    <cellStyle name="Normal 5 2 2 2 2 3 3 3" xfId="5613" xr:uid="{00000000-0005-0000-0000-000029170000}"/>
    <cellStyle name="Normal 5 2 2 2 2 3 3 3 2" xfId="14055" xr:uid="{25E87C13-8B8E-41E8-81DD-DF9F30826062}"/>
    <cellStyle name="Normal 5 2 2 2 2 3 3 3 3" xfId="22492" xr:uid="{1827BB22-336A-440D-B654-2D45E140DD7E}"/>
    <cellStyle name="Normal 5 2 2 2 2 3 3 4" xfId="9837" xr:uid="{102E998A-F2C3-4E7A-BCD9-1BF5321D56B0}"/>
    <cellStyle name="Normal 5 2 2 2 2 3 3 5" xfId="18275" xr:uid="{DEA1C536-115F-4DC1-A0CD-DD8D829B5FE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97861629-F70D-4AED-8406-553EF1FEA758}"/>
    <cellStyle name="Normal 5 2 2 2 2 3 4 2 2 3" xfId="25050" xr:uid="{022898B3-2B57-4C3B-BF03-4466C52102D2}"/>
    <cellStyle name="Normal 5 2 2 2 2 3 4 2 3" xfId="12395" xr:uid="{C759E1E5-02A7-4F78-8220-45283BADA257}"/>
    <cellStyle name="Normal 5 2 2 2 2 3 4 2 4" xfId="20833" xr:uid="{9B77B406-F8EC-481F-B2B1-6B90703E9FCD}"/>
    <cellStyle name="Normal 5 2 2 2 2 3 4 3" xfId="6026" xr:uid="{00000000-0005-0000-0000-00002D170000}"/>
    <cellStyle name="Normal 5 2 2 2 2 3 4 3 2" xfId="14468" xr:uid="{06C911C5-BC78-4025-B71F-2EE4966190B3}"/>
    <cellStyle name="Normal 5 2 2 2 2 3 4 3 3" xfId="22905" xr:uid="{D99633C0-3478-42DC-9E9E-222D8AEE1CB8}"/>
    <cellStyle name="Normal 5 2 2 2 2 3 4 4" xfId="10250" xr:uid="{637ABEDD-A854-4866-8974-87C511798BBB}"/>
    <cellStyle name="Normal 5 2 2 2 2 3 4 5" xfId="18688" xr:uid="{30509E93-5272-4EEF-A41F-43DDF4F96692}"/>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87A63855-7D78-4722-9720-C9DAA3E563AB}"/>
    <cellStyle name="Normal 5 2 2 2 2 3 5 2 2 3" xfId="25463" xr:uid="{4A8BBFF4-A052-4766-AD66-DF5762EBB2BE}"/>
    <cellStyle name="Normal 5 2 2 2 2 3 5 2 3" xfId="12808" xr:uid="{C3ECE56F-8BF9-407C-9E8D-5358A8E2A2FA}"/>
    <cellStyle name="Normal 5 2 2 2 2 3 5 2 4" xfId="21246" xr:uid="{0A7D152B-31B6-4369-9A7A-B0877436CFF7}"/>
    <cellStyle name="Normal 5 2 2 2 2 3 5 3" xfId="6439" xr:uid="{00000000-0005-0000-0000-000031170000}"/>
    <cellStyle name="Normal 5 2 2 2 2 3 5 3 2" xfId="14881" xr:uid="{5F33A594-C018-4136-A64A-5857404B6FF3}"/>
    <cellStyle name="Normal 5 2 2 2 2 3 5 3 3" xfId="23318" xr:uid="{F23589CB-F860-4774-BBBB-C2BB52041EF1}"/>
    <cellStyle name="Normal 5 2 2 2 2 3 5 4" xfId="10663" xr:uid="{A80786A3-9A55-4D5C-B24A-89AE0BA8E768}"/>
    <cellStyle name="Normal 5 2 2 2 2 3 5 5" xfId="19101" xr:uid="{1B8010F6-E0A6-4E16-A60A-C69F0EF0CB3B}"/>
    <cellStyle name="Normal 5 2 2 2 2 3 6" xfId="2568" xr:uid="{00000000-0005-0000-0000-000032170000}"/>
    <cellStyle name="Normal 5 2 2 2 2 3 6 2" xfId="6852" xr:uid="{00000000-0005-0000-0000-000033170000}"/>
    <cellStyle name="Normal 5 2 2 2 2 3 6 2 2" xfId="15294" xr:uid="{DDC8FD92-374E-4CC1-A2D1-68DF96B29029}"/>
    <cellStyle name="Normal 5 2 2 2 2 3 6 2 3" xfId="23731" xr:uid="{F4A03781-4243-419C-947E-B3DD3E4BA60B}"/>
    <cellStyle name="Normal 5 2 2 2 2 3 6 3" xfId="11076" xr:uid="{CE148FE1-CECA-47EF-A165-AC3316F6942B}"/>
    <cellStyle name="Normal 5 2 2 2 2 3 6 4" xfId="19514" xr:uid="{258E184D-F119-49E4-B1D4-5C8091872DD7}"/>
    <cellStyle name="Normal 5 2 2 2 2 3 7" xfId="4787" xr:uid="{00000000-0005-0000-0000-000034170000}"/>
    <cellStyle name="Normal 5 2 2 2 2 3 7 2" xfId="13229" xr:uid="{A3E6D37F-131A-46EB-935F-FD9B1D9D629F}"/>
    <cellStyle name="Normal 5 2 2 2 2 3 7 3" xfId="21666" xr:uid="{1418785E-E71E-4549-8E1F-1BCA04E2104A}"/>
    <cellStyle name="Normal 5 2 2 2 2 3 8" xfId="9011" xr:uid="{3EA6B966-1486-4734-B277-0DA84861262E}"/>
    <cellStyle name="Normal 5 2 2 2 2 3 9" xfId="17449" xr:uid="{2ECB74A0-2F24-474C-9400-BFE73AC230F7}"/>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BE15EFD2-52F3-42AE-B508-68B47BD44878}"/>
    <cellStyle name="Normal 5 2 2 2 2 4 2 2 3" xfId="24221" xr:uid="{0B9445D2-BAE2-47D7-81D7-22737E684BA7}"/>
    <cellStyle name="Normal 5 2 2 2 2 4 2 3" xfId="11566" xr:uid="{7F16E44A-4603-43F1-B771-7509EEBE7771}"/>
    <cellStyle name="Normal 5 2 2 2 2 4 2 4" xfId="20004" xr:uid="{0FDB4352-A8F1-4A46-B092-8C9B34F34A27}"/>
    <cellStyle name="Normal 5 2 2 2 2 4 3" xfId="5197" xr:uid="{00000000-0005-0000-0000-000038170000}"/>
    <cellStyle name="Normal 5 2 2 2 2 4 3 2" xfId="13639" xr:uid="{5C30BC42-2DC9-4756-B497-7DE159E6D530}"/>
    <cellStyle name="Normal 5 2 2 2 2 4 3 3" xfId="22076" xr:uid="{8ED2C50E-D224-4E9A-9527-96B70356EEF1}"/>
    <cellStyle name="Normal 5 2 2 2 2 4 4" xfId="9421" xr:uid="{96566816-EAD8-4462-B6C4-8D4E363AB64D}"/>
    <cellStyle name="Normal 5 2 2 2 2 4 5" xfId="17859" xr:uid="{E90EE677-C398-4BCF-B7F5-C77520C2C864}"/>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6E03558A-0D1C-4C02-AFB6-344A66EABE19}"/>
    <cellStyle name="Normal 5 2 2 2 2 5 2 2 3" xfId="24634" xr:uid="{C67662FB-B664-4B34-991E-3E387B0DEAAD}"/>
    <cellStyle name="Normal 5 2 2 2 2 5 2 3" xfId="11979" xr:uid="{CDD83462-22BA-4493-99C5-1F2D9397FA8E}"/>
    <cellStyle name="Normal 5 2 2 2 2 5 2 4" xfId="20417" xr:uid="{37BC9315-51D6-410F-AF65-62BA8409BBED}"/>
    <cellStyle name="Normal 5 2 2 2 2 5 3" xfId="5610" xr:uid="{00000000-0005-0000-0000-00003C170000}"/>
    <cellStyle name="Normal 5 2 2 2 2 5 3 2" xfId="14052" xr:uid="{876D59A1-8FB6-410E-88B3-10AA43D464D0}"/>
    <cellStyle name="Normal 5 2 2 2 2 5 3 3" xfId="22489" xr:uid="{064CE80B-FF0F-467C-816D-AB81ED42FA72}"/>
    <cellStyle name="Normal 5 2 2 2 2 5 4" xfId="9834" xr:uid="{007AF73D-E34C-4DDE-B4B3-B636598EF6E4}"/>
    <cellStyle name="Normal 5 2 2 2 2 5 5" xfId="18272" xr:uid="{881BDC15-539A-4D5D-B40F-A1115306B15F}"/>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3AEE7ECC-6317-4F5F-9334-94183521AD55}"/>
    <cellStyle name="Normal 5 2 2 2 2 6 2 2 3" xfId="25047" xr:uid="{06B638F7-9346-4AD8-90C4-F6B4635F2887}"/>
    <cellStyle name="Normal 5 2 2 2 2 6 2 3" xfId="12392" xr:uid="{5839C1FD-26E1-4436-A999-0A90949BF85B}"/>
    <cellStyle name="Normal 5 2 2 2 2 6 2 4" xfId="20830" xr:uid="{A0DB2C85-4E21-42BF-94A7-E3E367F58E89}"/>
    <cellStyle name="Normal 5 2 2 2 2 6 3" xfId="6023" xr:uid="{00000000-0005-0000-0000-000040170000}"/>
    <cellStyle name="Normal 5 2 2 2 2 6 3 2" xfId="14465" xr:uid="{7A8B3E13-E8DB-41E5-B4D6-D502DE20537A}"/>
    <cellStyle name="Normal 5 2 2 2 2 6 3 3" xfId="22902" xr:uid="{4B62257D-8C91-4B5C-9423-CEF9B3348614}"/>
    <cellStyle name="Normal 5 2 2 2 2 6 4" xfId="10247" xr:uid="{3B3A5F73-FBBA-4935-A8ED-8EE1B381F407}"/>
    <cellStyle name="Normal 5 2 2 2 2 6 5" xfId="18685" xr:uid="{43E91F75-49AC-45F9-977B-857900AA7A8B}"/>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7EF3DFC3-0874-44B1-9A81-FE6FC70DA012}"/>
    <cellStyle name="Normal 5 2 2 2 2 7 2 2 3" xfId="25460" xr:uid="{1056C2D4-23BD-4C62-B740-D5DEF35D0EB9}"/>
    <cellStyle name="Normal 5 2 2 2 2 7 2 3" xfId="12805" xr:uid="{B6E9D07C-F25B-4928-950C-6FCEFA09FE46}"/>
    <cellStyle name="Normal 5 2 2 2 2 7 2 4" xfId="21243" xr:uid="{F2743F11-7FBC-400A-A8D3-59EB1E3B6778}"/>
    <cellStyle name="Normal 5 2 2 2 2 7 3" xfId="6436" xr:uid="{00000000-0005-0000-0000-000044170000}"/>
    <cellStyle name="Normal 5 2 2 2 2 7 3 2" xfId="14878" xr:uid="{5F459BF8-9363-44F5-A6DA-EFD4F7CC74DD}"/>
    <cellStyle name="Normal 5 2 2 2 2 7 3 3" xfId="23315" xr:uid="{7A51C97A-A09E-49C4-880A-FBB0A6B6D1B7}"/>
    <cellStyle name="Normal 5 2 2 2 2 7 4" xfId="10660" xr:uid="{CC1FA8DC-9F4E-4969-BFE7-8CC64FBC0D52}"/>
    <cellStyle name="Normal 5 2 2 2 2 7 5" xfId="19098" xr:uid="{C7EFAF3F-CA88-4052-89B9-DE5A4F47B05F}"/>
    <cellStyle name="Normal 5 2 2 2 2 8" xfId="2565" xr:uid="{00000000-0005-0000-0000-000045170000}"/>
    <cellStyle name="Normal 5 2 2 2 2 8 2" xfId="6849" xr:uid="{00000000-0005-0000-0000-000046170000}"/>
    <cellStyle name="Normal 5 2 2 2 2 8 2 2" xfId="15291" xr:uid="{A15AACC7-EAEA-485A-813A-DC0E64382062}"/>
    <cellStyle name="Normal 5 2 2 2 2 8 2 3" xfId="23728" xr:uid="{0FCB9092-25C0-4AFD-A140-AF59D092CFDA}"/>
    <cellStyle name="Normal 5 2 2 2 2 8 3" xfId="11073" xr:uid="{01C8103A-3270-4AB1-950B-B55F6B790E18}"/>
    <cellStyle name="Normal 5 2 2 2 2 8 4" xfId="19511" xr:uid="{7FF3B351-1649-4A54-BEAF-95AD4E7343F1}"/>
    <cellStyle name="Normal 5 2 2 2 2 9" xfId="4784" xr:uid="{00000000-0005-0000-0000-000047170000}"/>
    <cellStyle name="Normal 5 2 2 2 2 9 2" xfId="13226" xr:uid="{9C20F0CC-3D99-460A-8F02-CE2F5A8C2B24}"/>
    <cellStyle name="Normal 5 2 2 2 2 9 3" xfId="21663" xr:uid="{31033E80-63FA-4009-8086-176476C2FDA0}"/>
    <cellStyle name="Normal 5 2 2 2 3" xfId="414" xr:uid="{00000000-0005-0000-0000-000048170000}"/>
    <cellStyle name="Normal 5 2 2 2 3 10" xfId="17450" xr:uid="{DC82EEEB-9AD1-4080-B157-FB5D6B895B18}"/>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C9354DD4-B9C7-4EE6-BC08-3D5B910844D7}"/>
    <cellStyle name="Normal 5 2 2 2 3 2 2 2 2 3" xfId="24226" xr:uid="{553A9F6A-07B3-4DD7-9C0B-8B703CEAB97F}"/>
    <cellStyle name="Normal 5 2 2 2 3 2 2 2 3" xfId="11571" xr:uid="{34F88E72-D161-400B-9A0F-4AF05940548D}"/>
    <cellStyle name="Normal 5 2 2 2 3 2 2 2 4" xfId="20009" xr:uid="{4D7EDE9C-DA4E-4FF1-B24F-22E734BDCDAA}"/>
    <cellStyle name="Normal 5 2 2 2 3 2 2 3" xfId="5202" xr:uid="{00000000-0005-0000-0000-00004D170000}"/>
    <cellStyle name="Normal 5 2 2 2 3 2 2 3 2" xfId="13644" xr:uid="{62631F94-C047-4D19-8E7B-A58B924903E3}"/>
    <cellStyle name="Normal 5 2 2 2 3 2 2 3 3" xfId="22081" xr:uid="{30CF8593-B1A1-408A-AF42-6A0F90AC376E}"/>
    <cellStyle name="Normal 5 2 2 2 3 2 2 4" xfId="9426" xr:uid="{F66AF082-6FFD-4D10-A1BB-D0F76F92459E}"/>
    <cellStyle name="Normal 5 2 2 2 3 2 2 5" xfId="17864" xr:uid="{1C321620-99F4-456E-A599-EEF6F6976759}"/>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5E5A373C-051F-4200-9B3B-33216110F66C}"/>
    <cellStyle name="Normal 5 2 2 2 3 2 3 2 2 3" xfId="24639" xr:uid="{D66D812A-3578-4A18-9D0C-A63799BFC5EA}"/>
    <cellStyle name="Normal 5 2 2 2 3 2 3 2 3" xfId="11984" xr:uid="{B6A4B1E8-E809-4F7E-8AB9-AFE70323C874}"/>
    <cellStyle name="Normal 5 2 2 2 3 2 3 2 4" xfId="20422" xr:uid="{2D0D188F-99CC-4067-846D-BB5FE7EA5C9C}"/>
    <cellStyle name="Normal 5 2 2 2 3 2 3 3" xfId="5615" xr:uid="{00000000-0005-0000-0000-000051170000}"/>
    <cellStyle name="Normal 5 2 2 2 3 2 3 3 2" xfId="14057" xr:uid="{DF92568B-E53C-4ACF-84F6-56D3627246D2}"/>
    <cellStyle name="Normal 5 2 2 2 3 2 3 3 3" xfId="22494" xr:uid="{296D1E49-5CE7-4E90-BA1C-B6F03D9573AC}"/>
    <cellStyle name="Normal 5 2 2 2 3 2 3 4" xfId="9839" xr:uid="{3735BD0D-F957-4A9A-A9F1-9858AEB07034}"/>
    <cellStyle name="Normal 5 2 2 2 3 2 3 5" xfId="18277" xr:uid="{41421E49-0288-4F47-B02D-4ADD6ACCECEF}"/>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DC9BA135-1559-4AED-9788-B841B7BC525B}"/>
    <cellStyle name="Normal 5 2 2 2 3 2 4 2 2 3" xfId="25052" xr:uid="{BDFE06F3-A205-4A1B-A65A-BFBBE7B939E6}"/>
    <cellStyle name="Normal 5 2 2 2 3 2 4 2 3" xfId="12397" xr:uid="{5877F1F5-35AF-4932-932B-4258BB7EFFD6}"/>
    <cellStyle name="Normal 5 2 2 2 3 2 4 2 4" xfId="20835" xr:uid="{EE2D3A8A-3BF6-45E7-89A9-36C784D2E601}"/>
    <cellStyle name="Normal 5 2 2 2 3 2 4 3" xfId="6028" xr:uid="{00000000-0005-0000-0000-000055170000}"/>
    <cellStyle name="Normal 5 2 2 2 3 2 4 3 2" xfId="14470" xr:uid="{03DF8C88-6A12-4201-86A1-5D26FAB895F7}"/>
    <cellStyle name="Normal 5 2 2 2 3 2 4 3 3" xfId="22907" xr:uid="{D60E2B13-85D9-436E-B01D-1F3CA44DCC65}"/>
    <cellStyle name="Normal 5 2 2 2 3 2 4 4" xfId="10252" xr:uid="{1A263DA1-8EC2-4BDB-B44C-A2BB06127666}"/>
    <cellStyle name="Normal 5 2 2 2 3 2 4 5" xfId="18690" xr:uid="{7C222B3E-7813-41DA-B957-1F06EC63F1D6}"/>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130FBA9E-9A76-4349-BAC9-3DD80AA4396A}"/>
    <cellStyle name="Normal 5 2 2 2 3 2 5 2 2 3" xfId="25465" xr:uid="{C89CC3EB-819E-4CF2-91D3-3D489C6E0D46}"/>
    <cellStyle name="Normal 5 2 2 2 3 2 5 2 3" xfId="12810" xr:uid="{DF5F6676-EE23-4A32-A428-A03FED937455}"/>
    <cellStyle name="Normal 5 2 2 2 3 2 5 2 4" xfId="21248" xr:uid="{2F0F809A-4C9B-4013-9EF4-FA92674181B9}"/>
    <cellStyle name="Normal 5 2 2 2 3 2 5 3" xfId="6441" xr:uid="{00000000-0005-0000-0000-000059170000}"/>
    <cellStyle name="Normal 5 2 2 2 3 2 5 3 2" xfId="14883" xr:uid="{C0811BE2-E879-454B-AA6C-F1BE12E497FF}"/>
    <cellStyle name="Normal 5 2 2 2 3 2 5 3 3" xfId="23320" xr:uid="{1854C59A-9755-4223-BD8B-607763AB6051}"/>
    <cellStyle name="Normal 5 2 2 2 3 2 5 4" xfId="10665" xr:uid="{8E97AFEF-B268-4BFB-B9CF-67CA6526EA0D}"/>
    <cellStyle name="Normal 5 2 2 2 3 2 5 5" xfId="19103" xr:uid="{8BE72ACE-73A2-4078-8542-F16592050195}"/>
    <cellStyle name="Normal 5 2 2 2 3 2 6" xfId="2570" xr:uid="{00000000-0005-0000-0000-00005A170000}"/>
    <cellStyle name="Normal 5 2 2 2 3 2 6 2" xfId="6854" xr:uid="{00000000-0005-0000-0000-00005B170000}"/>
    <cellStyle name="Normal 5 2 2 2 3 2 6 2 2" xfId="15296" xr:uid="{0D5F348F-0273-4BF8-83E5-662F97EEAA35}"/>
    <cellStyle name="Normal 5 2 2 2 3 2 6 2 3" xfId="23733" xr:uid="{AA7FF6ED-6CEF-434C-8A65-0F149F5C6C7D}"/>
    <cellStyle name="Normal 5 2 2 2 3 2 6 3" xfId="11078" xr:uid="{A229DC1B-0FAA-46EE-AE5C-74B2A1910FAD}"/>
    <cellStyle name="Normal 5 2 2 2 3 2 6 4" xfId="19516" xr:uid="{42B4D1EA-26CE-46C3-80E9-CF4165FAB458}"/>
    <cellStyle name="Normal 5 2 2 2 3 2 7" xfId="4789" xr:uid="{00000000-0005-0000-0000-00005C170000}"/>
    <cellStyle name="Normal 5 2 2 2 3 2 7 2" xfId="13231" xr:uid="{8EE9B8C9-4F67-440D-81B5-F6382C348D56}"/>
    <cellStyle name="Normal 5 2 2 2 3 2 7 3" xfId="21668" xr:uid="{97BFC17C-7BAC-4247-A7EF-8A5CCE761C74}"/>
    <cellStyle name="Normal 5 2 2 2 3 2 8" xfId="9013" xr:uid="{1CEE56BB-0F5C-4885-9222-54C063EB7797}"/>
    <cellStyle name="Normal 5 2 2 2 3 2 9" xfId="17451" xr:uid="{A7B8F490-FF50-46FB-89BD-47C786877A18}"/>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8A6BABA4-DB90-4090-ACA4-CDFC15DA799D}"/>
    <cellStyle name="Normal 5 2 2 2 3 3 2 2 3" xfId="24225" xr:uid="{71BDC3E7-879C-4E13-B5B9-F45C231233C9}"/>
    <cellStyle name="Normal 5 2 2 2 3 3 2 3" xfId="11570" xr:uid="{4593E011-D106-45E8-80DC-DCDF75BA15B8}"/>
    <cellStyle name="Normal 5 2 2 2 3 3 2 4" xfId="20008" xr:uid="{EC499C2E-381C-46DB-8133-C275B7A49EFA}"/>
    <cellStyle name="Normal 5 2 2 2 3 3 3" xfId="5201" xr:uid="{00000000-0005-0000-0000-000060170000}"/>
    <cellStyle name="Normal 5 2 2 2 3 3 3 2" xfId="13643" xr:uid="{62F85165-A680-4A0E-B4BE-2A418EF178DA}"/>
    <cellStyle name="Normal 5 2 2 2 3 3 3 3" xfId="22080" xr:uid="{B5CFFE72-EA7D-4065-831A-0DCD91677662}"/>
    <cellStyle name="Normal 5 2 2 2 3 3 4" xfId="9425" xr:uid="{01847439-3208-462E-88ED-DFE2333B4C13}"/>
    <cellStyle name="Normal 5 2 2 2 3 3 5" xfId="17863" xr:uid="{5A1A60A5-14C3-4538-B36A-BE21B964A141}"/>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D6DEC805-3083-4C02-81EF-D92CFDF95DF4}"/>
    <cellStyle name="Normal 5 2 2 2 3 4 2 2 3" xfId="24638" xr:uid="{68298D74-876F-4C6A-A8F5-700B168947F3}"/>
    <cellStyle name="Normal 5 2 2 2 3 4 2 3" xfId="11983" xr:uid="{164848EF-C723-4EB4-9407-FA677DE2A5FC}"/>
    <cellStyle name="Normal 5 2 2 2 3 4 2 4" xfId="20421" xr:uid="{F8CAA3DA-93AB-4F90-84BE-9366994176A4}"/>
    <cellStyle name="Normal 5 2 2 2 3 4 3" xfId="5614" xr:uid="{00000000-0005-0000-0000-000064170000}"/>
    <cellStyle name="Normal 5 2 2 2 3 4 3 2" xfId="14056" xr:uid="{74F811A3-5CBA-4B30-8487-1EE52863C5A1}"/>
    <cellStyle name="Normal 5 2 2 2 3 4 3 3" xfId="22493" xr:uid="{B3AB4631-4BDE-4FCC-A7D1-55C8400552DB}"/>
    <cellStyle name="Normal 5 2 2 2 3 4 4" xfId="9838" xr:uid="{8D510042-1AFE-47E7-9B1D-8EDDDE641335}"/>
    <cellStyle name="Normal 5 2 2 2 3 4 5" xfId="18276" xr:uid="{7DBD65F7-B84C-4F3A-B415-49649A24660B}"/>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BAABC8A5-4085-47FB-8A50-E99D5E40A509}"/>
    <cellStyle name="Normal 5 2 2 2 3 5 2 2 3" xfId="25051" xr:uid="{4424ACFC-915A-4342-B846-36516D6672A4}"/>
    <cellStyle name="Normal 5 2 2 2 3 5 2 3" xfId="12396" xr:uid="{3B97137D-E72E-46D3-836A-8F46D1029338}"/>
    <cellStyle name="Normal 5 2 2 2 3 5 2 4" xfId="20834" xr:uid="{53329D62-8094-49F7-ACFC-830883D8203E}"/>
    <cellStyle name="Normal 5 2 2 2 3 5 3" xfId="6027" xr:uid="{00000000-0005-0000-0000-000068170000}"/>
    <cellStyle name="Normal 5 2 2 2 3 5 3 2" xfId="14469" xr:uid="{7FC70ED6-A420-44A3-91A1-74698037147B}"/>
    <cellStyle name="Normal 5 2 2 2 3 5 3 3" xfId="22906" xr:uid="{8B8DD9DC-DD87-4C8E-BB3C-411C47870114}"/>
    <cellStyle name="Normal 5 2 2 2 3 5 4" xfId="10251" xr:uid="{E1DDD26A-938D-4975-B678-5A34413CE24C}"/>
    <cellStyle name="Normal 5 2 2 2 3 5 5" xfId="18689" xr:uid="{031DB8F1-D3A7-4999-8F95-C663DAEF609F}"/>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CF7909DF-2FCA-459E-AA9F-632962BF771E}"/>
    <cellStyle name="Normal 5 2 2 2 3 6 2 2 3" xfId="25464" xr:uid="{6F113460-3F79-496B-8B9D-B73C3658B466}"/>
    <cellStyle name="Normal 5 2 2 2 3 6 2 3" xfId="12809" xr:uid="{AFCCDA5A-F8A6-4866-BBA3-E6D7A8D689A0}"/>
    <cellStyle name="Normal 5 2 2 2 3 6 2 4" xfId="21247" xr:uid="{61FC6236-2E8F-494D-A7D5-4FCF73652E36}"/>
    <cellStyle name="Normal 5 2 2 2 3 6 3" xfId="6440" xr:uid="{00000000-0005-0000-0000-00006C170000}"/>
    <cellStyle name="Normal 5 2 2 2 3 6 3 2" xfId="14882" xr:uid="{0213E57F-7195-441D-A142-F73F6C605FF8}"/>
    <cellStyle name="Normal 5 2 2 2 3 6 3 3" xfId="23319" xr:uid="{5D7A8D62-D121-4D6E-9F03-5659215AC8EC}"/>
    <cellStyle name="Normal 5 2 2 2 3 6 4" xfId="10664" xr:uid="{B459ACD9-F44D-4E95-BDBB-E3F17ACCF4E8}"/>
    <cellStyle name="Normal 5 2 2 2 3 6 5" xfId="19102" xr:uid="{898809E6-3BCE-490A-82B3-2B5837AF5066}"/>
    <cellStyle name="Normal 5 2 2 2 3 7" xfId="2569" xr:uid="{00000000-0005-0000-0000-00006D170000}"/>
    <cellStyle name="Normal 5 2 2 2 3 7 2" xfId="6853" xr:uid="{00000000-0005-0000-0000-00006E170000}"/>
    <cellStyle name="Normal 5 2 2 2 3 7 2 2" xfId="15295" xr:uid="{9E09C939-AF64-40B4-8DC7-6112B497EA7A}"/>
    <cellStyle name="Normal 5 2 2 2 3 7 2 3" xfId="23732" xr:uid="{D7910E1F-5A98-4787-959A-131CD4D65166}"/>
    <cellStyle name="Normal 5 2 2 2 3 7 3" xfId="11077" xr:uid="{6293A230-F32B-49D5-90C6-75876814F74A}"/>
    <cellStyle name="Normal 5 2 2 2 3 7 4" xfId="19515" xr:uid="{3E6FE0D9-8A72-4EB8-9004-5C6A7D1202C5}"/>
    <cellStyle name="Normal 5 2 2 2 3 8" xfId="4788" xr:uid="{00000000-0005-0000-0000-00006F170000}"/>
    <cellStyle name="Normal 5 2 2 2 3 8 2" xfId="13230" xr:uid="{F7979904-A0C1-4CD9-8360-521761894675}"/>
    <cellStyle name="Normal 5 2 2 2 3 8 3" xfId="21667" xr:uid="{68C639A4-F2A9-4ECE-A4F8-2018B7C99DAB}"/>
    <cellStyle name="Normal 5 2 2 2 3 9" xfId="9012" xr:uid="{4D7F58B5-CBEA-49ED-A25B-15A2B2CC11B9}"/>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441B7DB0-5DCF-4A9B-A17F-D5A4173631CC}"/>
    <cellStyle name="Normal 5 2 2 2 4 2 2 2 3" xfId="24227" xr:uid="{21C4C526-21D9-45E0-8F2B-5520E21BCDD5}"/>
    <cellStyle name="Normal 5 2 2 2 4 2 2 3" xfId="11572" xr:uid="{C5A9C141-4A0B-4B39-9B5B-189573371963}"/>
    <cellStyle name="Normal 5 2 2 2 4 2 2 4" xfId="20010" xr:uid="{88FE0514-5915-4D98-AE1A-5CE65274F36C}"/>
    <cellStyle name="Normal 5 2 2 2 4 2 3" xfId="5203" xr:uid="{00000000-0005-0000-0000-000074170000}"/>
    <cellStyle name="Normal 5 2 2 2 4 2 3 2" xfId="13645" xr:uid="{4B39C9C8-61D1-4300-B9D8-E51A56ABB3D8}"/>
    <cellStyle name="Normal 5 2 2 2 4 2 3 3" xfId="22082" xr:uid="{85F7112F-4087-47B1-AFA6-7BD0DE109BDA}"/>
    <cellStyle name="Normal 5 2 2 2 4 2 4" xfId="9427" xr:uid="{AB1EEBCF-FDB9-4799-9A67-5B831009BAAA}"/>
    <cellStyle name="Normal 5 2 2 2 4 2 5" xfId="17865" xr:uid="{A36D89D5-2D89-486F-B087-AB6CBA59837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C4FD1E32-5922-45B9-B9A8-488E8E0B0569}"/>
    <cellStyle name="Normal 5 2 2 2 4 3 2 2 3" xfId="24640" xr:uid="{598987A5-1389-409F-B00C-573F6DABE965}"/>
    <cellStyle name="Normal 5 2 2 2 4 3 2 3" xfId="11985" xr:uid="{6DC9EF6A-F215-4D91-BB7C-F62BD9D28A99}"/>
    <cellStyle name="Normal 5 2 2 2 4 3 2 4" xfId="20423" xr:uid="{C7850CEF-5643-411A-A774-E6B953548317}"/>
    <cellStyle name="Normal 5 2 2 2 4 3 3" xfId="5616" xr:uid="{00000000-0005-0000-0000-000078170000}"/>
    <cellStyle name="Normal 5 2 2 2 4 3 3 2" xfId="14058" xr:uid="{019FB845-1DB8-48DA-84EF-49FCBA8D8030}"/>
    <cellStyle name="Normal 5 2 2 2 4 3 3 3" xfId="22495" xr:uid="{24E49EBC-1C3D-4023-B634-E674A364D344}"/>
    <cellStyle name="Normal 5 2 2 2 4 3 4" xfId="9840" xr:uid="{D359DCA7-F31F-4CBD-933D-E9999D09147D}"/>
    <cellStyle name="Normal 5 2 2 2 4 3 5" xfId="18278" xr:uid="{9DBA2CBB-BD9F-4899-BA12-918DD5A294FB}"/>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4DBA739A-C650-4EBA-8C51-5F68E067C423}"/>
    <cellStyle name="Normal 5 2 2 2 4 4 2 2 3" xfId="25053" xr:uid="{9AD561B9-92EC-4513-92DD-7C4014A1D7BF}"/>
    <cellStyle name="Normal 5 2 2 2 4 4 2 3" xfId="12398" xr:uid="{B763F572-90D2-4489-A115-720AF8BB06F2}"/>
    <cellStyle name="Normal 5 2 2 2 4 4 2 4" xfId="20836" xr:uid="{B7B0F7F7-0703-4858-9EF9-2429A4A0A86A}"/>
    <cellStyle name="Normal 5 2 2 2 4 4 3" xfId="6029" xr:uid="{00000000-0005-0000-0000-00007C170000}"/>
    <cellStyle name="Normal 5 2 2 2 4 4 3 2" xfId="14471" xr:uid="{7789DC3B-BD13-4819-BA47-73BB8D5820C0}"/>
    <cellStyle name="Normal 5 2 2 2 4 4 3 3" xfId="22908" xr:uid="{A4B2E61E-2303-45B1-B08E-994C7649310C}"/>
    <cellStyle name="Normal 5 2 2 2 4 4 4" xfId="10253" xr:uid="{CFBBE17B-11D2-47D3-B8B4-95C81C0E9869}"/>
    <cellStyle name="Normal 5 2 2 2 4 4 5" xfId="18691" xr:uid="{BEC9F247-E5AE-49BD-9A4B-B8ECC110D695}"/>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9799540A-1EB2-4BDD-B22F-530EB57908ED}"/>
    <cellStyle name="Normal 5 2 2 2 4 5 2 2 3" xfId="25466" xr:uid="{006E290B-A36A-4BBB-901E-D76CBE254CEA}"/>
    <cellStyle name="Normal 5 2 2 2 4 5 2 3" xfId="12811" xr:uid="{C296A0A4-8DFF-42E3-B800-C8585694AC10}"/>
    <cellStyle name="Normal 5 2 2 2 4 5 2 4" xfId="21249" xr:uid="{F89F9E9D-A159-4E9E-839D-CD0233B61BB8}"/>
    <cellStyle name="Normal 5 2 2 2 4 5 3" xfId="6442" xr:uid="{00000000-0005-0000-0000-000080170000}"/>
    <cellStyle name="Normal 5 2 2 2 4 5 3 2" xfId="14884" xr:uid="{62231679-4703-4926-836A-BDA4BF95F442}"/>
    <cellStyle name="Normal 5 2 2 2 4 5 3 3" xfId="23321" xr:uid="{01CED935-0306-456A-85E5-2A2A02F27685}"/>
    <cellStyle name="Normal 5 2 2 2 4 5 4" xfId="10666" xr:uid="{2C72C56E-D816-4E8B-BF9C-B8820D6A28E1}"/>
    <cellStyle name="Normal 5 2 2 2 4 5 5" xfId="19104" xr:uid="{80DBBF47-9930-490B-BB47-8173ECB750CC}"/>
    <cellStyle name="Normal 5 2 2 2 4 6" xfId="2571" xr:uid="{00000000-0005-0000-0000-000081170000}"/>
    <cellStyle name="Normal 5 2 2 2 4 6 2" xfId="6855" xr:uid="{00000000-0005-0000-0000-000082170000}"/>
    <cellStyle name="Normal 5 2 2 2 4 6 2 2" xfId="15297" xr:uid="{8EF9858E-2C75-42D7-881A-602EF8771100}"/>
    <cellStyle name="Normal 5 2 2 2 4 6 2 3" xfId="23734" xr:uid="{75FB2822-9602-4AB4-AC43-7CCDBF78B88F}"/>
    <cellStyle name="Normal 5 2 2 2 4 6 3" xfId="11079" xr:uid="{F880092A-FBFC-41B9-AB7F-917EBAA1784F}"/>
    <cellStyle name="Normal 5 2 2 2 4 6 4" xfId="19517" xr:uid="{235BEF84-8E82-4CF4-8DCC-F5420E7AF8AD}"/>
    <cellStyle name="Normal 5 2 2 2 4 7" xfId="4790" xr:uid="{00000000-0005-0000-0000-000083170000}"/>
    <cellStyle name="Normal 5 2 2 2 4 7 2" xfId="13232" xr:uid="{0706E454-50EB-4563-B1F7-B917962BAB4B}"/>
    <cellStyle name="Normal 5 2 2 2 4 7 3" xfId="21669" xr:uid="{A1B0F550-C30F-4A13-9FA4-964DFF33434D}"/>
    <cellStyle name="Normal 5 2 2 2 4 8" xfId="9014" xr:uid="{71C431AD-956B-4A41-A67C-1EC1B3FD28E4}"/>
    <cellStyle name="Normal 5 2 2 2 4 9" xfId="17452" xr:uid="{8093A5DE-ECE9-4767-A679-C85CEC8F4C14}"/>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75A101E8-407A-4BC7-B898-D783AF585F68}"/>
    <cellStyle name="Normal 5 2 2 2 5 2 2 3" xfId="24220" xr:uid="{70A30680-A86E-4AF4-8ADA-DCB5F10A368B}"/>
    <cellStyle name="Normal 5 2 2 2 5 2 3" xfId="11565" xr:uid="{E9F0ACC2-3D4C-4038-8A3A-FDD077615328}"/>
    <cellStyle name="Normal 5 2 2 2 5 2 4" xfId="20003" xr:uid="{ED90F3F7-6EF9-4D96-A4C1-469A96F1D525}"/>
    <cellStyle name="Normal 5 2 2 2 5 3" xfId="5196" xr:uid="{00000000-0005-0000-0000-000087170000}"/>
    <cellStyle name="Normal 5 2 2 2 5 3 2" xfId="13638" xr:uid="{F111E575-FEA4-4136-9102-21039C05B1ED}"/>
    <cellStyle name="Normal 5 2 2 2 5 3 3" xfId="22075" xr:uid="{11E00437-5168-4758-856A-23269FE66FB9}"/>
    <cellStyle name="Normal 5 2 2 2 5 4" xfId="9420" xr:uid="{775D93D2-D5D3-4026-93AF-81400621E445}"/>
    <cellStyle name="Normal 5 2 2 2 5 5" xfId="17858" xr:uid="{CED30BB0-ABA3-4A02-93A4-B70E08191FCE}"/>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F9F28AAE-2423-4713-836C-E5F64CB88BFF}"/>
    <cellStyle name="Normal 5 2 2 2 6 2 2 3" xfId="24633" xr:uid="{47D93C68-88A9-4583-9528-8ABD154E52AD}"/>
    <cellStyle name="Normal 5 2 2 2 6 2 3" xfId="11978" xr:uid="{5A8490BE-26C8-4038-B1F4-DBF3910B3301}"/>
    <cellStyle name="Normal 5 2 2 2 6 2 4" xfId="20416" xr:uid="{3DCEEAA2-8A98-4636-856D-8436D44374BE}"/>
    <cellStyle name="Normal 5 2 2 2 6 3" xfId="5609" xr:uid="{00000000-0005-0000-0000-00008B170000}"/>
    <cellStyle name="Normal 5 2 2 2 6 3 2" xfId="14051" xr:uid="{A311C345-CDF5-47E4-9310-4EDF0D1EE5E7}"/>
    <cellStyle name="Normal 5 2 2 2 6 3 3" xfId="22488" xr:uid="{B79C4C07-0081-4182-BC7D-EA11A78DD7E6}"/>
    <cellStyle name="Normal 5 2 2 2 6 4" xfId="9833" xr:uid="{CC66E03D-7F72-45CF-9D72-EC13163CAE9A}"/>
    <cellStyle name="Normal 5 2 2 2 6 5" xfId="18271" xr:uid="{5F20CBE2-CFDB-48C0-9143-CFABCFFB2349}"/>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6F686B2D-AC1B-4B1B-A41A-9ADF276223CB}"/>
    <cellStyle name="Normal 5 2 2 2 7 2 2 3" xfId="25046" xr:uid="{44170556-9A5F-4578-92F8-EE290F0602B6}"/>
    <cellStyle name="Normal 5 2 2 2 7 2 3" xfId="12391" xr:uid="{02B06374-D858-4AC2-B87D-B2741522858C}"/>
    <cellStyle name="Normal 5 2 2 2 7 2 4" xfId="20829" xr:uid="{44B606C1-797C-4F79-B981-76A952CB77A2}"/>
    <cellStyle name="Normal 5 2 2 2 7 3" xfId="6022" xr:uid="{00000000-0005-0000-0000-00008F170000}"/>
    <cellStyle name="Normal 5 2 2 2 7 3 2" xfId="14464" xr:uid="{6BEA3989-E9C9-44D9-827C-3751825D7297}"/>
    <cellStyle name="Normal 5 2 2 2 7 3 3" xfId="22901" xr:uid="{9ED0EF21-979A-4575-9078-D07917444F85}"/>
    <cellStyle name="Normal 5 2 2 2 7 4" xfId="10246" xr:uid="{C220D6A9-E29A-4955-8738-725D6D4DBBA0}"/>
    <cellStyle name="Normal 5 2 2 2 7 5" xfId="18684" xr:uid="{3E69702B-E4C3-46CE-9C53-AD8714590BF6}"/>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812D7B32-31A1-497C-8651-0FBB6CB1CDF7}"/>
    <cellStyle name="Normal 5 2 2 2 8 2 2 3" xfId="25459" xr:uid="{2150199E-E75F-4D61-A24B-F57A8EAE1C2F}"/>
    <cellStyle name="Normal 5 2 2 2 8 2 3" xfId="12804" xr:uid="{18DCC9CE-CC90-46EB-B8E6-3E7BD9115235}"/>
    <cellStyle name="Normal 5 2 2 2 8 2 4" xfId="21242" xr:uid="{92BCF6D0-2EC2-46A9-8BC2-DA77516B176C}"/>
    <cellStyle name="Normal 5 2 2 2 8 3" xfId="6435" xr:uid="{00000000-0005-0000-0000-000093170000}"/>
    <cellStyle name="Normal 5 2 2 2 8 3 2" xfId="14877" xr:uid="{A2D0226A-8CA7-4009-B1CB-3B4BB299E176}"/>
    <cellStyle name="Normal 5 2 2 2 8 3 3" xfId="23314" xr:uid="{E3946E08-4A27-40FE-A45C-AC7463CA56AF}"/>
    <cellStyle name="Normal 5 2 2 2 8 4" xfId="10659" xr:uid="{B2F6EF17-C511-49A1-AB9C-682B7DAAB7D9}"/>
    <cellStyle name="Normal 5 2 2 2 8 5" xfId="19097" xr:uid="{68B786E2-D65F-44DB-BE75-4C35BF69DF00}"/>
    <cellStyle name="Normal 5 2 2 2 9" xfId="2564" xr:uid="{00000000-0005-0000-0000-000094170000}"/>
    <cellStyle name="Normal 5 2 2 2 9 2" xfId="6848" xr:uid="{00000000-0005-0000-0000-000095170000}"/>
    <cellStyle name="Normal 5 2 2 2 9 2 2" xfId="15290" xr:uid="{7D884AA6-033D-4492-A16C-75F1DF3B991D}"/>
    <cellStyle name="Normal 5 2 2 2 9 2 3" xfId="23727" xr:uid="{B3EA7BBB-C4FB-4339-A059-E833E14D1ADA}"/>
    <cellStyle name="Normal 5 2 2 2 9 3" xfId="11072" xr:uid="{324FEA02-175F-4277-AC7D-0BDC3D62437E}"/>
    <cellStyle name="Normal 5 2 2 2 9 4" xfId="19510" xr:uid="{585C5E8A-7D4C-4CEF-AB84-0D50DCE266D2}"/>
    <cellStyle name="Normal 5 2 2 3" xfId="417" xr:uid="{00000000-0005-0000-0000-000096170000}"/>
    <cellStyle name="Normal 5 2 2 3 10" xfId="9015" xr:uid="{DCF2437F-B217-47C1-A0C9-4FF9474CB27A}"/>
    <cellStyle name="Normal 5 2 2 3 11" xfId="17453" xr:uid="{A068906F-0500-4F01-A6C8-A9909F4B1C3F}"/>
    <cellStyle name="Normal 5 2 2 3 2" xfId="418" xr:uid="{00000000-0005-0000-0000-000097170000}"/>
    <cellStyle name="Normal 5 2 2 3 2 10" xfId="17454" xr:uid="{3299A974-7B45-45C0-9CDD-82832BC9D58C}"/>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4B064454-2FA0-49D3-B6E0-5DE652F36ABC}"/>
    <cellStyle name="Normal 5 2 2 3 2 2 2 2 2 3" xfId="24230" xr:uid="{91554CF7-4C4F-4D73-8A19-5C681DA3E1E6}"/>
    <cellStyle name="Normal 5 2 2 3 2 2 2 2 3" xfId="11575" xr:uid="{6A79AF4C-AFCF-48C8-817F-C8E10AEF307D}"/>
    <cellStyle name="Normal 5 2 2 3 2 2 2 2 4" xfId="20013" xr:uid="{B446E554-42C3-45C1-98B4-FABC098008C4}"/>
    <cellStyle name="Normal 5 2 2 3 2 2 2 3" xfId="5206" xr:uid="{00000000-0005-0000-0000-00009C170000}"/>
    <cellStyle name="Normal 5 2 2 3 2 2 2 3 2" xfId="13648" xr:uid="{7085D68C-E7F2-4EB2-B8D6-B8496F8246BB}"/>
    <cellStyle name="Normal 5 2 2 3 2 2 2 3 3" xfId="22085" xr:uid="{9F87911B-51DC-4EFD-BA30-B8BD58FC817C}"/>
    <cellStyle name="Normal 5 2 2 3 2 2 2 4" xfId="9430" xr:uid="{369603E0-4A93-4F2F-98D1-FC85571CA510}"/>
    <cellStyle name="Normal 5 2 2 3 2 2 2 5" xfId="17868" xr:uid="{BAD9DE22-D0D4-4281-BE56-512E0D510A82}"/>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8D30C548-3B1E-4BED-976A-99E188D00037}"/>
    <cellStyle name="Normal 5 2 2 3 2 2 3 2 2 3" xfId="24643" xr:uid="{90BED5DF-CFEC-4459-9574-37B58B33579F}"/>
    <cellStyle name="Normal 5 2 2 3 2 2 3 2 3" xfId="11988" xr:uid="{F42E65A8-0E2D-48CE-A91B-B973CB414DA3}"/>
    <cellStyle name="Normal 5 2 2 3 2 2 3 2 4" xfId="20426" xr:uid="{A56AC2B6-E8C8-4E47-B009-65B3D2478022}"/>
    <cellStyle name="Normal 5 2 2 3 2 2 3 3" xfId="5619" xr:uid="{00000000-0005-0000-0000-0000A0170000}"/>
    <cellStyle name="Normal 5 2 2 3 2 2 3 3 2" xfId="14061" xr:uid="{ED04FCCD-BE40-4A5F-AFCA-38BE17FA11A2}"/>
    <cellStyle name="Normal 5 2 2 3 2 2 3 3 3" xfId="22498" xr:uid="{A49ED7E5-45F5-4D7C-844B-0387E0A5C460}"/>
    <cellStyle name="Normal 5 2 2 3 2 2 3 4" xfId="9843" xr:uid="{B55FB7B4-5C29-4F39-B346-35C82BFD8801}"/>
    <cellStyle name="Normal 5 2 2 3 2 2 3 5" xfId="18281" xr:uid="{7C82E2E6-505E-4818-9C2F-A1893E49EBFE}"/>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A6FC1CBC-7535-4901-96D2-2310516FBA65}"/>
    <cellStyle name="Normal 5 2 2 3 2 2 4 2 2 3" xfId="25056" xr:uid="{87B6D82D-4FC8-4862-9510-F1FC5B0480F9}"/>
    <cellStyle name="Normal 5 2 2 3 2 2 4 2 3" xfId="12401" xr:uid="{59F0582C-2D81-4A87-9DAC-69BD4F437BD7}"/>
    <cellStyle name="Normal 5 2 2 3 2 2 4 2 4" xfId="20839" xr:uid="{6160EF9D-EE23-440F-97CB-55BCE2799324}"/>
    <cellStyle name="Normal 5 2 2 3 2 2 4 3" xfId="6032" xr:uid="{00000000-0005-0000-0000-0000A4170000}"/>
    <cellStyle name="Normal 5 2 2 3 2 2 4 3 2" xfId="14474" xr:uid="{D10DAFAB-E963-4C64-B2E4-96A6D191F3A4}"/>
    <cellStyle name="Normal 5 2 2 3 2 2 4 3 3" xfId="22911" xr:uid="{9A1193A9-79CF-4258-88A9-F7F1AC67F2B9}"/>
    <cellStyle name="Normal 5 2 2 3 2 2 4 4" xfId="10256" xr:uid="{4591B016-FAB2-4B2C-A1E3-40F3F71BA31B}"/>
    <cellStyle name="Normal 5 2 2 3 2 2 4 5" xfId="18694" xr:uid="{E3EA90AE-5AF9-4B31-896F-DBB735EA1F5F}"/>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43567BE3-D900-4A3D-81FC-EFD6B70DBF39}"/>
    <cellStyle name="Normal 5 2 2 3 2 2 5 2 2 3" xfId="25469" xr:uid="{79087AEE-3F97-49F9-9C13-AA608D2C032B}"/>
    <cellStyle name="Normal 5 2 2 3 2 2 5 2 3" xfId="12814" xr:uid="{3C372F50-5A2F-4AB9-A114-686AB04641A8}"/>
    <cellStyle name="Normal 5 2 2 3 2 2 5 2 4" xfId="21252" xr:uid="{20A75F13-78B7-4538-9FB8-BEA3672D0114}"/>
    <cellStyle name="Normal 5 2 2 3 2 2 5 3" xfId="6445" xr:uid="{00000000-0005-0000-0000-0000A8170000}"/>
    <cellStyle name="Normal 5 2 2 3 2 2 5 3 2" xfId="14887" xr:uid="{89104C5A-9A8B-406B-A128-0E0DC8C40699}"/>
    <cellStyle name="Normal 5 2 2 3 2 2 5 3 3" xfId="23324" xr:uid="{16EB80C4-CB8E-4B4F-8877-8D1B8D830660}"/>
    <cellStyle name="Normal 5 2 2 3 2 2 5 4" xfId="10669" xr:uid="{0BFDD7B5-4C66-4462-86A6-E24380E405EC}"/>
    <cellStyle name="Normal 5 2 2 3 2 2 5 5" xfId="19107" xr:uid="{B4FAADAB-000A-4C42-AC4E-1A1639A000AE}"/>
    <cellStyle name="Normal 5 2 2 3 2 2 6" xfId="2574" xr:uid="{00000000-0005-0000-0000-0000A9170000}"/>
    <cellStyle name="Normal 5 2 2 3 2 2 6 2" xfId="6858" xr:uid="{00000000-0005-0000-0000-0000AA170000}"/>
    <cellStyle name="Normal 5 2 2 3 2 2 6 2 2" xfId="15300" xr:uid="{36B81983-885C-429A-B73A-6CD3D30A47DC}"/>
    <cellStyle name="Normal 5 2 2 3 2 2 6 2 3" xfId="23737" xr:uid="{7993250E-551B-45C5-A3FC-C91BC2DAA1AB}"/>
    <cellStyle name="Normal 5 2 2 3 2 2 6 3" xfId="11082" xr:uid="{C98695F7-80F2-4394-8B4E-4B64B0055CBA}"/>
    <cellStyle name="Normal 5 2 2 3 2 2 6 4" xfId="19520" xr:uid="{D8AE8906-5E73-4B79-BA4B-6E156CA8A49C}"/>
    <cellStyle name="Normal 5 2 2 3 2 2 7" xfId="4793" xr:uid="{00000000-0005-0000-0000-0000AB170000}"/>
    <cellStyle name="Normal 5 2 2 3 2 2 7 2" xfId="13235" xr:uid="{9FB51259-A8C0-4886-AF44-8130EC2ACAA5}"/>
    <cellStyle name="Normal 5 2 2 3 2 2 7 3" xfId="21672" xr:uid="{0CACD1AE-ED23-4D6F-8D31-C1DC3EB9C9F5}"/>
    <cellStyle name="Normal 5 2 2 3 2 2 8" xfId="9017" xr:uid="{D05C5A51-BCFF-431B-89E9-2449B55AC814}"/>
    <cellStyle name="Normal 5 2 2 3 2 2 9" xfId="17455" xr:uid="{CB017C4C-C6F6-44A0-8F0F-5E58086A403D}"/>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A08C60B5-34A5-4AD4-89E1-053BFC8C5E50}"/>
    <cellStyle name="Normal 5 2 2 3 2 3 2 2 3" xfId="24229" xr:uid="{EC695416-F434-4075-BB39-C257A9A150AC}"/>
    <cellStyle name="Normal 5 2 2 3 2 3 2 3" xfId="11574" xr:uid="{DA8F351D-A2F2-457F-B04A-D34466704D79}"/>
    <cellStyle name="Normal 5 2 2 3 2 3 2 4" xfId="20012" xr:uid="{3EEC2F48-138E-4505-BDF4-01659EC4C5A8}"/>
    <cellStyle name="Normal 5 2 2 3 2 3 3" xfId="5205" xr:uid="{00000000-0005-0000-0000-0000AF170000}"/>
    <cellStyle name="Normal 5 2 2 3 2 3 3 2" xfId="13647" xr:uid="{88AEAF61-69DA-423A-9FDD-D15CB6834A08}"/>
    <cellStyle name="Normal 5 2 2 3 2 3 3 3" xfId="22084" xr:uid="{7B8DFD58-19CE-4D7B-87B0-7B188B9E44E1}"/>
    <cellStyle name="Normal 5 2 2 3 2 3 4" xfId="9429" xr:uid="{CD0B18A4-96A0-4145-A253-1BEE729EE7F2}"/>
    <cellStyle name="Normal 5 2 2 3 2 3 5" xfId="17867" xr:uid="{DD452C49-04AC-4966-9130-506C7B732BFC}"/>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3E0A1857-BB49-4D41-A2E6-E0ABD7833737}"/>
    <cellStyle name="Normal 5 2 2 3 2 4 2 2 3" xfId="24642" xr:uid="{CABE50E7-0968-4683-89CC-24FD58F0C4F9}"/>
    <cellStyle name="Normal 5 2 2 3 2 4 2 3" xfId="11987" xr:uid="{121DD06D-13B5-4028-9993-A12BCFC16690}"/>
    <cellStyle name="Normal 5 2 2 3 2 4 2 4" xfId="20425" xr:uid="{F9EBCA92-B554-4765-8D37-DFA352988AB8}"/>
    <cellStyle name="Normal 5 2 2 3 2 4 3" xfId="5618" xr:uid="{00000000-0005-0000-0000-0000B3170000}"/>
    <cellStyle name="Normal 5 2 2 3 2 4 3 2" xfId="14060" xr:uid="{1686F803-34C8-4C13-80CA-3ECFBE1D22F0}"/>
    <cellStyle name="Normal 5 2 2 3 2 4 3 3" xfId="22497" xr:uid="{33A0571A-D351-4F46-8053-0C3430086E17}"/>
    <cellStyle name="Normal 5 2 2 3 2 4 4" xfId="9842" xr:uid="{31E30C31-E426-441C-B2BD-D4423D8AAF1F}"/>
    <cellStyle name="Normal 5 2 2 3 2 4 5" xfId="18280" xr:uid="{DD05B4B9-D2FE-4020-B3DA-1377B024D7AA}"/>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2723F8D2-425C-4A3E-A036-B327CFB23EB4}"/>
    <cellStyle name="Normal 5 2 2 3 2 5 2 2 3" xfId="25055" xr:uid="{81CB82FB-E65B-49D8-904D-C0136C9F0648}"/>
    <cellStyle name="Normal 5 2 2 3 2 5 2 3" xfId="12400" xr:uid="{2033061D-DCD7-4F59-BC46-E631DAB741A2}"/>
    <cellStyle name="Normal 5 2 2 3 2 5 2 4" xfId="20838" xr:uid="{DD11BBB1-39D3-430D-821A-8F904DD41556}"/>
    <cellStyle name="Normal 5 2 2 3 2 5 3" xfId="6031" xr:uid="{00000000-0005-0000-0000-0000B7170000}"/>
    <cellStyle name="Normal 5 2 2 3 2 5 3 2" xfId="14473" xr:uid="{EC091A30-4F07-4D00-9F1A-0D355316910D}"/>
    <cellStyle name="Normal 5 2 2 3 2 5 3 3" xfId="22910" xr:uid="{01096CD4-6F74-4C6E-820C-31D36D800426}"/>
    <cellStyle name="Normal 5 2 2 3 2 5 4" xfId="10255" xr:uid="{185B4986-5D7D-4C4A-93AB-309905430B1D}"/>
    <cellStyle name="Normal 5 2 2 3 2 5 5" xfId="18693" xr:uid="{CA036F0B-1299-4B16-A4E0-58FE31B47DE2}"/>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2CEE1962-24D2-4BD5-81FA-D38FE1BAAD24}"/>
    <cellStyle name="Normal 5 2 2 3 2 6 2 2 3" xfId="25468" xr:uid="{14DAFAAC-147F-475D-AA27-D31885DC38A8}"/>
    <cellStyle name="Normal 5 2 2 3 2 6 2 3" xfId="12813" xr:uid="{4ECB4091-9941-4BB3-B2C0-984829186AFA}"/>
    <cellStyle name="Normal 5 2 2 3 2 6 2 4" xfId="21251" xr:uid="{59573EC9-0289-42EB-A0B7-586EE1875454}"/>
    <cellStyle name="Normal 5 2 2 3 2 6 3" xfId="6444" xr:uid="{00000000-0005-0000-0000-0000BB170000}"/>
    <cellStyle name="Normal 5 2 2 3 2 6 3 2" xfId="14886" xr:uid="{B48385F7-C1FD-489A-8101-5920EDF23B07}"/>
    <cellStyle name="Normal 5 2 2 3 2 6 3 3" xfId="23323" xr:uid="{F0EA8366-EF13-45AD-9155-5D0790025DE5}"/>
    <cellStyle name="Normal 5 2 2 3 2 6 4" xfId="10668" xr:uid="{77C038AA-606F-4CDA-BD31-7FBD54380DFD}"/>
    <cellStyle name="Normal 5 2 2 3 2 6 5" xfId="19106" xr:uid="{B395C393-EADF-4233-BD6B-0D4DD5FB6749}"/>
    <cellStyle name="Normal 5 2 2 3 2 7" xfId="2573" xr:uid="{00000000-0005-0000-0000-0000BC170000}"/>
    <cellStyle name="Normal 5 2 2 3 2 7 2" xfId="6857" xr:uid="{00000000-0005-0000-0000-0000BD170000}"/>
    <cellStyle name="Normal 5 2 2 3 2 7 2 2" xfId="15299" xr:uid="{9F0E34C2-0BF6-4E4A-B5BE-9B0716779AA1}"/>
    <cellStyle name="Normal 5 2 2 3 2 7 2 3" xfId="23736" xr:uid="{80C246CD-07D2-4E10-B674-A1A24F29220C}"/>
    <cellStyle name="Normal 5 2 2 3 2 7 3" xfId="11081" xr:uid="{2AF6ADAB-3C9E-42F7-BD38-106747B79F39}"/>
    <cellStyle name="Normal 5 2 2 3 2 7 4" xfId="19519" xr:uid="{E2DB99CD-AB36-4C1A-BA0E-1CA3D5859BC0}"/>
    <cellStyle name="Normal 5 2 2 3 2 8" xfId="4792" xr:uid="{00000000-0005-0000-0000-0000BE170000}"/>
    <cellStyle name="Normal 5 2 2 3 2 8 2" xfId="13234" xr:uid="{00A26175-CCB8-4455-8972-7AAF1BA8D37E}"/>
    <cellStyle name="Normal 5 2 2 3 2 8 3" xfId="21671" xr:uid="{D0E30E07-1502-497E-A332-BC15767A81E7}"/>
    <cellStyle name="Normal 5 2 2 3 2 9" xfId="9016" xr:uid="{B592E0C9-DFBA-4D45-8658-A2FB9D5A9F11}"/>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098D8B72-C0D4-4087-879B-EF806A2FD530}"/>
    <cellStyle name="Normal 5 2 2 3 3 2 2 2 3" xfId="24231" xr:uid="{D5C068A6-5300-4CF9-AC8B-0B42C25067E8}"/>
    <cellStyle name="Normal 5 2 2 3 3 2 2 3" xfId="11576" xr:uid="{D4698BCC-5CDF-451D-838A-2BDFE8B8CF38}"/>
    <cellStyle name="Normal 5 2 2 3 3 2 2 4" xfId="20014" xr:uid="{EC55DF99-78DC-493E-97ED-1C884C37E6C3}"/>
    <cellStyle name="Normal 5 2 2 3 3 2 3" xfId="5207" xr:uid="{00000000-0005-0000-0000-0000C3170000}"/>
    <cellStyle name="Normal 5 2 2 3 3 2 3 2" xfId="13649" xr:uid="{7B68136C-997D-4A76-BCCF-C37D0D507A88}"/>
    <cellStyle name="Normal 5 2 2 3 3 2 3 3" xfId="22086" xr:uid="{47949336-AF16-45FB-BFCB-3EA5AC58445E}"/>
    <cellStyle name="Normal 5 2 2 3 3 2 4" xfId="9431" xr:uid="{1EC93709-035F-41F0-80FC-A5BBE488A741}"/>
    <cellStyle name="Normal 5 2 2 3 3 2 5" xfId="17869" xr:uid="{E32B1893-B660-4300-A162-E55E98E91AA9}"/>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0169CE49-6613-49BF-BA21-56B263585B61}"/>
    <cellStyle name="Normal 5 2 2 3 3 3 2 2 3" xfId="24644" xr:uid="{2EDA8EDB-2A45-4139-8306-D30D919C51D9}"/>
    <cellStyle name="Normal 5 2 2 3 3 3 2 3" xfId="11989" xr:uid="{CF24D6C2-293F-42F8-9AAB-216FFB7C2D7A}"/>
    <cellStyle name="Normal 5 2 2 3 3 3 2 4" xfId="20427" xr:uid="{06444096-6C96-4AE8-AE73-CCCA9764FA0E}"/>
    <cellStyle name="Normal 5 2 2 3 3 3 3" xfId="5620" xr:uid="{00000000-0005-0000-0000-0000C7170000}"/>
    <cellStyle name="Normal 5 2 2 3 3 3 3 2" xfId="14062" xr:uid="{CDF8D7E3-B715-444B-A07B-89DD5DC272B8}"/>
    <cellStyle name="Normal 5 2 2 3 3 3 3 3" xfId="22499" xr:uid="{BEF67B73-CCBD-4ECA-B0B1-335D65478AEA}"/>
    <cellStyle name="Normal 5 2 2 3 3 3 4" xfId="9844" xr:uid="{491B5C15-7382-43F9-9586-66137783465C}"/>
    <cellStyle name="Normal 5 2 2 3 3 3 5" xfId="18282" xr:uid="{F625842A-49FA-4EFF-8441-F5E40BF6452D}"/>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9E977CFE-07EE-4488-9DCC-E05A97DA474C}"/>
    <cellStyle name="Normal 5 2 2 3 3 4 2 2 3" xfId="25057" xr:uid="{E1CD656B-70D2-417D-BC7D-56ED1A20A281}"/>
    <cellStyle name="Normal 5 2 2 3 3 4 2 3" xfId="12402" xr:uid="{C11AB4E3-7F2B-4E58-80E0-AF12B04634DB}"/>
    <cellStyle name="Normal 5 2 2 3 3 4 2 4" xfId="20840" xr:uid="{4E709E0D-3CA2-44F9-B87A-85427EDC7C23}"/>
    <cellStyle name="Normal 5 2 2 3 3 4 3" xfId="6033" xr:uid="{00000000-0005-0000-0000-0000CB170000}"/>
    <cellStyle name="Normal 5 2 2 3 3 4 3 2" xfId="14475" xr:uid="{6382E0A1-77D2-47EC-ABA2-209251F8F8E5}"/>
    <cellStyle name="Normal 5 2 2 3 3 4 3 3" xfId="22912" xr:uid="{B50AEEF0-F53A-4407-8B10-0539B000203F}"/>
    <cellStyle name="Normal 5 2 2 3 3 4 4" xfId="10257" xr:uid="{E6C2A6BD-9C7C-47EB-89F5-502301CE71BE}"/>
    <cellStyle name="Normal 5 2 2 3 3 4 5" xfId="18695" xr:uid="{8A300AD8-9E49-423D-8F99-29CFE6507067}"/>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7E997DFA-14C4-497E-B3CA-16F9FD2E55B8}"/>
    <cellStyle name="Normal 5 2 2 3 3 5 2 2 3" xfId="25470" xr:uid="{8333CBFA-3D90-4C09-9A9C-45CCFDD66CAE}"/>
    <cellStyle name="Normal 5 2 2 3 3 5 2 3" xfId="12815" xr:uid="{F4CB67AA-CA48-423B-A107-CCD409D1D8BF}"/>
    <cellStyle name="Normal 5 2 2 3 3 5 2 4" xfId="21253" xr:uid="{7E6BCAF0-F315-44A7-BF09-F2916DA292C1}"/>
    <cellStyle name="Normal 5 2 2 3 3 5 3" xfId="6446" xr:uid="{00000000-0005-0000-0000-0000CF170000}"/>
    <cellStyle name="Normal 5 2 2 3 3 5 3 2" xfId="14888" xr:uid="{BC8FFD38-598F-4C5A-BA8C-309933CC762A}"/>
    <cellStyle name="Normal 5 2 2 3 3 5 3 3" xfId="23325" xr:uid="{36D8350B-E206-44E2-895A-E50947E47D1D}"/>
    <cellStyle name="Normal 5 2 2 3 3 5 4" xfId="10670" xr:uid="{FB5CCFDE-64DE-40E2-A8A3-6117BDDFDCCD}"/>
    <cellStyle name="Normal 5 2 2 3 3 5 5" xfId="19108" xr:uid="{C13F7D82-A5CF-4B0A-94B4-F30B129C73DA}"/>
    <cellStyle name="Normal 5 2 2 3 3 6" xfId="2575" xr:uid="{00000000-0005-0000-0000-0000D0170000}"/>
    <cellStyle name="Normal 5 2 2 3 3 6 2" xfId="6859" xr:uid="{00000000-0005-0000-0000-0000D1170000}"/>
    <cellStyle name="Normal 5 2 2 3 3 6 2 2" xfId="15301" xr:uid="{BD10A905-4FAE-4809-B7AC-E523E4A0DD26}"/>
    <cellStyle name="Normal 5 2 2 3 3 6 2 3" xfId="23738" xr:uid="{FCC377D9-2B35-4092-9E4B-4A3894EE4D00}"/>
    <cellStyle name="Normal 5 2 2 3 3 6 3" xfId="11083" xr:uid="{253AAF55-A5C7-4DA0-8000-DB2EC27D7634}"/>
    <cellStyle name="Normal 5 2 2 3 3 6 4" xfId="19521" xr:uid="{E243963A-CEC6-43B3-ABFF-2A18EEE7248C}"/>
    <cellStyle name="Normal 5 2 2 3 3 7" xfId="4794" xr:uid="{00000000-0005-0000-0000-0000D2170000}"/>
    <cellStyle name="Normal 5 2 2 3 3 7 2" xfId="13236" xr:uid="{DC3417DE-2F0B-4609-981F-AAEB102804D7}"/>
    <cellStyle name="Normal 5 2 2 3 3 7 3" xfId="21673" xr:uid="{7228771A-22C0-4CA4-87FC-D0084C145974}"/>
    <cellStyle name="Normal 5 2 2 3 3 8" xfId="9018" xr:uid="{DC67184E-8F6F-4DAF-BFB4-FA38C7389CB7}"/>
    <cellStyle name="Normal 5 2 2 3 3 9" xfId="17456" xr:uid="{B9CAAC2B-89E0-4414-BBFF-57C203D725CB}"/>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4327ED1D-3E91-4B79-A957-6A4A7B8E318C}"/>
    <cellStyle name="Normal 5 2 2 3 4 2 2 3" xfId="24228" xr:uid="{F08243B0-2535-4424-BE81-5BA6740C4883}"/>
    <cellStyle name="Normal 5 2 2 3 4 2 3" xfId="11573" xr:uid="{259FE9D2-5370-4BDF-B6E6-5472D266E152}"/>
    <cellStyle name="Normal 5 2 2 3 4 2 4" xfId="20011" xr:uid="{37A21EF9-D8D7-4A58-A935-FBC4913BECD9}"/>
    <cellStyle name="Normal 5 2 2 3 4 3" xfId="5204" xr:uid="{00000000-0005-0000-0000-0000D6170000}"/>
    <cellStyle name="Normal 5 2 2 3 4 3 2" xfId="13646" xr:uid="{8E4D34A3-0D43-4D9C-8936-A368FBAF3D5A}"/>
    <cellStyle name="Normal 5 2 2 3 4 3 3" xfId="22083" xr:uid="{C71FD00E-F769-4DE6-B2C4-BAA9C486C71D}"/>
    <cellStyle name="Normal 5 2 2 3 4 4" xfId="9428" xr:uid="{FE7F55DA-F4DD-4DD6-B4B6-B39B3FB713BF}"/>
    <cellStyle name="Normal 5 2 2 3 4 5" xfId="17866" xr:uid="{74E1E346-29A0-4C81-AB7D-77B5A3DEB0E1}"/>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8C998A07-A819-4F6F-9F70-BB4DC0729EAC}"/>
    <cellStyle name="Normal 5 2 2 3 5 2 2 3" xfId="24641" xr:uid="{A7D15691-D62D-4934-84DA-8037092353F0}"/>
    <cellStyle name="Normal 5 2 2 3 5 2 3" xfId="11986" xr:uid="{D271AF49-3215-40BA-A5C3-06B0998794F0}"/>
    <cellStyle name="Normal 5 2 2 3 5 2 4" xfId="20424" xr:uid="{BA30ABA3-2560-4869-BF5B-C73B0BABB77E}"/>
    <cellStyle name="Normal 5 2 2 3 5 3" xfId="5617" xr:uid="{00000000-0005-0000-0000-0000DA170000}"/>
    <cellStyle name="Normal 5 2 2 3 5 3 2" xfId="14059" xr:uid="{C1733955-B225-44EC-8AF0-3913F473730D}"/>
    <cellStyle name="Normal 5 2 2 3 5 3 3" xfId="22496" xr:uid="{37B51E6A-8AEC-4845-A7E0-DEB764F8ECEB}"/>
    <cellStyle name="Normal 5 2 2 3 5 4" xfId="9841" xr:uid="{EED15855-BCCB-4CC2-A032-44F08E3F31A1}"/>
    <cellStyle name="Normal 5 2 2 3 5 5" xfId="18279" xr:uid="{B6571496-7915-4369-B30B-9B5FBFFDA5C5}"/>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7F3B4CDC-A100-41BA-9953-08EE9EE64211}"/>
    <cellStyle name="Normal 5 2 2 3 6 2 2 3" xfId="25054" xr:uid="{9F2DB04A-E83A-4647-88F7-90D9A6797285}"/>
    <cellStyle name="Normal 5 2 2 3 6 2 3" xfId="12399" xr:uid="{57995BEE-F981-47C9-9B3C-ACD34E7950C6}"/>
    <cellStyle name="Normal 5 2 2 3 6 2 4" xfId="20837" xr:uid="{DD324662-38BF-4A3C-9D17-A92F93FB4706}"/>
    <cellStyle name="Normal 5 2 2 3 6 3" xfId="6030" xr:uid="{00000000-0005-0000-0000-0000DE170000}"/>
    <cellStyle name="Normal 5 2 2 3 6 3 2" xfId="14472" xr:uid="{3D05F27E-3107-4394-823A-60CF9B7DC9CA}"/>
    <cellStyle name="Normal 5 2 2 3 6 3 3" xfId="22909" xr:uid="{27F50C18-F2FF-47C0-A3D6-005EB7037E6B}"/>
    <cellStyle name="Normal 5 2 2 3 6 4" xfId="10254" xr:uid="{C8F4E8DD-29EC-4B38-BBF4-3E27BE408DC7}"/>
    <cellStyle name="Normal 5 2 2 3 6 5" xfId="18692" xr:uid="{5E997BA1-1C68-4310-A4DA-57C883EDE8EB}"/>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197DD1E0-1D0C-4BA4-9C93-1F64C8D3FE3A}"/>
    <cellStyle name="Normal 5 2 2 3 7 2 2 3" xfId="25467" xr:uid="{3BBF0264-10E1-4182-A447-0EE4668394CA}"/>
    <cellStyle name="Normal 5 2 2 3 7 2 3" xfId="12812" xr:uid="{2250922D-BE4D-40E0-B38B-CC6D79DBF50A}"/>
    <cellStyle name="Normal 5 2 2 3 7 2 4" xfId="21250" xr:uid="{423FFCB2-C6B3-4FE5-9C13-8359C6EF416F}"/>
    <cellStyle name="Normal 5 2 2 3 7 3" xfId="6443" xr:uid="{00000000-0005-0000-0000-0000E2170000}"/>
    <cellStyle name="Normal 5 2 2 3 7 3 2" xfId="14885" xr:uid="{6D4731D2-6904-4450-9C5B-53959E83559C}"/>
    <cellStyle name="Normal 5 2 2 3 7 3 3" xfId="23322" xr:uid="{8C7DA214-2B42-4872-8F64-9B0343E376AB}"/>
    <cellStyle name="Normal 5 2 2 3 7 4" xfId="10667" xr:uid="{78D06E38-7338-4599-8EF9-A8292B9E4118}"/>
    <cellStyle name="Normal 5 2 2 3 7 5" xfId="19105" xr:uid="{C39CB52C-7721-4EAD-B68A-5D884BD55417}"/>
    <cellStyle name="Normal 5 2 2 3 8" xfId="2572" xr:uid="{00000000-0005-0000-0000-0000E3170000}"/>
    <cellStyle name="Normal 5 2 2 3 8 2" xfId="6856" xr:uid="{00000000-0005-0000-0000-0000E4170000}"/>
    <cellStyle name="Normal 5 2 2 3 8 2 2" xfId="15298" xr:uid="{3DC34E70-9A9F-4093-B778-CB8CBFFFDE63}"/>
    <cellStyle name="Normal 5 2 2 3 8 2 3" xfId="23735" xr:uid="{F9221465-A113-4E53-82E6-E9E3C5312870}"/>
    <cellStyle name="Normal 5 2 2 3 8 3" xfId="11080" xr:uid="{262CF454-E850-4722-A178-AFB6D686DA43}"/>
    <cellStyle name="Normal 5 2 2 3 8 4" xfId="19518" xr:uid="{4F497CFD-98B2-48A5-945E-47D5B9FC4CC3}"/>
    <cellStyle name="Normal 5 2 2 3 9" xfId="4791" xr:uid="{00000000-0005-0000-0000-0000E5170000}"/>
    <cellStyle name="Normal 5 2 2 3 9 2" xfId="13233" xr:uid="{4A4353F3-5448-4F65-B160-8900959F4887}"/>
    <cellStyle name="Normal 5 2 2 3 9 3" xfId="21670" xr:uid="{49824B55-A76A-4831-9A99-0C5B8040A3DD}"/>
    <cellStyle name="Normal 5 2 2 4" xfId="421" xr:uid="{00000000-0005-0000-0000-0000E6170000}"/>
    <cellStyle name="Normal 5 2 2 4 10" xfId="17457" xr:uid="{72B3A6C4-CC7B-4E33-9068-CE867A6A064F}"/>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43A0D616-6A91-4966-8A9B-8D3FAABD5663}"/>
    <cellStyle name="Normal 5 2 2 4 2 2 2 2 3" xfId="24233" xr:uid="{BF8930B5-009B-425C-B7E2-805DAB8D7BDC}"/>
    <cellStyle name="Normal 5 2 2 4 2 2 2 3" xfId="11578" xr:uid="{59783AB1-3063-4E4F-BF09-9679B8AEE74F}"/>
    <cellStyle name="Normal 5 2 2 4 2 2 2 4" xfId="20016" xr:uid="{63E035DC-89D7-4182-8756-CC72082CFFFB}"/>
    <cellStyle name="Normal 5 2 2 4 2 2 3" xfId="5209" xr:uid="{00000000-0005-0000-0000-0000EB170000}"/>
    <cellStyle name="Normal 5 2 2 4 2 2 3 2" xfId="13651" xr:uid="{76553671-28E6-449F-AF3F-A6C4E0C9CBFA}"/>
    <cellStyle name="Normal 5 2 2 4 2 2 3 3" xfId="22088" xr:uid="{59041365-D1D0-41D0-949D-BE1C4E1A9D6F}"/>
    <cellStyle name="Normal 5 2 2 4 2 2 4" xfId="9433" xr:uid="{76B31AC0-3A3F-4405-BE9F-284D50DC9FB8}"/>
    <cellStyle name="Normal 5 2 2 4 2 2 5" xfId="17871" xr:uid="{BF1D2B01-0824-46C7-B6C8-9CE9422666D7}"/>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B36CEC7D-485B-4403-877A-43210692F027}"/>
    <cellStyle name="Normal 5 2 2 4 2 3 2 2 3" xfId="24646" xr:uid="{1A6FCE0A-8E6C-4812-90DE-1EF7A1E3BE08}"/>
    <cellStyle name="Normal 5 2 2 4 2 3 2 3" xfId="11991" xr:uid="{1B4FD61F-AB40-49C8-90E5-FCF8AE4DF93E}"/>
    <cellStyle name="Normal 5 2 2 4 2 3 2 4" xfId="20429" xr:uid="{DE8A9045-D802-4AA8-B3EE-99752C60B98E}"/>
    <cellStyle name="Normal 5 2 2 4 2 3 3" xfId="5622" xr:uid="{00000000-0005-0000-0000-0000EF170000}"/>
    <cellStyle name="Normal 5 2 2 4 2 3 3 2" xfId="14064" xr:uid="{4DE0F61D-EF23-4766-91DB-5A327CCF6F5E}"/>
    <cellStyle name="Normal 5 2 2 4 2 3 3 3" xfId="22501" xr:uid="{6733D197-220B-4293-A8D0-C5C179AB0AC4}"/>
    <cellStyle name="Normal 5 2 2 4 2 3 4" xfId="9846" xr:uid="{79232F72-9C73-4CE7-9518-626AF15F920A}"/>
    <cellStyle name="Normal 5 2 2 4 2 3 5" xfId="18284" xr:uid="{FF4E705E-C358-4EA9-BD53-7B94936DE4BB}"/>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4235CCEF-1CA0-4FC6-95CA-3D15D3B53627}"/>
    <cellStyle name="Normal 5 2 2 4 2 4 2 2 3" xfId="25059" xr:uid="{52DC102E-47CD-4566-A142-B1A046F6D11A}"/>
    <cellStyle name="Normal 5 2 2 4 2 4 2 3" xfId="12404" xr:uid="{5DA571EF-4B81-4AF5-A123-2D2FC4059BF6}"/>
    <cellStyle name="Normal 5 2 2 4 2 4 2 4" xfId="20842" xr:uid="{7E17995D-BD7F-4E46-8345-6B8E85A29075}"/>
    <cellStyle name="Normal 5 2 2 4 2 4 3" xfId="6035" xr:uid="{00000000-0005-0000-0000-0000F3170000}"/>
    <cellStyle name="Normal 5 2 2 4 2 4 3 2" xfId="14477" xr:uid="{DEABBD0B-9A0B-43A5-8588-8F45D9AEC391}"/>
    <cellStyle name="Normal 5 2 2 4 2 4 3 3" xfId="22914" xr:uid="{B7779AB7-8EE8-4FF4-9EFB-16F34D6B863D}"/>
    <cellStyle name="Normal 5 2 2 4 2 4 4" xfId="10259" xr:uid="{0619E27C-8698-4B36-9E8D-78A3E091C693}"/>
    <cellStyle name="Normal 5 2 2 4 2 4 5" xfId="18697" xr:uid="{FD176334-E411-4A51-B5B3-22092AE1113E}"/>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0860D725-E2DA-4E55-8C16-8BCEF3D507EF}"/>
    <cellStyle name="Normal 5 2 2 4 2 5 2 2 3" xfId="25472" xr:uid="{FA4194FA-0F9A-479D-9BCB-023A9337DF29}"/>
    <cellStyle name="Normal 5 2 2 4 2 5 2 3" xfId="12817" xr:uid="{DBBB3060-65A7-46A8-9D52-64BB858AD0F0}"/>
    <cellStyle name="Normal 5 2 2 4 2 5 2 4" xfId="21255" xr:uid="{00AD0ED3-C690-4956-A3F8-F3DA683BE2A1}"/>
    <cellStyle name="Normal 5 2 2 4 2 5 3" xfId="6448" xr:uid="{00000000-0005-0000-0000-0000F7170000}"/>
    <cellStyle name="Normal 5 2 2 4 2 5 3 2" xfId="14890" xr:uid="{D89DD89A-ABFF-4CDB-9BB9-58082C6176D3}"/>
    <cellStyle name="Normal 5 2 2 4 2 5 3 3" xfId="23327" xr:uid="{651DE261-EDC0-442C-8056-9703A370E65A}"/>
    <cellStyle name="Normal 5 2 2 4 2 5 4" xfId="10672" xr:uid="{1D9D9ADB-3AA3-4FA6-8B80-7869C5FCDF3C}"/>
    <cellStyle name="Normal 5 2 2 4 2 5 5" xfId="19110" xr:uid="{713AEA1E-BA6D-4696-BC9D-E2001823E608}"/>
    <cellStyle name="Normal 5 2 2 4 2 6" xfId="2577" xr:uid="{00000000-0005-0000-0000-0000F8170000}"/>
    <cellStyle name="Normal 5 2 2 4 2 6 2" xfId="6861" xr:uid="{00000000-0005-0000-0000-0000F9170000}"/>
    <cellStyle name="Normal 5 2 2 4 2 6 2 2" xfId="15303" xr:uid="{7A599DDA-70B3-4412-AF39-24350A8F7A4A}"/>
    <cellStyle name="Normal 5 2 2 4 2 6 2 3" xfId="23740" xr:uid="{698C5DAC-2DB7-4D1A-B4AB-CBA1BFE7E848}"/>
    <cellStyle name="Normal 5 2 2 4 2 6 3" xfId="11085" xr:uid="{A9B9A5E6-2063-4354-A16B-B70527F43675}"/>
    <cellStyle name="Normal 5 2 2 4 2 6 4" xfId="19523" xr:uid="{C7CFF60E-390B-4FA5-A08D-F987720F037E}"/>
    <cellStyle name="Normal 5 2 2 4 2 7" xfId="4796" xr:uid="{00000000-0005-0000-0000-0000FA170000}"/>
    <cellStyle name="Normal 5 2 2 4 2 7 2" xfId="13238" xr:uid="{B6061F17-B969-4A08-9E2A-B0F570D995BB}"/>
    <cellStyle name="Normal 5 2 2 4 2 7 3" xfId="21675" xr:uid="{A18A1CC8-76D9-498E-92AD-B8CF0B9B39E3}"/>
    <cellStyle name="Normal 5 2 2 4 2 8" xfId="9020" xr:uid="{7168E970-3C9C-4AAF-ACA4-997F3DFFD066}"/>
    <cellStyle name="Normal 5 2 2 4 2 9" xfId="17458" xr:uid="{5E82F9BE-5985-4119-A92B-7B54B22F4916}"/>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DB5BA67E-0364-4C02-9252-272E77628C95}"/>
    <cellStyle name="Normal 5 2 2 4 3 2 2 3" xfId="24232" xr:uid="{FDA6BDE9-ED79-46B5-AA4E-B037212F37E8}"/>
    <cellStyle name="Normal 5 2 2 4 3 2 3" xfId="11577" xr:uid="{4C9E6988-A9E5-41C2-A6C2-C1EB7CA54423}"/>
    <cellStyle name="Normal 5 2 2 4 3 2 4" xfId="20015" xr:uid="{65203CBC-0F7B-4747-B74D-3110EDE15907}"/>
    <cellStyle name="Normal 5 2 2 4 3 3" xfId="5208" xr:uid="{00000000-0005-0000-0000-0000FE170000}"/>
    <cellStyle name="Normal 5 2 2 4 3 3 2" xfId="13650" xr:uid="{9CC1FCD9-80CD-499C-8B1E-D63A26418745}"/>
    <cellStyle name="Normal 5 2 2 4 3 3 3" xfId="22087" xr:uid="{CAD6D3F4-C061-4B90-BED3-DB604C4B0CF0}"/>
    <cellStyle name="Normal 5 2 2 4 3 4" xfId="9432" xr:uid="{4C318CC3-B956-4D8C-951F-00FA1905B378}"/>
    <cellStyle name="Normal 5 2 2 4 3 5" xfId="17870" xr:uid="{E7C1A066-D081-40B7-9812-893CB1156EF9}"/>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A458D37E-1E83-4FEB-A10B-338DE5C590BE}"/>
    <cellStyle name="Normal 5 2 2 4 4 2 2 3" xfId="24645" xr:uid="{4EB8BC5F-E102-4361-9060-086EC1E0B749}"/>
    <cellStyle name="Normal 5 2 2 4 4 2 3" xfId="11990" xr:uid="{7BF9D1F0-795F-490D-AD09-576F821F42CF}"/>
    <cellStyle name="Normal 5 2 2 4 4 2 4" xfId="20428" xr:uid="{F338F619-638F-4585-A958-406E0EE860EA}"/>
    <cellStyle name="Normal 5 2 2 4 4 3" xfId="5621" xr:uid="{00000000-0005-0000-0000-000002180000}"/>
    <cellStyle name="Normal 5 2 2 4 4 3 2" xfId="14063" xr:uid="{F21433C7-5C7F-44DE-9195-210684364BAA}"/>
    <cellStyle name="Normal 5 2 2 4 4 3 3" xfId="22500" xr:uid="{E8272FF2-5E05-4E6E-8609-334E6E31706E}"/>
    <cellStyle name="Normal 5 2 2 4 4 4" xfId="9845" xr:uid="{6EC896DD-E2E3-4242-B14E-601D02732252}"/>
    <cellStyle name="Normal 5 2 2 4 4 5" xfId="18283" xr:uid="{F3DBEC87-C101-4DBE-8553-528892ECAB77}"/>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DC31620B-4A51-4E8C-824E-36A9129C0F2C}"/>
    <cellStyle name="Normal 5 2 2 4 5 2 2 3" xfId="25058" xr:uid="{8D357F06-3467-4BE0-A7F6-9263D746C561}"/>
    <cellStyle name="Normal 5 2 2 4 5 2 3" xfId="12403" xr:uid="{983A9186-3F41-4E64-BAA5-2CC4A874B7DC}"/>
    <cellStyle name="Normal 5 2 2 4 5 2 4" xfId="20841" xr:uid="{73EFB587-C4BA-4E22-A1B3-7342EE080192}"/>
    <cellStyle name="Normal 5 2 2 4 5 3" xfId="6034" xr:uid="{00000000-0005-0000-0000-000006180000}"/>
    <cellStyle name="Normal 5 2 2 4 5 3 2" xfId="14476" xr:uid="{3908B11E-2756-42A8-82A6-664F4E03E76D}"/>
    <cellStyle name="Normal 5 2 2 4 5 3 3" xfId="22913" xr:uid="{0570A8B2-141C-4249-A58A-68AEB3159065}"/>
    <cellStyle name="Normal 5 2 2 4 5 4" xfId="10258" xr:uid="{C3F25C0F-9991-4FB9-AE17-BA8DF865E1FA}"/>
    <cellStyle name="Normal 5 2 2 4 5 5" xfId="18696" xr:uid="{237F9ED8-96C0-40B1-9838-BE4FEBEB6019}"/>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24EA83A3-CCA6-48E1-A163-B0067E6E78C0}"/>
    <cellStyle name="Normal 5 2 2 4 6 2 2 3" xfId="25471" xr:uid="{3457A248-1FC6-4926-8B96-CBD4EEF211A2}"/>
    <cellStyle name="Normal 5 2 2 4 6 2 3" xfId="12816" xr:uid="{8F97EDC8-DF58-485B-86C5-3F381EF98228}"/>
    <cellStyle name="Normal 5 2 2 4 6 2 4" xfId="21254" xr:uid="{94BC39F6-F6BA-4417-8E6B-4BB930B21C96}"/>
    <cellStyle name="Normal 5 2 2 4 6 3" xfId="6447" xr:uid="{00000000-0005-0000-0000-00000A180000}"/>
    <cellStyle name="Normal 5 2 2 4 6 3 2" xfId="14889" xr:uid="{109D6F3A-7D48-4F67-BBAA-E25972CD4523}"/>
    <cellStyle name="Normal 5 2 2 4 6 3 3" xfId="23326" xr:uid="{27E9FE38-11B7-472F-9A5E-06E52C7B0515}"/>
    <cellStyle name="Normal 5 2 2 4 6 4" xfId="10671" xr:uid="{89D75501-5A2E-42F8-BEF4-A75A01A9342E}"/>
    <cellStyle name="Normal 5 2 2 4 6 5" xfId="19109" xr:uid="{FE3E3273-1F76-424A-A8F5-11ECD23C332F}"/>
    <cellStyle name="Normal 5 2 2 4 7" xfId="2576" xr:uid="{00000000-0005-0000-0000-00000B180000}"/>
    <cellStyle name="Normal 5 2 2 4 7 2" xfId="6860" xr:uid="{00000000-0005-0000-0000-00000C180000}"/>
    <cellStyle name="Normal 5 2 2 4 7 2 2" xfId="15302" xr:uid="{DA220CAD-889C-4C21-906C-BE3E54048317}"/>
    <cellStyle name="Normal 5 2 2 4 7 2 3" xfId="23739" xr:uid="{BBB3460A-9B70-4836-AACA-C6972F4F5BBB}"/>
    <cellStyle name="Normal 5 2 2 4 7 3" xfId="11084" xr:uid="{62B0D9A8-CF9E-4293-9697-E1062FB637A8}"/>
    <cellStyle name="Normal 5 2 2 4 7 4" xfId="19522" xr:uid="{8B433095-7E88-47FD-9563-650AADAB0069}"/>
    <cellStyle name="Normal 5 2 2 4 8" xfId="4795" xr:uid="{00000000-0005-0000-0000-00000D180000}"/>
    <cellStyle name="Normal 5 2 2 4 8 2" xfId="13237" xr:uid="{8EEF2E37-D3AF-42A0-A912-E91E7FD4E6D8}"/>
    <cellStyle name="Normal 5 2 2 4 8 3" xfId="21674" xr:uid="{29258C5F-CFD0-47EB-B058-D85F09302FEE}"/>
    <cellStyle name="Normal 5 2 2 4 9" xfId="9019" xr:uid="{E3DC3391-0F62-476E-8E1C-B7C06B60130A}"/>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76F49017-2384-4802-AA9D-28E95282212C}"/>
    <cellStyle name="Normal 5 2 2 5 2 2 2 3" xfId="24234" xr:uid="{462C1828-D645-41AA-B29E-A37D24824FED}"/>
    <cellStyle name="Normal 5 2 2 5 2 2 3" xfId="11579" xr:uid="{2249A8B8-CD2D-442C-8264-5FC3FA6B8208}"/>
    <cellStyle name="Normal 5 2 2 5 2 2 4" xfId="20017" xr:uid="{DBD544FC-976C-46B8-B2E1-6E2ACA30F2A0}"/>
    <cellStyle name="Normal 5 2 2 5 2 3" xfId="5210" xr:uid="{00000000-0005-0000-0000-000012180000}"/>
    <cellStyle name="Normal 5 2 2 5 2 3 2" xfId="13652" xr:uid="{EDF36955-0BA6-457C-A72B-9F15C976A44D}"/>
    <cellStyle name="Normal 5 2 2 5 2 3 3" xfId="22089" xr:uid="{22C961C5-4A6F-4F9D-99CB-CA112D29576C}"/>
    <cellStyle name="Normal 5 2 2 5 2 4" xfId="9434" xr:uid="{C74AC706-1364-460F-BE9B-137BD63474C8}"/>
    <cellStyle name="Normal 5 2 2 5 2 5" xfId="17872" xr:uid="{E75ED178-ED41-4949-981E-7DC2F75DDE82}"/>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85549FBC-195F-42F3-9E62-A0CF602EB81A}"/>
    <cellStyle name="Normal 5 2 2 5 3 2 2 3" xfId="24647" xr:uid="{F5F94D0B-4B44-4570-AF47-EDF8FE915C83}"/>
    <cellStyle name="Normal 5 2 2 5 3 2 3" xfId="11992" xr:uid="{685A54E9-48AB-4F0A-968D-1E5E96A171B2}"/>
    <cellStyle name="Normal 5 2 2 5 3 2 4" xfId="20430" xr:uid="{A645B898-864D-4076-B048-A8245218ED61}"/>
    <cellStyle name="Normal 5 2 2 5 3 3" xfId="5623" xr:uid="{00000000-0005-0000-0000-000016180000}"/>
    <cellStyle name="Normal 5 2 2 5 3 3 2" xfId="14065" xr:uid="{7245D4B9-EBB2-49BE-9C94-99B94B33CE27}"/>
    <cellStyle name="Normal 5 2 2 5 3 3 3" xfId="22502" xr:uid="{0AB8B200-7E7D-4D33-B577-F390D6AFC46B}"/>
    <cellStyle name="Normal 5 2 2 5 3 4" xfId="9847" xr:uid="{1778516E-6F07-4A8E-8C39-4BFDC3C70316}"/>
    <cellStyle name="Normal 5 2 2 5 3 5" xfId="18285" xr:uid="{1C94B30E-B7E5-4426-9D64-2EF696798451}"/>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B4BA96F2-CF39-4782-AF29-01B4969A327A}"/>
    <cellStyle name="Normal 5 2 2 5 4 2 2 3" xfId="25060" xr:uid="{9FDDEFB6-6A9D-4D78-B5F3-82CD8E9BE7C6}"/>
    <cellStyle name="Normal 5 2 2 5 4 2 3" xfId="12405" xr:uid="{C35C8923-CD7E-4165-AD3A-67768BD520D4}"/>
    <cellStyle name="Normal 5 2 2 5 4 2 4" xfId="20843" xr:uid="{D605AD1E-B721-4F12-B1DA-596E554BF5D1}"/>
    <cellStyle name="Normal 5 2 2 5 4 3" xfId="6036" xr:uid="{00000000-0005-0000-0000-00001A180000}"/>
    <cellStyle name="Normal 5 2 2 5 4 3 2" xfId="14478" xr:uid="{16C3C4B2-4541-4A67-8573-8B51A24E6A14}"/>
    <cellStyle name="Normal 5 2 2 5 4 3 3" xfId="22915" xr:uid="{F5340142-A3F9-4953-8F93-43B9C67D3F0C}"/>
    <cellStyle name="Normal 5 2 2 5 4 4" xfId="10260" xr:uid="{5F378E98-C254-414A-9ACB-86FAE2A5624A}"/>
    <cellStyle name="Normal 5 2 2 5 4 5" xfId="18698" xr:uid="{B45655DB-1121-4C71-9B86-9C1D22ACB07F}"/>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2352B0F7-8987-464C-BC14-A4E32494E4B8}"/>
    <cellStyle name="Normal 5 2 2 5 5 2 2 3" xfId="25473" xr:uid="{3282C1A7-BA44-4E44-B2F8-FB8AF90E7734}"/>
    <cellStyle name="Normal 5 2 2 5 5 2 3" xfId="12818" xr:uid="{DB399FD0-4847-4181-83F4-EE3D0F77E594}"/>
    <cellStyle name="Normal 5 2 2 5 5 2 4" xfId="21256" xr:uid="{309F9897-2D47-4A01-A7C3-92C7989BC48C}"/>
    <cellStyle name="Normal 5 2 2 5 5 3" xfId="6449" xr:uid="{00000000-0005-0000-0000-00001E180000}"/>
    <cellStyle name="Normal 5 2 2 5 5 3 2" xfId="14891" xr:uid="{170109FE-026B-4898-A683-681A4DB3887D}"/>
    <cellStyle name="Normal 5 2 2 5 5 3 3" xfId="23328" xr:uid="{5FED2B7E-0E55-43F6-8260-2403FB1F08AA}"/>
    <cellStyle name="Normal 5 2 2 5 5 4" xfId="10673" xr:uid="{E2D66CBB-2E79-43AE-8305-AA1365D251A4}"/>
    <cellStyle name="Normal 5 2 2 5 5 5" xfId="19111" xr:uid="{2C52F465-51A6-48DA-B846-19A607664EC1}"/>
    <cellStyle name="Normal 5 2 2 5 6" xfId="2578" xr:uid="{00000000-0005-0000-0000-00001F180000}"/>
    <cellStyle name="Normal 5 2 2 5 6 2" xfId="6862" xr:uid="{00000000-0005-0000-0000-000020180000}"/>
    <cellStyle name="Normal 5 2 2 5 6 2 2" xfId="15304" xr:uid="{A3830C68-E5BF-4EE1-ABE1-11E6883A2727}"/>
    <cellStyle name="Normal 5 2 2 5 6 2 3" xfId="23741" xr:uid="{31034A89-4D62-469C-9592-D0E878375460}"/>
    <cellStyle name="Normal 5 2 2 5 6 3" xfId="11086" xr:uid="{CE3E321A-5892-400D-B765-66F48AACA9F4}"/>
    <cellStyle name="Normal 5 2 2 5 6 4" xfId="19524" xr:uid="{824F29BD-4553-4442-98EE-3BD40B93A19B}"/>
    <cellStyle name="Normal 5 2 2 5 7" xfId="4797" xr:uid="{00000000-0005-0000-0000-000021180000}"/>
    <cellStyle name="Normal 5 2 2 5 7 2" xfId="13239" xr:uid="{A63045A2-39E4-48CA-874D-4F2D80562BFC}"/>
    <cellStyle name="Normal 5 2 2 5 7 3" xfId="21676" xr:uid="{D2542B42-1A36-4748-A503-95D7F8322415}"/>
    <cellStyle name="Normal 5 2 2 5 8" xfId="9021" xr:uid="{1913ED18-86D8-49F0-8E1A-5F8524A0F59E}"/>
    <cellStyle name="Normal 5 2 2 5 9" xfId="17459" xr:uid="{E1D46D46-A87D-4493-AD11-1B3DDD9F1A81}"/>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CF2F6921-D299-4732-9384-8D9AC323EC9D}"/>
    <cellStyle name="Normal 5 2 2 6 2 2 3" xfId="24219" xr:uid="{FDAE74CB-68CD-42F7-A7A1-18FF2C9F927E}"/>
    <cellStyle name="Normal 5 2 2 6 2 3" xfId="11564" xr:uid="{AB0A20CF-217C-49D4-82BF-82A16A4C8A92}"/>
    <cellStyle name="Normal 5 2 2 6 2 4" xfId="20002" xr:uid="{35F083D1-328D-40E7-9F99-4EE2F4B764CF}"/>
    <cellStyle name="Normal 5 2 2 6 3" xfId="5195" xr:uid="{00000000-0005-0000-0000-000025180000}"/>
    <cellStyle name="Normal 5 2 2 6 3 2" xfId="13637" xr:uid="{D662B573-5B9D-4376-B75E-7EF95F8DDA49}"/>
    <cellStyle name="Normal 5 2 2 6 3 3" xfId="22074" xr:uid="{1D2DBE3B-4E9F-40FD-92B0-667BF9392018}"/>
    <cellStyle name="Normal 5 2 2 6 4" xfId="9419" xr:uid="{F59C61F9-761A-406C-A834-E7DC04A16134}"/>
    <cellStyle name="Normal 5 2 2 6 5" xfId="17857" xr:uid="{EEA1B750-63F6-456E-95BF-EA32D55F6847}"/>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7BDA74CC-9226-433E-B0B1-5366E544D4E4}"/>
    <cellStyle name="Normal 5 2 2 7 2 2 3" xfId="24632" xr:uid="{64E48681-83E7-405F-8D81-99A8EE61BDF4}"/>
    <cellStyle name="Normal 5 2 2 7 2 3" xfId="11977" xr:uid="{244FEAB9-198B-48AB-8795-86B20DBE0331}"/>
    <cellStyle name="Normal 5 2 2 7 2 4" xfId="20415" xr:uid="{AD1500F5-2CD4-4C97-B2E5-5B84DFC6213B}"/>
    <cellStyle name="Normal 5 2 2 7 3" xfId="5608" xr:uid="{00000000-0005-0000-0000-000029180000}"/>
    <cellStyle name="Normal 5 2 2 7 3 2" xfId="14050" xr:uid="{A406D6D5-9B33-4E7D-A7C3-D05D42128590}"/>
    <cellStyle name="Normal 5 2 2 7 3 3" xfId="22487" xr:uid="{92E71461-F032-4D13-A02C-3409AABBA019}"/>
    <cellStyle name="Normal 5 2 2 7 4" xfId="9832" xr:uid="{1FC7FC5A-EBAA-4086-A73A-75D852FA6F4D}"/>
    <cellStyle name="Normal 5 2 2 7 5" xfId="18270" xr:uid="{2705D9A1-B87A-4B8D-B61F-EBE91A617FF3}"/>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38024368-7073-4B56-81D5-A0FAE7CF9B9F}"/>
    <cellStyle name="Normal 5 2 2 8 2 2 3" xfId="25045" xr:uid="{EBD71E29-99B3-4F08-8642-47ADF87AC3FA}"/>
    <cellStyle name="Normal 5 2 2 8 2 3" xfId="12390" xr:uid="{E1B04A59-C1ED-4BD1-A4AB-8C744C72EBCA}"/>
    <cellStyle name="Normal 5 2 2 8 2 4" xfId="20828" xr:uid="{8028C422-A2B7-449F-8F31-8D6C5A22B126}"/>
    <cellStyle name="Normal 5 2 2 8 3" xfId="6021" xr:uid="{00000000-0005-0000-0000-00002D180000}"/>
    <cellStyle name="Normal 5 2 2 8 3 2" xfId="14463" xr:uid="{C8A122F6-9A1E-4E0B-B277-7F84429DF57B}"/>
    <cellStyle name="Normal 5 2 2 8 3 3" xfId="22900" xr:uid="{D3C0BE0B-310F-455D-895B-065D6EB490A1}"/>
    <cellStyle name="Normal 5 2 2 8 4" xfId="10245" xr:uid="{1FDDFC77-0E61-403F-B82B-33A79D2D87BC}"/>
    <cellStyle name="Normal 5 2 2 8 5" xfId="18683" xr:uid="{7FDAF6CF-3948-4D46-B6AF-5D4C79FBA672}"/>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745E8E9D-22A8-4485-B049-670DCFD4EFEC}"/>
    <cellStyle name="Normal 5 2 2 9 2 2 3" xfId="25458" xr:uid="{0FF2C5B0-4BDA-453C-9BC4-0B4908E77A0A}"/>
    <cellStyle name="Normal 5 2 2 9 2 3" xfId="12803" xr:uid="{25E057C7-E07D-4D99-B754-3749951EC31B}"/>
    <cellStyle name="Normal 5 2 2 9 2 4" xfId="21241" xr:uid="{8D1354DF-E697-47C4-BC77-A7456E4A47F1}"/>
    <cellStyle name="Normal 5 2 2 9 3" xfId="6434" xr:uid="{00000000-0005-0000-0000-000031180000}"/>
    <cellStyle name="Normal 5 2 2 9 3 2" xfId="14876" xr:uid="{F649B87E-84B0-4838-9071-8EE364CFDD79}"/>
    <cellStyle name="Normal 5 2 2 9 3 3" xfId="23313" xr:uid="{04710EB4-297D-4429-997B-08B50102C90D}"/>
    <cellStyle name="Normal 5 2 2 9 4" xfId="10658" xr:uid="{8502F157-3AA0-4D75-91E2-4B87FE0A2AE7}"/>
    <cellStyle name="Normal 5 2 2 9 5" xfId="19096" xr:uid="{2D665AE8-813C-49BA-8743-6D40F34CED59}"/>
    <cellStyle name="Normal 5 2 3" xfId="424" xr:uid="{00000000-0005-0000-0000-000032180000}"/>
    <cellStyle name="Normal 5 2 3 10" xfId="4798" xr:uid="{00000000-0005-0000-0000-000033180000}"/>
    <cellStyle name="Normal 5 2 3 10 2" xfId="13240" xr:uid="{E00081DE-4DC9-43A3-AFE2-44BFAA15F9B9}"/>
    <cellStyle name="Normal 5 2 3 10 3" xfId="21677" xr:uid="{DC67E7BB-2788-4EBC-B6B1-047BCC5B0B42}"/>
    <cellStyle name="Normal 5 2 3 11" xfId="9022" xr:uid="{C323E9F9-CD00-459E-A189-41691279B9C7}"/>
    <cellStyle name="Normal 5 2 3 12" xfId="17460" xr:uid="{E790D785-8A5B-4F07-9CEB-95C83C4A3FFB}"/>
    <cellStyle name="Normal 5 2 3 2" xfId="425" xr:uid="{00000000-0005-0000-0000-000034180000}"/>
    <cellStyle name="Normal 5 2 3 2 10" xfId="9023" xr:uid="{FA887B40-B002-420B-A1FE-B00BC76DD732}"/>
    <cellStyle name="Normal 5 2 3 2 11" xfId="17461" xr:uid="{58AD8231-78EA-4104-95DC-D5B47C013F89}"/>
    <cellStyle name="Normal 5 2 3 2 2" xfId="426" xr:uid="{00000000-0005-0000-0000-000035180000}"/>
    <cellStyle name="Normal 5 2 3 2 2 10" xfId="17462" xr:uid="{D9560744-EDE3-418E-A873-79A4BE52398A}"/>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DA4B34B8-16D3-4C6A-A3B6-013EEF162AC2}"/>
    <cellStyle name="Normal 5 2 3 2 2 2 2 2 2 3" xfId="24238" xr:uid="{4A6B8165-937C-4683-970F-1A5E458F4CA3}"/>
    <cellStyle name="Normal 5 2 3 2 2 2 2 2 3" xfId="11583" xr:uid="{6335F660-A3D8-4AB2-8691-FA2BF2A6A997}"/>
    <cellStyle name="Normal 5 2 3 2 2 2 2 2 4" xfId="20021" xr:uid="{D71BB304-08A5-4F72-B182-2BFA2A766D7D}"/>
    <cellStyle name="Normal 5 2 3 2 2 2 2 3" xfId="5214" xr:uid="{00000000-0005-0000-0000-00003A180000}"/>
    <cellStyle name="Normal 5 2 3 2 2 2 2 3 2" xfId="13656" xr:uid="{A5CA1EA8-D543-4D5F-ACD4-BD55EA97B8B8}"/>
    <cellStyle name="Normal 5 2 3 2 2 2 2 3 3" xfId="22093" xr:uid="{8B0E4DF1-1C8C-4BC7-9823-775FE01AFFAC}"/>
    <cellStyle name="Normal 5 2 3 2 2 2 2 4" xfId="9438" xr:uid="{D87B4F9A-3DE4-4A70-88C1-2031F302E6D3}"/>
    <cellStyle name="Normal 5 2 3 2 2 2 2 5" xfId="17876" xr:uid="{6C6B2DB2-5046-42C0-A8EC-410F4ED2A548}"/>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A9212FC0-4D2C-4F70-811F-C1A8F8B9B963}"/>
    <cellStyle name="Normal 5 2 3 2 2 2 3 2 2 3" xfId="24651" xr:uid="{499F6155-88BB-418D-AEFF-55555AFAE66D}"/>
    <cellStyle name="Normal 5 2 3 2 2 2 3 2 3" xfId="11996" xr:uid="{5E6E9E5E-C7CD-46A3-A8A1-57E3CAFA0586}"/>
    <cellStyle name="Normal 5 2 3 2 2 2 3 2 4" xfId="20434" xr:uid="{E6FEF51E-CEF4-4DF9-9E8D-30DD635FBCBF}"/>
    <cellStyle name="Normal 5 2 3 2 2 2 3 3" xfId="5627" xr:uid="{00000000-0005-0000-0000-00003E180000}"/>
    <cellStyle name="Normal 5 2 3 2 2 2 3 3 2" xfId="14069" xr:uid="{1C3D419C-F7C3-403B-BE3D-2AD7DE0E6367}"/>
    <cellStyle name="Normal 5 2 3 2 2 2 3 3 3" xfId="22506" xr:uid="{36AFDC72-A2FA-4E47-8DF0-3EA16C21AACE}"/>
    <cellStyle name="Normal 5 2 3 2 2 2 3 4" xfId="9851" xr:uid="{34ACAB56-04FB-4750-B7A4-C70DE7C6C7E9}"/>
    <cellStyle name="Normal 5 2 3 2 2 2 3 5" xfId="18289" xr:uid="{D8E209A1-13C0-4D0D-ADE1-7CCD565E3993}"/>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2E1DEC89-A860-43EF-A0E5-56EFFD2D7873}"/>
    <cellStyle name="Normal 5 2 3 2 2 2 4 2 2 3" xfId="25064" xr:uid="{4E89286F-9ADF-48E3-9C0C-33E919664B96}"/>
    <cellStyle name="Normal 5 2 3 2 2 2 4 2 3" xfId="12409" xr:uid="{79E6CDB9-010B-4AF1-8C78-61E25A8855C2}"/>
    <cellStyle name="Normal 5 2 3 2 2 2 4 2 4" xfId="20847" xr:uid="{6B524E66-B7C4-49A9-A200-DC6B67C1980A}"/>
    <cellStyle name="Normal 5 2 3 2 2 2 4 3" xfId="6040" xr:uid="{00000000-0005-0000-0000-000042180000}"/>
    <cellStyle name="Normal 5 2 3 2 2 2 4 3 2" xfId="14482" xr:uid="{4645C575-8EAF-4929-B659-A4E25CBCCC8A}"/>
    <cellStyle name="Normal 5 2 3 2 2 2 4 3 3" xfId="22919" xr:uid="{57CFB831-C232-45DA-AB5D-C29BB1E4EF40}"/>
    <cellStyle name="Normal 5 2 3 2 2 2 4 4" xfId="10264" xr:uid="{E4455FC0-2B05-4BDF-A4A7-9DA120BF09E0}"/>
    <cellStyle name="Normal 5 2 3 2 2 2 4 5" xfId="18702" xr:uid="{63091991-95D8-4C8B-8305-42D4C853FB9F}"/>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433BF512-ACFB-43FB-975D-387A2ADDBB30}"/>
    <cellStyle name="Normal 5 2 3 2 2 2 5 2 2 3" xfId="25477" xr:uid="{15E56F1C-D579-425F-AC75-A5831E1FF5D7}"/>
    <cellStyle name="Normal 5 2 3 2 2 2 5 2 3" xfId="12822" xr:uid="{449E6E28-70BD-4BBD-A993-798C0EEA77E6}"/>
    <cellStyle name="Normal 5 2 3 2 2 2 5 2 4" xfId="21260" xr:uid="{3639E601-D202-476D-869C-87EDF75697A6}"/>
    <cellStyle name="Normal 5 2 3 2 2 2 5 3" xfId="6453" xr:uid="{00000000-0005-0000-0000-000046180000}"/>
    <cellStyle name="Normal 5 2 3 2 2 2 5 3 2" xfId="14895" xr:uid="{A73A200C-A298-418E-B535-CB15E63A3A20}"/>
    <cellStyle name="Normal 5 2 3 2 2 2 5 3 3" xfId="23332" xr:uid="{A3C410DB-79E4-4799-8762-2ABAC8B364EA}"/>
    <cellStyle name="Normal 5 2 3 2 2 2 5 4" xfId="10677" xr:uid="{545E8FEE-20B5-4F6A-9E90-F4371169CE8C}"/>
    <cellStyle name="Normal 5 2 3 2 2 2 5 5" xfId="19115" xr:uid="{480DFFEB-DF38-4E37-8364-2143EF67DCE0}"/>
    <cellStyle name="Normal 5 2 3 2 2 2 6" xfId="2582" xr:uid="{00000000-0005-0000-0000-000047180000}"/>
    <cellStyle name="Normal 5 2 3 2 2 2 6 2" xfId="6866" xr:uid="{00000000-0005-0000-0000-000048180000}"/>
    <cellStyle name="Normal 5 2 3 2 2 2 6 2 2" xfId="15308" xr:uid="{C6CB89CD-3236-4035-874D-65928B05B35B}"/>
    <cellStyle name="Normal 5 2 3 2 2 2 6 2 3" xfId="23745" xr:uid="{27AB6CFD-644B-4262-801C-EEF68041EE75}"/>
    <cellStyle name="Normal 5 2 3 2 2 2 6 3" xfId="11090" xr:uid="{3380F0F1-FEC0-4582-A273-4A91B7F548AB}"/>
    <cellStyle name="Normal 5 2 3 2 2 2 6 4" xfId="19528" xr:uid="{A46BE828-C005-4182-97E7-7DB1DB98E8D4}"/>
    <cellStyle name="Normal 5 2 3 2 2 2 7" xfId="4801" xr:uid="{00000000-0005-0000-0000-000049180000}"/>
    <cellStyle name="Normal 5 2 3 2 2 2 7 2" xfId="13243" xr:uid="{3499C9D9-4442-40EC-BB29-28C0265DC706}"/>
    <cellStyle name="Normal 5 2 3 2 2 2 7 3" xfId="21680" xr:uid="{0E7219AB-C3E2-4B90-8AC2-0C8D8203F8C8}"/>
    <cellStyle name="Normal 5 2 3 2 2 2 8" xfId="9025" xr:uid="{C886A4C5-FDD5-4DAC-8B67-50A52D7549ED}"/>
    <cellStyle name="Normal 5 2 3 2 2 2 9" xfId="17463" xr:uid="{BF70D216-0699-4DC8-BA97-B545029CD042}"/>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5EF627E8-58CB-4D40-ADAE-4B6C8EA90C77}"/>
    <cellStyle name="Normal 5 2 3 2 2 3 2 2 3" xfId="24237" xr:uid="{FEC04685-4BC3-4F3B-94B0-07E4490F3974}"/>
    <cellStyle name="Normal 5 2 3 2 2 3 2 3" xfId="11582" xr:uid="{810BE87C-F71F-494D-8B20-376D32A25591}"/>
    <cellStyle name="Normal 5 2 3 2 2 3 2 4" xfId="20020" xr:uid="{FE6E8862-4AD8-472C-8383-45C735A88F02}"/>
    <cellStyle name="Normal 5 2 3 2 2 3 3" xfId="5213" xr:uid="{00000000-0005-0000-0000-00004D180000}"/>
    <cellStyle name="Normal 5 2 3 2 2 3 3 2" xfId="13655" xr:uid="{806B9CA9-2CD6-4117-AC69-EC44AF3D4E23}"/>
    <cellStyle name="Normal 5 2 3 2 2 3 3 3" xfId="22092" xr:uid="{83D6CC50-C847-4637-8BB3-77101CCC086B}"/>
    <cellStyle name="Normal 5 2 3 2 2 3 4" xfId="9437" xr:uid="{A29F4499-3A26-44B3-8752-6A50831E14EA}"/>
    <cellStyle name="Normal 5 2 3 2 2 3 5" xfId="17875" xr:uid="{4E845BEB-CEEF-4F5C-A681-D2FAB074584B}"/>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980C523E-625E-4633-97B9-761CD6E44105}"/>
    <cellStyle name="Normal 5 2 3 2 2 4 2 2 3" xfId="24650" xr:uid="{C049F009-342F-4163-9EC4-8E348F56C81B}"/>
    <cellStyle name="Normal 5 2 3 2 2 4 2 3" xfId="11995" xr:uid="{B1DE709C-F32D-4D20-9A3E-0054F7BDB0D6}"/>
    <cellStyle name="Normal 5 2 3 2 2 4 2 4" xfId="20433" xr:uid="{4291C19F-CC3D-46B8-81E8-FC8B77EA021B}"/>
    <cellStyle name="Normal 5 2 3 2 2 4 3" xfId="5626" xr:uid="{00000000-0005-0000-0000-000051180000}"/>
    <cellStyle name="Normal 5 2 3 2 2 4 3 2" xfId="14068" xr:uid="{7ED4B1AB-7B98-42F6-A8BF-C5FF512D83CA}"/>
    <cellStyle name="Normal 5 2 3 2 2 4 3 3" xfId="22505" xr:uid="{B9AE4475-071C-4D72-A607-C6BFB39191A3}"/>
    <cellStyle name="Normal 5 2 3 2 2 4 4" xfId="9850" xr:uid="{EE03969F-16DD-4426-8CDC-92DF54416DFA}"/>
    <cellStyle name="Normal 5 2 3 2 2 4 5" xfId="18288" xr:uid="{DCD5A440-5DC1-4C4F-8EAC-7F43CE4724A7}"/>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3A384630-9C1D-4638-9D37-70D13D35D74D}"/>
    <cellStyle name="Normal 5 2 3 2 2 5 2 2 3" xfId="25063" xr:uid="{961B3AE0-C91B-451D-B115-C0FEB2F6E74B}"/>
    <cellStyle name="Normal 5 2 3 2 2 5 2 3" xfId="12408" xr:uid="{EBA5FFBE-A06F-401B-A177-ECD8BF292FC0}"/>
    <cellStyle name="Normal 5 2 3 2 2 5 2 4" xfId="20846" xr:uid="{4A32A63B-F703-4328-B3C3-1BE0EDB7A582}"/>
    <cellStyle name="Normal 5 2 3 2 2 5 3" xfId="6039" xr:uid="{00000000-0005-0000-0000-000055180000}"/>
    <cellStyle name="Normal 5 2 3 2 2 5 3 2" xfId="14481" xr:uid="{C586D590-AE66-4655-B46E-7E863FA655EA}"/>
    <cellStyle name="Normal 5 2 3 2 2 5 3 3" xfId="22918" xr:uid="{D572739F-83A1-4A90-99CF-B5424CF40F41}"/>
    <cellStyle name="Normal 5 2 3 2 2 5 4" xfId="10263" xr:uid="{EB1F1F34-038C-4245-8730-EF89C6F63CEE}"/>
    <cellStyle name="Normal 5 2 3 2 2 5 5" xfId="18701" xr:uid="{8570B6BF-4D5F-4221-90B8-9F7486771D42}"/>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DEE97381-D1F2-44A5-80DB-927C4C5F179A}"/>
    <cellStyle name="Normal 5 2 3 2 2 6 2 2 3" xfId="25476" xr:uid="{F684F888-8A80-4C70-AA57-5A6A225A913D}"/>
    <cellStyle name="Normal 5 2 3 2 2 6 2 3" xfId="12821" xr:uid="{5DCF0368-0A13-4951-AF77-9DC15D1584D2}"/>
    <cellStyle name="Normal 5 2 3 2 2 6 2 4" xfId="21259" xr:uid="{05F2CCD7-5382-4AB9-95A8-24FACD10DA13}"/>
    <cellStyle name="Normal 5 2 3 2 2 6 3" xfId="6452" xr:uid="{00000000-0005-0000-0000-000059180000}"/>
    <cellStyle name="Normal 5 2 3 2 2 6 3 2" xfId="14894" xr:uid="{9A43E509-0AEF-41ED-92ED-4FB9E0AE08E8}"/>
    <cellStyle name="Normal 5 2 3 2 2 6 3 3" xfId="23331" xr:uid="{1FB338D7-442D-437D-A970-54704ABF26DD}"/>
    <cellStyle name="Normal 5 2 3 2 2 6 4" xfId="10676" xr:uid="{E2CCA84D-1636-4615-A233-69BFCD0CDC44}"/>
    <cellStyle name="Normal 5 2 3 2 2 6 5" xfId="19114" xr:uid="{5831491F-7B9E-480F-B2A1-5FB425F21D09}"/>
    <cellStyle name="Normal 5 2 3 2 2 7" xfId="2581" xr:uid="{00000000-0005-0000-0000-00005A180000}"/>
    <cellStyle name="Normal 5 2 3 2 2 7 2" xfId="6865" xr:uid="{00000000-0005-0000-0000-00005B180000}"/>
    <cellStyle name="Normal 5 2 3 2 2 7 2 2" xfId="15307" xr:uid="{594FF8E9-88DB-4E44-A090-F050429FC321}"/>
    <cellStyle name="Normal 5 2 3 2 2 7 2 3" xfId="23744" xr:uid="{4FF1DF17-F8FE-4F01-B0A5-771000D1B059}"/>
    <cellStyle name="Normal 5 2 3 2 2 7 3" xfId="11089" xr:uid="{B3D10972-EA96-4A68-9557-9BD313ED4979}"/>
    <cellStyle name="Normal 5 2 3 2 2 7 4" xfId="19527" xr:uid="{A95ABAF0-2302-4121-A49D-A185A51C3501}"/>
    <cellStyle name="Normal 5 2 3 2 2 8" xfId="4800" xr:uid="{00000000-0005-0000-0000-00005C180000}"/>
    <cellStyle name="Normal 5 2 3 2 2 8 2" xfId="13242" xr:uid="{5E299538-ED9F-4505-B168-ABC9E0405A91}"/>
    <cellStyle name="Normal 5 2 3 2 2 8 3" xfId="21679" xr:uid="{AF42107E-495C-4DA9-B6B7-1A1728461CAD}"/>
    <cellStyle name="Normal 5 2 3 2 2 9" xfId="9024" xr:uid="{DDD60A0F-ACDF-46D8-A8CC-82BCBCF3311C}"/>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9E777047-87CF-42E8-8AE6-D0A65E7644DB}"/>
    <cellStyle name="Normal 5 2 3 2 3 2 2 2 3" xfId="24239" xr:uid="{0237BE75-77C3-4ADB-9CE1-7558B55D9FBE}"/>
    <cellStyle name="Normal 5 2 3 2 3 2 2 3" xfId="11584" xr:uid="{CEDF88CA-8D6F-4A28-B80E-090C825C281B}"/>
    <cellStyle name="Normal 5 2 3 2 3 2 2 4" xfId="20022" xr:uid="{12F1BC17-83CB-4CF5-B82A-2D0E12A4B6C8}"/>
    <cellStyle name="Normal 5 2 3 2 3 2 3" xfId="5215" xr:uid="{00000000-0005-0000-0000-000061180000}"/>
    <cellStyle name="Normal 5 2 3 2 3 2 3 2" xfId="13657" xr:uid="{ADE0879E-C130-4507-A7CD-180D32665AEB}"/>
    <cellStyle name="Normal 5 2 3 2 3 2 3 3" xfId="22094" xr:uid="{958F7437-461A-46AF-B218-7F31AE9CBBE2}"/>
    <cellStyle name="Normal 5 2 3 2 3 2 4" xfId="9439" xr:uid="{932A8AB1-CB09-44BA-BB1D-377D29FE9733}"/>
    <cellStyle name="Normal 5 2 3 2 3 2 5" xfId="17877" xr:uid="{B05D7E1A-4FBF-45E7-9F00-25725209C50D}"/>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8CF7FCFA-7B65-4075-A7FB-AE9514B102DF}"/>
    <cellStyle name="Normal 5 2 3 2 3 3 2 2 3" xfId="24652" xr:uid="{EEDD7BCB-7CDC-472A-BA30-B11D589BF85E}"/>
    <cellStyle name="Normal 5 2 3 2 3 3 2 3" xfId="11997" xr:uid="{3191C1E2-74C0-4744-B671-7D25B8021B8A}"/>
    <cellStyle name="Normal 5 2 3 2 3 3 2 4" xfId="20435" xr:uid="{C5F228BC-38A3-48EB-B67F-E5B3FDABD6D1}"/>
    <cellStyle name="Normal 5 2 3 2 3 3 3" xfId="5628" xr:uid="{00000000-0005-0000-0000-000065180000}"/>
    <cellStyle name="Normal 5 2 3 2 3 3 3 2" xfId="14070" xr:uid="{460E5CA9-68BB-4B42-959F-8EBA1BC80B00}"/>
    <cellStyle name="Normal 5 2 3 2 3 3 3 3" xfId="22507" xr:uid="{C8650A44-C0FB-464B-AC98-F451CB06FEE6}"/>
    <cellStyle name="Normal 5 2 3 2 3 3 4" xfId="9852" xr:uid="{BEF5F6CF-D176-4404-BCF7-3DFB4CAE69EE}"/>
    <cellStyle name="Normal 5 2 3 2 3 3 5" xfId="18290" xr:uid="{C470E2BB-5992-4993-B337-CAE140FCA5C3}"/>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C8CE48BE-DEA4-452C-8426-1ADAC7BFEF73}"/>
    <cellStyle name="Normal 5 2 3 2 3 4 2 2 3" xfId="25065" xr:uid="{E2522D0C-94D9-4EBF-959F-763BB237A3AA}"/>
    <cellStyle name="Normal 5 2 3 2 3 4 2 3" xfId="12410" xr:uid="{98B42876-73AD-46E3-87B5-31D20F1BCB47}"/>
    <cellStyle name="Normal 5 2 3 2 3 4 2 4" xfId="20848" xr:uid="{F713EB8E-E2ED-411C-9D55-4EDBDF7C3F0D}"/>
    <cellStyle name="Normal 5 2 3 2 3 4 3" xfId="6041" xr:uid="{00000000-0005-0000-0000-000069180000}"/>
    <cellStyle name="Normal 5 2 3 2 3 4 3 2" xfId="14483" xr:uid="{E4570307-0E59-4478-AB17-CA740BC55B5E}"/>
    <cellStyle name="Normal 5 2 3 2 3 4 3 3" xfId="22920" xr:uid="{7E325447-A4D7-45B6-9C9B-1F3EEF1324FC}"/>
    <cellStyle name="Normal 5 2 3 2 3 4 4" xfId="10265" xr:uid="{EB23CF93-8573-4450-8569-5E4506D68FC1}"/>
    <cellStyle name="Normal 5 2 3 2 3 4 5" xfId="18703" xr:uid="{837DE09F-1C62-45E6-8B0B-540D07E660AB}"/>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B5B72142-1E29-4FA3-A124-077371401581}"/>
    <cellStyle name="Normal 5 2 3 2 3 5 2 2 3" xfId="25478" xr:uid="{E9B9288F-96C6-429F-8B5D-40AAB61EE3A2}"/>
    <cellStyle name="Normal 5 2 3 2 3 5 2 3" xfId="12823" xr:uid="{6C439620-BFDA-4C37-A322-3836D8E422A2}"/>
    <cellStyle name="Normal 5 2 3 2 3 5 2 4" xfId="21261" xr:uid="{917189E0-8A78-4C89-87AD-D1AC346C03C5}"/>
    <cellStyle name="Normal 5 2 3 2 3 5 3" xfId="6454" xr:uid="{00000000-0005-0000-0000-00006D180000}"/>
    <cellStyle name="Normal 5 2 3 2 3 5 3 2" xfId="14896" xr:uid="{04A14F28-28C7-4B9C-A266-FFCB6484B51F}"/>
    <cellStyle name="Normal 5 2 3 2 3 5 3 3" xfId="23333" xr:uid="{31C3DB6B-E33C-433B-8BF6-D6D7593B6D93}"/>
    <cellStyle name="Normal 5 2 3 2 3 5 4" xfId="10678" xr:uid="{9F281222-E52C-4CEB-A27D-5270AE760374}"/>
    <cellStyle name="Normal 5 2 3 2 3 5 5" xfId="19116" xr:uid="{7E64323B-096D-4837-A342-7D58BC1B8036}"/>
    <cellStyle name="Normal 5 2 3 2 3 6" xfId="2583" xr:uid="{00000000-0005-0000-0000-00006E180000}"/>
    <cellStyle name="Normal 5 2 3 2 3 6 2" xfId="6867" xr:uid="{00000000-0005-0000-0000-00006F180000}"/>
    <cellStyle name="Normal 5 2 3 2 3 6 2 2" xfId="15309" xr:uid="{2496740A-7FBD-4286-9EA0-98A7BB9CF957}"/>
    <cellStyle name="Normal 5 2 3 2 3 6 2 3" xfId="23746" xr:uid="{7EBCAB96-30AE-44BB-837D-08CCC1D0C413}"/>
    <cellStyle name="Normal 5 2 3 2 3 6 3" xfId="11091" xr:uid="{1BC88503-CDAA-45EC-8B28-C0D3FB5504D8}"/>
    <cellStyle name="Normal 5 2 3 2 3 6 4" xfId="19529" xr:uid="{BC395B64-53E5-43B7-B44B-70862BEEA7FA}"/>
    <cellStyle name="Normal 5 2 3 2 3 7" xfId="4802" xr:uid="{00000000-0005-0000-0000-000070180000}"/>
    <cellStyle name="Normal 5 2 3 2 3 7 2" xfId="13244" xr:uid="{88832611-2921-49D7-8062-B171DBC1F8C4}"/>
    <cellStyle name="Normal 5 2 3 2 3 7 3" xfId="21681" xr:uid="{44E1B07A-0802-4675-A806-30CD92A97FD7}"/>
    <cellStyle name="Normal 5 2 3 2 3 8" xfId="9026" xr:uid="{900C4AEA-30FA-4C7C-9F07-C92525A45F24}"/>
    <cellStyle name="Normal 5 2 3 2 3 9" xfId="17464" xr:uid="{2A8280DD-13EA-47DB-898D-82DE031AEDCA}"/>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14F877F3-4A01-462E-84C1-96C44A3E68DB}"/>
    <cellStyle name="Normal 5 2 3 2 4 2 2 3" xfId="24236" xr:uid="{E5A0D76A-7D74-4933-A2CB-2FD715404ECF}"/>
    <cellStyle name="Normal 5 2 3 2 4 2 3" xfId="11581" xr:uid="{72374860-E4CB-4038-9F93-71E51E1AE334}"/>
    <cellStyle name="Normal 5 2 3 2 4 2 4" xfId="20019" xr:uid="{49CE483B-1BA8-43FF-A490-3EEC15C0D328}"/>
    <cellStyle name="Normal 5 2 3 2 4 3" xfId="5212" xr:uid="{00000000-0005-0000-0000-000074180000}"/>
    <cellStyle name="Normal 5 2 3 2 4 3 2" xfId="13654" xr:uid="{CF660FC8-0417-4BC6-AD73-BCCF3CF5376A}"/>
    <cellStyle name="Normal 5 2 3 2 4 3 3" xfId="22091" xr:uid="{37DF1157-AD8A-4948-A81F-C847C9923A33}"/>
    <cellStyle name="Normal 5 2 3 2 4 4" xfId="9436" xr:uid="{1886FECE-1CAA-42A6-BA56-CBA575633B83}"/>
    <cellStyle name="Normal 5 2 3 2 4 5" xfId="17874" xr:uid="{6EF88319-C23D-47D5-A8DF-652923BF5CF6}"/>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F18AAD91-CACD-44EE-ABA3-E97C9562935A}"/>
    <cellStyle name="Normal 5 2 3 2 5 2 2 3" xfId="24649" xr:uid="{E53E3458-27DA-4105-B9B5-1D86DACCA738}"/>
    <cellStyle name="Normal 5 2 3 2 5 2 3" xfId="11994" xr:uid="{62110660-B532-40A0-8E47-DA3C64016555}"/>
    <cellStyle name="Normal 5 2 3 2 5 2 4" xfId="20432" xr:uid="{73540C31-492E-48D7-BADE-481842926C2B}"/>
    <cellStyle name="Normal 5 2 3 2 5 3" xfId="5625" xr:uid="{00000000-0005-0000-0000-000078180000}"/>
    <cellStyle name="Normal 5 2 3 2 5 3 2" xfId="14067" xr:uid="{9DC0E928-FAEF-4842-BA5B-880CCCA9CFE9}"/>
    <cellStyle name="Normal 5 2 3 2 5 3 3" xfId="22504" xr:uid="{BCBB9E25-5271-4DC2-ABED-B56E5433B015}"/>
    <cellStyle name="Normal 5 2 3 2 5 4" xfId="9849" xr:uid="{F826C142-87C0-4177-BA9B-4A7C44D22CE0}"/>
    <cellStyle name="Normal 5 2 3 2 5 5" xfId="18287" xr:uid="{E00B4E7B-F63D-4D5A-A436-862E6EA52722}"/>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AECD464E-46B1-4E66-81B7-E821D9D07851}"/>
    <cellStyle name="Normal 5 2 3 2 6 2 2 3" xfId="25062" xr:uid="{6E68D4EC-DF30-4897-B006-5C4DD21DDC33}"/>
    <cellStyle name="Normal 5 2 3 2 6 2 3" xfId="12407" xr:uid="{2CDE3707-73F3-4685-856A-A0C97BE4332F}"/>
    <cellStyle name="Normal 5 2 3 2 6 2 4" xfId="20845" xr:uid="{4FDDE6AF-30AB-40D2-8C04-0E6ADBDED582}"/>
    <cellStyle name="Normal 5 2 3 2 6 3" xfId="6038" xr:uid="{00000000-0005-0000-0000-00007C180000}"/>
    <cellStyle name="Normal 5 2 3 2 6 3 2" xfId="14480" xr:uid="{59268B28-7CCB-4E49-B705-9E0D824C0DEE}"/>
    <cellStyle name="Normal 5 2 3 2 6 3 3" xfId="22917" xr:uid="{5346DD9E-A00F-4E01-8F2C-430074BC5884}"/>
    <cellStyle name="Normal 5 2 3 2 6 4" xfId="10262" xr:uid="{D4FEFB3F-7E8D-4985-994E-D9FCEF54D070}"/>
    <cellStyle name="Normal 5 2 3 2 6 5" xfId="18700" xr:uid="{9E7C94B1-C8E5-48A8-A259-85D157C074D0}"/>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2D036251-20A9-400B-AA5A-7679CD55BF33}"/>
    <cellStyle name="Normal 5 2 3 2 7 2 2 3" xfId="25475" xr:uid="{C0162857-9512-48CD-A341-199B484D3BD5}"/>
    <cellStyle name="Normal 5 2 3 2 7 2 3" xfId="12820" xr:uid="{2076829C-80EE-425A-8DEF-714BBA1259B5}"/>
    <cellStyle name="Normal 5 2 3 2 7 2 4" xfId="21258" xr:uid="{A1DC10D9-5494-47A3-8C56-F08AA21489A2}"/>
    <cellStyle name="Normal 5 2 3 2 7 3" xfId="6451" xr:uid="{00000000-0005-0000-0000-000080180000}"/>
    <cellStyle name="Normal 5 2 3 2 7 3 2" xfId="14893" xr:uid="{5F0C7FAD-BFB6-49CA-9C0E-13B6093FAC6B}"/>
    <cellStyle name="Normal 5 2 3 2 7 3 3" xfId="23330" xr:uid="{68343864-F672-4250-B30F-A5F78613B0CB}"/>
    <cellStyle name="Normal 5 2 3 2 7 4" xfId="10675" xr:uid="{37B147C6-D0EA-4F16-AAF9-8219B34155CF}"/>
    <cellStyle name="Normal 5 2 3 2 7 5" xfId="19113" xr:uid="{9B63279E-4BA3-4E2F-AE57-F27329B5BA95}"/>
    <cellStyle name="Normal 5 2 3 2 8" xfId="2580" xr:uid="{00000000-0005-0000-0000-000081180000}"/>
    <cellStyle name="Normal 5 2 3 2 8 2" xfId="6864" xr:uid="{00000000-0005-0000-0000-000082180000}"/>
    <cellStyle name="Normal 5 2 3 2 8 2 2" xfId="15306" xr:uid="{067F380E-84BA-4291-BF89-CC1482497D34}"/>
    <cellStyle name="Normal 5 2 3 2 8 2 3" xfId="23743" xr:uid="{C31C3868-B6A2-4195-940F-EB0C56F83190}"/>
    <cellStyle name="Normal 5 2 3 2 8 3" xfId="11088" xr:uid="{0813B0FF-CC66-4685-9EFC-879EB369239B}"/>
    <cellStyle name="Normal 5 2 3 2 8 4" xfId="19526" xr:uid="{CE69A658-8CD6-40EF-BD59-04A840C7450B}"/>
    <cellStyle name="Normal 5 2 3 2 9" xfId="4799" xr:uid="{00000000-0005-0000-0000-000083180000}"/>
    <cellStyle name="Normal 5 2 3 2 9 2" xfId="13241" xr:uid="{C18B7D6B-D6C4-4E36-9499-97F00D99F245}"/>
    <cellStyle name="Normal 5 2 3 2 9 3" xfId="21678" xr:uid="{9C43B56B-DB59-4127-8D77-C117798F95C3}"/>
    <cellStyle name="Normal 5 2 3 3" xfId="429" xr:uid="{00000000-0005-0000-0000-000084180000}"/>
    <cellStyle name="Normal 5 2 3 3 10" xfId="17465" xr:uid="{891C33FF-3CB9-478B-984D-D27A579CC5DD}"/>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C295E3F1-148B-4BB6-B3CB-31075B0CA335}"/>
    <cellStyle name="Normal 5 2 3 3 2 2 2 2 3" xfId="24241" xr:uid="{0221430B-2151-4699-9589-6646B09317D2}"/>
    <cellStyle name="Normal 5 2 3 3 2 2 2 3" xfId="11586" xr:uid="{9237051B-AED4-4B7C-A183-D786D291476A}"/>
    <cellStyle name="Normal 5 2 3 3 2 2 2 4" xfId="20024" xr:uid="{6A0C3381-8694-481C-9AC4-FC5CF0C58BE0}"/>
    <cellStyle name="Normal 5 2 3 3 2 2 3" xfId="5217" xr:uid="{00000000-0005-0000-0000-000089180000}"/>
    <cellStyle name="Normal 5 2 3 3 2 2 3 2" xfId="13659" xr:uid="{38369F14-E477-4776-A07E-D101870B7EF6}"/>
    <cellStyle name="Normal 5 2 3 3 2 2 3 3" xfId="22096" xr:uid="{39EFA593-48B4-4E93-8FD6-2F0EE9ED7ABB}"/>
    <cellStyle name="Normal 5 2 3 3 2 2 4" xfId="9441" xr:uid="{A22E3F76-30AA-4FA5-8A69-AB0E8DE8D6CA}"/>
    <cellStyle name="Normal 5 2 3 3 2 2 5" xfId="17879" xr:uid="{3ABC9F9E-CB59-4939-8110-931EF63AE52C}"/>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0A0C1176-4DCE-4DE1-902A-A1C7062766D6}"/>
    <cellStyle name="Normal 5 2 3 3 2 3 2 2 3" xfId="24654" xr:uid="{3025F870-410A-4A0A-BCAD-2CBEF2B063E5}"/>
    <cellStyle name="Normal 5 2 3 3 2 3 2 3" xfId="11999" xr:uid="{A1EBBA6A-138E-4175-81AB-E1B658C57402}"/>
    <cellStyle name="Normal 5 2 3 3 2 3 2 4" xfId="20437" xr:uid="{FF6F573E-0D8D-44B8-8853-A1E4AD0EB23B}"/>
    <cellStyle name="Normal 5 2 3 3 2 3 3" xfId="5630" xr:uid="{00000000-0005-0000-0000-00008D180000}"/>
    <cellStyle name="Normal 5 2 3 3 2 3 3 2" xfId="14072" xr:uid="{E5437A2B-7D05-410C-B6BF-CF62FB1C279F}"/>
    <cellStyle name="Normal 5 2 3 3 2 3 3 3" xfId="22509" xr:uid="{9FD6C98E-D2F9-40EF-9EB5-A1BDF524AA73}"/>
    <cellStyle name="Normal 5 2 3 3 2 3 4" xfId="9854" xr:uid="{EB57A460-5BBD-4008-B947-FC063BCC07B7}"/>
    <cellStyle name="Normal 5 2 3 3 2 3 5" xfId="18292" xr:uid="{FEF09572-E6F9-414B-A544-97391198C6AC}"/>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6075F52F-D0B8-47FA-B0CF-A31E0432D24A}"/>
    <cellStyle name="Normal 5 2 3 3 2 4 2 2 3" xfId="25067" xr:uid="{3A8F1594-4CED-4C69-9773-8286B01C7183}"/>
    <cellStyle name="Normal 5 2 3 3 2 4 2 3" xfId="12412" xr:uid="{CB4189D7-BFFE-48E3-8AA6-E08E3668C4BC}"/>
    <cellStyle name="Normal 5 2 3 3 2 4 2 4" xfId="20850" xr:uid="{2F38777F-D9A9-461E-AEBA-4D52FF673D19}"/>
    <cellStyle name="Normal 5 2 3 3 2 4 3" xfId="6043" xr:uid="{00000000-0005-0000-0000-000091180000}"/>
    <cellStyle name="Normal 5 2 3 3 2 4 3 2" xfId="14485" xr:uid="{BF16C212-16B6-49F8-AD6D-F8773A99F9DF}"/>
    <cellStyle name="Normal 5 2 3 3 2 4 3 3" xfId="22922" xr:uid="{F64B8EFB-419C-44CB-809C-C03FD632D8F7}"/>
    <cellStyle name="Normal 5 2 3 3 2 4 4" xfId="10267" xr:uid="{03FC349A-3E04-490C-8262-405661FD11E1}"/>
    <cellStyle name="Normal 5 2 3 3 2 4 5" xfId="18705" xr:uid="{286E7CAD-DC45-4BA9-BF93-86879F7796B1}"/>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78836D65-AD3F-4481-B80F-95702B3A2CE9}"/>
    <cellStyle name="Normal 5 2 3 3 2 5 2 2 3" xfId="25480" xr:uid="{0AACF76B-9BAB-47BC-B2F0-ADBBBA5AAD08}"/>
    <cellStyle name="Normal 5 2 3 3 2 5 2 3" xfId="12825" xr:uid="{F4381CFE-900B-4C92-BCCD-260672A6C8CB}"/>
    <cellStyle name="Normal 5 2 3 3 2 5 2 4" xfId="21263" xr:uid="{C673C79E-3F7C-42CD-A28B-6C79AA2370E7}"/>
    <cellStyle name="Normal 5 2 3 3 2 5 3" xfId="6456" xr:uid="{00000000-0005-0000-0000-000095180000}"/>
    <cellStyle name="Normal 5 2 3 3 2 5 3 2" xfId="14898" xr:uid="{B55DE0ED-E083-4CA4-9B70-EAA5093A941C}"/>
    <cellStyle name="Normal 5 2 3 3 2 5 3 3" xfId="23335" xr:uid="{A9730161-25DC-4B8B-92AF-9B59D66D988E}"/>
    <cellStyle name="Normal 5 2 3 3 2 5 4" xfId="10680" xr:uid="{C01D078C-4DE3-4FD5-B647-C43F7D8C25A7}"/>
    <cellStyle name="Normal 5 2 3 3 2 5 5" xfId="19118" xr:uid="{8383CE86-7A1C-4CA3-B6C5-21A19D22E043}"/>
    <cellStyle name="Normal 5 2 3 3 2 6" xfId="2585" xr:uid="{00000000-0005-0000-0000-000096180000}"/>
    <cellStyle name="Normal 5 2 3 3 2 6 2" xfId="6869" xr:uid="{00000000-0005-0000-0000-000097180000}"/>
    <cellStyle name="Normal 5 2 3 3 2 6 2 2" xfId="15311" xr:uid="{8DDE6E03-2FBC-468D-829F-C645B318CE44}"/>
    <cellStyle name="Normal 5 2 3 3 2 6 2 3" xfId="23748" xr:uid="{BC475236-47B4-486A-88BB-BF04D68F7550}"/>
    <cellStyle name="Normal 5 2 3 3 2 6 3" xfId="11093" xr:uid="{06B17711-6D6B-4139-B1C5-74673BA7B5FD}"/>
    <cellStyle name="Normal 5 2 3 3 2 6 4" xfId="19531" xr:uid="{6FC6631C-FA30-48C0-BFCE-AC094C6E9585}"/>
    <cellStyle name="Normal 5 2 3 3 2 7" xfId="4804" xr:uid="{00000000-0005-0000-0000-000098180000}"/>
    <cellStyle name="Normal 5 2 3 3 2 7 2" xfId="13246" xr:uid="{07181CC5-3BB5-4CC5-98D5-9591D01662A7}"/>
    <cellStyle name="Normal 5 2 3 3 2 7 3" xfId="21683" xr:uid="{08BC1209-C240-41B4-A20E-364F19DFA14B}"/>
    <cellStyle name="Normal 5 2 3 3 2 8" xfId="9028" xr:uid="{0B41D483-E805-4821-969D-84F494D90C8C}"/>
    <cellStyle name="Normal 5 2 3 3 2 9" xfId="17466" xr:uid="{0D6B07A8-F375-4592-AD5A-39C587861771}"/>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5EED87C6-9025-4151-9624-7038C211203A}"/>
    <cellStyle name="Normal 5 2 3 3 3 2 2 3" xfId="24240" xr:uid="{5803BAB4-1018-43B7-BDAD-45583588B8C4}"/>
    <cellStyle name="Normal 5 2 3 3 3 2 3" xfId="11585" xr:uid="{0ACB6A06-1201-4339-9B8B-AB686D11CF9F}"/>
    <cellStyle name="Normal 5 2 3 3 3 2 4" xfId="20023" xr:uid="{50AACC12-3F98-4895-871B-BACA349FCF22}"/>
    <cellStyle name="Normal 5 2 3 3 3 3" xfId="5216" xr:uid="{00000000-0005-0000-0000-00009C180000}"/>
    <cellStyle name="Normal 5 2 3 3 3 3 2" xfId="13658" xr:uid="{79930531-CB9A-4EFC-A66E-CB4C30F5AF83}"/>
    <cellStyle name="Normal 5 2 3 3 3 3 3" xfId="22095" xr:uid="{10193BDD-3044-47AD-B419-179307AED5FE}"/>
    <cellStyle name="Normal 5 2 3 3 3 4" xfId="9440" xr:uid="{B2E0E0CD-9C39-465F-8D80-8D203DFE2DE0}"/>
    <cellStyle name="Normal 5 2 3 3 3 5" xfId="17878" xr:uid="{4DAF3FCB-CAB9-4CAF-955F-C79757196FE8}"/>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9D6A14CF-409C-455B-A449-44C3B59DD5B1}"/>
    <cellStyle name="Normal 5 2 3 3 4 2 2 3" xfId="24653" xr:uid="{6DB143FB-F120-4CDE-8D26-40917251E9C3}"/>
    <cellStyle name="Normal 5 2 3 3 4 2 3" xfId="11998" xr:uid="{F97D941F-F665-4C27-BCE3-97ABD0273E6E}"/>
    <cellStyle name="Normal 5 2 3 3 4 2 4" xfId="20436" xr:uid="{E797252B-56BC-47C0-9010-7F4E841E9010}"/>
    <cellStyle name="Normal 5 2 3 3 4 3" xfId="5629" xr:uid="{00000000-0005-0000-0000-0000A0180000}"/>
    <cellStyle name="Normal 5 2 3 3 4 3 2" xfId="14071" xr:uid="{7886F827-D6F9-49FD-889E-874687FAF2E1}"/>
    <cellStyle name="Normal 5 2 3 3 4 3 3" xfId="22508" xr:uid="{D04BC56A-DFB3-4CE6-9728-895FF39B3D7D}"/>
    <cellStyle name="Normal 5 2 3 3 4 4" xfId="9853" xr:uid="{407D92BE-8A20-4A15-AE73-DCE75DEAE4F6}"/>
    <cellStyle name="Normal 5 2 3 3 4 5" xfId="18291" xr:uid="{4FC5DEFC-260C-4D7F-A171-0109BCE304A1}"/>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1369A913-8467-425D-8AB4-8ECFA707471A}"/>
    <cellStyle name="Normal 5 2 3 3 5 2 2 3" xfId="25066" xr:uid="{E4CF614B-B264-4C59-9F88-5B651C77C965}"/>
    <cellStyle name="Normal 5 2 3 3 5 2 3" xfId="12411" xr:uid="{77A90952-72B5-4C7A-B58B-7E5A4FC46236}"/>
    <cellStyle name="Normal 5 2 3 3 5 2 4" xfId="20849" xr:uid="{AF945603-4A50-457A-A3A4-6C89E925C604}"/>
    <cellStyle name="Normal 5 2 3 3 5 3" xfId="6042" xr:uid="{00000000-0005-0000-0000-0000A4180000}"/>
    <cellStyle name="Normal 5 2 3 3 5 3 2" xfId="14484" xr:uid="{7A5453EC-A516-4FC6-8609-21CC2A39A68C}"/>
    <cellStyle name="Normal 5 2 3 3 5 3 3" xfId="22921" xr:uid="{CA8B4656-0305-4E86-9381-EAEEEF7FF600}"/>
    <cellStyle name="Normal 5 2 3 3 5 4" xfId="10266" xr:uid="{401DD313-CDC4-4D13-92E5-4D65A0A47EC6}"/>
    <cellStyle name="Normal 5 2 3 3 5 5" xfId="18704" xr:uid="{5F1FB1AF-386A-44E2-AE04-DBAAF1848DBB}"/>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7F730BFE-224A-4958-BC91-3CDE41E8EA3F}"/>
    <cellStyle name="Normal 5 2 3 3 6 2 2 3" xfId="25479" xr:uid="{96EB1BED-A878-497D-A3EC-8BE91686AC36}"/>
    <cellStyle name="Normal 5 2 3 3 6 2 3" xfId="12824" xr:uid="{F51D3A74-7ACA-44CB-A196-550369D958DF}"/>
    <cellStyle name="Normal 5 2 3 3 6 2 4" xfId="21262" xr:uid="{7D72F577-F11B-405C-BDFA-B7987792EF12}"/>
    <cellStyle name="Normal 5 2 3 3 6 3" xfId="6455" xr:uid="{00000000-0005-0000-0000-0000A8180000}"/>
    <cellStyle name="Normal 5 2 3 3 6 3 2" xfId="14897" xr:uid="{5DAB8250-5A85-46D4-99BD-7BD51EAC0959}"/>
    <cellStyle name="Normal 5 2 3 3 6 3 3" xfId="23334" xr:uid="{5A89CDB6-9469-4739-A0BB-768B2EEAD49E}"/>
    <cellStyle name="Normal 5 2 3 3 6 4" xfId="10679" xr:uid="{27522BF1-A9D9-48B3-A4A1-E64957E5722E}"/>
    <cellStyle name="Normal 5 2 3 3 6 5" xfId="19117" xr:uid="{4C0AC3FE-9145-4CBC-8AE1-9845F1C1259C}"/>
    <cellStyle name="Normal 5 2 3 3 7" xfId="2584" xr:uid="{00000000-0005-0000-0000-0000A9180000}"/>
    <cellStyle name="Normal 5 2 3 3 7 2" xfId="6868" xr:uid="{00000000-0005-0000-0000-0000AA180000}"/>
    <cellStyle name="Normal 5 2 3 3 7 2 2" xfId="15310" xr:uid="{7891A1A4-265D-48D8-B554-C62CE690F167}"/>
    <cellStyle name="Normal 5 2 3 3 7 2 3" xfId="23747" xr:uid="{3418315B-010C-415F-A37C-2DC2504DF266}"/>
    <cellStyle name="Normal 5 2 3 3 7 3" xfId="11092" xr:uid="{E62F41C3-BFA9-4406-80B1-9D30D2201F4B}"/>
    <cellStyle name="Normal 5 2 3 3 7 4" xfId="19530" xr:uid="{40D289D4-E609-43BF-8C92-BCB58C3DEA23}"/>
    <cellStyle name="Normal 5 2 3 3 8" xfId="4803" xr:uid="{00000000-0005-0000-0000-0000AB180000}"/>
    <cellStyle name="Normal 5 2 3 3 8 2" xfId="13245" xr:uid="{1B638333-715C-4E1C-B539-DD06850B7FF3}"/>
    <cellStyle name="Normal 5 2 3 3 8 3" xfId="21682" xr:uid="{1730DD5F-EBCC-4DE9-8A45-39676472893D}"/>
    <cellStyle name="Normal 5 2 3 3 9" xfId="9027" xr:uid="{10BCDAEE-E0D0-4180-9374-C90D5D5F4A9E}"/>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FD526A64-9B91-4E52-889E-F51822779395}"/>
    <cellStyle name="Normal 5 2 3 4 2 2 2 3" xfId="24242" xr:uid="{0D8344EA-6226-480A-B0F7-7D894BFD4107}"/>
    <cellStyle name="Normal 5 2 3 4 2 2 3" xfId="11587" xr:uid="{E32ED8D1-A05A-40AA-9A5A-307E2BFCD49D}"/>
    <cellStyle name="Normal 5 2 3 4 2 2 4" xfId="20025" xr:uid="{A1073213-79FC-48E6-BEE5-4D34D1C96066}"/>
    <cellStyle name="Normal 5 2 3 4 2 3" xfId="5218" xr:uid="{00000000-0005-0000-0000-0000B0180000}"/>
    <cellStyle name="Normal 5 2 3 4 2 3 2" xfId="13660" xr:uid="{68099827-8120-463F-B8F5-473877757692}"/>
    <cellStyle name="Normal 5 2 3 4 2 3 3" xfId="22097" xr:uid="{7ECB591E-2F92-4953-ABF3-5BD1FDA48EE8}"/>
    <cellStyle name="Normal 5 2 3 4 2 4" xfId="9442" xr:uid="{8BE84573-7BD7-4063-B478-F2382F96F0F2}"/>
    <cellStyle name="Normal 5 2 3 4 2 5" xfId="17880" xr:uid="{3AEA41A8-852C-4CCE-AFBB-7D1D9A364AF6}"/>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8DFD666F-983E-4653-ABC4-C70D17F754B7}"/>
    <cellStyle name="Normal 5 2 3 4 3 2 2 3" xfId="24655" xr:uid="{9689A935-23F6-4F0D-8FEB-94EB80DA3756}"/>
    <cellStyle name="Normal 5 2 3 4 3 2 3" xfId="12000" xr:uid="{0C307C7A-D949-4D53-88CD-5CE124078E1F}"/>
    <cellStyle name="Normal 5 2 3 4 3 2 4" xfId="20438" xr:uid="{5CBBE9E2-AD27-4879-A398-80E0DB82E7A3}"/>
    <cellStyle name="Normal 5 2 3 4 3 3" xfId="5631" xr:uid="{00000000-0005-0000-0000-0000B4180000}"/>
    <cellStyle name="Normal 5 2 3 4 3 3 2" xfId="14073" xr:uid="{EBB265DE-F34C-4EEA-B241-C9C35E722BEF}"/>
    <cellStyle name="Normal 5 2 3 4 3 3 3" xfId="22510" xr:uid="{B1FB5163-1181-4904-86CB-14E469FAF1A9}"/>
    <cellStyle name="Normal 5 2 3 4 3 4" xfId="9855" xr:uid="{DE178255-5CB2-4CCA-9772-E21A5A62691A}"/>
    <cellStyle name="Normal 5 2 3 4 3 5" xfId="18293" xr:uid="{16CF5BFB-904C-4626-90DF-4FF5741B7E7C}"/>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093C58C8-F081-4EA3-A029-EA11B372405A}"/>
    <cellStyle name="Normal 5 2 3 4 4 2 2 3" xfId="25068" xr:uid="{1375F099-54C7-4BE0-B6AE-DD34CDA0A3B4}"/>
    <cellStyle name="Normal 5 2 3 4 4 2 3" xfId="12413" xr:uid="{00D7CF33-F1D1-4BB4-AB5A-0EE1BCB211E5}"/>
    <cellStyle name="Normal 5 2 3 4 4 2 4" xfId="20851" xr:uid="{A50AE0F8-56FB-4966-9035-5FBA35CB8232}"/>
    <cellStyle name="Normal 5 2 3 4 4 3" xfId="6044" xr:uid="{00000000-0005-0000-0000-0000B8180000}"/>
    <cellStyle name="Normal 5 2 3 4 4 3 2" xfId="14486" xr:uid="{1B6514BA-C903-4C2B-819C-298111E134DE}"/>
    <cellStyle name="Normal 5 2 3 4 4 3 3" xfId="22923" xr:uid="{458B8A65-7540-4F6E-9907-82BF4AA70AFD}"/>
    <cellStyle name="Normal 5 2 3 4 4 4" xfId="10268" xr:uid="{3507123C-E6EF-44F2-9341-C450E5883B19}"/>
    <cellStyle name="Normal 5 2 3 4 4 5" xfId="18706" xr:uid="{1117AA64-911B-4B7E-9A17-A363289D730D}"/>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8120F58F-F93D-42CE-ABA1-27B85F817025}"/>
    <cellStyle name="Normal 5 2 3 4 5 2 2 3" xfId="25481" xr:uid="{3037ACD1-8349-4475-8550-B0A083FE00E2}"/>
    <cellStyle name="Normal 5 2 3 4 5 2 3" xfId="12826" xr:uid="{579641BF-01C6-413F-ADF6-9009E09F6668}"/>
    <cellStyle name="Normal 5 2 3 4 5 2 4" xfId="21264" xr:uid="{56E04697-66EA-41FF-AFD2-608CCB9EB899}"/>
    <cellStyle name="Normal 5 2 3 4 5 3" xfId="6457" xr:uid="{00000000-0005-0000-0000-0000BC180000}"/>
    <cellStyle name="Normal 5 2 3 4 5 3 2" xfId="14899" xr:uid="{EFB6E659-A286-4EAC-A83B-76164CAAEAB1}"/>
    <cellStyle name="Normal 5 2 3 4 5 3 3" xfId="23336" xr:uid="{998FB681-3501-4BC4-802A-5767683F98DB}"/>
    <cellStyle name="Normal 5 2 3 4 5 4" xfId="10681" xr:uid="{E3359A6F-FBCC-4C3F-BB49-B93BD68A848A}"/>
    <cellStyle name="Normal 5 2 3 4 5 5" xfId="19119" xr:uid="{60DED145-00FA-41B5-9ECF-07CA0AB57426}"/>
    <cellStyle name="Normal 5 2 3 4 6" xfId="2586" xr:uid="{00000000-0005-0000-0000-0000BD180000}"/>
    <cellStyle name="Normal 5 2 3 4 6 2" xfId="6870" xr:uid="{00000000-0005-0000-0000-0000BE180000}"/>
    <cellStyle name="Normal 5 2 3 4 6 2 2" xfId="15312" xr:uid="{AF09A163-5C11-4187-B4CC-1CFC399BD4EE}"/>
    <cellStyle name="Normal 5 2 3 4 6 2 3" xfId="23749" xr:uid="{9C0A7E81-F1E0-42BC-9CE7-124DAA6E58D9}"/>
    <cellStyle name="Normal 5 2 3 4 6 3" xfId="11094" xr:uid="{7D1D78D1-5653-4458-ABCA-CC023D96F948}"/>
    <cellStyle name="Normal 5 2 3 4 6 4" xfId="19532" xr:uid="{3923F64D-D3BF-432A-B8FC-356A15C0FDA9}"/>
    <cellStyle name="Normal 5 2 3 4 7" xfId="4805" xr:uid="{00000000-0005-0000-0000-0000BF180000}"/>
    <cellStyle name="Normal 5 2 3 4 7 2" xfId="13247" xr:uid="{F1610867-5AC3-499C-BB1A-9F2583BF9E68}"/>
    <cellStyle name="Normal 5 2 3 4 7 3" xfId="21684" xr:uid="{F79126B6-567B-4372-BE81-A8E0C97A446D}"/>
    <cellStyle name="Normal 5 2 3 4 8" xfId="9029" xr:uid="{3810A355-7991-4D94-B55D-6C4B1C63C8D1}"/>
    <cellStyle name="Normal 5 2 3 4 9" xfId="17467" xr:uid="{A419D69C-3A96-4009-9A47-7A1B758C6830}"/>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74C6FF7C-C89C-4B2B-B41F-347AAB412290}"/>
    <cellStyle name="Normal 5 2 3 5 2 2 3" xfId="24235" xr:uid="{81BE09D2-A5AD-4AC1-AB6E-59A85D5426F2}"/>
    <cellStyle name="Normal 5 2 3 5 2 3" xfId="11580" xr:uid="{A34B5A4F-CC39-42D0-997C-27548F0FE721}"/>
    <cellStyle name="Normal 5 2 3 5 2 4" xfId="20018" xr:uid="{3030EC83-DC04-47E9-979B-20BBD2131165}"/>
    <cellStyle name="Normal 5 2 3 5 3" xfId="5211" xr:uid="{00000000-0005-0000-0000-0000C3180000}"/>
    <cellStyle name="Normal 5 2 3 5 3 2" xfId="13653" xr:uid="{5AB1A3F1-A492-4306-95E7-E9BD8F3E5C11}"/>
    <cellStyle name="Normal 5 2 3 5 3 3" xfId="22090" xr:uid="{0F6B2046-8DB7-4B8F-AD6E-8BAE83762308}"/>
    <cellStyle name="Normal 5 2 3 5 4" xfId="9435" xr:uid="{3C08D8E2-8DE1-473B-96FE-7A0064E13463}"/>
    <cellStyle name="Normal 5 2 3 5 5" xfId="17873" xr:uid="{E1108971-6B9E-4EB9-B217-91DF3D8742C2}"/>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4806CBA1-FD8E-4866-921C-0A67A12A0197}"/>
    <cellStyle name="Normal 5 2 3 6 2 2 3" xfId="24648" xr:uid="{67A67337-DAB2-4F3F-8545-3D41CF69E805}"/>
    <cellStyle name="Normal 5 2 3 6 2 3" xfId="11993" xr:uid="{4C828D1C-C490-480A-8319-431AF52711B3}"/>
    <cellStyle name="Normal 5 2 3 6 2 4" xfId="20431" xr:uid="{0A8A6D46-B4B8-4E7B-AC7F-CDB18B660C9D}"/>
    <cellStyle name="Normal 5 2 3 6 3" xfId="5624" xr:uid="{00000000-0005-0000-0000-0000C7180000}"/>
    <cellStyle name="Normal 5 2 3 6 3 2" xfId="14066" xr:uid="{A7C36C41-08AE-40C4-AFF2-986F0E4697EA}"/>
    <cellStyle name="Normal 5 2 3 6 3 3" xfId="22503" xr:uid="{EC472342-9FB9-4984-99F2-2823126C161E}"/>
    <cellStyle name="Normal 5 2 3 6 4" xfId="9848" xr:uid="{A4355E92-3C37-4538-8617-895B42668C8C}"/>
    <cellStyle name="Normal 5 2 3 6 5" xfId="18286" xr:uid="{B5AEF71A-1AE0-4465-9F6A-2B2C51B28F66}"/>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E7B52F1B-2B79-4868-A002-90C6925D87FB}"/>
    <cellStyle name="Normal 5 2 3 7 2 2 3" xfId="25061" xr:uid="{AB98BB04-8A1B-447A-AEFE-81B41797CD47}"/>
    <cellStyle name="Normal 5 2 3 7 2 3" xfId="12406" xr:uid="{3BBC2B04-2D2E-42F4-8FEF-EDF3A61AA101}"/>
    <cellStyle name="Normal 5 2 3 7 2 4" xfId="20844" xr:uid="{99057257-C4BD-408D-91AB-31C6EE06B54E}"/>
    <cellStyle name="Normal 5 2 3 7 3" xfId="6037" xr:uid="{00000000-0005-0000-0000-0000CB180000}"/>
    <cellStyle name="Normal 5 2 3 7 3 2" xfId="14479" xr:uid="{2431ABD7-D075-4736-82F4-05CA31ECDF69}"/>
    <cellStyle name="Normal 5 2 3 7 3 3" xfId="22916" xr:uid="{E7E65410-6470-4CA1-929D-8919DD622681}"/>
    <cellStyle name="Normal 5 2 3 7 4" xfId="10261" xr:uid="{73ABD5A8-CA4B-4370-80F8-746E89524609}"/>
    <cellStyle name="Normal 5 2 3 7 5" xfId="18699" xr:uid="{A6F5C89E-5DD2-460D-B499-0753815EA3B6}"/>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0B3A373F-EEA2-44F1-8435-D768610002B4}"/>
    <cellStyle name="Normal 5 2 3 8 2 2 3" xfId="25474" xr:uid="{404D7870-15BB-4CA5-8182-DE1B46B9DC07}"/>
    <cellStyle name="Normal 5 2 3 8 2 3" xfId="12819" xr:uid="{984FCE0A-D4EE-4849-B86A-2C40A46917DD}"/>
    <cellStyle name="Normal 5 2 3 8 2 4" xfId="21257" xr:uid="{BA1C22CD-AA29-4328-9574-16856653FEDB}"/>
    <cellStyle name="Normal 5 2 3 8 3" xfId="6450" xr:uid="{00000000-0005-0000-0000-0000CF180000}"/>
    <cellStyle name="Normal 5 2 3 8 3 2" xfId="14892" xr:uid="{36E47075-8862-489A-9D05-5900CD030F6E}"/>
    <cellStyle name="Normal 5 2 3 8 3 3" xfId="23329" xr:uid="{D5B862CD-9629-4362-A9D3-83EC730EBCCD}"/>
    <cellStyle name="Normal 5 2 3 8 4" xfId="10674" xr:uid="{5030A6AA-A929-465A-8E24-716976C9445D}"/>
    <cellStyle name="Normal 5 2 3 8 5" xfId="19112" xr:uid="{ABA3BC0F-193D-4226-ADC5-4B191FA9D27E}"/>
    <cellStyle name="Normal 5 2 3 9" xfId="2579" xr:uid="{00000000-0005-0000-0000-0000D0180000}"/>
    <cellStyle name="Normal 5 2 3 9 2" xfId="6863" xr:uid="{00000000-0005-0000-0000-0000D1180000}"/>
    <cellStyle name="Normal 5 2 3 9 2 2" xfId="15305" xr:uid="{88F40C3F-4C04-4612-981E-DC405E8F9190}"/>
    <cellStyle name="Normal 5 2 3 9 2 3" xfId="23742" xr:uid="{26B2C28B-813C-4E49-830A-4208B0F51AA1}"/>
    <cellStyle name="Normal 5 2 3 9 3" xfId="11087" xr:uid="{8304068B-50C3-444F-97EC-202BD2854D0B}"/>
    <cellStyle name="Normal 5 2 3 9 4" xfId="19525" xr:uid="{A68281F6-50AE-42D3-A97A-6BDB73C05EE8}"/>
    <cellStyle name="Normal 5 2 4" xfId="432" xr:uid="{00000000-0005-0000-0000-0000D2180000}"/>
    <cellStyle name="Normal 5 2 4 10" xfId="9030" xr:uid="{ABBC6283-C6AE-4EF5-B1FA-4BB521BD01AC}"/>
    <cellStyle name="Normal 5 2 4 11" xfId="17468" xr:uid="{1377F5A0-E0F2-46B0-9274-28FFD4FF7B50}"/>
    <cellStyle name="Normal 5 2 4 2" xfId="433" xr:uid="{00000000-0005-0000-0000-0000D3180000}"/>
    <cellStyle name="Normal 5 2 4 2 10" xfId="17469" xr:uid="{3DEF04FE-FE32-4784-A339-C704C126BEE6}"/>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17E09AA0-8B29-425D-93C2-F9E1D67D52B1}"/>
    <cellStyle name="Normal 5 2 4 2 2 2 2 2 3" xfId="24245" xr:uid="{204764D9-0D5C-4354-B3C1-C6C8A3CB114A}"/>
    <cellStyle name="Normal 5 2 4 2 2 2 2 3" xfId="11590" xr:uid="{C6F70C87-25BE-4651-A526-F49FE06155F2}"/>
    <cellStyle name="Normal 5 2 4 2 2 2 2 4" xfId="20028" xr:uid="{32AD6DA7-D223-4289-AE24-E3C81D5C7FA1}"/>
    <cellStyle name="Normal 5 2 4 2 2 2 3" xfId="5221" xr:uid="{00000000-0005-0000-0000-0000D8180000}"/>
    <cellStyle name="Normal 5 2 4 2 2 2 3 2" xfId="13663" xr:uid="{489A91B7-B8C3-467B-85FC-D52476DDF3DE}"/>
    <cellStyle name="Normal 5 2 4 2 2 2 3 3" xfId="22100" xr:uid="{F814A59B-B5F6-4354-96C3-7ED784BC2618}"/>
    <cellStyle name="Normal 5 2 4 2 2 2 4" xfId="9445" xr:uid="{CD894F61-7D46-4D15-9C76-944046779A72}"/>
    <cellStyle name="Normal 5 2 4 2 2 2 5" xfId="17883" xr:uid="{32E5E5BE-5AA9-435C-9318-5EB0A3A7979D}"/>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A6F0F409-3985-47B3-A5FF-22403D092814}"/>
    <cellStyle name="Normal 5 2 4 2 2 3 2 2 3" xfId="24658" xr:uid="{DFC59AEB-6FDE-484E-8705-54B6212CCACD}"/>
    <cellStyle name="Normal 5 2 4 2 2 3 2 3" xfId="12003" xr:uid="{E5C352F9-1F46-40E2-8D1A-74A9EA3AF398}"/>
    <cellStyle name="Normal 5 2 4 2 2 3 2 4" xfId="20441" xr:uid="{893347FF-3E35-4E8A-B4F0-26C9DDEACB31}"/>
    <cellStyle name="Normal 5 2 4 2 2 3 3" xfId="5634" xr:uid="{00000000-0005-0000-0000-0000DC180000}"/>
    <cellStyle name="Normal 5 2 4 2 2 3 3 2" xfId="14076" xr:uid="{163D0A46-0676-423D-9748-79E8B43E1677}"/>
    <cellStyle name="Normal 5 2 4 2 2 3 3 3" xfId="22513" xr:uid="{8C9FEF08-4297-41FB-AB4B-40F24BACBA39}"/>
    <cellStyle name="Normal 5 2 4 2 2 3 4" xfId="9858" xr:uid="{AE63025B-65D1-4E47-A88D-C48454894AB5}"/>
    <cellStyle name="Normal 5 2 4 2 2 3 5" xfId="18296" xr:uid="{EFA39ACD-28EF-449A-8F48-A943BF9E344A}"/>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BE6D763B-E621-4A26-9146-44966741AC4D}"/>
    <cellStyle name="Normal 5 2 4 2 2 4 2 2 3" xfId="25071" xr:uid="{5BFA1DF8-49D0-4011-A80F-6A60F90FDDB5}"/>
    <cellStyle name="Normal 5 2 4 2 2 4 2 3" xfId="12416" xr:uid="{E0DC2500-F139-4A03-AC42-D7A5C3BBDCB5}"/>
    <cellStyle name="Normal 5 2 4 2 2 4 2 4" xfId="20854" xr:uid="{1BE1B434-03D5-4E56-B580-49DFEC07D6D3}"/>
    <cellStyle name="Normal 5 2 4 2 2 4 3" xfId="6047" xr:uid="{00000000-0005-0000-0000-0000E0180000}"/>
    <cellStyle name="Normal 5 2 4 2 2 4 3 2" xfId="14489" xr:uid="{31952CDC-CDF4-4330-A434-8A1B902C1503}"/>
    <cellStyle name="Normal 5 2 4 2 2 4 3 3" xfId="22926" xr:uid="{62BAB4B3-DA99-431F-943B-905F8E23F950}"/>
    <cellStyle name="Normal 5 2 4 2 2 4 4" xfId="10271" xr:uid="{0AC058E2-3755-4280-8D0E-8BC7B03C97CE}"/>
    <cellStyle name="Normal 5 2 4 2 2 4 5" xfId="18709" xr:uid="{112CF02F-DC9B-4971-B71F-8D906334147B}"/>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0C416EFA-59EE-4E47-9CA5-21A888B20537}"/>
    <cellStyle name="Normal 5 2 4 2 2 5 2 2 3" xfId="25484" xr:uid="{B2A62C9B-FF2E-4A79-AED8-71C86F08CD79}"/>
    <cellStyle name="Normal 5 2 4 2 2 5 2 3" xfId="12829" xr:uid="{F8C88750-D644-44F9-8432-5E48F02248F8}"/>
    <cellStyle name="Normal 5 2 4 2 2 5 2 4" xfId="21267" xr:uid="{46F624A4-90FA-4889-ACDD-94D06EACA0BD}"/>
    <cellStyle name="Normal 5 2 4 2 2 5 3" xfId="6460" xr:uid="{00000000-0005-0000-0000-0000E4180000}"/>
    <cellStyle name="Normal 5 2 4 2 2 5 3 2" xfId="14902" xr:uid="{FDFA4054-B2E0-42C3-BC1D-E258AEF3E7CE}"/>
    <cellStyle name="Normal 5 2 4 2 2 5 3 3" xfId="23339" xr:uid="{1B729A72-9ACD-4194-96F9-BE5D3496EC2F}"/>
    <cellStyle name="Normal 5 2 4 2 2 5 4" xfId="10684" xr:uid="{DC226CDC-F0C5-4DB3-A4DB-103C53C9A1AE}"/>
    <cellStyle name="Normal 5 2 4 2 2 5 5" xfId="19122" xr:uid="{E80DB478-CA72-4D40-B19A-0D2A3099E717}"/>
    <cellStyle name="Normal 5 2 4 2 2 6" xfId="2589" xr:uid="{00000000-0005-0000-0000-0000E5180000}"/>
    <cellStyle name="Normal 5 2 4 2 2 6 2" xfId="6873" xr:uid="{00000000-0005-0000-0000-0000E6180000}"/>
    <cellStyle name="Normal 5 2 4 2 2 6 2 2" xfId="15315" xr:uid="{78C136EA-7490-494B-9464-06A68DF50AC9}"/>
    <cellStyle name="Normal 5 2 4 2 2 6 2 3" xfId="23752" xr:uid="{EC1DC51F-66EA-404B-8A8D-FF89A2B15560}"/>
    <cellStyle name="Normal 5 2 4 2 2 6 3" xfId="11097" xr:uid="{437894C1-6492-4F53-A65A-3B1B5AE06E4C}"/>
    <cellStyle name="Normal 5 2 4 2 2 6 4" xfId="19535" xr:uid="{31E34993-865C-4F6C-8B3B-2538ED1B7DFA}"/>
    <cellStyle name="Normal 5 2 4 2 2 7" xfId="4808" xr:uid="{00000000-0005-0000-0000-0000E7180000}"/>
    <cellStyle name="Normal 5 2 4 2 2 7 2" xfId="13250" xr:uid="{E00AFE88-8D08-4F57-A646-CEA85AC49FF9}"/>
    <cellStyle name="Normal 5 2 4 2 2 7 3" xfId="21687" xr:uid="{BC7B757C-644F-48A5-B46A-45AD7564B9D9}"/>
    <cellStyle name="Normal 5 2 4 2 2 8" xfId="9032" xr:uid="{051740D7-E754-4FF1-9454-54F4C566AE45}"/>
    <cellStyle name="Normal 5 2 4 2 2 9" xfId="17470" xr:uid="{939196E7-60FC-45B0-AD29-590AF21330B2}"/>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616EF2ED-E0CD-43D2-B508-D0973A6FD69D}"/>
    <cellStyle name="Normal 5 2 4 2 3 2 2 3" xfId="24244" xr:uid="{7EB02774-6FE8-4EF6-A1A1-42C46F676F26}"/>
    <cellStyle name="Normal 5 2 4 2 3 2 3" xfId="11589" xr:uid="{C6E366CC-9490-4511-B513-9B5FF6DAD02C}"/>
    <cellStyle name="Normal 5 2 4 2 3 2 4" xfId="20027" xr:uid="{6C25061A-7C78-4B5E-A3C9-A88566B3780D}"/>
    <cellStyle name="Normal 5 2 4 2 3 3" xfId="5220" xr:uid="{00000000-0005-0000-0000-0000EB180000}"/>
    <cellStyle name="Normal 5 2 4 2 3 3 2" xfId="13662" xr:uid="{5AABE78D-16DA-4757-9586-D8A600188A33}"/>
    <cellStyle name="Normal 5 2 4 2 3 3 3" xfId="22099" xr:uid="{BFBD72D6-EB27-4582-B5EB-77755051D1D9}"/>
    <cellStyle name="Normal 5 2 4 2 3 4" xfId="9444" xr:uid="{AC613123-04DC-44A3-9AC4-FC644581EF2C}"/>
    <cellStyle name="Normal 5 2 4 2 3 5" xfId="17882" xr:uid="{AEE686DF-A515-44AF-8C9E-32F5EB463B44}"/>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33FDC4A6-ADF6-44EB-9B2E-459BBC10ECAA}"/>
    <cellStyle name="Normal 5 2 4 2 4 2 2 3" xfId="24657" xr:uid="{599D1C2F-716F-4EBF-88DA-24979E0BECB9}"/>
    <cellStyle name="Normal 5 2 4 2 4 2 3" xfId="12002" xr:uid="{27EBB76F-E3BB-43E3-B4FE-B041018258ED}"/>
    <cellStyle name="Normal 5 2 4 2 4 2 4" xfId="20440" xr:uid="{003F287B-D990-4A1F-8592-AA44D7893F6A}"/>
    <cellStyle name="Normal 5 2 4 2 4 3" xfId="5633" xr:uid="{00000000-0005-0000-0000-0000EF180000}"/>
    <cellStyle name="Normal 5 2 4 2 4 3 2" xfId="14075" xr:uid="{B1635F24-69AB-46D1-9AA7-E6AF98352BE8}"/>
    <cellStyle name="Normal 5 2 4 2 4 3 3" xfId="22512" xr:uid="{2A95A609-182D-41D5-9F63-C25924A5BDBD}"/>
    <cellStyle name="Normal 5 2 4 2 4 4" xfId="9857" xr:uid="{482D6884-6BE5-47F1-BE7B-77BEBEAC4FFD}"/>
    <cellStyle name="Normal 5 2 4 2 4 5" xfId="18295" xr:uid="{204957A3-A114-4120-9662-CF95D0019048}"/>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8A934F64-4D68-4A8F-B426-5A159F6E96C5}"/>
    <cellStyle name="Normal 5 2 4 2 5 2 2 3" xfId="25070" xr:uid="{8FDFB38A-8EF0-4595-8F68-AF68873B746E}"/>
    <cellStyle name="Normal 5 2 4 2 5 2 3" xfId="12415" xr:uid="{D3603376-9A9F-4E4F-BBE9-D8BD2F3EF20D}"/>
    <cellStyle name="Normal 5 2 4 2 5 2 4" xfId="20853" xr:uid="{A34DBEA4-8108-414C-822F-53400004934D}"/>
    <cellStyle name="Normal 5 2 4 2 5 3" xfId="6046" xr:uid="{00000000-0005-0000-0000-0000F3180000}"/>
    <cellStyle name="Normal 5 2 4 2 5 3 2" xfId="14488" xr:uid="{1763FFD0-B803-4774-AAE3-025DB9F54C5D}"/>
    <cellStyle name="Normal 5 2 4 2 5 3 3" xfId="22925" xr:uid="{135D660E-8B00-4CD3-A78B-C680A9C9504E}"/>
    <cellStyle name="Normal 5 2 4 2 5 4" xfId="10270" xr:uid="{9B8D9543-586C-445B-BFC4-C82EC532D555}"/>
    <cellStyle name="Normal 5 2 4 2 5 5" xfId="18708" xr:uid="{2CBD9977-8D5B-4FD4-8B1C-C3A54B1680CE}"/>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6A2C57C2-953E-4E8F-BAF3-D4D3680AFB4D}"/>
    <cellStyle name="Normal 5 2 4 2 6 2 2 3" xfId="25483" xr:uid="{71410086-FC8B-457D-8CE6-F60C7462E108}"/>
    <cellStyle name="Normal 5 2 4 2 6 2 3" xfId="12828" xr:uid="{8DA45E17-F49B-405F-905B-858DC2DE2BDF}"/>
    <cellStyle name="Normal 5 2 4 2 6 2 4" xfId="21266" xr:uid="{A8F5B35D-36C9-439E-BA16-F6AA8D49B0BC}"/>
    <cellStyle name="Normal 5 2 4 2 6 3" xfId="6459" xr:uid="{00000000-0005-0000-0000-0000F7180000}"/>
    <cellStyle name="Normal 5 2 4 2 6 3 2" xfId="14901" xr:uid="{AF7736D8-246F-4278-8C06-004B57C3A15C}"/>
    <cellStyle name="Normal 5 2 4 2 6 3 3" xfId="23338" xr:uid="{05E5F12B-1A9D-45B0-B41F-2031A81ED908}"/>
    <cellStyle name="Normal 5 2 4 2 6 4" xfId="10683" xr:uid="{5430295E-96A4-42CC-A1AD-66C309A89F8A}"/>
    <cellStyle name="Normal 5 2 4 2 6 5" xfId="19121" xr:uid="{9478768F-E056-4616-AB58-31E1D8128853}"/>
    <cellStyle name="Normal 5 2 4 2 7" xfId="2588" xr:uid="{00000000-0005-0000-0000-0000F8180000}"/>
    <cellStyle name="Normal 5 2 4 2 7 2" xfId="6872" xr:uid="{00000000-0005-0000-0000-0000F9180000}"/>
    <cellStyle name="Normal 5 2 4 2 7 2 2" xfId="15314" xr:uid="{F5954B63-3849-4788-BB73-2BC67B410B98}"/>
    <cellStyle name="Normal 5 2 4 2 7 2 3" xfId="23751" xr:uid="{DC7EAB29-8E2C-449B-97CA-4840F119C3BB}"/>
    <cellStyle name="Normal 5 2 4 2 7 3" xfId="11096" xr:uid="{D32465D9-DBAB-4593-8950-E0C0FB047A05}"/>
    <cellStyle name="Normal 5 2 4 2 7 4" xfId="19534" xr:uid="{3260A7BF-7C57-4316-94CE-26634F788B2F}"/>
    <cellStyle name="Normal 5 2 4 2 8" xfId="4807" xr:uid="{00000000-0005-0000-0000-0000FA180000}"/>
    <cellStyle name="Normal 5 2 4 2 8 2" xfId="13249" xr:uid="{3EAE1ADA-5C31-42FA-9F0A-7AA9F831DEE1}"/>
    <cellStyle name="Normal 5 2 4 2 8 3" xfId="21686" xr:uid="{866C58DB-06EA-46C1-A494-2C87450C63CF}"/>
    <cellStyle name="Normal 5 2 4 2 9" xfId="9031" xr:uid="{34D28408-2C5A-4878-A066-E83831E48215}"/>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B3406E47-18D7-4792-839C-B5E49C86CCFE}"/>
    <cellStyle name="Normal 5 2 4 3 2 2 2 3" xfId="24246" xr:uid="{53790FDB-F3E8-4928-9DE3-828BA55F08C2}"/>
    <cellStyle name="Normal 5 2 4 3 2 2 3" xfId="11591" xr:uid="{99EAF740-2466-4235-BDE3-8D5C8619880B}"/>
    <cellStyle name="Normal 5 2 4 3 2 2 4" xfId="20029" xr:uid="{4CEC1857-49F3-4B30-98DD-D31500931518}"/>
    <cellStyle name="Normal 5 2 4 3 2 3" xfId="5222" xr:uid="{00000000-0005-0000-0000-0000FF180000}"/>
    <cellStyle name="Normal 5 2 4 3 2 3 2" xfId="13664" xr:uid="{398ADF53-ABF2-43D1-8BB8-52A604BDA524}"/>
    <cellStyle name="Normal 5 2 4 3 2 3 3" xfId="22101" xr:uid="{29642DC9-2E09-454E-9D81-120AED561AF8}"/>
    <cellStyle name="Normal 5 2 4 3 2 4" xfId="9446" xr:uid="{05E9E78F-CB2D-4E38-B47B-F95E4AFC5322}"/>
    <cellStyle name="Normal 5 2 4 3 2 5" xfId="17884" xr:uid="{2DE7294F-3112-4BFF-809D-F75225C845BA}"/>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D4D0452F-0A7C-4F8E-9F4D-A98CB2DE9113}"/>
    <cellStyle name="Normal 5 2 4 3 3 2 2 3" xfId="24659" xr:uid="{37C3BE1F-70B6-4063-A789-F3C8B0193504}"/>
    <cellStyle name="Normal 5 2 4 3 3 2 3" xfId="12004" xr:uid="{FC2FFA16-D862-44BB-AD44-F424B453E82D}"/>
    <cellStyle name="Normal 5 2 4 3 3 2 4" xfId="20442" xr:uid="{87C00F45-F00D-4F86-A24F-0F0B8D346F7B}"/>
    <cellStyle name="Normal 5 2 4 3 3 3" xfId="5635" xr:uid="{00000000-0005-0000-0000-000003190000}"/>
    <cellStyle name="Normal 5 2 4 3 3 3 2" xfId="14077" xr:uid="{F9C114ED-8351-4B1B-8EFC-35DEF30491E9}"/>
    <cellStyle name="Normal 5 2 4 3 3 3 3" xfId="22514" xr:uid="{A8CACA53-57FB-4A07-805B-3DE9944409C4}"/>
    <cellStyle name="Normal 5 2 4 3 3 4" xfId="9859" xr:uid="{ADB428E4-A252-415C-8A36-562C90822ED7}"/>
    <cellStyle name="Normal 5 2 4 3 3 5" xfId="18297" xr:uid="{D76D0A29-285D-4550-8617-D17B151376C0}"/>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1D440A79-A076-457D-B63E-D492D9E268DE}"/>
    <cellStyle name="Normal 5 2 4 3 4 2 2 3" xfId="25072" xr:uid="{35215B8B-E38A-4484-B4A1-88F129D37202}"/>
    <cellStyle name="Normal 5 2 4 3 4 2 3" xfId="12417" xr:uid="{CA54F945-6F00-4A8B-AD65-2B89C3979F1C}"/>
    <cellStyle name="Normal 5 2 4 3 4 2 4" xfId="20855" xr:uid="{8E012DD2-F2E3-435D-B42D-A2F6391A0627}"/>
    <cellStyle name="Normal 5 2 4 3 4 3" xfId="6048" xr:uid="{00000000-0005-0000-0000-000007190000}"/>
    <cellStyle name="Normal 5 2 4 3 4 3 2" xfId="14490" xr:uid="{7EEFB2BA-1043-49B8-92BA-C6746CE37765}"/>
    <cellStyle name="Normal 5 2 4 3 4 3 3" xfId="22927" xr:uid="{A0EAA8D6-BA57-4404-80B2-9F6564F3EC6B}"/>
    <cellStyle name="Normal 5 2 4 3 4 4" xfId="10272" xr:uid="{F783A521-F74A-4C80-ACB7-A76FD80FCBB1}"/>
    <cellStyle name="Normal 5 2 4 3 4 5" xfId="18710" xr:uid="{1D0C0FF9-8E1E-41C3-AFE7-35404F5F55E3}"/>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0CD9185A-5A98-47DC-8C08-3B395249D5F2}"/>
    <cellStyle name="Normal 5 2 4 3 5 2 2 3" xfId="25485" xr:uid="{C469C7A4-7D82-47A5-B28B-66BB293A06AA}"/>
    <cellStyle name="Normal 5 2 4 3 5 2 3" xfId="12830" xr:uid="{36352E6F-10BE-4285-ABFE-3F6F24B7686A}"/>
    <cellStyle name="Normal 5 2 4 3 5 2 4" xfId="21268" xr:uid="{9736E2B3-C4A0-416C-8416-B217646ACEA5}"/>
    <cellStyle name="Normal 5 2 4 3 5 3" xfId="6461" xr:uid="{00000000-0005-0000-0000-00000B190000}"/>
    <cellStyle name="Normal 5 2 4 3 5 3 2" xfId="14903" xr:uid="{606D2F47-EC13-4D90-B031-7EA31B79363B}"/>
    <cellStyle name="Normal 5 2 4 3 5 3 3" xfId="23340" xr:uid="{F8FD8F90-C290-4997-A467-6072FF40826C}"/>
    <cellStyle name="Normal 5 2 4 3 5 4" xfId="10685" xr:uid="{E3821885-4EAC-40DA-8F14-D115118806BB}"/>
    <cellStyle name="Normal 5 2 4 3 5 5" xfId="19123" xr:uid="{3ADD4661-FC41-409D-8ADC-6ECFFB38C79D}"/>
    <cellStyle name="Normal 5 2 4 3 6" xfId="2590" xr:uid="{00000000-0005-0000-0000-00000C190000}"/>
    <cellStyle name="Normal 5 2 4 3 6 2" xfId="6874" xr:uid="{00000000-0005-0000-0000-00000D190000}"/>
    <cellStyle name="Normal 5 2 4 3 6 2 2" xfId="15316" xr:uid="{2BB96F26-0138-4401-A7DA-201ED883DA80}"/>
    <cellStyle name="Normal 5 2 4 3 6 2 3" xfId="23753" xr:uid="{30957449-1A5F-4FEE-821A-AD2CEEB089DF}"/>
    <cellStyle name="Normal 5 2 4 3 6 3" xfId="11098" xr:uid="{8152754C-26B9-4530-9E20-600241AA5507}"/>
    <cellStyle name="Normal 5 2 4 3 6 4" xfId="19536" xr:uid="{02D0BD17-9192-4645-8335-DE675EEE23B1}"/>
    <cellStyle name="Normal 5 2 4 3 7" xfId="4809" xr:uid="{00000000-0005-0000-0000-00000E190000}"/>
    <cellStyle name="Normal 5 2 4 3 7 2" xfId="13251" xr:uid="{4065BF7B-C287-4DEC-B99E-D268D7CC17F8}"/>
    <cellStyle name="Normal 5 2 4 3 7 3" xfId="21688" xr:uid="{6313037E-5925-4FF6-9424-C88B9A497B59}"/>
    <cellStyle name="Normal 5 2 4 3 8" xfId="9033" xr:uid="{FBD187BD-05E6-414C-8C73-798F22FE7638}"/>
    <cellStyle name="Normal 5 2 4 3 9" xfId="17471" xr:uid="{1FC701E3-39CC-4644-B298-BE083B29E428}"/>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75E42D07-58DE-44B8-AC1B-F77F2BFD3C1C}"/>
    <cellStyle name="Normal 5 2 4 4 2 2 3" xfId="24243" xr:uid="{667DC4A7-2316-428F-A02E-D6A19E508136}"/>
    <cellStyle name="Normal 5 2 4 4 2 3" xfId="11588" xr:uid="{11FA0C1F-586E-477D-AE40-42002B85D7A3}"/>
    <cellStyle name="Normal 5 2 4 4 2 4" xfId="20026" xr:uid="{0F66FCAC-52C2-4F00-A625-224493B892B9}"/>
    <cellStyle name="Normal 5 2 4 4 3" xfId="5219" xr:uid="{00000000-0005-0000-0000-000012190000}"/>
    <cellStyle name="Normal 5 2 4 4 3 2" xfId="13661" xr:uid="{398B1043-430B-44BD-B48F-7DDED629C3BA}"/>
    <cellStyle name="Normal 5 2 4 4 3 3" xfId="22098" xr:uid="{6A8544DC-F822-46D3-9DC6-26D9505AB902}"/>
    <cellStyle name="Normal 5 2 4 4 4" xfId="9443" xr:uid="{0BC75B9D-E878-4FF1-849F-43382179BF7E}"/>
    <cellStyle name="Normal 5 2 4 4 5" xfId="17881" xr:uid="{7D54A94A-84D5-4D7C-B5B5-90B9C90DF453}"/>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13B4AF3A-FE5B-4582-A9B6-AD08F1AF9BF6}"/>
    <cellStyle name="Normal 5 2 4 5 2 2 3" xfId="24656" xr:uid="{5AABE05C-4BC5-4C07-88AA-CCB03D2B9373}"/>
    <cellStyle name="Normal 5 2 4 5 2 3" xfId="12001" xr:uid="{69DEFAAE-B35D-4BCA-9057-2C1B453BF296}"/>
    <cellStyle name="Normal 5 2 4 5 2 4" xfId="20439" xr:uid="{0E509CA1-061F-47EF-A3FD-BF774B761D43}"/>
    <cellStyle name="Normal 5 2 4 5 3" xfId="5632" xr:uid="{00000000-0005-0000-0000-000016190000}"/>
    <cellStyle name="Normal 5 2 4 5 3 2" xfId="14074" xr:uid="{0E7CB148-64C9-4678-A342-9E21E0CAB9E0}"/>
    <cellStyle name="Normal 5 2 4 5 3 3" xfId="22511" xr:uid="{5374338B-080A-4458-B944-B17B3FC0F5F5}"/>
    <cellStyle name="Normal 5 2 4 5 4" xfId="9856" xr:uid="{030EF672-DA0E-4419-B2F5-54557FCA5ED5}"/>
    <cellStyle name="Normal 5 2 4 5 5" xfId="18294" xr:uid="{950B2565-F755-4533-9C1A-F62DBDFD1497}"/>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C8EAAAD1-27D1-4979-9203-1569285D4D79}"/>
    <cellStyle name="Normal 5 2 4 6 2 2 3" xfId="25069" xr:uid="{60322F02-93D7-4503-A65E-38C0F5495DAB}"/>
    <cellStyle name="Normal 5 2 4 6 2 3" xfId="12414" xr:uid="{F6B4F80A-F25F-4758-8924-C6822B03E2FA}"/>
    <cellStyle name="Normal 5 2 4 6 2 4" xfId="20852" xr:uid="{A5DA24F4-7EBE-4CF8-8061-55E3283BF26D}"/>
    <cellStyle name="Normal 5 2 4 6 3" xfId="6045" xr:uid="{00000000-0005-0000-0000-00001A190000}"/>
    <cellStyle name="Normal 5 2 4 6 3 2" xfId="14487" xr:uid="{6DC482EB-42ED-4004-BE3C-E6165DBBD304}"/>
    <cellStyle name="Normal 5 2 4 6 3 3" xfId="22924" xr:uid="{C41B2A0C-88BB-49A5-8701-038D9DC2067E}"/>
    <cellStyle name="Normal 5 2 4 6 4" xfId="10269" xr:uid="{CC3E9A3B-D174-433E-A582-58655DE3C421}"/>
    <cellStyle name="Normal 5 2 4 6 5" xfId="18707" xr:uid="{EDE53720-EEFA-4F2B-A77E-005800C70574}"/>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7E48FC60-C27E-4FEB-A63E-7AFF32F1CE60}"/>
    <cellStyle name="Normal 5 2 4 7 2 2 3" xfId="25482" xr:uid="{73816FF9-C8A6-4096-96FB-B53850B8D891}"/>
    <cellStyle name="Normal 5 2 4 7 2 3" xfId="12827" xr:uid="{DB638A83-8AA8-45D7-8C66-9FBDA1F3FF3E}"/>
    <cellStyle name="Normal 5 2 4 7 2 4" xfId="21265" xr:uid="{60394AE1-BD0F-4B37-B771-6E08A0834590}"/>
    <cellStyle name="Normal 5 2 4 7 3" xfId="6458" xr:uid="{00000000-0005-0000-0000-00001E190000}"/>
    <cellStyle name="Normal 5 2 4 7 3 2" xfId="14900" xr:uid="{6F52EE75-1D35-413F-AB92-8F7A783DEDFE}"/>
    <cellStyle name="Normal 5 2 4 7 3 3" xfId="23337" xr:uid="{390CD115-F6FE-415C-A0A9-0F563C550FC4}"/>
    <cellStyle name="Normal 5 2 4 7 4" xfId="10682" xr:uid="{3EBBB967-9F6A-4686-BCA9-E643FA66E352}"/>
    <cellStyle name="Normal 5 2 4 7 5" xfId="19120" xr:uid="{39BCD141-A471-4CBB-9A4A-2C616BA7A28A}"/>
    <cellStyle name="Normal 5 2 4 8" xfId="2587" xr:uid="{00000000-0005-0000-0000-00001F190000}"/>
    <cellStyle name="Normal 5 2 4 8 2" xfId="6871" xr:uid="{00000000-0005-0000-0000-000020190000}"/>
    <cellStyle name="Normal 5 2 4 8 2 2" xfId="15313" xr:uid="{23FA193C-E4EA-4427-B9F6-C185E0129CC6}"/>
    <cellStyle name="Normal 5 2 4 8 2 3" xfId="23750" xr:uid="{1F264766-4BFD-4AC9-98E5-E3431DB6482C}"/>
    <cellStyle name="Normal 5 2 4 8 3" xfId="11095" xr:uid="{410400E7-D5D4-4219-93A1-D453AFE40D52}"/>
    <cellStyle name="Normal 5 2 4 8 4" xfId="19533" xr:uid="{5A7DAF27-7E0B-464C-8213-C80D6CE9426C}"/>
    <cellStyle name="Normal 5 2 4 9" xfId="4806" xr:uid="{00000000-0005-0000-0000-000021190000}"/>
    <cellStyle name="Normal 5 2 4 9 2" xfId="13248" xr:uid="{B937D126-F8C9-40E3-B434-EBE05C79C281}"/>
    <cellStyle name="Normal 5 2 4 9 3" xfId="21685" xr:uid="{CE078B78-DAEE-4763-A80E-32B6BD83A56C}"/>
    <cellStyle name="Normal 5 2 5" xfId="436" xr:uid="{00000000-0005-0000-0000-000022190000}"/>
    <cellStyle name="Normal 5 2 5 10" xfId="17472" xr:uid="{E17CFE23-6953-4B3A-B0A9-BBA13C9C8E79}"/>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17E30D0B-E26E-4A94-9CC4-1A16388FB9BB}"/>
    <cellStyle name="Normal 5 2 5 2 2 2 2 3" xfId="24248" xr:uid="{B89F5CE2-AF96-4750-9B29-D51B3D895694}"/>
    <cellStyle name="Normal 5 2 5 2 2 2 3" xfId="11593" xr:uid="{83B348B4-77D8-4D54-A9B2-B6595CF170E9}"/>
    <cellStyle name="Normal 5 2 5 2 2 2 4" xfId="20031" xr:uid="{7309DBCF-1ED1-4656-ABCD-A7E4AF7B4414}"/>
    <cellStyle name="Normal 5 2 5 2 2 3" xfId="5224" xr:uid="{00000000-0005-0000-0000-000027190000}"/>
    <cellStyle name="Normal 5 2 5 2 2 3 2" xfId="13666" xr:uid="{0A8207DC-6404-442F-B2F4-0C1B9997D279}"/>
    <cellStyle name="Normal 5 2 5 2 2 3 3" xfId="22103" xr:uid="{7EBAB51C-EC39-4438-92FB-0A95492A2588}"/>
    <cellStyle name="Normal 5 2 5 2 2 4" xfId="9448" xr:uid="{76638CCE-7C14-469C-B5D1-928F7E25BA9C}"/>
    <cellStyle name="Normal 5 2 5 2 2 5" xfId="17886" xr:uid="{C5AA2EDF-A030-4AF1-ACDC-83F9D0A7846F}"/>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D7C86D8A-B587-4C50-A1E8-EE1E3278E937}"/>
    <cellStyle name="Normal 5 2 5 2 3 2 2 3" xfId="24661" xr:uid="{2556AEA7-B055-496D-8EAE-C2F6020154AD}"/>
    <cellStyle name="Normal 5 2 5 2 3 2 3" xfId="12006" xr:uid="{CE5A98CC-7037-49FA-ADBA-A0F6550DC761}"/>
    <cellStyle name="Normal 5 2 5 2 3 2 4" xfId="20444" xr:uid="{210D1F9A-7960-4BF5-A05E-EA3B53716364}"/>
    <cellStyle name="Normal 5 2 5 2 3 3" xfId="5637" xr:uid="{00000000-0005-0000-0000-00002B190000}"/>
    <cellStyle name="Normal 5 2 5 2 3 3 2" xfId="14079" xr:uid="{A7175A07-91A1-459A-A22F-9E96AE6E6DF6}"/>
    <cellStyle name="Normal 5 2 5 2 3 3 3" xfId="22516" xr:uid="{CEABBB54-C5CE-4484-8E35-F3895A8B46B6}"/>
    <cellStyle name="Normal 5 2 5 2 3 4" xfId="9861" xr:uid="{DA0E2126-E903-45F0-91E1-6A7CBBAF5739}"/>
    <cellStyle name="Normal 5 2 5 2 3 5" xfId="18299" xr:uid="{E93897EE-EB54-439B-BA69-41EAEB686C26}"/>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352AC994-883C-4B8F-935B-A5E4A18779DA}"/>
    <cellStyle name="Normal 5 2 5 2 4 2 2 3" xfId="25074" xr:uid="{E95ABD77-7A07-4A2E-8DF9-BBCEE38BD71D}"/>
    <cellStyle name="Normal 5 2 5 2 4 2 3" xfId="12419" xr:uid="{0F8CD782-D386-4F7B-9ACD-1B166BCC3078}"/>
    <cellStyle name="Normal 5 2 5 2 4 2 4" xfId="20857" xr:uid="{E4A17686-C576-4C0B-9D29-B306E7BADD2A}"/>
    <cellStyle name="Normal 5 2 5 2 4 3" xfId="6050" xr:uid="{00000000-0005-0000-0000-00002F190000}"/>
    <cellStyle name="Normal 5 2 5 2 4 3 2" xfId="14492" xr:uid="{707BE8B1-3826-4FFE-B1E4-2CD1E2D87548}"/>
    <cellStyle name="Normal 5 2 5 2 4 3 3" xfId="22929" xr:uid="{F51AA694-4192-4FC2-8148-C9E2CD08B7B1}"/>
    <cellStyle name="Normal 5 2 5 2 4 4" xfId="10274" xr:uid="{A4EF28AF-559C-45D8-B1CF-ED302199A49F}"/>
    <cellStyle name="Normal 5 2 5 2 4 5" xfId="18712" xr:uid="{5D5D906D-3E60-4CED-B3F0-DC7B72198F7E}"/>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E579828F-8EF0-446A-8CEF-10005432BD9E}"/>
    <cellStyle name="Normal 5 2 5 2 5 2 2 3" xfId="25487" xr:uid="{D77B4E49-3074-41E5-8EB6-108804B2437B}"/>
    <cellStyle name="Normal 5 2 5 2 5 2 3" xfId="12832" xr:uid="{A5784A1D-8755-49E1-8BB4-8531A9509334}"/>
    <cellStyle name="Normal 5 2 5 2 5 2 4" xfId="21270" xr:uid="{D0DAABE0-3635-438F-BC39-7058A06D2A0F}"/>
    <cellStyle name="Normal 5 2 5 2 5 3" xfId="6463" xr:uid="{00000000-0005-0000-0000-000033190000}"/>
    <cellStyle name="Normal 5 2 5 2 5 3 2" xfId="14905" xr:uid="{81B0E7CD-0769-4646-AA68-3D61F786E29A}"/>
    <cellStyle name="Normal 5 2 5 2 5 3 3" xfId="23342" xr:uid="{14F1B7DA-1654-4414-B8D0-9D27264A8426}"/>
    <cellStyle name="Normal 5 2 5 2 5 4" xfId="10687" xr:uid="{A9871FA8-9802-4B76-B78F-189382A62260}"/>
    <cellStyle name="Normal 5 2 5 2 5 5" xfId="19125" xr:uid="{BEE7FA35-0D42-4058-B3B1-64EC45EA136D}"/>
    <cellStyle name="Normal 5 2 5 2 6" xfId="2592" xr:uid="{00000000-0005-0000-0000-000034190000}"/>
    <cellStyle name="Normal 5 2 5 2 6 2" xfId="6876" xr:uid="{00000000-0005-0000-0000-000035190000}"/>
    <cellStyle name="Normal 5 2 5 2 6 2 2" xfId="15318" xr:uid="{BEB42458-6888-4800-98C1-878F07F6EC79}"/>
    <cellStyle name="Normal 5 2 5 2 6 2 3" xfId="23755" xr:uid="{7BDE7089-E3E8-4371-8763-D1F97E1B0902}"/>
    <cellStyle name="Normal 5 2 5 2 6 3" xfId="11100" xr:uid="{5B7B77FE-2986-4CEB-AB44-ACC2BEFCFEA9}"/>
    <cellStyle name="Normal 5 2 5 2 6 4" xfId="19538" xr:uid="{37B2C336-D7EC-4EF9-AFA6-6F6F9332B696}"/>
    <cellStyle name="Normal 5 2 5 2 7" xfId="4811" xr:uid="{00000000-0005-0000-0000-000036190000}"/>
    <cellStyle name="Normal 5 2 5 2 7 2" xfId="13253" xr:uid="{E3A9730A-C31A-4FFA-A466-0AB4F7B7B0AA}"/>
    <cellStyle name="Normal 5 2 5 2 7 3" xfId="21690" xr:uid="{BDDB6157-2498-4386-9F16-5A07C53082B7}"/>
    <cellStyle name="Normal 5 2 5 2 8" xfId="9035" xr:uid="{6367AAB2-67A3-417C-A09B-944B9DE92FF1}"/>
    <cellStyle name="Normal 5 2 5 2 9" xfId="17473" xr:uid="{549B0E9B-DC0D-4055-90BC-06F00908A4EE}"/>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C41EBAD4-92F4-4F43-A9D5-0B9B50C5A152}"/>
    <cellStyle name="Normal 5 2 5 3 2 2 3" xfId="24247" xr:uid="{981B7FBA-3CCF-4D50-82EE-DA4C35226053}"/>
    <cellStyle name="Normal 5 2 5 3 2 3" xfId="11592" xr:uid="{3741AECE-E27A-44C9-9366-AC651C6ED746}"/>
    <cellStyle name="Normal 5 2 5 3 2 4" xfId="20030" xr:uid="{6EAA15DF-9072-40C6-8465-4F3BCF935EBD}"/>
    <cellStyle name="Normal 5 2 5 3 3" xfId="5223" xr:uid="{00000000-0005-0000-0000-00003A190000}"/>
    <cellStyle name="Normal 5 2 5 3 3 2" xfId="13665" xr:uid="{07F52B92-5DC5-48DE-9976-E8DDED54BB20}"/>
    <cellStyle name="Normal 5 2 5 3 3 3" xfId="22102" xr:uid="{9AC24246-A212-4E7B-9318-6BF68A2091CA}"/>
    <cellStyle name="Normal 5 2 5 3 4" xfId="9447" xr:uid="{221DD626-1D98-4AD8-963B-5C4A7CF04DAA}"/>
    <cellStyle name="Normal 5 2 5 3 5" xfId="17885" xr:uid="{3C9F9B6C-AD1B-4204-B157-49E385CE0D59}"/>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82AE8819-769A-4094-9B56-1CB443EEE6DE}"/>
    <cellStyle name="Normal 5 2 5 4 2 2 3" xfId="24660" xr:uid="{C6EB4B0E-E2DC-4001-BC4D-9B03CB9E9135}"/>
    <cellStyle name="Normal 5 2 5 4 2 3" xfId="12005" xr:uid="{446F1479-5F3B-484B-B976-62FA7F7C6390}"/>
    <cellStyle name="Normal 5 2 5 4 2 4" xfId="20443" xr:uid="{48A2D488-D795-4044-A27A-40E9C36B588A}"/>
    <cellStyle name="Normal 5 2 5 4 3" xfId="5636" xr:uid="{00000000-0005-0000-0000-00003E190000}"/>
    <cellStyle name="Normal 5 2 5 4 3 2" xfId="14078" xr:uid="{8E488229-86B5-4710-8DDD-6D20374EC22A}"/>
    <cellStyle name="Normal 5 2 5 4 3 3" xfId="22515" xr:uid="{C42C4CC3-1547-45B7-9E72-F1149974C523}"/>
    <cellStyle name="Normal 5 2 5 4 4" xfId="9860" xr:uid="{101401BE-D824-4C12-AF7E-3EE5EBBFE619}"/>
    <cellStyle name="Normal 5 2 5 4 5" xfId="18298" xr:uid="{9C0CB62D-21CB-460E-AC6F-749AAFF3B7D4}"/>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48B5F8A0-E63C-45EC-A87D-23AB5A9E5FD4}"/>
    <cellStyle name="Normal 5 2 5 5 2 2 3" xfId="25073" xr:uid="{1487E955-8ABA-47C5-98F5-53D0E6842331}"/>
    <cellStyle name="Normal 5 2 5 5 2 3" xfId="12418" xr:uid="{6B024063-1B75-442A-B4DB-1E46BD50EBDB}"/>
    <cellStyle name="Normal 5 2 5 5 2 4" xfId="20856" xr:uid="{1754843F-35AF-4EDA-A951-A6EDEB464F3D}"/>
    <cellStyle name="Normal 5 2 5 5 3" xfId="6049" xr:uid="{00000000-0005-0000-0000-000042190000}"/>
    <cellStyle name="Normal 5 2 5 5 3 2" xfId="14491" xr:uid="{BB3D032C-0FB1-437F-8895-A473AE1D19A6}"/>
    <cellStyle name="Normal 5 2 5 5 3 3" xfId="22928" xr:uid="{2A2649CD-1ED6-433F-9696-7450C15C7F0A}"/>
    <cellStyle name="Normal 5 2 5 5 4" xfId="10273" xr:uid="{91807301-0AAB-4246-AB5E-7DFD3B81B55C}"/>
    <cellStyle name="Normal 5 2 5 5 5" xfId="18711" xr:uid="{C354C7BB-133C-4064-B869-0A35167DF33F}"/>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15D362B1-B062-4C35-AB8D-3302E085293A}"/>
    <cellStyle name="Normal 5 2 5 6 2 2 3" xfId="25486" xr:uid="{680AB7C6-7BF6-4EAB-A1E6-4EA87AA1C319}"/>
    <cellStyle name="Normal 5 2 5 6 2 3" xfId="12831" xr:uid="{22920467-313C-44C0-81E8-4684A05BCF24}"/>
    <cellStyle name="Normal 5 2 5 6 2 4" xfId="21269" xr:uid="{3F9E77C6-163F-436C-9D05-0BF8F778E646}"/>
    <cellStyle name="Normal 5 2 5 6 3" xfId="6462" xr:uid="{00000000-0005-0000-0000-000046190000}"/>
    <cellStyle name="Normal 5 2 5 6 3 2" xfId="14904" xr:uid="{AD475342-60A2-4085-97F5-5D41AAAD1C05}"/>
    <cellStyle name="Normal 5 2 5 6 3 3" xfId="23341" xr:uid="{A2F09D6A-D319-459E-9FB2-B7D4701FC439}"/>
    <cellStyle name="Normal 5 2 5 6 4" xfId="10686" xr:uid="{0AD4EDCA-28C8-4E25-95BC-1993B40CC363}"/>
    <cellStyle name="Normal 5 2 5 6 5" xfId="19124" xr:uid="{6C0AEEBB-57F8-4926-8DE8-7C7BFAB24BE7}"/>
    <cellStyle name="Normal 5 2 5 7" xfId="2591" xr:uid="{00000000-0005-0000-0000-000047190000}"/>
    <cellStyle name="Normal 5 2 5 7 2" xfId="6875" xr:uid="{00000000-0005-0000-0000-000048190000}"/>
    <cellStyle name="Normal 5 2 5 7 2 2" xfId="15317" xr:uid="{EF210E06-FF13-487B-8DA4-2F414AAC0E52}"/>
    <cellStyle name="Normal 5 2 5 7 2 3" xfId="23754" xr:uid="{BDED61F4-D371-4ACE-85D0-DA43CD4DDB0C}"/>
    <cellStyle name="Normal 5 2 5 7 3" xfId="11099" xr:uid="{A104DA35-DEE4-42E9-9F4C-2BAB27CFBDCC}"/>
    <cellStyle name="Normal 5 2 5 7 4" xfId="19537" xr:uid="{902A4AAA-86C0-43C6-A1DC-81124A8C3CF1}"/>
    <cellStyle name="Normal 5 2 5 8" xfId="4810" xr:uid="{00000000-0005-0000-0000-000049190000}"/>
    <cellStyle name="Normal 5 2 5 8 2" xfId="13252" xr:uid="{58B3C27F-D4D6-4ABC-82E7-4731EA60037C}"/>
    <cellStyle name="Normal 5 2 5 8 3" xfId="21689" xr:uid="{BC83AED1-58FD-4A3D-AD4C-C14DBCA0C27A}"/>
    <cellStyle name="Normal 5 2 5 9" xfId="9034" xr:uid="{E62BD44D-7253-4901-A1EB-F01D3027D2A8}"/>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E5B346D5-7A89-4D32-86F7-831B57973030}"/>
    <cellStyle name="Normal 5 2 6 2 2 2 3" xfId="24249" xr:uid="{0FB4943C-BEEB-4A65-99A1-7B24B9106A46}"/>
    <cellStyle name="Normal 5 2 6 2 2 3" xfId="11594" xr:uid="{208D4354-C8CF-4875-9DCA-44D7DDC8BB71}"/>
    <cellStyle name="Normal 5 2 6 2 2 4" xfId="20032" xr:uid="{52C6810B-B61D-4CE5-824B-208EA20EEF2B}"/>
    <cellStyle name="Normal 5 2 6 2 3" xfId="5225" xr:uid="{00000000-0005-0000-0000-00004E190000}"/>
    <cellStyle name="Normal 5 2 6 2 3 2" xfId="13667" xr:uid="{324ED813-2CD7-4356-88AB-0D61B5E00074}"/>
    <cellStyle name="Normal 5 2 6 2 3 3" xfId="22104" xr:uid="{4D112982-FD34-41A5-9DDF-AFC0E3306111}"/>
    <cellStyle name="Normal 5 2 6 2 4" xfId="9449" xr:uid="{F59D065F-1DA3-47D3-B866-857B05051080}"/>
    <cellStyle name="Normal 5 2 6 2 5" xfId="17887" xr:uid="{8C069180-1486-4962-B8AD-CF87CFB77568}"/>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683F34B1-DCDA-46F0-A291-DABEC091A1FB}"/>
    <cellStyle name="Normal 5 2 6 3 2 2 3" xfId="24662" xr:uid="{7A5B4881-B022-4514-82FC-BC60162B2C61}"/>
    <cellStyle name="Normal 5 2 6 3 2 3" xfId="12007" xr:uid="{0F3A5A0D-2645-457A-8318-B3034C34171D}"/>
    <cellStyle name="Normal 5 2 6 3 2 4" xfId="20445" xr:uid="{CFA694DA-6317-44AF-BEFF-3BC9F437BDD8}"/>
    <cellStyle name="Normal 5 2 6 3 3" xfId="5638" xr:uid="{00000000-0005-0000-0000-000052190000}"/>
    <cellStyle name="Normal 5 2 6 3 3 2" xfId="14080" xr:uid="{AA0D0E17-0399-4C44-8DB3-D928E6C4415C}"/>
    <cellStyle name="Normal 5 2 6 3 3 3" xfId="22517" xr:uid="{2635C223-A7C6-431F-BC2E-040B40EF3FDF}"/>
    <cellStyle name="Normal 5 2 6 3 4" xfId="9862" xr:uid="{80470B75-C6AF-462B-90DD-9AAE09E90E0E}"/>
    <cellStyle name="Normal 5 2 6 3 5" xfId="18300" xr:uid="{B9A8BAFC-1FCC-4E04-8A21-AFA4E66A39B3}"/>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94360FF5-3B06-49AB-9D6B-EA5146A5D757}"/>
    <cellStyle name="Normal 5 2 6 4 2 2 3" xfId="25075" xr:uid="{7CC6488C-C3B9-44F7-9D4A-F92654D0BBBE}"/>
    <cellStyle name="Normal 5 2 6 4 2 3" xfId="12420" xr:uid="{ED3CF6DB-CD39-44AE-8B08-DC11DAAE541E}"/>
    <cellStyle name="Normal 5 2 6 4 2 4" xfId="20858" xr:uid="{A71C5A33-8FE4-4FEA-8F11-0A24388284F0}"/>
    <cellStyle name="Normal 5 2 6 4 3" xfId="6051" xr:uid="{00000000-0005-0000-0000-000056190000}"/>
    <cellStyle name="Normal 5 2 6 4 3 2" xfId="14493" xr:uid="{510D789D-67CC-4155-ACE9-3A794CB6FDE7}"/>
    <cellStyle name="Normal 5 2 6 4 3 3" xfId="22930" xr:uid="{EDD30A25-BD11-46DD-8333-0AA71A007A73}"/>
    <cellStyle name="Normal 5 2 6 4 4" xfId="10275" xr:uid="{CD2E78C7-47EF-4B56-A012-4E6EC0B99205}"/>
    <cellStyle name="Normal 5 2 6 4 5" xfId="18713" xr:uid="{4932FBCC-D136-48A5-8DBD-534DEF3D7345}"/>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D95E03D8-F6A1-4243-BE23-FD6BA4A1F9A6}"/>
    <cellStyle name="Normal 5 2 6 5 2 2 3" xfId="25488" xr:uid="{A6E6AB1B-207C-47D6-9412-035E4FDDED61}"/>
    <cellStyle name="Normal 5 2 6 5 2 3" xfId="12833" xr:uid="{C270A50F-21EA-4A07-AFDD-145542EB3E14}"/>
    <cellStyle name="Normal 5 2 6 5 2 4" xfId="21271" xr:uid="{D878C24B-D55E-4414-9249-B1F99EDFFE3D}"/>
    <cellStyle name="Normal 5 2 6 5 3" xfId="6464" xr:uid="{00000000-0005-0000-0000-00005A190000}"/>
    <cellStyle name="Normal 5 2 6 5 3 2" xfId="14906" xr:uid="{A62C82AA-097E-4F9E-8EC7-F327738553BB}"/>
    <cellStyle name="Normal 5 2 6 5 3 3" xfId="23343" xr:uid="{AACC9F43-CD98-46B4-8C5B-4890CB46934B}"/>
    <cellStyle name="Normal 5 2 6 5 4" xfId="10688" xr:uid="{A6B16CE3-7380-4F3C-801F-BB1B15C2F344}"/>
    <cellStyle name="Normal 5 2 6 5 5" xfId="19126" xr:uid="{159CE958-18FD-4D6F-9DCB-152B9B0B2278}"/>
    <cellStyle name="Normal 5 2 6 6" xfId="2593" xr:uid="{00000000-0005-0000-0000-00005B190000}"/>
    <cellStyle name="Normal 5 2 6 6 2" xfId="6877" xr:uid="{00000000-0005-0000-0000-00005C190000}"/>
    <cellStyle name="Normal 5 2 6 6 2 2" xfId="15319" xr:uid="{19447620-83CD-448E-ACBD-0CF2AB1E939D}"/>
    <cellStyle name="Normal 5 2 6 6 2 3" xfId="23756" xr:uid="{41FD01CB-F472-45A3-A6A8-A704F17649DA}"/>
    <cellStyle name="Normal 5 2 6 6 3" xfId="11101" xr:uid="{2B7D7CE8-ED80-4C7A-B9EB-59FFD9CC3EE7}"/>
    <cellStyle name="Normal 5 2 6 6 4" xfId="19539" xr:uid="{6A0C0290-F0F7-4BFA-B8F4-0BB47A1B949A}"/>
    <cellStyle name="Normal 5 2 6 7" xfId="4812" xr:uid="{00000000-0005-0000-0000-00005D190000}"/>
    <cellStyle name="Normal 5 2 6 7 2" xfId="13254" xr:uid="{65F9581D-CBA4-40BD-9C4F-70A9536ED378}"/>
    <cellStyle name="Normal 5 2 6 7 3" xfId="21691" xr:uid="{30FAB479-8CA3-4283-AA03-B5EF5089662B}"/>
    <cellStyle name="Normal 5 2 6 8" xfId="9036" xr:uid="{A958CA64-4774-4E0A-B2FB-40686EC00B53}"/>
    <cellStyle name="Normal 5 2 6 9" xfId="17474" xr:uid="{8CC489E6-03AF-4EAD-BB38-57FC117EB367}"/>
    <cellStyle name="Normal 5 2 7" xfId="881" xr:uid="{00000000-0005-0000-0000-00005E190000}"/>
    <cellStyle name="Normal 5 2 7 2" xfId="3116" xr:uid="{00000000-0005-0000-0000-00005F190000}"/>
    <cellStyle name="Normal 5 2 7 2 2" xfId="7339" xr:uid="{00000000-0005-0000-0000-000060190000}"/>
    <cellStyle name="Normal 5 2 7 2 2 2" xfId="15781" xr:uid="{B502A9B5-7751-4749-AB8F-6688D400DBC1}"/>
    <cellStyle name="Normal 5 2 7 2 2 3" xfId="24218" xr:uid="{F3051826-A7F2-4D20-B7C4-5D6440F2C38F}"/>
    <cellStyle name="Normal 5 2 7 2 3" xfId="11563" xr:uid="{040CFB55-2DFE-494D-B0EE-EB8BA6E8B0E7}"/>
    <cellStyle name="Normal 5 2 7 2 4" xfId="20001" xr:uid="{3BE1EDD9-95C4-4E37-B663-D5FFE3F2D281}"/>
    <cellStyle name="Normal 5 2 7 3" xfId="5194" xr:uid="{00000000-0005-0000-0000-000061190000}"/>
    <cellStyle name="Normal 5 2 7 3 2" xfId="13636" xr:uid="{9C3B0989-548C-45CC-A41E-8F694D5C2663}"/>
    <cellStyle name="Normal 5 2 7 3 3" xfId="22073" xr:uid="{77E419F2-DEE2-42D3-8096-777519A1B737}"/>
    <cellStyle name="Normal 5 2 7 4" xfId="9418" xr:uid="{AF77BF76-5B86-4CD8-9C9B-72FB4993F67B}"/>
    <cellStyle name="Normal 5 2 7 5" xfId="17856" xr:uid="{85F0C0EB-2549-4900-83B3-7B747F7AF43C}"/>
    <cellStyle name="Normal 5 2 8" xfId="1299" xr:uid="{00000000-0005-0000-0000-000062190000}"/>
    <cellStyle name="Normal 5 2 8 2" xfId="3529" xr:uid="{00000000-0005-0000-0000-000063190000}"/>
    <cellStyle name="Normal 5 2 8 2 2" xfId="7752" xr:uid="{00000000-0005-0000-0000-000064190000}"/>
    <cellStyle name="Normal 5 2 8 2 2 2" xfId="16194" xr:uid="{00F9DC23-64A1-4E73-812D-D7EFA0AC792A}"/>
    <cellStyle name="Normal 5 2 8 2 2 3" xfId="24631" xr:uid="{E00772BC-CF35-4E5E-8304-2AA2BE898732}"/>
    <cellStyle name="Normal 5 2 8 2 3" xfId="11976" xr:uid="{53F38C9A-EDFE-441D-8E06-BC48CA688EC0}"/>
    <cellStyle name="Normal 5 2 8 2 4" xfId="20414" xr:uid="{907DA7B7-92E3-4971-AC16-C146C841905B}"/>
    <cellStyle name="Normal 5 2 8 3" xfId="5607" xr:uid="{00000000-0005-0000-0000-000065190000}"/>
    <cellStyle name="Normal 5 2 8 3 2" xfId="14049" xr:uid="{56600107-4F35-4FC3-88B2-332A239B8090}"/>
    <cellStyle name="Normal 5 2 8 3 3" xfId="22486" xr:uid="{844F4626-F9EE-48F4-A124-320D88476A2C}"/>
    <cellStyle name="Normal 5 2 8 4" xfId="9831" xr:uid="{15069557-71B6-4D14-85C1-A2A303DB21E2}"/>
    <cellStyle name="Normal 5 2 8 5" xfId="18269" xr:uid="{26BAFE9E-B93B-4B46-9C5B-E7CE446E8DA7}"/>
    <cellStyle name="Normal 5 2 9" xfId="1712" xr:uid="{00000000-0005-0000-0000-000066190000}"/>
    <cellStyle name="Normal 5 2 9 2" xfId="3942" xr:uid="{00000000-0005-0000-0000-000067190000}"/>
    <cellStyle name="Normal 5 2 9 2 2" xfId="8165" xr:uid="{00000000-0005-0000-0000-000068190000}"/>
    <cellStyle name="Normal 5 2 9 2 2 2" xfId="16607" xr:uid="{115C42E6-EACC-42FA-9014-10C0A5A95B1D}"/>
    <cellStyle name="Normal 5 2 9 2 2 3" xfId="25044" xr:uid="{2AA90598-9B90-4DC6-96E6-3D5E6C8E0F71}"/>
    <cellStyle name="Normal 5 2 9 2 3" xfId="12389" xr:uid="{333BC4BA-91C6-42A2-BD47-65A530F9D33F}"/>
    <cellStyle name="Normal 5 2 9 2 4" xfId="20827" xr:uid="{7BF69304-0876-47D6-8679-A0197EC705E5}"/>
    <cellStyle name="Normal 5 2 9 3" xfId="6020" xr:uid="{00000000-0005-0000-0000-000069190000}"/>
    <cellStyle name="Normal 5 2 9 3 2" xfId="14462" xr:uid="{0F6D17D6-C238-49A4-AB1C-B1C947831C93}"/>
    <cellStyle name="Normal 5 2 9 3 3" xfId="22899" xr:uid="{418EA1E1-61F1-4486-B14A-EA2C93013C53}"/>
    <cellStyle name="Normal 5 2 9 4" xfId="10244" xr:uid="{59A28428-6C1D-46FA-83CF-D5D9DF0EC068}"/>
    <cellStyle name="Normal 5 2 9 5" xfId="18682" xr:uid="{6327B1E2-DE49-4CBF-B2E7-318D023A05B9}"/>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0AE2E188-15D3-425F-A68D-197E1EA9F090}"/>
    <cellStyle name="Normal 5 3 10 2 2 3" xfId="25489" xr:uid="{A118669A-7EC4-42E9-8F40-843539A0923F}"/>
    <cellStyle name="Normal 5 3 10 2 3" xfId="12834" xr:uid="{B5795E80-ADE0-456E-9DA7-44E209E318C7}"/>
    <cellStyle name="Normal 5 3 10 2 4" xfId="21272" xr:uid="{F0B31FE0-E37A-4B0D-953D-6BDEEB412BE4}"/>
    <cellStyle name="Normal 5 3 10 3" xfId="6465" xr:uid="{00000000-0005-0000-0000-00006E190000}"/>
    <cellStyle name="Normal 5 3 10 3 2" xfId="14907" xr:uid="{0BD46174-7F4A-413B-B148-7E01FEBBE0DB}"/>
    <cellStyle name="Normal 5 3 10 3 3" xfId="23344" xr:uid="{A20D9FBB-FAC7-4392-A6A3-8B4EADFF6493}"/>
    <cellStyle name="Normal 5 3 10 4" xfId="10689" xr:uid="{44AB4B1E-AA97-4251-9D7A-3273CE1655C2}"/>
    <cellStyle name="Normal 5 3 10 5" xfId="19127" xr:uid="{AF3BD93E-3C87-4501-B1EC-7231A6F3C62C}"/>
    <cellStyle name="Normal 5 3 11" xfId="2594" xr:uid="{00000000-0005-0000-0000-00006F190000}"/>
    <cellStyle name="Normal 5 3 11 2" xfId="6878" xr:uid="{00000000-0005-0000-0000-000070190000}"/>
    <cellStyle name="Normal 5 3 11 2 2" xfId="15320" xr:uid="{1AA39953-9634-40B1-B3F8-DA8C001C5B06}"/>
    <cellStyle name="Normal 5 3 11 2 3" xfId="23757" xr:uid="{FD49DD19-C723-4784-8F97-381FDA99669D}"/>
    <cellStyle name="Normal 5 3 11 3" xfId="11102" xr:uid="{CA88B075-087E-4A50-A0C5-F428E3E03E79}"/>
    <cellStyle name="Normal 5 3 11 4" xfId="19540" xr:uid="{A84672FA-6A4B-4B0B-8B8A-CC5A26992479}"/>
    <cellStyle name="Normal 5 3 12" xfId="4813" xr:uid="{00000000-0005-0000-0000-000071190000}"/>
    <cellStyle name="Normal 5 3 12 2" xfId="13255" xr:uid="{E6F9CD8B-539C-4E03-9CE3-EFD82A99BC61}"/>
    <cellStyle name="Normal 5 3 12 3" xfId="21692" xr:uid="{33936E26-8C34-4262-A77F-576CA8DC3AAB}"/>
    <cellStyle name="Normal 5 3 13" xfId="9037" xr:uid="{C785C78E-1C0E-4A44-84CB-9C3009733F15}"/>
    <cellStyle name="Normal 5 3 14" xfId="17475" xr:uid="{5EDB1464-CF11-498E-B359-5E71E5081905}"/>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83E1CB36-402E-4DF8-BACF-EE72ADAA1018}"/>
    <cellStyle name="Normal 5 3 3 10 3" xfId="21693" xr:uid="{477298B1-23EF-4635-B469-477889B53914}"/>
    <cellStyle name="Normal 5 3 3 11" xfId="9038" xr:uid="{7AE80984-22E0-4534-AABF-97ED552E72D4}"/>
    <cellStyle name="Normal 5 3 3 12" xfId="17476" xr:uid="{603040EC-4B6B-46C3-AD7C-F9F038CD573A}"/>
    <cellStyle name="Normal 5 3 3 2" xfId="442" xr:uid="{00000000-0005-0000-0000-000076190000}"/>
    <cellStyle name="Normal 5 3 3 2 10" xfId="9039" xr:uid="{B262AF80-0E5C-4497-8300-B58499219EDF}"/>
    <cellStyle name="Normal 5 3 3 2 11" xfId="17477" xr:uid="{637A61C9-6EA6-47B5-A687-F99A1C42A96F}"/>
    <cellStyle name="Normal 5 3 3 2 2" xfId="443" xr:uid="{00000000-0005-0000-0000-000077190000}"/>
    <cellStyle name="Normal 5 3 3 2 2 10" xfId="17478" xr:uid="{860F7FB4-3115-47BA-93FA-6935691504B5}"/>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85CE04EE-58AF-48DF-BEEB-17F9510DACB0}"/>
    <cellStyle name="Normal 5 3 3 2 2 2 2 2 2 3" xfId="24254" xr:uid="{0AA82F1C-B541-4AC1-8459-D075C7D6BF66}"/>
    <cellStyle name="Normal 5 3 3 2 2 2 2 2 3" xfId="11599" xr:uid="{BC5DE185-9B72-4353-80E2-627C2003C0B8}"/>
    <cellStyle name="Normal 5 3 3 2 2 2 2 2 4" xfId="20037" xr:uid="{0B382737-1E67-474D-A4C9-3A03D475244F}"/>
    <cellStyle name="Normal 5 3 3 2 2 2 2 3" xfId="5230" xr:uid="{00000000-0005-0000-0000-00007C190000}"/>
    <cellStyle name="Normal 5 3 3 2 2 2 2 3 2" xfId="13672" xr:uid="{9EE1C6E1-6BC0-403E-A1DF-B54ABDF625C3}"/>
    <cellStyle name="Normal 5 3 3 2 2 2 2 3 3" xfId="22109" xr:uid="{7D6DCA1C-8999-401C-8609-6F1412DA9D36}"/>
    <cellStyle name="Normal 5 3 3 2 2 2 2 4" xfId="9454" xr:uid="{AB415E76-61CA-43E7-9D1F-7A65294A7876}"/>
    <cellStyle name="Normal 5 3 3 2 2 2 2 5" xfId="17892" xr:uid="{79C05472-D895-4AD3-8F31-D0D4ED7E8EF7}"/>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D03A69DC-BD3A-47A1-8161-F5F138F56C10}"/>
    <cellStyle name="Normal 5 3 3 2 2 2 3 2 2 3" xfId="24667" xr:uid="{40C22216-FB39-42A8-8A70-D63DFE87C2FE}"/>
    <cellStyle name="Normal 5 3 3 2 2 2 3 2 3" xfId="12012" xr:uid="{EB5633AF-D6CC-4402-9428-D35F2C17281E}"/>
    <cellStyle name="Normal 5 3 3 2 2 2 3 2 4" xfId="20450" xr:uid="{D62C2DEE-7DCB-4AB7-848D-29D37EFC99C2}"/>
    <cellStyle name="Normal 5 3 3 2 2 2 3 3" xfId="5643" xr:uid="{00000000-0005-0000-0000-000080190000}"/>
    <cellStyle name="Normal 5 3 3 2 2 2 3 3 2" xfId="14085" xr:uid="{5FE2CCFF-65BE-4A30-8FD1-A5596FD6FB13}"/>
    <cellStyle name="Normal 5 3 3 2 2 2 3 3 3" xfId="22522" xr:uid="{E25C9625-23D3-4BED-B79E-40FCBAE65730}"/>
    <cellStyle name="Normal 5 3 3 2 2 2 3 4" xfId="9867" xr:uid="{C1AC7F25-B9F3-44E9-9ACE-3C7601C1224A}"/>
    <cellStyle name="Normal 5 3 3 2 2 2 3 5" xfId="18305" xr:uid="{5A917379-3376-4BDE-9047-F2775DF6F14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26E6B1E3-3BA4-4B91-98D2-C213999FCB7F}"/>
    <cellStyle name="Normal 5 3 3 2 2 2 4 2 2 3" xfId="25080" xr:uid="{750995C5-D024-49DB-B7AA-568B25ED9E3C}"/>
    <cellStyle name="Normal 5 3 3 2 2 2 4 2 3" xfId="12425" xr:uid="{C97E6533-48E6-4657-9B88-E78B8292E2DF}"/>
    <cellStyle name="Normal 5 3 3 2 2 2 4 2 4" xfId="20863" xr:uid="{C9C48672-2E08-44F3-89FA-9C70A2CABD91}"/>
    <cellStyle name="Normal 5 3 3 2 2 2 4 3" xfId="6056" xr:uid="{00000000-0005-0000-0000-000084190000}"/>
    <cellStyle name="Normal 5 3 3 2 2 2 4 3 2" xfId="14498" xr:uid="{6A0406CE-72D1-4F61-91CD-EA4F075A7252}"/>
    <cellStyle name="Normal 5 3 3 2 2 2 4 3 3" xfId="22935" xr:uid="{76F511DB-71E7-4F74-99A6-3D0B576462A7}"/>
    <cellStyle name="Normal 5 3 3 2 2 2 4 4" xfId="10280" xr:uid="{2D882668-6826-4CF6-9768-51D65CD1E8CF}"/>
    <cellStyle name="Normal 5 3 3 2 2 2 4 5" xfId="18718" xr:uid="{AEE51E2E-7E01-4E6F-AD11-75FA866E94F3}"/>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3BBD8D0E-35CB-4790-BCC8-E192C38F53C7}"/>
    <cellStyle name="Normal 5 3 3 2 2 2 5 2 2 3" xfId="25493" xr:uid="{12DF7098-797E-4FE3-8220-ADE5ED57B29D}"/>
    <cellStyle name="Normal 5 3 3 2 2 2 5 2 3" xfId="12838" xr:uid="{F02A6818-AAF0-4CF2-BD6A-00B1C9C9450B}"/>
    <cellStyle name="Normal 5 3 3 2 2 2 5 2 4" xfId="21276" xr:uid="{7BBCEDDB-93FA-45EB-8A2D-61CE97EDF98B}"/>
    <cellStyle name="Normal 5 3 3 2 2 2 5 3" xfId="6469" xr:uid="{00000000-0005-0000-0000-000088190000}"/>
    <cellStyle name="Normal 5 3 3 2 2 2 5 3 2" xfId="14911" xr:uid="{2007E66F-DFCE-4E78-81E7-5ECAF0747655}"/>
    <cellStyle name="Normal 5 3 3 2 2 2 5 3 3" xfId="23348" xr:uid="{2EB86588-9303-450A-8691-E26B948DE9E3}"/>
    <cellStyle name="Normal 5 3 3 2 2 2 5 4" xfId="10693" xr:uid="{47B7BC22-577D-49D4-AAA6-B9AF751C056E}"/>
    <cellStyle name="Normal 5 3 3 2 2 2 5 5" xfId="19131" xr:uid="{22DFCA2F-C196-41A7-82DF-9C45C7BBA5B1}"/>
    <cellStyle name="Normal 5 3 3 2 2 2 6" xfId="2598" xr:uid="{00000000-0005-0000-0000-000089190000}"/>
    <cellStyle name="Normal 5 3 3 2 2 2 6 2" xfId="6882" xr:uid="{00000000-0005-0000-0000-00008A190000}"/>
    <cellStyle name="Normal 5 3 3 2 2 2 6 2 2" xfId="15324" xr:uid="{38BB2275-E811-4F2E-9F6C-76AE8B8AA10A}"/>
    <cellStyle name="Normal 5 3 3 2 2 2 6 2 3" xfId="23761" xr:uid="{8CCB3ED1-4A6B-4D8C-B6C6-6F448EC1ED17}"/>
    <cellStyle name="Normal 5 3 3 2 2 2 6 3" xfId="11106" xr:uid="{7B0EA4B3-4E00-44A6-BB1D-42317264F72B}"/>
    <cellStyle name="Normal 5 3 3 2 2 2 6 4" xfId="19544" xr:uid="{D9D9280F-D46F-427E-A3AD-AC2878279898}"/>
    <cellStyle name="Normal 5 3 3 2 2 2 7" xfId="4817" xr:uid="{00000000-0005-0000-0000-00008B190000}"/>
    <cellStyle name="Normal 5 3 3 2 2 2 7 2" xfId="13259" xr:uid="{DCE64D0F-3765-42C6-8D4A-E7E22636E9A3}"/>
    <cellStyle name="Normal 5 3 3 2 2 2 7 3" xfId="21696" xr:uid="{1DBC8D35-1D88-40E0-9EAB-DAF65D92D1FE}"/>
    <cellStyle name="Normal 5 3 3 2 2 2 8" xfId="9041" xr:uid="{58A05D6D-F5F0-4185-8E92-383C730C4D47}"/>
    <cellStyle name="Normal 5 3 3 2 2 2 9" xfId="17479" xr:uid="{CB29E044-EC7B-4129-92A7-6EA9665F44F4}"/>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DCF572DC-44BC-43CA-8893-8D0F53193A3B}"/>
    <cellStyle name="Normal 5 3 3 2 2 3 2 2 3" xfId="24253" xr:uid="{89EB4984-E070-400A-BE5B-B57E908EA731}"/>
    <cellStyle name="Normal 5 3 3 2 2 3 2 3" xfId="11598" xr:uid="{BC3EFB96-4518-4069-A4DC-EB75AC60DEAF}"/>
    <cellStyle name="Normal 5 3 3 2 2 3 2 4" xfId="20036" xr:uid="{198BD945-7E53-4E03-BB78-25CE89DEADBB}"/>
    <cellStyle name="Normal 5 3 3 2 2 3 3" xfId="5229" xr:uid="{00000000-0005-0000-0000-00008F190000}"/>
    <cellStyle name="Normal 5 3 3 2 2 3 3 2" xfId="13671" xr:uid="{F3456E00-799E-46E9-976C-72038301DFC8}"/>
    <cellStyle name="Normal 5 3 3 2 2 3 3 3" xfId="22108" xr:uid="{7B4CE8A7-4AEC-46BA-9896-B331037B23DD}"/>
    <cellStyle name="Normal 5 3 3 2 2 3 4" xfId="9453" xr:uid="{B6DAEAC9-DB64-4F74-A195-C24750F115E4}"/>
    <cellStyle name="Normal 5 3 3 2 2 3 5" xfId="17891" xr:uid="{F774F764-6F2B-4E8B-B68A-E5DD4E4C2387}"/>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D3772058-9BCB-4341-AE70-E1AC39755AE3}"/>
    <cellStyle name="Normal 5 3 3 2 2 4 2 2 3" xfId="24666" xr:uid="{2C582A77-554A-454B-9516-20D256249DB0}"/>
    <cellStyle name="Normal 5 3 3 2 2 4 2 3" xfId="12011" xr:uid="{FB269A6C-7D17-4C48-A5C3-44E4FFD01410}"/>
    <cellStyle name="Normal 5 3 3 2 2 4 2 4" xfId="20449" xr:uid="{4845CCD2-B412-4318-8828-44A3F9C14E52}"/>
    <cellStyle name="Normal 5 3 3 2 2 4 3" xfId="5642" xr:uid="{00000000-0005-0000-0000-000093190000}"/>
    <cellStyle name="Normal 5 3 3 2 2 4 3 2" xfId="14084" xr:uid="{AF7588F4-91F4-4FDD-93C3-210BC843D272}"/>
    <cellStyle name="Normal 5 3 3 2 2 4 3 3" xfId="22521" xr:uid="{BEB1E7E0-38FC-4458-A865-68E3010E92F3}"/>
    <cellStyle name="Normal 5 3 3 2 2 4 4" xfId="9866" xr:uid="{1A1C5F7A-3D8E-4904-8C38-081403C8CA2E}"/>
    <cellStyle name="Normal 5 3 3 2 2 4 5" xfId="18304" xr:uid="{71ACE158-B558-4C90-BA1C-A02367BE1BCC}"/>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8A6582F3-5152-48E1-8E87-EFFF65DE3A37}"/>
    <cellStyle name="Normal 5 3 3 2 2 5 2 2 3" xfId="25079" xr:uid="{C2DAD7C4-78E6-45B9-A69E-78E6790EC2E3}"/>
    <cellStyle name="Normal 5 3 3 2 2 5 2 3" xfId="12424" xr:uid="{DB1E608E-8EF1-4B2F-946D-5A7D79708147}"/>
    <cellStyle name="Normal 5 3 3 2 2 5 2 4" xfId="20862" xr:uid="{E4DDE3CC-9BC8-47F1-9757-599A9C86A75E}"/>
    <cellStyle name="Normal 5 3 3 2 2 5 3" xfId="6055" xr:uid="{00000000-0005-0000-0000-000097190000}"/>
    <cellStyle name="Normal 5 3 3 2 2 5 3 2" xfId="14497" xr:uid="{56DC4192-0A17-4E82-A4D2-711EEE312739}"/>
    <cellStyle name="Normal 5 3 3 2 2 5 3 3" xfId="22934" xr:uid="{0F9ABF03-46F4-410D-921E-FFE797C0D239}"/>
    <cellStyle name="Normal 5 3 3 2 2 5 4" xfId="10279" xr:uid="{80DA381A-5C12-4892-95E8-E970DFB2C58D}"/>
    <cellStyle name="Normal 5 3 3 2 2 5 5" xfId="18717" xr:uid="{B43A126C-F621-42BF-B73C-F0AF46FB39E1}"/>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071449B8-A7DC-424F-9407-88804F6E8B11}"/>
    <cellStyle name="Normal 5 3 3 2 2 6 2 2 3" xfId="25492" xr:uid="{10693CB3-8B1B-4736-818F-B3D05352991C}"/>
    <cellStyle name="Normal 5 3 3 2 2 6 2 3" xfId="12837" xr:uid="{03F81591-A27C-4327-B142-3440058F48C9}"/>
    <cellStyle name="Normal 5 3 3 2 2 6 2 4" xfId="21275" xr:uid="{DD941E33-D8EE-40BC-9CBB-9BFC000DF426}"/>
    <cellStyle name="Normal 5 3 3 2 2 6 3" xfId="6468" xr:uid="{00000000-0005-0000-0000-00009B190000}"/>
    <cellStyle name="Normal 5 3 3 2 2 6 3 2" xfId="14910" xr:uid="{1D5044D9-B6A3-4EC1-AFF2-2D8F2B79C931}"/>
    <cellStyle name="Normal 5 3 3 2 2 6 3 3" xfId="23347" xr:uid="{8BDE685B-C278-49D8-8242-EA40540304FE}"/>
    <cellStyle name="Normal 5 3 3 2 2 6 4" xfId="10692" xr:uid="{6EB4A206-25A9-4CC8-B6C2-68E69F8DDB65}"/>
    <cellStyle name="Normal 5 3 3 2 2 6 5" xfId="19130" xr:uid="{04B7DC63-8575-49CD-B7C2-E4CE5E632DF0}"/>
    <cellStyle name="Normal 5 3 3 2 2 7" xfId="2597" xr:uid="{00000000-0005-0000-0000-00009C190000}"/>
    <cellStyle name="Normal 5 3 3 2 2 7 2" xfId="6881" xr:uid="{00000000-0005-0000-0000-00009D190000}"/>
    <cellStyle name="Normal 5 3 3 2 2 7 2 2" xfId="15323" xr:uid="{974AA91E-E58A-4EF6-8821-3E7106FEAA61}"/>
    <cellStyle name="Normal 5 3 3 2 2 7 2 3" xfId="23760" xr:uid="{59BA0625-9CB8-4AA6-95CB-4BCF2C813300}"/>
    <cellStyle name="Normal 5 3 3 2 2 7 3" xfId="11105" xr:uid="{D909AB62-F8DB-4384-91C3-D84E6094187B}"/>
    <cellStyle name="Normal 5 3 3 2 2 7 4" xfId="19543" xr:uid="{08299E6C-56C8-4481-8502-C61671D7AC98}"/>
    <cellStyle name="Normal 5 3 3 2 2 8" xfId="4816" xr:uid="{00000000-0005-0000-0000-00009E190000}"/>
    <cellStyle name="Normal 5 3 3 2 2 8 2" xfId="13258" xr:uid="{F8A4A526-05E2-45F2-83E4-772B0A4E7F8D}"/>
    <cellStyle name="Normal 5 3 3 2 2 8 3" xfId="21695" xr:uid="{778FF36C-1158-4D40-ABED-71BC8E5735B9}"/>
    <cellStyle name="Normal 5 3 3 2 2 9" xfId="9040" xr:uid="{77AE7E4F-FB1C-415E-8FE1-368218F12415}"/>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2F40C31D-933B-40EB-A1EA-DCE3DE65E4BF}"/>
    <cellStyle name="Normal 5 3 3 2 3 2 2 2 3" xfId="24255" xr:uid="{17D5F874-1468-4D27-9E3A-87620796928C}"/>
    <cellStyle name="Normal 5 3 3 2 3 2 2 3" xfId="11600" xr:uid="{67623B77-2750-4C4F-873F-5D23FC38A796}"/>
    <cellStyle name="Normal 5 3 3 2 3 2 2 4" xfId="20038" xr:uid="{D2268DA6-7DA4-481A-BB19-F28D77D52C19}"/>
    <cellStyle name="Normal 5 3 3 2 3 2 3" xfId="5231" xr:uid="{00000000-0005-0000-0000-0000A3190000}"/>
    <cellStyle name="Normal 5 3 3 2 3 2 3 2" xfId="13673" xr:uid="{B418896E-0753-4D31-BEB9-C659AF3DDBD0}"/>
    <cellStyle name="Normal 5 3 3 2 3 2 3 3" xfId="22110" xr:uid="{C83A08E0-7565-4D92-B6B5-782C70DD6F58}"/>
    <cellStyle name="Normal 5 3 3 2 3 2 4" xfId="9455" xr:uid="{73E7C742-BF1C-4380-8BE5-FE0424F17BD0}"/>
    <cellStyle name="Normal 5 3 3 2 3 2 5" xfId="17893" xr:uid="{2A85BD4A-675D-47C4-A9E0-98F222F0B8A3}"/>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13B410B6-EDBF-455D-AB65-AC4D9C8F95FF}"/>
    <cellStyle name="Normal 5 3 3 2 3 3 2 2 3" xfId="24668" xr:uid="{565ED02B-FD86-4E83-BDFC-99854FA32ECC}"/>
    <cellStyle name="Normal 5 3 3 2 3 3 2 3" xfId="12013" xr:uid="{FAA39C45-E426-4FE4-9A95-4367EC2185DA}"/>
    <cellStyle name="Normal 5 3 3 2 3 3 2 4" xfId="20451" xr:uid="{21A3DE23-F3F0-4F30-A3AB-F5170623CDAF}"/>
    <cellStyle name="Normal 5 3 3 2 3 3 3" xfId="5644" xr:uid="{00000000-0005-0000-0000-0000A7190000}"/>
    <cellStyle name="Normal 5 3 3 2 3 3 3 2" xfId="14086" xr:uid="{CA749467-E031-4324-B4DD-0245C8B59819}"/>
    <cellStyle name="Normal 5 3 3 2 3 3 3 3" xfId="22523" xr:uid="{AC186765-2DF0-4DA4-8D0F-61125ABBF84E}"/>
    <cellStyle name="Normal 5 3 3 2 3 3 4" xfId="9868" xr:uid="{CAEA1F03-5642-4002-AA07-7C383275545B}"/>
    <cellStyle name="Normal 5 3 3 2 3 3 5" xfId="18306" xr:uid="{A9FE6630-DC6E-492E-82E3-2C7BB17A1512}"/>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F957AE51-36C2-4BB3-97CD-318D0F3146E6}"/>
    <cellStyle name="Normal 5 3 3 2 3 4 2 2 3" xfId="25081" xr:uid="{9DB39D1C-23BA-4E5A-9546-F906F44B37DC}"/>
    <cellStyle name="Normal 5 3 3 2 3 4 2 3" xfId="12426" xr:uid="{6FF9ABB9-0B7D-4A81-9E19-931E3DB3FB00}"/>
    <cellStyle name="Normal 5 3 3 2 3 4 2 4" xfId="20864" xr:uid="{E9B26EE1-2A25-4C6C-BA29-08F786F4FD11}"/>
    <cellStyle name="Normal 5 3 3 2 3 4 3" xfId="6057" xr:uid="{00000000-0005-0000-0000-0000AB190000}"/>
    <cellStyle name="Normal 5 3 3 2 3 4 3 2" xfId="14499" xr:uid="{B7C5D805-B344-45FD-9F7B-4CC18451520E}"/>
    <cellStyle name="Normal 5 3 3 2 3 4 3 3" xfId="22936" xr:uid="{AC067371-3718-48B6-BE8F-1C17A5C729D4}"/>
    <cellStyle name="Normal 5 3 3 2 3 4 4" xfId="10281" xr:uid="{276DA039-07AF-4E86-B0AC-102FD689FB1E}"/>
    <cellStyle name="Normal 5 3 3 2 3 4 5" xfId="18719" xr:uid="{29B8695D-151D-4DF5-BB72-03A7C5404806}"/>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F517ECBF-9555-4B58-9B26-171FBAF5671F}"/>
    <cellStyle name="Normal 5 3 3 2 3 5 2 2 3" xfId="25494" xr:uid="{D2E0875D-B16D-499A-BC8F-EE70A85D2562}"/>
    <cellStyle name="Normal 5 3 3 2 3 5 2 3" xfId="12839" xr:uid="{0C788B21-9D6F-4272-A18B-C54E91C39DDC}"/>
    <cellStyle name="Normal 5 3 3 2 3 5 2 4" xfId="21277" xr:uid="{656AC72F-1007-4624-82B8-6E73E4E587BC}"/>
    <cellStyle name="Normal 5 3 3 2 3 5 3" xfId="6470" xr:uid="{00000000-0005-0000-0000-0000AF190000}"/>
    <cellStyle name="Normal 5 3 3 2 3 5 3 2" xfId="14912" xr:uid="{71726722-83E6-456A-BDA0-670BF0B61A77}"/>
    <cellStyle name="Normal 5 3 3 2 3 5 3 3" xfId="23349" xr:uid="{E412B9E7-1A3B-4D7E-A96B-2C9663AD7E80}"/>
    <cellStyle name="Normal 5 3 3 2 3 5 4" xfId="10694" xr:uid="{F4FBDF53-D40B-4904-9A13-17C8AF3AD4AE}"/>
    <cellStyle name="Normal 5 3 3 2 3 5 5" xfId="19132" xr:uid="{DF1270E5-F88E-4D79-91F0-242211634255}"/>
    <cellStyle name="Normal 5 3 3 2 3 6" xfId="2599" xr:uid="{00000000-0005-0000-0000-0000B0190000}"/>
    <cellStyle name="Normal 5 3 3 2 3 6 2" xfId="6883" xr:uid="{00000000-0005-0000-0000-0000B1190000}"/>
    <cellStyle name="Normal 5 3 3 2 3 6 2 2" xfId="15325" xr:uid="{BA3C5499-A092-4B37-863C-ECB12B676E25}"/>
    <cellStyle name="Normal 5 3 3 2 3 6 2 3" xfId="23762" xr:uid="{B1A0A34E-7CC9-43C6-BB3A-88452E3D776F}"/>
    <cellStyle name="Normal 5 3 3 2 3 6 3" xfId="11107" xr:uid="{EF5FA545-4C36-4A7E-9697-72631F63FFEB}"/>
    <cellStyle name="Normal 5 3 3 2 3 6 4" xfId="19545" xr:uid="{09983D19-EA13-41FD-B79E-1B265BFEB395}"/>
    <cellStyle name="Normal 5 3 3 2 3 7" xfId="4818" xr:uid="{00000000-0005-0000-0000-0000B2190000}"/>
    <cellStyle name="Normal 5 3 3 2 3 7 2" xfId="13260" xr:uid="{2466FAE4-1A09-4388-8810-CB2258EE61A9}"/>
    <cellStyle name="Normal 5 3 3 2 3 7 3" xfId="21697" xr:uid="{CD6D4CBD-F573-4F62-B7C4-85E7F483FBF4}"/>
    <cellStyle name="Normal 5 3 3 2 3 8" xfId="9042" xr:uid="{D6DB7DFF-6DE0-452B-ADB5-F96A1663D6E1}"/>
    <cellStyle name="Normal 5 3 3 2 3 9" xfId="17480" xr:uid="{1DF8C95A-4DDE-4415-B731-2E5210A1960A}"/>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5E259BB8-A390-4EBF-8752-C086F60F465F}"/>
    <cellStyle name="Normal 5 3 3 2 4 2 2 3" xfId="24252" xr:uid="{99632556-0CCB-4248-B59C-B1009B6EF0B2}"/>
    <cellStyle name="Normal 5 3 3 2 4 2 3" xfId="11597" xr:uid="{7979AB2D-2293-4F8C-AB1D-0AABC90A1ABB}"/>
    <cellStyle name="Normal 5 3 3 2 4 2 4" xfId="20035" xr:uid="{B809015D-A4F0-452F-B908-57251EB871AF}"/>
    <cellStyle name="Normal 5 3 3 2 4 3" xfId="5228" xr:uid="{00000000-0005-0000-0000-0000B6190000}"/>
    <cellStyle name="Normal 5 3 3 2 4 3 2" xfId="13670" xr:uid="{6137FECF-1840-43DB-8106-C9FDB9322762}"/>
    <cellStyle name="Normal 5 3 3 2 4 3 3" xfId="22107" xr:uid="{386E5720-04DF-40A7-BC99-A3B56F4E62B8}"/>
    <cellStyle name="Normal 5 3 3 2 4 4" xfId="9452" xr:uid="{3E01AD99-FCF0-4120-B3F9-B1ECB00C671F}"/>
    <cellStyle name="Normal 5 3 3 2 4 5" xfId="17890" xr:uid="{C190470F-5234-4E98-A1AB-743885612A38}"/>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8DA33800-1AEE-4A39-858A-A12F005625DC}"/>
    <cellStyle name="Normal 5 3 3 2 5 2 2 3" xfId="24665" xr:uid="{4FF53A48-A8FC-4829-8F40-E24E8289204C}"/>
    <cellStyle name="Normal 5 3 3 2 5 2 3" xfId="12010" xr:uid="{6991972A-88CB-4623-AD9B-8443693B8307}"/>
    <cellStyle name="Normal 5 3 3 2 5 2 4" xfId="20448" xr:uid="{3F3EA109-0737-46B0-BB8C-BD161BA000CA}"/>
    <cellStyle name="Normal 5 3 3 2 5 3" xfId="5641" xr:uid="{00000000-0005-0000-0000-0000BA190000}"/>
    <cellStyle name="Normal 5 3 3 2 5 3 2" xfId="14083" xr:uid="{23369627-89B7-4099-A76C-BF76711FAEE2}"/>
    <cellStyle name="Normal 5 3 3 2 5 3 3" xfId="22520" xr:uid="{EB353F97-3AE8-415C-A249-13F3592887B3}"/>
    <cellStyle name="Normal 5 3 3 2 5 4" xfId="9865" xr:uid="{527306AC-5736-425D-B6DD-82111FE5814F}"/>
    <cellStyle name="Normal 5 3 3 2 5 5" xfId="18303" xr:uid="{E691B8EB-384F-4301-AF8E-B603ED161937}"/>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9CA4E7AD-54CC-4DE9-A7E9-63AB2ECE5DE8}"/>
    <cellStyle name="Normal 5 3 3 2 6 2 2 3" xfId="25078" xr:uid="{C8BE66A2-275F-45AE-AB16-F4544FA68957}"/>
    <cellStyle name="Normal 5 3 3 2 6 2 3" xfId="12423" xr:uid="{81B3A3A4-9642-49B5-99C9-1781C2E7A564}"/>
    <cellStyle name="Normal 5 3 3 2 6 2 4" xfId="20861" xr:uid="{207891EB-9173-40D5-8951-EE87C29A0FB9}"/>
    <cellStyle name="Normal 5 3 3 2 6 3" xfId="6054" xr:uid="{00000000-0005-0000-0000-0000BE190000}"/>
    <cellStyle name="Normal 5 3 3 2 6 3 2" xfId="14496" xr:uid="{CF084AE9-5924-4BF2-B750-8AD8E7BB25F1}"/>
    <cellStyle name="Normal 5 3 3 2 6 3 3" xfId="22933" xr:uid="{ED66994B-4399-41E2-9DBD-446594BB6F18}"/>
    <cellStyle name="Normal 5 3 3 2 6 4" xfId="10278" xr:uid="{F19E2093-D76D-47DD-85F7-7E658093AC2E}"/>
    <cellStyle name="Normal 5 3 3 2 6 5" xfId="18716" xr:uid="{D3DF713B-2CD7-4A1F-916A-49751E255E00}"/>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EA25981A-116E-4038-9CA5-6B49D25BE51F}"/>
    <cellStyle name="Normal 5 3 3 2 7 2 2 3" xfId="25491" xr:uid="{EC2971B2-45DE-45C9-881C-BF629390EC63}"/>
    <cellStyle name="Normal 5 3 3 2 7 2 3" xfId="12836" xr:uid="{E46C167D-D2B8-4C31-9263-D70E99E4CB8C}"/>
    <cellStyle name="Normal 5 3 3 2 7 2 4" xfId="21274" xr:uid="{821C22FD-84E3-492D-BECD-F0E9EBD617BE}"/>
    <cellStyle name="Normal 5 3 3 2 7 3" xfId="6467" xr:uid="{00000000-0005-0000-0000-0000C2190000}"/>
    <cellStyle name="Normal 5 3 3 2 7 3 2" xfId="14909" xr:uid="{16B3C713-E16E-4549-AA9B-88DDD5E872C4}"/>
    <cellStyle name="Normal 5 3 3 2 7 3 3" xfId="23346" xr:uid="{6F9BB88A-23DE-47F1-8CC4-E2901BA204D4}"/>
    <cellStyle name="Normal 5 3 3 2 7 4" xfId="10691" xr:uid="{9B511D32-75AF-4EB5-97EB-80A7C5782E1A}"/>
    <cellStyle name="Normal 5 3 3 2 7 5" xfId="19129" xr:uid="{EFA4E30A-81BE-431D-B39E-8C594A4EF8C9}"/>
    <cellStyle name="Normal 5 3 3 2 8" xfId="2596" xr:uid="{00000000-0005-0000-0000-0000C3190000}"/>
    <cellStyle name="Normal 5 3 3 2 8 2" xfId="6880" xr:uid="{00000000-0005-0000-0000-0000C4190000}"/>
    <cellStyle name="Normal 5 3 3 2 8 2 2" xfId="15322" xr:uid="{9CC0B71B-88EE-4580-8A19-FF04FB5FB4B9}"/>
    <cellStyle name="Normal 5 3 3 2 8 2 3" xfId="23759" xr:uid="{F6D3EE36-141C-4AD2-A41C-47F833E152F6}"/>
    <cellStyle name="Normal 5 3 3 2 8 3" xfId="11104" xr:uid="{62AF165E-A264-4817-8FBB-0C72837863F6}"/>
    <cellStyle name="Normal 5 3 3 2 8 4" xfId="19542" xr:uid="{46477AC7-811F-4891-84E8-BC99CBDDDA7F}"/>
    <cellStyle name="Normal 5 3 3 2 9" xfId="4815" xr:uid="{00000000-0005-0000-0000-0000C5190000}"/>
    <cellStyle name="Normal 5 3 3 2 9 2" xfId="13257" xr:uid="{C20E7255-9895-4600-9505-C70BE4705EAC}"/>
    <cellStyle name="Normal 5 3 3 2 9 3" xfId="21694" xr:uid="{A8D8C73E-539D-420A-8E68-57867084318A}"/>
    <cellStyle name="Normal 5 3 3 3" xfId="446" xr:uid="{00000000-0005-0000-0000-0000C6190000}"/>
    <cellStyle name="Normal 5 3 3 3 10" xfId="17481" xr:uid="{5FC65565-253F-42A4-B2A6-6498E79C20C7}"/>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92E8119B-5B28-4663-BD33-7C7B3A931A27}"/>
    <cellStyle name="Normal 5 3 3 3 2 2 2 2 3" xfId="24257" xr:uid="{8D1ED67A-50C6-43D7-B96F-2016B370A2E4}"/>
    <cellStyle name="Normal 5 3 3 3 2 2 2 3" xfId="11602" xr:uid="{44FB66E2-2406-4B31-A2B6-ACD48854856C}"/>
    <cellStyle name="Normal 5 3 3 3 2 2 2 4" xfId="20040" xr:uid="{BEFB576B-ED2D-4D44-9118-A09F56A531E5}"/>
    <cellStyle name="Normal 5 3 3 3 2 2 3" xfId="5233" xr:uid="{00000000-0005-0000-0000-0000CB190000}"/>
    <cellStyle name="Normal 5 3 3 3 2 2 3 2" xfId="13675" xr:uid="{C2990999-E35A-4777-8AFB-2C4A03417E3E}"/>
    <cellStyle name="Normal 5 3 3 3 2 2 3 3" xfId="22112" xr:uid="{A39C1F81-D2A1-4069-8FEE-8093146C27A4}"/>
    <cellStyle name="Normal 5 3 3 3 2 2 4" xfId="9457" xr:uid="{181796DB-F984-47BB-A7F6-B7E8E6564D11}"/>
    <cellStyle name="Normal 5 3 3 3 2 2 5" xfId="17895" xr:uid="{FFE0E076-C9F1-4044-B6DF-EC005499A51D}"/>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3490BCFC-DE1C-4A46-A4D1-AD8490DA6D0E}"/>
    <cellStyle name="Normal 5 3 3 3 2 3 2 2 3" xfId="24670" xr:uid="{3187CB79-CB8F-4D4E-A858-D432728660AD}"/>
    <cellStyle name="Normal 5 3 3 3 2 3 2 3" xfId="12015" xr:uid="{CFA0F158-49C2-41BA-8658-9659E1376FA7}"/>
    <cellStyle name="Normal 5 3 3 3 2 3 2 4" xfId="20453" xr:uid="{9282BC34-6D8A-4E9E-9ABD-EFB806B881D5}"/>
    <cellStyle name="Normal 5 3 3 3 2 3 3" xfId="5646" xr:uid="{00000000-0005-0000-0000-0000CF190000}"/>
    <cellStyle name="Normal 5 3 3 3 2 3 3 2" xfId="14088" xr:uid="{56C1B115-928C-46B8-874D-FB3F7F51A8CE}"/>
    <cellStyle name="Normal 5 3 3 3 2 3 3 3" xfId="22525" xr:uid="{691C7AD7-273C-4604-B216-B549709603A7}"/>
    <cellStyle name="Normal 5 3 3 3 2 3 4" xfId="9870" xr:uid="{64AEFC40-0DB3-4A77-B9DD-C4088A4AD4DA}"/>
    <cellStyle name="Normal 5 3 3 3 2 3 5" xfId="18308" xr:uid="{EA2675ED-854E-47A3-A733-B2CF4A56C141}"/>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17319EBD-ECB5-460A-942F-30E69825460D}"/>
    <cellStyle name="Normal 5 3 3 3 2 4 2 2 3" xfId="25083" xr:uid="{CA1C4112-5137-4EC7-8134-92C1345BF60E}"/>
    <cellStyle name="Normal 5 3 3 3 2 4 2 3" xfId="12428" xr:uid="{8864988F-FF27-475D-9D42-DC9BF0960310}"/>
    <cellStyle name="Normal 5 3 3 3 2 4 2 4" xfId="20866" xr:uid="{14FF6FD7-1801-4C90-9E3C-FDA1D89A7FCE}"/>
    <cellStyle name="Normal 5 3 3 3 2 4 3" xfId="6059" xr:uid="{00000000-0005-0000-0000-0000D3190000}"/>
    <cellStyle name="Normal 5 3 3 3 2 4 3 2" xfId="14501" xr:uid="{3F110FE5-AECC-4762-9B24-D0D65C4ED66C}"/>
    <cellStyle name="Normal 5 3 3 3 2 4 3 3" xfId="22938" xr:uid="{01EC24FD-C5F0-4690-A5CB-52A71BE42E15}"/>
    <cellStyle name="Normal 5 3 3 3 2 4 4" xfId="10283" xr:uid="{9A4CBF1C-35B0-4862-96B1-E04A18ABE908}"/>
    <cellStyle name="Normal 5 3 3 3 2 4 5" xfId="18721" xr:uid="{FA86368F-DD0A-4AA9-996C-512D4A582376}"/>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BBB4A5DB-1365-4D36-8291-B9D2D99D3169}"/>
    <cellStyle name="Normal 5 3 3 3 2 5 2 2 3" xfId="25496" xr:uid="{38D237B1-EE07-4165-A224-7FED6A0ED3B3}"/>
    <cellStyle name="Normal 5 3 3 3 2 5 2 3" xfId="12841" xr:uid="{269C0D43-0FE9-4B4C-8E37-EB82EA4CAA4A}"/>
    <cellStyle name="Normal 5 3 3 3 2 5 2 4" xfId="21279" xr:uid="{F7C8ADC3-3560-4AE9-96C9-9588B19C9AB1}"/>
    <cellStyle name="Normal 5 3 3 3 2 5 3" xfId="6472" xr:uid="{00000000-0005-0000-0000-0000D7190000}"/>
    <cellStyle name="Normal 5 3 3 3 2 5 3 2" xfId="14914" xr:uid="{F5858F97-0AEC-4AB1-B8A9-E75EF417E405}"/>
    <cellStyle name="Normal 5 3 3 3 2 5 3 3" xfId="23351" xr:uid="{7C238D4D-1CC0-467D-AA10-190816EEF6E5}"/>
    <cellStyle name="Normal 5 3 3 3 2 5 4" xfId="10696" xr:uid="{C95A8331-BB77-4289-A119-28452B346998}"/>
    <cellStyle name="Normal 5 3 3 3 2 5 5" xfId="19134" xr:uid="{04897FE3-4600-44F6-8332-C98697441E19}"/>
    <cellStyle name="Normal 5 3 3 3 2 6" xfId="2601" xr:uid="{00000000-0005-0000-0000-0000D8190000}"/>
    <cellStyle name="Normal 5 3 3 3 2 6 2" xfId="6885" xr:uid="{00000000-0005-0000-0000-0000D9190000}"/>
    <cellStyle name="Normal 5 3 3 3 2 6 2 2" xfId="15327" xr:uid="{FE7EA50D-4B21-4F0A-AAD9-A79F0B7D84CE}"/>
    <cellStyle name="Normal 5 3 3 3 2 6 2 3" xfId="23764" xr:uid="{AD8B9B64-2C98-4A17-ABF7-6247509AF838}"/>
    <cellStyle name="Normal 5 3 3 3 2 6 3" xfId="11109" xr:uid="{34E34660-2438-44E1-BD1A-3C2A1981B2AF}"/>
    <cellStyle name="Normal 5 3 3 3 2 6 4" xfId="19547" xr:uid="{3DFBBF3A-0BE6-43C9-A60A-43F7DB26707E}"/>
    <cellStyle name="Normal 5 3 3 3 2 7" xfId="4820" xr:uid="{00000000-0005-0000-0000-0000DA190000}"/>
    <cellStyle name="Normal 5 3 3 3 2 7 2" xfId="13262" xr:uid="{CBA31F30-19A9-4145-9688-D3D70BC0EDF0}"/>
    <cellStyle name="Normal 5 3 3 3 2 7 3" xfId="21699" xr:uid="{9269AA9C-797C-4D86-A966-B2B25910AD2B}"/>
    <cellStyle name="Normal 5 3 3 3 2 8" xfId="9044" xr:uid="{04D6841A-5C1C-4E2F-8542-22C620EA4D82}"/>
    <cellStyle name="Normal 5 3 3 3 2 9" xfId="17482" xr:uid="{E16F83EC-23CC-4A68-9103-58E66FFE700D}"/>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80D8BC4F-83C4-4295-8F7B-9CD2EA604A87}"/>
    <cellStyle name="Normal 5 3 3 3 3 2 2 3" xfId="24256" xr:uid="{7906E5CD-28F1-475D-9134-5EC01278F537}"/>
    <cellStyle name="Normal 5 3 3 3 3 2 3" xfId="11601" xr:uid="{B0A9C4ED-C4C7-473C-AD2D-CF984B019BCA}"/>
    <cellStyle name="Normal 5 3 3 3 3 2 4" xfId="20039" xr:uid="{B731CF40-7600-4A18-8A6F-1128554F8EBE}"/>
    <cellStyle name="Normal 5 3 3 3 3 3" xfId="5232" xr:uid="{00000000-0005-0000-0000-0000DE190000}"/>
    <cellStyle name="Normal 5 3 3 3 3 3 2" xfId="13674" xr:uid="{676AD7AB-7820-4C8F-91AF-DB547F139BFF}"/>
    <cellStyle name="Normal 5 3 3 3 3 3 3" xfId="22111" xr:uid="{E39A91C8-869D-4714-90F3-23D1D169B5FA}"/>
    <cellStyle name="Normal 5 3 3 3 3 4" xfId="9456" xr:uid="{F4EBAA50-D617-4802-A52F-229B3B0014B2}"/>
    <cellStyle name="Normal 5 3 3 3 3 5" xfId="17894" xr:uid="{E010FC2A-5ECA-4342-8BB9-A268B4340281}"/>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DCFA484A-5567-4036-9091-38B3B258003B}"/>
    <cellStyle name="Normal 5 3 3 3 4 2 2 3" xfId="24669" xr:uid="{D287B1E2-42CD-499C-8140-A45369927893}"/>
    <cellStyle name="Normal 5 3 3 3 4 2 3" xfId="12014" xr:uid="{905A50A0-A131-497E-BAF9-1F11DF912C99}"/>
    <cellStyle name="Normal 5 3 3 3 4 2 4" xfId="20452" xr:uid="{B714D880-AD86-4F94-B970-779FEA121F6C}"/>
    <cellStyle name="Normal 5 3 3 3 4 3" xfId="5645" xr:uid="{00000000-0005-0000-0000-0000E2190000}"/>
    <cellStyle name="Normal 5 3 3 3 4 3 2" xfId="14087" xr:uid="{FAEC88EB-059F-4938-8FD3-F619DE6138C9}"/>
    <cellStyle name="Normal 5 3 3 3 4 3 3" xfId="22524" xr:uid="{34352D74-1969-4030-A712-D2E28C829C77}"/>
    <cellStyle name="Normal 5 3 3 3 4 4" xfId="9869" xr:uid="{D4F4A917-B75B-487F-B361-03EDFC8786E0}"/>
    <cellStyle name="Normal 5 3 3 3 4 5" xfId="18307" xr:uid="{0F9F70EC-0DD1-4F46-9AB5-0231FC746E57}"/>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474E569E-6868-43F9-90FA-3D5FCDFC979B}"/>
    <cellStyle name="Normal 5 3 3 3 5 2 2 3" xfId="25082" xr:uid="{7D1C81E7-6AC4-4282-83D6-27BF524B595C}"/>
    <cellStyle name="Normal 5 3 3 3 5 2 3" xfId="12427" xr:uid="{734F3483-7D2D-4B03-8F26-98BD1E6DA476}"/>
    <cellStyle name="Normal 5 3 3 3 5 2 4" xfId="20865" xr:uid="{B30BB26C-46D8-4BE3-8FFB-A3848B6E2EC0}"/>
    <cellStyle name="Normal 5 3 3 3 5 3" xfId="6058" xr:uid="{00000000-0005-0000-0000-0000E6190000}"/>
    <cellStyle name="Normal 5 3 3 3 5 3 2" xfId="14500" xr:uid="{CD0AE8E3-D5D7-4FCF-8813-BDA472BF9A43}"/>
    <cellStyle name="Normal 5 3 3 3 5 3 3" xfId="22937" xr:uid="{7C044494-11BA-44A6-83A0-C8E602CB9568}"/>
    <cellStyle name="Normal 5 3 3 3 5 4" xfId="10282" xr:uid="{C422896A-F846-4FEA-B346-D28006E2D31F}"/>
    <cellStyle name="Normal 5 3 3 3 5 5" xfId="18720" xr:uid="{8D3C40BD-2772-4F76-846F-F42ABBD88728}"/>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E38473DC-EF9B-42AA-B5E7-D18AA3548C45}"/>
    <cellStyle name="Normal 5 3 3 3 6 2 2 3" xfId="25495" xr:uid="{52A10044-5B4F-4C2C-84CA-28216DB0F199}"/>
    <cellStyle name="Normal 5 3 3 3 6 2 3" xfId="12840" xr:uid="{A0BB30D6-15DC-4387-B858-A5628A830D78}"/>
    <cellStyle name="Normal 5 3 3 3 6 2 4" xfId="21278" xr:uid="{9870A5AA-14E2-4EDA-A576-47801190C06E}"/>
    <cellStyle name="Normal 5 3 3 3 6 3" xfId="6471" xr:uid="{00000000-0005-0000-0000-0000EA190000}"/>
    <cellStyle name="Normal 5 3 3 3 6 3 2" xfId="14913" xr:uid="{E00806C9-3AEF-4C53-BBEA-56A3A040FD15}"/>
    <cellStyle name="Normal 5 3 3 3 6 3 3" xfId="23350" xr:uid="{6D790C21-427D-4D8E-8E56-1496AFD26357}"/>
    <cellStyle name="Normal 5 3 3 3 6 4" xfId="10695" xr:uid="{536FA21E-BAFF-449B-9666-93DA617C9300}"/>
    <cellStyle name="Normal 5 3 3 3 6 5" xfId="19133" xr:uid="{F0AC620E-3CE3-47AC-BB01-40B36737C5C2}"/>
    <cellStyle name="Normal 5 3 3 3 7" xfId="2600" xr:uid="{00000000-0005-0000-0000-0000EB190000}"/>
    <cellStyle name="Normal 5 3 3 3 7 2" xfId="6884" xr:uid="{00000000-0005-0000-0000-0000EC190000}"/>
    <cellStyle name="Normal 5 3 3 3 7 2 2" xfId="15326" xr:uid="{86E8BEB7-9644-43C0-9CD9-F159A11E079A}"/>
    <cellStyle name="Normal 5 3 3 3 7 2 3" xfId="23763" xr:uid="{984E526D-4001-45E7-9ABA-A6D58F52D603}"/>
    <cellStyle name="Normal 5 3 3 3 7 3" xfId="11108" xr:uid="{A5AA766A-3F08-4530-9EF0-BDDF0B902F5A}"/>
    <cellStyle name="Normal 5 3 3 3 7 4" xfId="19546" xr:uid="{D3F98D5E-A137-42A9-A357-5B4EE9C68DC0}"/>
    <cellStyle name="Normal 5 3 3 3 8" xfId="4819" xr:uid="{00000000-0005-0000-0000-0000ED190000}"/>
    <cellStyle name="Normal 5 3 3 3 8 2" xfId="13261" xr:uid="{03870ED2-7EA2-455E-A5F3-F4AE32E08316}"/>
    <cellStyle name="Normal 5 3 3 3 8 3" xfId="21698" xr:uid="{77B4EB5D-96DD-4D33-A3B5-A590656A32C2}"/>
    <cellStyle name="Normal 5 3 3 3 9" xfId="9043" xr:uid="{BF898A83-855B-456E-B962-D01E3682250A}"/>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E6C31514-1EC0-4749-A18A-CB56673BC109}"/>
    <cellStyle name="Normal 5 3 3 4 2 2 2 3" xfId="24258" xr:uid="{BB71CF9D-6C4B-4882-BB5C-0AA4AEDF8EEA}"/>
    <cellStyle name="Normal 5 3 3 4 2 2 3" xfId="11603" xr:uid="{68ADA04D-7941-4789-AA5E-F6C751C9F6EA}"/>
    <cellStyle name="Normal 5 3 3 4 2 2 4" xfId="20041" xr:uid="{3BA29A38-14CB-467F-86B5-AFD1E11F4833}"/>
    <cellStyle name="Normal 5 3 3 4 2 3" xfId="5234" xr:uid="{00000000-0005-0000-0000-0000F2190000}"/>
    <cellStyle name="Normal 5 3 3 4 2 3 2" xfId="13676" xr:uid="{2F2AAE7C-C8C0-4BA6-91E0-4A938E698688}"/>
    <cellStyle name="Normal 5 3 3 4 2 3 3" xfId="22113" xr:uid="{D549F12F-DD3D-4763-8FF2-5BF8E7757494}"/>
    <cellStyle name="Normal 5 3 3 4 2 4" xfId="9458" xr:uid="{F71FC6D7-17B3-4250-B80A-600DCD7D8987}"/>
    <cellStyle name="Normal 5 3 3 4 2 5" xfId="17896" xr:uid="{11D2A698-FC5F-4064-B488-2949DCE46640}"/>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B2093254-4F58-4123-9AB1-F5778418E2D0}"/>
    <cellStyle name="Normal 5 3 3 4 3 2 2 3" xfId="24671" xr:uid="{B828E0B2-1AF9-42FE-8CA7-247DE9C1993A}"/>
    <cellStyle name="Normal 5 3 3 4 3 2 3" xfId="12016" xr:uid="{0B75DFE0-AACA-4051-9570-6F4599AC11A6}"/>
    <cellStyle name="Normal 5 3 3 4 3 2 4" xfId="20454" xr:uid="{6A063424-41A5-4E02-91B9-C7466FD58AB9}"/>
    <cellStyle name="Normal 5 3 3 4 3 3" xfId="5647" xr:uid="{00000000-0005-0000-0000-0000F6190000}"/>
    <cellStyle name="Normal 5 3 3 4 3 3 2" xfId="14089" xr:uid="{1DABBE49-88CC-4ED1-BFD1-B17EE01B1EEF}"/>
    <cellStyle name="Normal 5 3 3 4 3 3 3" xfId="22526" xr:uid="{172B5485-5FF8-4CCE-99ED-6FE3389571E5}"/>
    <cellStyle name="Normal 5 3 3 4 3 4" xfId="9871" xr:uid="{4F506F49-5756-4397-BC63-4ABBD2381F54}"/>
    <cellStyle name="Normal 5 3 3 4 3 5" xfId="18309" xr:uid="{CD5B0033-A8E3-442D-B3D3-B4C6D2FA833B}"/>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26A51A2A-9509-4536-9CE2-FC711F4E83BB}"/>
    <cellStyle name="Normal 5 3 3 4 4 2 2 3" xfId="25084" xr:uid="{2E07FA47-B29A-498C-889D-9DB3D92BC40C}"/>
    <cellStyle name="Normal 5 3 3 4 4 2 3" xfId="12429" xr:uid="{E6FD4BA2-5546-432F-BC28-61E517B35ED1}"/>
    <cellStyle name="Normal 5 3 3 4 4 2 4" xfId="20867" xr:uid="{79FFC1BE-3131-4D38-87A9-04CB0149592A}"/>
    <cellStyle name="Normal 5 3 3 4 4 3" xfId="6060" xr:uid="{00000000-0005-0000-0000-0000FA190000}"/>
    <cellStyle name="Normal 5 3 3 4 4 3 2" xfId="14502" xr:uid="{390CBA8D-D4CE-435A-8493-E049742B7DE1}"/>
    <cellStyle name="Normal 5 3 3 4 4 3 3" xfId="22939" xr:uid="{E8B0D490-0A0C-4346-8262-5722E0004782}"/>
    <cellStyle name="Normal 5 3 3 4 4 4" xfId="10284" xr:uid="{E9E8C27D-5B9D-4C76-B75C-1D6EADA08EB3}"/>
    <cellStyle name="Normal 5 3 3 4 4 5" xfId="18722" xr:uid="{4A9EBD00-C159-4FB8-B2FC-7B980EDB8D89}"/>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4212B28F-8A49-4CB6-B232-47DA0D0700C9}"/>
    <cellStyle name="Normal 5 3 3 4 5 2 2 3" xfId="25497" xr:uid="{AF868486-1CBC-4809-892E-2B974B284158}"/>
    <cellStyle name="Normal 5 3 3 4 5 2 3" xfId="12842" xr:uid="{C2B7F09F-E196-4728-B258-C683EDB7DB16}"/>
    <cellStyle name="Normal 5 3 3 4 5 2 4" xfId="21280" xr:uid="{C03C7C57-2DFB-4ACD-AB9A-5168374DFA1C}"/>
    <cellStyle name="Normal 5 3 3 4 5 3" xfId="6473" xr:uid="{00000000-0005-0000-0000-0000FE190000}"/>
    <cellStyle name="Normal 5 3 3 4 5 3 2" xfId="14915" xr:uid="{31598405-4340-4D2D-A6E8-A8BCD4EDFAC0}"/>
    <cellStyle name="Normal 5 3 3 4 5 3 3" xfId="23352" xr:uid="{10628F2A-64EB-442B-86A3-AB454822A432}"/>
    <cellStyle name="Normal 5 3 3 4 5 4" xfId="10697" xr:uid="{68D16A77-336B-4618-A0F1-DBFDA842842D}"/>
    <cellStyle name="Normal 5 3 3 4 5 5" xfId="19135" xr:uid="{1B153CA5-5871-4D7F-8109-1A33A594070F}"/>
    <cellStyle name="Normal 5 3 3 4 6" xfId="2602" xr:uid="{00000000-0005-0000-0000-0000FF190000}"/>
    <cellStyle name="Normal 5 3 3 4 6 2" xfId="6886" xr:uid="{00000000-0005-0000-0000-0000001A0000}"/>
    <cellStyle name="Normal 5 3 3 4 6 2 2" xfId="15328" xr:uid="{0071D2F7-FB29-47D5-BA61-09936D516506}"/>
    <cellStyle name="Normal 5 3 3 4 6 2 3" xfId="23765" xr:uid="{780A767B-77DE-477F-A2A9-4D17B8E17B3F}"/>
    <cellStyle name="Normal 5 3 3 4 6 3" xfId="11110" xr:uid="{F4A411D2-2146-456D-A51C-595CE94F70E1}"/>
    <cellStyle name="Normal 5 3 3 4 6 4" xfId="19548" xr:uid="{106D9E11-934E-46AD-BAF0-6EDFF02D3499}"/>
    <cellStyle name="Normal 5 3 3 4 7" xfId="4821" xr:uid="{00000000-0005-0000-0000-0000011A0000}"/>
    <cellStyle name="Normal 5 3 3 4 7 2" xfId="13263" xr:uid="{D2F2C03E-798B-49C7-8323-08D9ECD1AE1E}"/>
    <cellStyle name="Normal 5 3 3 4 7 3" xfId="21700" xr:uid="{2D25FAB9-1849-4839-8E3C-68A90FB206D0}"/>
    <cellStyle name="Normal 5 3 3 4 8" xfId="9045" xr:uid="{BCAFA3ED-3871-489E-8498-A0B211F05772}"/>
    <cellStyle name="Normal 5 3 3 4 9" xfId="17483" xr:uid="{5A416F5D-8B52-430E-9577-387A245EBD6A}"/>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0C4A937C-C93F-4292-84F3-50B8A6669C32}"/>
    <cellStyle name="Normal 5 3 3 5 2 2 3" xfId="24251" xr:uid="{33DCCBDD-5A3D-4507-AF10-1953CEA83FAE}"/>
    <cellStyle name="Normal 5 3 3 5 2 3" xfId="11596" xr:uid="{0DEC38E0-414B-4651-8080-05ED55657F58}"/>
    <cellStyle name="Normal 5 3 3 5 2 4" xfId="20034" xr:uid="{D57003C5-E718-4499-B311-4EBE143A8AD9}"/>
    <cellStyle name="Normal 5 3 3 5 3" xfId="5227" xr:uid="{00000000-0005-0000-0000-0000051A0000}"/>
    <cellStyle name="Normal 5 3 3 5 3 2" xfId="13669" xr:uid="{974967C4-E1E7-4990-A4BE-703D928FBDA9}"/>
    <cellStyle name="Normal 5 3 3 5 3 3" xfId="22106" xr:uid="{6E426DC3-3F87-4036-A0AB-28222AC02CD1}"/>
    <cellStyle name="Normal 5 3 3 5 4" xfId="9451" xr:uid="{C381A37A-1D85-45A8-8B8A-51E5015B0412}"/>
    <cellStyle name="Normal 5 3 3 5 5" xfId="17889" xr:uid="{15EF080C-6BBD-48D4-8E56-6A8FBC78D76C}"/>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4C324979-C490-464A-A8B9-F3BE65EC6962}"/>
    <cellStyle name="Normal 5 3 3 6 2 2 3" xfId="24664" xr:uid="{A2D0845C-EAE3-4DFE-BED6-A7958663A8D5}"/>
    <cellStyle name="Normal 5 3 3 6 2 3" xfId="12009" xr:uid="{85B23FBB-F678-4EEA-B767-672920BB3F3B}"/>
    <cellStyle name="Normal 5 3 3 6 2 4" xfId="20447" xr:uid="{9E636CBC-C589-405D-A3E9-5233D3E6D200}"/>
    <cellStyle name="Normal 5 3 3 6 3" xfId="5640" xr:uid="{00000000-0005-0000-0000-0000091A0000}"/>
    <cellStyle name="Normal 5 3 3 6 3 2" xfId="14082" xr:uid="{FEA005B4-B379-4A07-A6C5-3B4E924CB068}"/>
    <cellStyle name="Normal 5 3 3 6 3 3" xfId="22519" xr:uid="{D5638266-F51E-406D-9619-A8E6F1FBC22F}"/>
    <cellStyle name="Normal 5 3 3 6 4" xfId="9864" xr:uid="{7043EED3-5547-4983-86D2-5EAB442AACA6}"/>
    <cellStyle name="Normal 5 3 3 6 5" xfId="18302" xr:uid="{7473B165-361D-4BA4-A7F3-34CC726C002A}"/>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1522D0DB-6579-4A6B-B3F2-1D8FF94E33EE}"/>
    <cellStyle name="Normal 5 3 3 7 2 2 3" xfId="25077" xr:uid="{D53AA092-C8B7-424D-8FCE-2F7EFEF25BDB}"/>
    <cellStyle name="Normal 5 3 3 7 2 3" xfId="12422" xr:uid="{B229548E-DFE7-4A2C-B2DF-B6E9BBDC4CB3}"/>
    <cellStyle name="Normal 5 3 3 7 2 4" xfId="20860" xr:uid="{25210106-2CF1-49FA-B6C5-0FB5DE6542BA}"/>
    <cellStyle name="Normal 5 3 3 7 3" xfId="6053" xr:uid="{00000000-0005-0000-0000-00000D1A0000}"/>
    <cellStyle name="Normal 5 3 3 7 3 2" xfId="14495" xr:uid="{7C9037BD-FE85-4387-AB53-61C988A5ABD2}"/>
    <cellStyle name="Normal 5 3 3 7 3 3" xfId="22932" xr:uid="{8BAADB59-5CB6-42F1-9920-F72A4348F8E8}"/>
    <cellStyle name="Normal 5 3 3 7 4" xfId="10277" xr:uid="{FF4FEBCC-82BE-49BD-AF76-1A120DE1A37D}"/>
    <cellStyle name="Normal 5 3 3 7 5" xfId="18715" xr:uid="{A5919BE4-4AC2-4ADF-8B8C-2F8ACE920DF6}"/>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66F4A811-17D2-4F6E-A9A0-EFAAAF8CE614}"/>
    <cellStyle name="Normal 5 3 3 8 2 2 3" xfId="25490" xr:uid="{A458E243-7142-4BD3-83DA-28549D5C2AA1}"/>
    <cellStyle name="Normal 5 3 3 8 2 3" xfId="12835" xr:uid="{F42F1428-7659-4729-8304-F6E642AC0BBC}"/>
    <cellStyle name="Normal 5 3 3 8 2 4" xfId="21273" xr:uid="{1660D057-3CD2-420B-9E43-C2F28E066DBA}"/>
    <cellStyle name="Normal 5 3 3 8 3" xfId="6466" xr:uid="{00000000-0005-0000-0000-0000111A0000}"/>
    <cellStyle name="Normal 5 3 3 8 3 2" xfId="14908" xr:uid="{C20264E4-1553-4999-9333-D4F5EE496C5F}"/>
    <cellStyle name="Normal 5 3 3 8 3 3" xfId="23345" xr:uid="{9243BE0C-E814-4035-8E22-3A91DE08C94E}"/>
    <cellStyle name="Normal 5 3 3 8 4" xfId="10690" xr:uid="{36F67CB3-3185-46E7-904E-E53BC344FE7C}"/>
    <cellStyle name="Normal 5 3 3 8 5" xfId="19128" xr:uid="{0E87CDB5-6580-48D0-A43A-E37E7D4A1723}"/>
    <cellStyle name="Normal 5 3 3 9" xfId="2595" xr:uid="{00000000-0005-0000-0000-0000121A0000}"/>
    <cellStyle name="Normal 5 3 3 9 2" xfId="6879" xr:uid="{00000000-0005-0000-0000-0000131A0000}"/>
    <cellStyle name="Normal 5 3 3 9 2 2" xfId="15321" xr:uid="{99C13C10-7D35-4BB7-8854-9B30C8BD809B}"/>
    <cellStyle name="Normal 5 3 3 9 2 3" xfId="23758" xr:uid="{78421FB1-4208-4326-980D-D7429AA7D6C7}"/>
    <cellStyle name="Normal 5 3 3 9 3" xfId="11103" xr:uid="{41606621-B62E-403F-9667-39DE0014155D}"/>
    <cellStyle name="Normal 5 3 3 9 4" xfId="19541" xr:uid="{D84C56C6-1C4B-45DE-925A-164DD31F78E5}"/>
    <cellStyle name="Normal 5 3 4" xfId="449" xr:uid="{00000000-0005-0000-0000-0000141A0000}"/>
    <cellStyle name="Normal 5 3 4 10" xfId="9046" xr:uid="{20D717B5-0B85-4A7F-9E43-6C0566EE24E1}"/>
    <cellStyle name="Normal 5 3 4 11" xfId="17484" xr:uid="{D4122F60-7CA4-4F76-9BAD-0AF13B72ED18}"/>
    <cellStyle name="Normal 5 3 4 2" xfId="450" xr:uid="{00000000-0005-0000-0000-0000151A0000}"/>
    <cellStyle name="Normal 5 3 4 2 10" xfId="17485" xr:uid="{C378D0B3-B807-4048-8D30-4BA12AA78B4B}"/>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F7B10F64-BD94-446D-8445-6E4372CB229E}"/>
    <cellStyle name="Normal 5 3 4 2 2 2 2 2 3" xfId="24261" xr:uid="{614450F6-2E9F-4591-A3B3-5C3B9BBEC6DA}"/>
    <cellStyle name="Normal 5 3 4 2 2 2 2 3" xfId="11606" xr:uid="{9A793E77-A312-46EF-924C-83038BB73481}"/>
    <cellStyle name="Normal 5 3 4 2 2 2 2 4" xfId="20044" xr:uid="{1C601177-3AD8-458F-AF35-1DBBC0A5F73E}"/>
    <cellStyle name="Normal 5 3 4 2 2 2 3" xfId="5237" xr:uid="{00000000-0005-0000-0000-00001A1A0000}"/>
    <cellStyle name="Normal 5 3 4 2 2 2 3 2" xfId="13679" xr:uid="{1876EE47-6E98-4F1F-9DB7-B57D36D16C6E}"/>
    <cellStyle name="Normal 5 3 4 2 2 2 3 3" xfId="22116" xr:uid="{1497A688-0308-4EAB-9EC7-5224A3341AF1}"/>
    <cellStyle name="Normal 5 3 4 2 2 2 4" xfId="9461" xr:uid="{AE1C785A-1907-42B7-BBA7-9A140DFD33B3}"/>
    <cellStyle name="Normal 5 3 4 2 2 2 5" xfId="17899" xr:uid="{E9CB0EF4-FFF2-4AFC-87A3-71EA4A300B83}"/>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ABA52AC4-2CC8-4EE0-B35F-2D7089722E20}"/>
    <cellStyle name="Normal 5 3 4 2 2 3 2 2 3" xfId="24674" xr:uid="{E082A320-545A-458F-8FBF-1BA331CF3392}"/>
    <cellStyle name="Normal 5 3 4 2 2 3 2 3" xfId="12019" xr:uid="{A972ADA4-E3CF-40AF-8CDB-8A3C6B9016EF}"/>
    <cellStyle name="Normal 5 3 4 2 2 3 2 4" xfId="20457" xr:uid="{3DF8D9DC-1D25-4E3F-A778-73B457D1362C}"/>
    <cellStyle name="Normal 5 3 4 2 2 3 3" xfId="5650" xr:uid="{00000000-0005-0000-0000-00001E1A0000}"/>
    <cellStyle name="Normal 5 3 4 2 2 3 3 2" xfId="14092" xr:uid="{AF1BEF87-30F3-4448-979C-809178025A67}"/>
    <cellStyle name="Normal 5 3 4 2 2 3 3 3" xfId="22529" xr:uid="{D63AC337-5FD3-452D-A454-4413191CF3E6}"/>
    <cellStyle name="Normal 5 3 4 2 2 3 4" xfId="9874" xr:uid="{EF65CC7F-2626-43B8-AB5E-412C089841D8}"/>
    <cellStyle name="Normal 5 3 4 2 2 3 5" xfId="18312" xr:uid="{A42C1B97-41C9-476E-9D4D-8C9D9C94D01C}"/>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576A5248-07BF-4F3B-B991-823390B24147}"/>
    <cellStyle name="Normal 5 3 4 2 2 4 2 2 3" xfId="25087" xr:uid="{479C7B95-8261-4CE1-B972-00D80F38882E}"/>
    <cellStyle name="Normal 5 3 4 2 2 4 2 3" xfId="12432" xr:uid="{76015730-E418-4130-BFBD-A341E17008CD}"/>
    <cellStyle name="Normal 5 3 4 2 2 4 2 4" xfId="20870" xr:uid="{AF856DF8-0104-4A91-9CCD-F2DB2B4B0692}"/>
    <cellStyle name="Normal 5 3 4 2 2 4 3" xfId="6063" xr:uid="{00000000-0005-0000-0000-0000221A0000}"/>
    <cellStyle name="Normal 5 3 4 2 2 4 3 2" xfId="14505" xr:uid="{8BA62740-129C-406B-BC4D-4294BDE5C2FD}"/>
    <cellStyle name="Normal 5 3 4 2 2 4 3 3" xfId="22942" xr:uid="{E650672C-F59A-4F7C-9E6A-6C8F53A3796C}"/>
    <cellStyle name="Normal 5 3 4 2 2 4 4" xfId="10287" xr:uid="{D06ABA0F-7923-4492-BA3E-E263851AA4AB}"/>
    <cellStyle name="Normal 5 3 4 2 2 4 5" xfId="18725" xr:uid="{69D431DC-E43B-4324-805E-3B88928FA1C9}"/>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989E4987-7E90-4E10-8A05-BEB45579E3A8}"/>
    <cellStyle name="Normal 5 3 4 2 2 5 2 2 3" xfId="25500" xr:uid="{48685CDD-0DE4-4AEF-9ADA-EBF463155E98}"/>
    <cellStyle name="Normal 5 3 4 2 2 5 2 3" xfId="12845" xr:uid="{01215B06-5FD2-4E43-92D0-09FD9C8D4B1C}"/>
    <cellStyle name="Normal 5 3 4 2 2 5 2 4" xfId="21283" xr:uid="{B850768C-AC47-45D4-81F1-356EE4434B03}"/>
    <cellStyle name="Normal 5 3 4 2 2 5 3" xfId="6476" xr:uid="{00000000-0005-0000-0000-0000261A0000}"/>
    <cellStyle name="Normal 5 3 4 2 2 5 3 2" xfId="14918" xr:uid="{40D3395D-FCFB-4768-9E38-FFEC2A3392E0}"/>
    <cellStyle name="Normal 5 3 4 2 2 5 3 3" xfId="23355" xr:uid="{7DE4892B-1C8C-4B18-9F5E-3954132D9109}"/>
    <cellStyle name="Normal 5 3 4 2 2 5 4" xfId="10700" xr:uid="{8E3E064A-5C1A-467D-A250-A4C5D24996BF}"/>
    <cellStyle name="Normal 5 3 4 2 2 5 5" xfId="19138" xr:uid="{04CC6BF6-9269-4AC2-873B-349763EE8AC7}"/>
    <cellStyle name="Normal 5 3 4 2 2 6" xfId="2605" xr:uid="{00000000-0005-0000-0000-0000271A0000}"/>
    <cellStyle name="Normal 5 3 4 2 2 6 2" xfId="6889" xr:uid="{00000000-0005-0000-0000-0000281A0000}"/>
    <cellStyle name="Normal 5 3 4 2 2 6 2 2" xfId="15331" xr:uid="{A49C503C-C1B4-438A-A9EF-0B0D8B626202}"/>
    <cellStyle name="Normal 5 3 4 2 2 6 2 3" xfId="23768" xr:uid="{C7C94EE9-7210-44A5-80C0-B175A5AA0BDD}"/>
    <cellStyle name="Normal 5 3 4 2 2 6 3" xfId="11113" xr:uid="{53F2B5C7-53CA-4793-A0CC-A4C5A30E058F}"/>
    <cellStyle name="Normal 5 3 4 2 2 6 4" xfId="19551" xr:uid="{8ABFF5DD-599D-4B5F-BD91-F833C31701FD}"/>
    <cellStyle name="Normal 5 3 4 2 2 7" xfId="4824" xr:uid="{00000000-0005-0000-0000-0000291A0000}"/>
    <cellStyle name="Normal 5 3 4 2 2 7 2" xfId="13266" xr:uid="{38C4E89A-B917-4463-AEB2-74E616B83E35}"/>
    <cellStyle name="Normal 5 3 4 2 2 7 3" xfId="21703" xr:uid="{4AFA94ED-8A6E-4A0E-9135-2AE473C1F248}"/>
    <cellStyle name="Normal 5 3 4 2 2 8" xfId="9048" xr:uid="{13CD72A7-2773-4E75-AD79-08578808751E}"/>
    <cellStyle name="Normal 5 3 4 2 2 9" xfId="17486" xr:uid="{CC348083-8B33-4A34-8826-22103E85ADB4}"/>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96F8CC9A-7C4C-4B5B-8DB6-68E0C3A990FD}"/>
    <cellStyle name="Normal 5 3 4 2 3 2 2 3" xfId="24260" xr:uid="{FE431601-AFDC-42D7-8F41-D91537ADFCA3}"/>
    <cellStyle name="Normal 5 3 4 2 3 2 3" xfId="11605" xr:uid="{8B1B337B-602F-4D73-94CB-4AFEB36A2697}"/>
    <cellStyle name="Normal 5 3 4 2 3 2 4" xfId="20043" xr:uid="{B3B25566-652D-4293-BBF3-ED55E5339164}"/>
    <cellStyle name="Normal 5 3 4 2 3 3" xfId="5236" xr:uid="{00000000-0005-0000-0000-00002D1A0000}"/>
    <cellStyle name="Normal 5 3 4 2 3 3 2" xfId="13678" xr:uid="{00F976F6-7EAF-440A-A595-82D2002669D8}"/>
    <cellStyle name="Normal 5 3 4 2 3 3 3" xfId="22115" xr:uid="{72446638-FEBF-438B-99D1-63886EADD158}"/>
    <cellStyle name="Normal 5 3 4 2 3 4" xfId="9460" xr:uid="{F1E02DBE-074C-4B54-9983-9B1BB412D58A}"/>
    <cellStyle name="Normal 5 3 4 2 3 5" xfId="17898" xr:uid="{A9C8F956-5ECF-48D5-A87F-35FB12ED8296}"/>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84F9DB1E-C653-4058-8BF6-68808EFFF3D5}"/>
    <cellStyle name="Normal 5 3 4 2 4 2 2 3" xfId="24673" xr:uid="{FEC5020B-319D-4D92-83E4-802D12FDF5D2}"/>
    <cellStyle name="Normal 5 3 4 2 4 2 3" xfId="12018" xr:uid="{73589A28-F420-44E4-97F2-F1B6A445A332}"/>
    <cellStyle name="Normal 5 3 4 2 4 2 4" xfId="20456" xr:uid="{5392C8DE-FCBB-4445-BFE6-43B5328F2A8D}"/>
    <cellStyle name="Normal 5 3 4 2 4 3" xfId="5649" xr:uid="{00000000-0005-0000-0000-0000311A0000}"/>
    <cellStyle name="Normal 5 3 4 2 4 3 2" xfId="14091" xr:uid="{7D1995D0-C2D4-4B32-B828-C81FA514057C}"/>
    <cellStyle name="Normal 5 3 4 2 4 3 3" xfId="22528" xr:uid="{1780D942-4549-4DE1-8BA4-863E52D046D7}"/>
    <cellStyle name="Normal 5 3 4 2 4 4" xfId="9873" xr:uid="{240A73F2-5F00-4B6B-B4C1-339299EE4C20}"/>
    <cellStyle name="Normal 5 3 4 2 4 5" xfId="18311" xr:uid="{90995748-5169-4528-ACD3-233936DD9F5A}"/>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4AC8E059-88CE-427E-AC9C-68483C9C7634}"/>
    <cellStyle name="Normal 5 3 4 2 5 2 2 3" xfId="25086" xr:uid="{70A3995B-E0A9-4847-AAB0-45767AB766CB}"/>
    <cellStyle name="Normal 5 3 4 2 5 2 3" xfId="12431" xr:uid="{4FA5CDFD-EAC0-40C1-8417-28AA3C9B732C}"/>
    <cellStyle name="Normal 5 3 4 2 5 2 4" xfId="20869" xr:uid="{B25EF677-44A5-434D-95D4-D4330BB7B945}"/>
    <cellStyle name="Normal 5 3 4 2 5 3" xfId="6062" xr:uid="{00000000-0005-0000-0000-0000351A0000}"/>
    <cellStyle name="Normal 5 3 4 2 5 3 2" xfId="14504" xr:uid="{6E774905-7268-4281-B1D1-A88848199A3C}"/>
    <cellStyle name="Normal 5 3 4 2 5 3 3" xfId="22941" xr:uid="{27BFDAA7-9590-437B-B146-1819159703C9}"/>
    <cellStyle name="Normal 5 3 4 2 5 4" xfId="10286" xr:uid="{B51AD6BD-09C8-4199-AEFA-28939F64D88D}"/>
    <cellStyle name="Normal 5 3 4 2 5 5" xfId="18724" xr:uid="{37611E0A-870E-4D11-BE37-7286753A3356}"/>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111607C2-7948-4577-A0AF-33851F341988}"/>
    <cellStyle name="Normal 5 3 4 2 6 2 2 3" xfId="25499" xr:uid="{CE122360-7F7B-45D1-9195-7389E28325AC}"/>
    <cellStyle name="Normal 5 3 4 2 6 2 3" xfId="12844" xr:uid="{A9C2E970-39CB-4CF4-972E-4A1F48B32073}"/>
    <cellStyle name="Normal 5 3 4 2 6 2 4" xfId="21282" xr:uid="{F30824BE-F21F-4053-94B7-A429101F244F}"/>
    <cellStyle name="Normal 5 3 4 2 6 3" xfId="6475" xr:uid="{00000000-0005-0000-0000-0000391A0000}"/>
    <cellStyle name="Normal 5 3 4 2 6 3 2" xfId="14917" xr:uid="{AD57045C-8443-4D15-8AA0-9CD5F5B26CE7}"/>
    <cellStyle name="Normal 5 3 4 2 6 3 3" xfId="23354" xr:uid="{7DEF916C-8C34-42CB-B4F3-3BCA11D630A0}"/>
    <cellStyle name="Normal 5 3 4 2 6 4" xfId="10699" xr:uid="{E8C81D33-04A7-4762-913B-CF0A30E6C492}"/>
    <cellStyle name="Normal 5 3 4 2 6 5" xfId="19137" xr:uid="{4C92B52B-634E-43A0-AD5E-C133808303B2}"/>
    <cellStyle name="Normal 5 3 4 2 7" xfId="2604" xr:uid="{00000000-0005-0000-0000-00003A1A0000}"/>
    <cellStyle name="Normal 5 3 4 2 7 2" xfId="6888" xr:uid="{00000000-0005-0000-0000-00003B1A0000}"/>
    <cellStyle name="Normal 5 3 4 2 7 2 2" xfId="15330" xr:uid="{F3E7B54C-D96C-40D9-8B69-9CFAE6F32685}"/>
    <cellStyle name="Normal 5 3 4 2 7 2 3" xfId="23767" xr:uid="{86334223-BD5C-4607-A813-C8D8976686E1}"/>
    <cellStyle name="Normal 5 3 4 2 7 3" xfId="11112" xr:uid="{372D20DA-DC6A-4FE5-9EA5-803EEE60BB12}"/>
    <cellStyle name="Normal 5 3 4 2 7 4" xfId="19550" xr:uid="{CECEFE0B-91E9-4241-9737-13D9B6B0FB5D}"/>
    <cellStyle name="Normal 5 3 4 2 8" xfId="4823" xr:uid="{00000000-0005-0000-0000-00003C1A0000}"/>
    <cellStyle name="Normal 5 3 4 2 8 2" xfId="13265" xr:uid="{8F4C06ED-0966-4F1B-A79E-2D6ADEBDFB8E}"/>
    <cellStyle name="Normal 5 3 4 2 8 3" xfId="21702" xr:uid="{A2485471-E449-42F5-B011-56D2DAD36E13}"/>
    <cellStyle name="Normal 5 3 4 2 9" xfId="9047" xr:uid="{9E110411-4C3B-4C0A-9983-B14C6C021CE3}"/>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D2D3049A-CC7C-4E0A-94DB-750DDC3BF483}"/>
    <cellStyle name="Normal 5 3 4 3 2 2 2 3" xfId="24262" xr:uid="{9A71E5FF-0F46-42C0-AD2B-1C94C5440735}"/>
    <cellStyle name="Normal 5 3 4 3 2 2 3" xfId="11607" xr:uid="{B7A12928-9EBE-415F-AC7A-814567B100F9}"/>
    <cellStyle name="Normal 5 3 4 3 2 2 4" xfId="20045" xr:uid="{926A5D6A-6501-46CD-88B4-B3D5D79A0BF5}"/>
    <cellStyle name="Normal 5 3 4 3 2 3" xfId="5238" xr:uid="{00000000-0005-0000-0000-0000411A0000}"/>
    <cellStyle name="Normal 5 3 4 3 2 3 2" xfId="13680" xr:uid="{5B892FB1-32B8-4348-A321-E40E40418ABF}"/>
    <cellStyle name="Normal 5 3 4 3 2 3 3" xfId="22117" xr:uid="{D17BDB35-187D-4013-9C79-3A1A8398E0DF}"/>
    <cellStyle name="Normal 5 3 4 3 2 4" xfId="9462" xr:uid="{A019AC22-985C-4BB0-9866-914C9F5BE70D}"/>
    <cellStyle name="Normal 5 3 4 3 2 5" xfId="17900" xr:uid="{5840B61B-AA39-40DA-AA29-18A154BBC2AA}"/>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933F1504-06F7-4BFA-86BE-26F5593D02EA}"/>
    <cellStyle name="Normal 5 3 4 3 3 2 2 3" xfId="24675" xr:uid="{71CEA70A-20AA-43FC-88C9-E249999FF38E}"/>
    <cellStyle name="Normal 5 3 4 3 3 2 3" xfId="12020" xr:uid="{F592C220-48A6-42EB-8F2E-392B733DD983}"/>
    <cellStyle name="Normal 5 3 4 3 3 2 4" xfId="20458" xr:uid="{FCD3A7AE-6B82-4C5C-8D8D-DE3755537355}"/>
    <cellStyle name="Normal 5 3 4 3 3 3" xfId="5651" xr:uid="{00000000-0005-0000-0000-0000451A0000}"/>
    <cellStyle name="Normal 5 3 4 3 3 3 2" xfId="14093" xr:uid="{3745DC76-D7C3-4225-BE6D-9C17B67C09B8}"/>
    <cellStyle name="Normal 5 3 4 3 3 3 3" xfId="22530" xr:uid="{9376387F-3268-4E1D-8580-FA78D2DFBBF8}"/>
    <cellStyle name="Normal 5 3 4 3 3 4" xfId="9875" xr:uid="{B7ED8FCD-4E6F-41E2-81AF-3374A530DB40}"/>
    <cellStyle name="Normal 5 3 4 3 3 5" xfId="18313" xr:uid="{B6E26F8E-DF1C-4BD3-A8BB-44347391FC43}"/>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0CA9518B-DB06-41DA-A296-0F17759259E3}"/>
    <cellStyle name="Normal 5 3 4 3 4 2 2 3" xfId="25088" xr:uid="{A903EDF5-FBF0-4D6E-A0D3-76834DBF0A2D}"/>
    <cellStyle name="Normal 5 3 4 3 4 2 3" xfId="12433" xr:uid="{CA9FF043-F18C-46D1-B6E4-F9814689364E}"/>
    <cellStyle name="Normal 5 3 4 3 4 2 4" xfId="20871" xr:uid="{76ECFFC1-098B-4AED-98EF-49E68BA7D794}"/>
    <cellStyle name="Normal 5 3 4 3 4 3" xfId="6064" xr:uid="{00000000-0005-0000-0000-0000491A0000}"/>
    <cellStyle name="Normal 5 3 4 3 4 3 2" xfId="14506" xr:uid="{BEFF6F40-4A31-434F-AC42-3941A782702A}"/>
    <cellStyle name="Normal 5 3 4 3 4 3 3" xfId="22943" xr:uid="{D3E6F728-325E-4878-88AB-358F157112E8}"/>
    <cellStyle name="Normal 5 3 4 3 4 4" xfId="10288" xr:uid="{43E562F3-4035-4D92-A757-897CE894E8CD}"/>
    <cellStyle name="Normal 5 3 4 3 4 5" xfId="18726" xr:uid="{29C535A6-1C4E-433D-817A-A452B07F1102}"/>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20EE4CA0-7A53-46EF-ADA5-C1C2CCE610DD}"/>
    <cellStyle name="Normal 5 3 4 3 5 2 2 3" xfId="25501" xr:uid="{B8E1756D-1A40-40DA-8C7A-C665C21AFE36}"/>
    <cellStyle name="Normal 5 3 4 3 5 2 3" xfId="12846" xr:uid="{ABCDA9D0-4065-4DD2-8608-F1001357A6A0}"/>
    <cellStyle name="Normal 5 3 4 3 5 2 4" xfId="21284" xr:uid="{C0138D6A-C00E-4A5E-9007-D93DE2B7A8BE}"/>
    <cellStyle name="Normal 5 3 4 3 5 3" xfId="6477" xr:uid="{00000000-0005-0000-0000-00004D1A0000}"/>
    <cellStyle name="Normal 5 3 4 3 5 3 2" xfId="14919" xr:uid="{EECAA434-AEA8-463E-AC3F-F9B90B5191FA}"/>
    <cellStyle name="Normal 5 3 4 3 5 3 3" xfId="23356" xr:uid="{A8BEA3E7-0313-4FE1-B095-2CB022E983F2}"/>
    <cellStyle name="Normal 5 3 4 3 5 4" xfId="10701" xr:uid="{338D4B54-4A9A-40C2-8057-B5D163F4843A}"/>
    <cellStyle name="Normal 5 3 4 3 5 5" xfId="19139" xr:uid="{3072CE34-5762-4286-9735-F444DD70554E}"/>
    <cellStyle name="Normal 5 3 4 3 6" xfId="2606" xr:uid="{00000000-0005-0000-0000-00004E1A0000}"/>
    <cellStyle name="Normal 5 3 4 3 6 2" xfId="6890" xr:uid="{00000000-0005-0000-0000-00004F1A0000}"/>
    <cellStyle name="Normal 5 3 4 3 6 2 2" xfId="15332" xr:uid="{EADA019D-7132-4400-8A37-B1CD4A62F848}"/>
    <cellStyle name="Normal 5 3 4 3 6 2 3" xfId="23769" xr:uid="{818C0630-17CE-4C34-8198-FDD52774135F}"/>
    <cellStyle name="Normal 5 3 4 3 6 3" xfId="11114" xr:uid="{BD2A9B9A-DB70-406B-84C4-9F2934E3E75B}"/>
    <cellStyle name="Normal 5 3 4 3 6 4" xfId="19552" xr:uid="{6F000647-4415-4BB4-9C31-C17C99F4AB5D}"/>
    <cellStyle name="Normal 5 3 4 3 7" xfId="4825" xr:uid="{00000000-0005-0000-0000-0000501A0000}"/>
    <cellStyle name="Normal 5 3 4 3 7 2" xfId="13267" xr:uid="{5D033FF9-EA88-4010-9124-B56F3C05397E}"/>
    <cellStyle name="Normal 5 3 4 3 7 3" xfId="21704" xr:uid="{AECBB4AE-45FE-44E0-B335-E0AC636EB1F0}"/>
    <cellStyle name="Normal 5 3 4 3 8" xfId="9049" xr:uid="{60E4E129-9E9F-4517-9C18-335F9EC8F18C}"/>
    <cellStyle name="Normal 5 3 4 3 9" xfId="17487" xr:uid="{7749C1E1-5F8B-45A4-829A-228CF95D2CAA}"/>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FD8AB051-EE9C-4568-9C25-8BA0AC493B29}"/>
    <cellStyle name="Normal 5 3 4 4 2 2 3" xfId="24259" xr:uid="{12DDF1A4-3F98-4EDB-A842-E6EDDC7B4273}"/>
    <cellStyle name="Normal 5 3 4 4 2 3" xfId="11604" xr:uid="{70F5D733-88CE-42BE-BB12-39EE58CE692D}"/>
    <cellStyle name="Normal 5 3 4 4 2 4" xfId="20042" xr:uid="{4617F9C1-3251-40E1-AD90-AFD8F9FC7548}"/>
    <cellStyle name="Normal 5 3 4 4 3" xfId="5235" xr:uid="{00000000-0005-0000-0000-0000541A0000}"/>
    <cellStyle name="Normal 5 3 4 4 3 2" xfId="13677" xr:uid="{DCA38C9A-B59C-416E-9CE0-08797F3B4C0C}"/>
    <cellStyle name="Normal 5 3 4 4 3 3" xfId="22114" xr:uid="{18250630-61F1-4544-AF66-EEF83DD7FF18}"/>
    <cellStyle name="Normal 5 3 4 4 4" xfId="9459" xr:uid="{CC2A1500-4C5D-483D-A33F-DC218F10C330}"/>
    <cellStyle name="Normal 5 3 4 4 5" xfId="17897" xr:uid="{63905D22-0692-45BE-8F16-7A226A14D581}"/>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2D655BB5-B8A4-4296-A1C9-A20EC1C6541B}"/>
    <cellStyle name="Normal 5 3 4 5 2 2 3" xfId="24672" xr:uid="{E848889A-8FCE-4B51-9021-82453468BF0D}"/>
    <cellStyle name="Normal 5 3 4 5 2 3" xfId="12017" xr:uid="{156FE6A2-5390-4707-8740-2ADF2D95C4CF}"/>
    <cellStyle name="Normal 5 3 4 5 2 4" xfId="20455" xr:uid="{E485A18D-67B2-4C06-B276-28D085F769C6}"/>
    <cellStyle name="Normal 5 3 4 5 3" xfId="5648" xr:uid="{00000000-0005-0000-0000-0000581A0000}"/>
    <cellStyle name="Normal 5 3 4 5 3 2" xfId="14090" xr:uid="{FEC45578-7492-41BB-AF5F-F77C57FFA956}"/>
    <cellStyle name="Normal 5 3 4 5 3 3" xfId="22527" xr:uid="{637DDC73-EE38-4018-B98C-89E94FA43A65}"/>
    <cellStyle name="Normal 5 3 4 5 4" xfId="9872" xr:uid="{0376EF27-638C-4FA9-8BCD-613215158317}"/>
    <cellStyle name="Normal 5 3 4 5 5" xfId="18310" xr:uid="{C1511E94-5846-4360-9E0C-B0FC959975FE}"/>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7E02C1CE-DB6E-47FB-8B61-7607949B3683}"/>
    <cellStyle name="Normal 5 3 4 6 2 2 3" xfId="25085" xr:uid="{C5C693E9-CC20-4E1C-A7B0-054049E8B58C}"/>
    <cellStyle name="Normal 5 3 4 6 2 3" xfId="12430" xr:uid="{63DD5102-4568-408C-B3E8-1ACAB829D17F}"/>
    <cellStyle name="Normal 5 3 4 6 2 4" xfId="20868" xr:uid="{95701513-3659-40B9-A60B-32C8476F3722}"/>
    <cellStyle name="Normal 5 3 4 6 3" xfId="6061" xr:uid="{00000000-0005-0000-0000-00005C1A0000}"/>
    <cellStyle name="Normal 5 3 4 6 3 2" xfId="14503" xr:uid="{0B3950D1-2BDB-47DB-A061-A3F9D2255E53}"/>
    <cellStyle name="Normal 5 3 4 6 3 3" xfId="22940" xr:uid="{9D558E77-A600-41E8-9593-B86BCF08F09F}"/>
    <cellStyle name="Normal 5 3 4 6 4" xfId="10285" xr:uid="{28A33223-CAAC-4492-92E4-B23B3C4B5D35}"/>
    <cellStyle name="Normal 5 3 4 6 5" xfId="18723" xr:uid="{76DDCA09-54B7-4B99-B1B7-45DFFC33EA32}"/>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7DF898AB-6F34-486B-8EAD-CF8D93D7C02A}"/>
    <cellStyle name="Normal 5 3 4 7 2 2 3" xfId="25498" xr:uid="{F18C8834-7455-4725-BB14-72685F71260A}"/>
    <cellStyle name="Normal 5 3 4 7 2 3" xfId="12843" xr:uid="{4B37B717-B56A-410F-8E90-1AC8325D6118}"/>
    <cellStyle name="Normal 5 3 4 7 2 4" xfId="21281" xr:uid="{01941C87-2BBC-4A1A-9676-96F22E20A186}"/>
    <cellStyle name="Normal 5 3 4 7 3" xfId="6474" xr:uid="{00000000-0005-0000-0000-0000601A0000}"/>
    <cellStyle name="Normal 5 3 4 7 3 2" xfId="14916" xr:uid="{6F0F0270-28D4-4C1F-A1CE-07ED9279C7BE}"/>
    <cellStyle name="Normal 5 3 4 7 3 3" xfId="23353" xr:uid="{363E5A90-41FB-4548-BBD3-136C9C9C909F}"/>
    <cellStyle name="Normal 5 3 4 7 4" xfId="10698" xr:uid="{8E243879-04B6-47F4-9D1A-D43050468B73}"/>
    <cellStyle name="Normal 5 3 4 7 5" xfId="19136" xr:uid="{2A639609-B408-4885-BAC8-1D30D8A18A05}"/>
    <cellStyle name="Normal 5 3 4 8" xfId="2603" xr:uid="{00000000-0005-0000-0000-0000611A0000}"/>
    <cellStyle name="Normal 5 3 4 8 2" xfId="6887" xr:uid="{00000000-0005-0000-0000-0000621A0000}"/>
    <cellStyle name="Normal 5 3 4 8 2 2" xfId="15329" xr:uid="{C8DE6A32-8113-4F3A-A710-2943A3AAD33D}"/>
    <cellStyle name="Normal 5 3 4 8 2 3" xfId="23766" xr:uid="{23F7B7A9-F812-4F58-B834-A5F3FCA7556E}"/>
    <cellStyle name="Normal 5 3 4 8 3" xfId="11111" xr:uid="{F1B5AC13-FF73-4CBD-9EBB-5A5A3370C268}"/>
    <cellStyle name="Normal 5 3 4 8 4" xfId="19549" xr:uid="{2FBCF4AA-2420-4799-8117-3F2C876F85B6}"/>
    <cellStyle name="Normal 5 3 4 9" xfId="4822" xr:uid="{00000000-0005-0000-0000-0000631A0000}"/>
    <cellStyle name="Normal 5 3 4 9 2" xfId="13264" xr:uid="{F4F9E051-000B-4AB2-864E-D423F0A2E384}"/>
    <cellStyle name="Normal 5 3 4 9 3" xfId="21701" xr:uid="{A94015A3-EFA9-49F6-9EBE-DA1F1E586CF5}"/>
    <cellStyle name="Normal 5 3 5" xfId="453" xr:uid="{00000000-0005-0000-0000-0000641A0000}"/>
    <cellStyle name="Normal 5 3 5 10" xfId="17488" xr:uid="{C187572D-F799-41F1-A42A-44E03A0926C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7EC6BEF2-A1DA-45E3-B219-643AE4BC96AB}"/>
    <cellStyle name="Normal 5 3 5 2 2 2 2 3" xfId="24264" xr:uid="{EE7ECA12-08A2-4F62-9728-451DC55E22F8}"/>
    <cellStyle name="Normal 5 3 5 2 2 2 3" xfId="11609" xr:uid="{D583B4C1-DE16-4FA4-8AB3-3EBF68AC67B9}"/>
    <cellStyle name="Normal 5 3 5 2 2 2 4" xfId="20047" xr:uid="{F1F1C356-E1DC-45EA-89F2-4333B46080BF}"/>
    <cellStyle name="Normal 5 3 5 2 2 3" xfId="5240" xr:uid="{00000000-0005-0000-0000-0000691A0000}"/>
    <cellStyle name="Normal 5 3 5 2 2 3 2" xfId="13682" xr:uid="{AC58C9AB-D63A-48AC-AE22-A8676FD809C1}"/>
    <cellStyle name="Normal 5 3 5 2 2 3 3" xfId="22119" xr:uid="{3CC388EC-0B2E-4D39-A71B-CC2035A80DD5}"/>
    <cellStyle name="Normal 5 3 5 2 2 4" xfId="9464" xr:uid="{EB177544-6478-4E2F-8BCF-EE236BD760EB}"/>
    <cellStyle name="Normal 5 3 5 2 2 5" xfId="17902" xr:uid="{CFD17913-CA35-4F03-8940-E01A9C3E1108}"/>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A3965345-10D7-449C-9AC2-C40312E9C71E}"/>
    <cellStyle name="Normal 5 3 5 2 3 2 2 3" xfId="24677" xr:uid="{100860E7-E271-4D1B-A79F-ACDD4AD43B4D}"/>
    <cellStyle name="Normal 5 3 5 2 3 2 3" xfId="12022" xr:uid="{5F32A7A3-6B2D-4F14-BBD8-8BC4C607AFB0}"/>
    <cellStyle name="Normal 5 3 5 2 3 2 4" xfId="20460" xr:uid="{12871037-59C2-41C4-B616-7E5E4CA8AF16}"/>
    <cellStyle name="Normal 5 3 5 2 3 3" xfId="5653" xr:uid="{00000000-0005-0000-0000-00006D1A0000}"/>
    <cellStyle name="Normal 5 3 5 2 3 3 2" xfId="14095" xr:uid="{C4665288-557A-4CE9-A939-B308F5107977}"/>
    <cellStyle name="Normal 5 3 5 2 3 3 3" xfId="22532" xr:uid="{283F2AC1-8FDA-4629-B4D7-66B2E50F6E7A}"/>
    <cellStyle name="Normal 5 3 5 2 3 4" xfId="9877" xr:uid="{BA360980-EC89-4DF2-BC85-0A050BFB7002}"/>
    <cellStyle name="Normal 5 3 5 2 3 5" xfId="18315" xr:uid="{CB3B6A60-D14A-4F5C-94F0-BAFE907510F3}"/>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A76EF0E9-F071-40EB-8AA5-5399A65D2157}"/>
    <cellStyle name="Normal 5 3 5 2 4 2 2 3" xfId="25090" xr:uid="{AAA4ABC0-2628-4815-9F41-4E82A7BD398D}"/>
    <cellStyle name="Normal 5 3 5 2 4 2 3" xfId="12435" xr:uid="{167ED725-517E-45BD-8784-247253A07092}"/>
    <cellStyle name="Normal 5 3 5 2 4 2 4" xfId="20873" xr:uid="{BFDA2A1E-5344-427D-976B-05BB9C2E3E9C}"/>
    <cellStyle name="Normal 5 3 5 2 4 3" xfId="6066" xr:uid="{00000000-0005-0000-0000-0000711A0000}"/>
    <cellStyle name="Normal 5 3 5 2 4 3 2" xfId="14508" xr:uid="{885D7510-1568-49A9-B9D5-448634AE73AD}"/>
    <cellStyle name="Normal 5 3 5 2 4 3 3" xfId="22945" xr:uid="{13F02065-85C1-4EC9-A88E-EFD24480D98D}"/>
    <cellStyle name="Normal 5 3 5 2 4 4" xfId="10290" xr:uid="{44B297A3-AC78-4866-A429-3902A7AB525B}"/>
    <cellStyle name="Normal 5 3 5 2 4 5" xfId="18728" xr:uid="{A2FA67E4-BDFA-4534-96AE-635025A8E699}"/>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CE937718-19DF-4382-AFC1-10C0D661C0C9}"/>
    <cellStyle name="Normal 5 3 5 2 5 2 2 3" xfId="25503" xr:uid="{34CB8B48-7991-4B55-B8E8-27E55EFD8CA8}"/>
    <cellStyle name="Normal 5 3 5 2 5 2 3" xfId="12848" xr:uid="{6CAEE6FE-8613-4B30-80F1-F4276E1C362B}"/>
    <cellStyle name="Normal 5 3 5 2 5 2 4" xfId="21286" xr:uid="{3314D129-173C-45F4-9A03-D32CFC4FB934}"/>
    <cellStyle name="Normal 5 3 5 2 5 3" xfId="6479" xr:uid="{00000000-0005-0000-0000-0000751A0000}"/>
    <cellStyle name="Normal 5 3 5 2 5 3 2" xfId="14921" xr:uid="{C8234BCC-BEC8-4181-A0FA-385ABD7B88A6}"/>
    <cellStyle name="Normal 5 3 5 2 5 3 3" xfId="23358" xr:uid="{C8617038-9124-4341-8735-B93B0AE5BF42}"/>
    <cellStyle name="Normal 5 3 5 2 5 4" xfId="10703" xr:uid="{C7BA2AEC-ED10-4F8C-BE28-4A9107153773}"/>
    <cellStyle name="Normal 5 3 5 2 5 5" xfId="19141" xr:uid="{CF6C6228-09CB-4895-BC2F-4586783DD55A}"/>
    <cellStyle name="Normal 5 3 5 2 6" xfId="2608" xr:uid="{00000000-0005-0000-0000-0000761A0000}"/>
    <cellStyle name="Normal 5 3 5 2 6 2" xfId="6892" xr:uid="{00000000-0005-0000-0000-0000771A0000}"/>
    <cellStyle name="Normal 5 3 5 2 6 2 2" xfId="15334" xr:uid="{D1EF694F-AEFE-4ABF-8E9B-7AC9688C517C}"/>
    <cellStyle name="Normal 5 3 5 2 6 2 3" xfId="23771" xr:uid="{04A1FC95-CB85-4711-94EB-6C1DF3E466EE}"/>
    <cellStyle name="Normal 5 3 5 2 6 3" xfId="11116" xr:uid="{12BA50EA-F5DE-487B-8644-53FA9A5118BF}"/>
    <cellStyle name="Normal 5 3 5 2 6 4" xfId="19554" xr:uid="{B8B7F509-6721-4D6C-8C1B-72FC7A95236E}"/>
    <cellStyle name="Normal 5 3 5 2 7" xfId="4827" xr:uid="{00000000-0005-0000-0000-0000781A0000}"/>
    <cellStyle name="Normal 5 3 5 2 7 2" xfId="13269" xr:uid="{4BD121C4-DD07-43AA-A2B4-6F200FF054EA}"/>
    <cellStyle name="Normal 5 3 5 2 7 3" xfId="21706" xr:uid="{041C9533-0F4A-44D4-8CF6-924489C1EE59}"/>
    <cellStyle name="Normal 5 3 5 2 8" xfId="9051" xr:uid="{67EA443A-23FE-4DA5-BEB3-4352F367D289}"/>
    <cellStyle name="Normal 5 3 5 2 9" xfId="17489" xr:uid="{BC337B8E-AF7D-4787-93D4-11E9BF808AF9}"/>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501463E0-7504-4001-ACB7-69B026D7ECDE}"/>
    <cellStyle name="Normal 5 3 5 3 2 2 3" xfId="24263" xr:uid="{BB54BC1F-30A7-44DF-BC25-D21C803BE05D}"/>
    <cellStyle name="Normal 5 3 5 3 2 3" xfId="11608" xr:uid="{43C0E8BD-1353-4028-B8CA-F62A3423871C}"/>
    <cellStyle name="Normal 5 3 5 3 2 4" xfId="20046" xr:uid="{C0E9C1C7-CC2F-48D9-BE67-FAE70E80D175}"/>
    <cellStyle name="Normal 5 3 5 3 3" xfId="5239" xr:uid="{00000000-0005-0000-0000-00007C1A0000}"/>
    <cellStyle name="Normal 5 3 5 3 3 2" xfId="13681" xr:uid="{E01D0B01-54BB-456C-A9D7-F38CD67AB503}"/>
    <cellStyle name="Normal 5 3 5 3 3 3" xfId="22118" xr:uid="{D856401A-BF56-45A6-BFB1-B21D3528A208}"/>
    <cellStyle name="Normal 5 3 5 3 4" xfId="9463" xr:uid="{118A4B99-95B6-4EA6-A574-8E8502EEF1AF}"/>
    <cellStyle name="Normal 5 3 5 3 5" xfId="17901" xr:uid="{1BBFFA91-5258-4DEF-94B0-2D4FE5B6484A}"/>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275997E1-2AD9-4D21-A46C-BE987A4E58F7}"/>
    <cellStyle name="Normal 5 3 5 4 2 2 3" xfId="24676" xr:uid="{8C317B1A-7AA8-4099-B422-67A5C571971D}"/>
    <cellStyle name="Normal 5 3 5 4 2 3" xfId="12021" xr:uid="{0B61FB9D-9662-4B0D-837D-553EBDD58600}"/>
    <cellStyle name="Normal 5 3 5 4 2 4" xfId="20459" xr:uid="{89BDCD6E-CCFF-46AE-9D7B-B6093B4695BD}"/>
    <cellStyle name="Normal 5 3 5 4 3" xfId="5652" xr:uid="{00000000-0005-0000-0000-0000801A0000}"/>
    <cellStyle name="Normal 5 3 5 4 3 2" xfId="14094" xr:uid="{19C352B6-0F33-44BA-9A37-F0D46227C5DF}"/>
    <cellStyle name="Normal 5 3 5 4 3 3" xfId="22531" xr:uid="{46150E56-F322-4EC7-9DF4-C2BB9531448D}"/>
    <cellStyle name="Normal 5 3 5 4 4" xfId="9876" xr:uid="{301FC657-A5EC-42EA-AFF5-3BE8A3116EA5}"/>
    <cellStyle name="Normal 5 3 5 4 5" xfId="18314" xr:uid="{430AE9C0-AEDB-47E5-87DD-9F1B9CB7BD1D}"/>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B3D14DD3-675F-48D0-B673-2C8B1A13C467}"/>
    <cellStyle name="Normal 5 3 5 5 2 2 3" xfId="25089" xr:uid="{203913B5-028E-47DE-A393-DC3528907F74}"/>
    <cellStyle name="Normal 5 3 5 5 2 3" xfId="12434" xr:uid="{4AD39FB4-B002-4093-8DFA-BE701BF1B769}"/>
    <cellStyle name="Normal 5 3 5 5 2 4" xfId="20872" xr:uid="{FDAB670A-2049-4E88-B155-43EFA302B111}"/>
    <cellStyle name="Normal 5 3 5 5 3" xfId="6065" xr:uid="{00000000-0005-0000-0000-0000841A0000}"/>
    <cellStyle name="Normal 5 3 5 5 3 2" xfId="14507" xr:uid="{760A6640-8EFD-4F54-9905-757C732BA236}"/>
    <cellStyle name="Normal 5 3 5 5 3 3" xfId="22944" xr:uid="{7F5883CD-865C-4A96-B388-69D677A65A91}"/>
    <cellStyle name="Normal 5 3 5 5 4" xfId="10289" xr:uid="{3BEA69E5-FECE-4D1E-9BBD-5A0429115D3E}"/>
    <cellStyle name="Normal 5 3 5 5 5" xfId="18727" xr:uid="{BE2EE338-29AF-4AEE-B5EC-03C1A95C1967}"/>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331D17BE-4265-451B-B15F-FD25F2684AD6}"/>
    <cellStyle name="Normal 5 3 5 6 2 2 3" xfId="25502" xr:uid="{C9520335-4D5C-4315-A563-19DE4018D1C0}"/>
    <cellStyle name="Normal 5 3 5 6 2 3" xfId="12847" xr:uid="{3F4C6E71-DE9B-42CE-8FEF-02BB48C328A1}"/>
    <cellStyle name="Normal 5 3 5 6 2 4" xfId="21285" xr:uid="{0317FFCA-8F17-42DC-8F24-57F0988E17C8}"/>
    <cellStyle name="Normal 5 3 5 6 3" xfId="6478" xr:uid="{00000000-0005-0000-0000-0000881A0000}"/>
    <cellStyle name="Normal 5 3 5 6 3 2" xfId="14920" xr:uid="{DA0A8D03-CE97-42E7-94B0-65C748261EFC}"/>
    <cellStyle name="Normal 5 3 5 6 3 3" xfId="23357" xr:uid="{61F6CFFB-0F55-400B-9BF6-205428E9C6C0}"/>
    <cellStyle name="Normal 5 3 5 6 4" xfId="10702" xr:uid="{64251E36-CA7B-44A9-B0FD-8E27EFC6C3E8}"/>
    <cellStyle name="Normal 5 3 5 6 5" xfId="19140" xr:uid="{4217D2E3-04AF-441C-803F-2DFEC873CF99}"/>
    <cellStyle name="Normal 5 3 5 7" xfId="2607" xr:uid="{00000000-0005-0000-0000-0000891A0000}"/>
    <cellStyle name="Normal 5 3 5 7 2" xfId="6891" xr:uid="{00000000-0005-0000-0000-00008A1A0000}"/>
    <cellStyle name="Normal 5 3 5 7 2 2" xfId="15333" xr:uid="{B067FBFC-7678-48FC-A8D9-79E327FFFADC}"/>
    <cellStyle name="Normal 5 3 5 7 2 3" xfId="23770" xr:uid="{5013E878-5071-45DB-A205-7E1BD621CFA3}"/>
    <cellStyle name="Normal 5 3 5 7 3" xfId="11115" xr:uid="{394EC59C-AB39-4970-8068-08D2620E032C}"/>
    <cellStyle name="Normal 5 3 5 7 4" xfId="19553" xr:uid="{F8AA6373-4A1C-46DE-AA62-94A4920AF4A5}"/>
    <cellStyle name="Normal 5 3 5 8" xfId="4826" xr:uid="{00000000-0005-0000-0000-00008B1A0000}"/>
    <cellStyle name="Normal 5 3 5 8 2" xfId="13268" xr:uid="{FC704AD3-E528-43F6-99F6-624741622AF8}"/>
    <cellStyle name="Normal 5 3 5 8 3" xfId="21705" xr:uid="{79F3D0D4-FA8F-4076-B891-585A837D6A9D}"/>
    <cellStyle name="Normal 5 3 5 9" xfId="9050" xr:uid="{16BFE05F-CB19-411F-98BB-C40A8CD96BDD}"/>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4FA4D110-609B-4356-BA66-C2C5F43BFC8D}"/>
    <cellStyle name="Normal 5 3 6 2 2 2 3" xfId="24265" xr:uid="{E1973E3C-679E-46E0-A5D6-F2E67F0E0E42}"/>
    <cellStyle name="Normal 5 3 6 2 2 3" xfId="11610" xr:uid="{6A2D4B14-7080-4934-91B6-F81BBAFB8707}"/>
    <cellStyle name="Normal 5 3 6 2 2 4" xfId="20048" xr:uid="{DB30948C-37B9-40A8-BB81-FA676EF1894D}"/>
    <cellStyle name="Normal 5 3 6 2 3" xfId="5241" xr:uid="{00000000-0005-0000-0000-0000901A0000}"/>
    <cellStyle name="Normal 5 3 6 2 3 2" xfId="13683" xr:uid="{497F8C83-0010-458D-A48F-E20B0AA7B4D4}"/>
    <cellStyle name="Normal 5 3 6 2 3 3" xfId="22120" xr:uid="{E0666429-0F90-492D-8B60-6AD54BF7335D}"/>
    <cellStyle name="Normal 5 3 6 2 4" xfId="9465" xr:uid="{DFBC5B91-1B5E-45E7-915F-3AD28A91963F}"/>
    <cellStyle name="Normal 5 3 6 2 5" xfId="17903" xr:uid="{C6A3BBDD-2407-40A6-A8A1-B9A3745B0B67}"/>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85A49253-1354-4064-AA22-87E3861461CE}"/>
    <cellStyle name="Normal 5 3 6 3 2 2 3" xfId="24678" xr:uid="{BF4FA10C-C803-4E20-B178-DC1649AD8413}"/>
    <cellStyle name="Normal 5 3 6 3 2 3" xfId="12023" xr:uid="{A16F8461-1155-4C15-84B3-15103C773455}"/>
    <cellStyle name="Normal 5 3 6 3 2 4" xfId="20461" xr:uid="{4FE77865-9CAA-450E-9201-027852D82767}"/>
    <cellStyle name="Normal 5 3 6 3 3" xfId="5654" xr:uid="{00000000-0005-0000-0000-0000941A0000}"/>
    <cellStyle name="Normal 5 3 6 3 3 2" xfId="14096" xr:uid="{B94671DC-C999-483A-814C-781103947921}"/>
    <cellStyle name="Normal 5 3 6 3 3 3" xfId="22533" xr:uid="{FB6ACDAD-A334-490D-8122-DA86F91BAB27}"/>
    <cellStyle name="Normal 5 3 6 3 4" xfId="9878" xr:uid="{2CF7C55F-61E9-49CD-B99A-271E77555285}"/>
    <cellStyle name="Normal 5 3 6 3 5" xfId="18316" xr:uid="{0AB32FB6-EFAB-43F3-8124-B115D8638A34}"/>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6D979F8F-ADE3-4061-BAA0-569EEAE573D3}"/>
    <cellStyle name="Normal 5 3 6 4 2 2 3" xfId="25091" xr:uid="{AB2B3BAE-955B-4766-8F83-B35B9E3B6C16}"/>
    <cellStyle name="Normal 5 3 6 4 2 3" xfId="12436" xr:uid="{CA277744-36BF-41E3-BF6D-B5E42FD4F096}"/>
    <cellStyle name="Normal 5 3 6 4 2 4" xfId="20874" xr:uid="{4953252F-E490-4720-B9E5-13B33F237C99}"/>
    <cellStyle name="Normal 5 3 6 4 3" xfId="6067" xr:uid="{00000000-0005-0000-0000-0000981A0000}"/>
    <cellStyle name="Normal 5 3 6 4 3 2" xfId="14509" xr:uid="{D1BC63D7-00BD-4E80-8960-45F0B3DC4076}"/>
    <cellStyle name="Normal 5 3 6 4 3 3" xfId="22946" xr:uid="{6D7F6607-8DF7-45E8-942B-49D82EFE55FB}"/>
    <cellStyle name="Normal 5 3 6 4 4" xfId="10291" xr:uid="{136E5665-327F-4ADF-83C1-FD2FF8ECE0C2}"/>
    <cellStyle name="Normal 5 3 6 4 5" xfId="18729" xr:uid="{B3D38A28-91BF-4D8F-ADC8-122067302356}"/>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F89087DF-4DBF-43B3-9AC3-41D80B601BF5}"/>
    <cellStyle name="Normal 5 3 6 5 2 2 3" xfId="25504" xr:uid="{F6683321-5CD6-48AE-9920-4CDCDF29792A}"/>
    <cellStyle name="Normal 5 3 6 5 2 3" xfId="12849" xr:uid="{B679D0C4-4AF0-4FB6-84FD-ECD7ACC2EC63}"/>
    <cellStyle name="Normal 5 3 6 5 2 4" xfId="21287" xr:uid="{8DB7596D-D32A-43E5-8716-3FC47BBCBE71}"/>
    <cellStyle name="Normal 5 3 6 5 3" xfId="6480" xr:uid="{00000000-0005-0000-0000-00009C1A0000}"/>
    <cellStyle name="Normal 5 3 6 5 3 2" xfId="14922" xr:uid="{D7E4F6BF-3D42-4C02-A3EE-48010E1F501E}"/>
    <cellStyle name="Normal 5 3 6 5 3 3" xfId="23359" xr:uid="{42CDD5B9-DFA6-4D59-875A-D06B988C41BA}"/>
    <cellStyle name="Normal 5 3 6 5 4" xfId="10704" xr:uid="{94C2370D-61C4-4011-A7ED-146B0021374A}"/>
    <cellStyle name="Normal 5 3 6 5 5" xfId="19142" xr:uid="{23B8C0EF-7912-48A9-9054-0B2B72A7FEA5}"/>
    <cellStyle name="Normal 5 3 6 6" xfId="2609" xr:uid="{00000000-0005-0000-0000-00009D1A0000}"/>
    <cellStyle name="Normal 5 3 6 6 2" xfId="6893" xr:uid="{00000000-0005-0000-0000-00009E1A0000}"/>
    <cellStyle name="Normal 5 3 6 6 2 2" xfId="15335" xr:uid="{0086C818-5AE4-4C34-9021-3D7CD0061D87}"/>
    <cellStyle name="Normal 5 3 6 6 2 3" xfId="23772" xr:uid="{2B791EEA-9572-4DE4-A980-E9F7699125B0}"/>
    <cellStyle name="Normal 5 3 6 6 3" xfId="11117" xr:uid="{BF1F9EAA-4F60-4AD0-953B-55CBC3E88E7E}"/>
    <cellStyle name="Normal 5 3 6 6 4" xfId="19555" xr:uid="{D1C281C9-E3A0-45B3-B411-50BD73B36431}"/>
    <cellStyle name="Normal 5 3 6 7" xfId="4828" xr:uid="{00000000-0005-0000-0000-00009F1A0000}"/>
    <cellStyle name="Normal 5 3 6 7 2" xfId="13270" xr:uid="{01DC1DB2-9A42-44AB-8FBA-829536D944F9}"/>
    <cellStyle name="Normal 5 3 6 7 3" xfId="21707" xr:uid="{7DC972C1-4B84-469A-8319-87E74BE457F0}"/>
    <cellStyle name="Normal 5 3 6 8" xfId="9052" xr:uid="{AF6B3CC0-33A6-4487-AC5F-259CF4FDBB44}"/>
    <cellStyle name="Normal 5 3 6 9" xfId="17490" xr:uid="{9DF2E5FD-E94B-475F-9476-CC0ED893172D}"/>
    <cellStyle name="Normal 5 3 7" xfId="913" xr:uid="{00000000-0005-0000-0000-0000A01A0000}"/>
    <cellStyle name="Normal 5 3 7 2" xfId="3148" xr:uid="{00000000-0005-0000-0000-0000A11A0000}"/>
    <cellStyle name="Normal 5 3 7 2 2" xfId="7371" xr:uid="{00000000-0005-0000-0000-0000A21A0000}"/>
    <cellStyle name="Normal 5 3 7 2 2 2" xfId="15813" xr:uid="{77415833-1340-4907-90C6-D416EE35C45D}"/>
    <cellStyle name="Normal 5 3 7 2 2 3" xfId="24250" xr:uid="{55E7C388-5B93-4285-B0B7-9BF40252EDB6}"/>
    <cellStyle name="Normal 5 3 7 2 3" xfId="11595" xr:uid="{8213901F-DC6C-4B21-8440-DD9D67992CF1}"/>
    <cellStyle name="Normal 5 3 7 2 4" xfId="20033" xr:uid="{27F277C5-78D3-453E-BCFA-2C10EB40C797}"/>
    <cellStyle name="Normal 5 3 7 3" xfId="5226" xr:uid="{00000000-0005-0000-0000-0000A31A0000}"/>
    <cellStyle name="Normal 5 3 7 3 2" xfId="13668" xr:uid="{5DFAC690-CF48-4F9E-BFB4-173CF81E6EA2}"/>
    <cellStyle name="Normal 5 3 7 3 3" xfId="22105" xr:uid="{C6D259A8-D5B4-4081-ADE1-787BC16AEFD2}"/>
    <cellStyle name="Normal 5 3 7 4" xfId="9450" xr:uid="{12529830-C9FA-4A2C-B921-36197943EBF9}"/>
    <cellStyle name="Normal 5 3 7 5" xfId="17888" xr:uid="{66111843-229B-4E8C-B09B-C1BE69AD9279}"/>
    <cellStyle name="Normal 5 3 8" xfId="1331" xr:uid="{00000000-0005-0000-0000-0000A41A0000}"/>
    <cellStyle name="Normal 5 3 8 2" xfId="3561" xr:uid="{00000000-0005-0000-0000-0000A51A0000}"/>
    <cellStyle name="Normal 5 3 8 2 2" xfId="7784" xr:uid="{00000000-0005-0000-0000-0000A61A0000}"/>
    <cellStyle name="Normal 5 3 8 2 2 2" xfId="16226" xr:uid="{C8272E96-5852-4382-B1EC-0086ADF6D2D4}"/>
    <cellStyle name="Normal 5 3 8 2 2 3" xfId="24663" xr:uid="{F13C85DE-0906-48DA-90EF-E492CD916EFC}"/>
    <cellStyle name="Normal 5 3 8 2 3" xfId="12008" xr:uid="{3F660038-4DA7-405D-95FB-B8E1A76E8551}"/>
    <cellStyle name="Normal 5 3 8 2 4" xfId="20446" xr:uid="{EF62B9D2-FCDD-416B-908B-541FAB7CE9E3}"/>
    <cellStyle name="Normal 5 3 8 3" xfId="5639" xr:uid="{00000000-0005-0000-0000-0000A71A0000}"/>
    <cellStyle name="Normal 5 3 8 3 2" xfId="14081" xr:uid="{B49AE337-A193-42CC-8423-648B550E88FE}"/>
    <cellStyle name="Normal 5 3 8 3 3" xfId="22518" xr:uid="{8C690789-E42A-47E4-80A1-66DD67246CC9}"/>
    <cellStyle name="Normal 5 3 8 4" xfId="9863" xr:uid="{67E05022-1DEC-4568-86A1-1E412E71B702}"/>
    <cellStyle name="Normal 5 3 8 5" xfId="18301" xr:uid="{4719740F-24C0-4ADF-8E7E-A6DAE4A431AE}"/>
    <cellStyle name="Normal 5 3 9" xfId="1744" xr:uid="{00000000-0005-0000-0000-0000A81A0000}"/>
    <cellStyle name="Normal 5 3 9 2" xfId="3974" xr:uid="{00000000-0005-0000-0000-0000A91A0000}"/>
    <cellStyle name="Normal 5 3 9 2 2" xfId="8197" xr:uid="{00000000-0005-0000-0000-0000AA1A0000}"/>
    <cellStyle name="Normal 5 3 9 2 2 2" xfId="16639" xr:uid="{FF423BAC-650A-4E0C-930F-0115582B1A44}"/>
    <cellStyle name="Normal 5 3 9 2 2 3" xfId="25076" xr:uid="{4B4FCF6A-7999-4AC7-9473-2AAE8B81C283}"/>
    <cellStyle name="Normal 5 3 9 2 3" xfId="12421" xr:uid="{31A1B947-FA82-4A0E-AA43-26790A70AE0C}"/>
    <cellStyle name="Normal 5 3 9 2 4" xfId="20859" xr:uid="{2793C925-8294-4217-80BA-6C3A6AE0BC21}"/>
    <cellStyle name="Normal 5 3 9 3" xfId="6052" xr:uid="{00000000-0005-0000-0000-0000AB1A0000}"/>
    <cellStyle name="Normal 5 3 9 3 2" xfId="14494" xr:uid="{162F4A11-7880-44A9-9679-1A97A3A90E0A}"/>
    <cellStyle name="Normal 5 3 9 3 3" xfId="22931" xr:uid="{0606CC76-DD1F-479A-A1F5-56D757EC05EF}"/>
    <cellStyle name="Normal 5 3 9 4" xfId="10276" xr:uid="{D313039B-BAD6-4BA1-89F5-9489EAB30CCA}"/>
    <cellStyle name="Normal 5 3 9 5" xfId="18714" xr:uid="{9C5D5EF0-9EAC-4642-B235-6D56B28FDAE2}"/>
    <cellStyle name="Normal 5 4" xfId="456" xr:uid="{00000000-0005-0000-0000-0000AC1A0000}"/>
    <cellStyle name="Normal 5 4 10" xfId="4829" xr:uid="{00000000-0005-0000-0000-0000AD1A0000}"/>
    <cellStyle name="Normal 5 4 10 2" xfId="13271" xr:uid="{6816932D-76B9-4ED0-9AC0-3F346E5F942F}"/>
    <cellStyle name="Normal 5 4 10 3" xfId="21708" xr:uid="{AB412F24-8EA1-4E2B-A7AE-D50580009596}"/>
    <cellStyle name="Normal 5 4 11" xfId="9053" xr:uid="{40C6655B-97E4-4C31-A22E-3FBE39C3A12C}"/>
    <cellStyle name="Normal 5 4 12" xfId="17491" xr:uid="{BE300046-F07F-48E6-95FB-CE18CE6CD436}"/>
    <cellStyle name="Normal 5 4 2" xfId="457" xr:uid="{00000000-0005-0000-0000-0000AE1A0000}"/>
    <cellStyle name="Normal 5 4 2 10" xfId="9054" xr:uid="{81D28F55-82AB-4405-8BD7-3428C3F3BAF2}"/>
    <cellStyle name="Normal 5 4 2 11" xfId="17492" xr:uid="{99741AFB-64C4-49C0-8223-184A890D65FD}"/>
    <cellStyle name="Normal 5 4 2 2" xfId="458" xr:uid="{00000000-0005-0000-0000-0000AF1A0000}"/>
    <cellStyle name="Normal 5 4 2 2 10" xfId="17493" xr:uid="{AA899E93-CAC8-4115-8533-7CF880DD33B6}"/>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FBFEF926-4B30-4015-B0FF-56D933F0B92D}"/>
    <cellStyle name="Normal 5 4 2 2 2 2 2 2 3" xfId="24269" xr:uid="{9228807C-F9F4-4096-B218-31A2265FF7BD}"/>
    <cellStyle name="Normal 5 4 2 2 2 2 2 3" xfId="11614" xr:uid="{CA2EECDF-673F-497C-B352-0EE39E12059E}"/>
    <cellStyle name="Normal 5 4 2 2 2 2 2 4" xfId="20052" xr:uid="{DEC12DDD-A1E0-460E-AD52-95E51B15FC67}"/>
    <cellStyle name="Normal 5 4 2 2 2 2 3" xfId="5245" xr:uid="{00000000-0005-0000-0000-0000B41A0000}"/>
    <cellStyle name="Normal 5 4 2 2 2 2 3 2" xfId="13687" xr:uid="{17A8BB25-111A-4F1B-94F4-8329B388C381}"/>
    <cellStyle name="Normal 5 4 2 2 2 2 3 3" xfId="22124" xr:uid="{2C1FF355-4CA0-416D-B87E-039B700EDC13}"/>
    <cellStyle name="Normal 5 4 2 2 2 2 4" xfId="9469" xr:uid="{E1D26E89-61B0-4E48-BBCB-3B37AA48C603}"/>
    <cellStyle name="Normal 5 4 2 2 2 2 5" xfId="17907" xr:uid="{F33FF205-4EC7-4CCA-8827-D81E218E64B6}"/>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C46F382C-F19D-459D-BED7-BA5DAEE2E3A3}"/>
    <cellStyle name="Normal 5 4 2 2 2 3 2 2 3" xfId="24682" xr:uid="{39E152A5-7770-4E72-A6DC-E99AB5681925}"/>
    <cellStyle name="Normal 5 4 2 2 2 3 2 3" xfId="12027" xr:uid="{BD67B1F2-196B-43DE-AFB1-94FE5F3F7B65}"/>
    <cellStyle name="Normal 5 4 2 2 2 3 2 4" xfId="20465" xr:uid="{0FA135B3-C3F5-480E-8991-673B35C5E844}"/>
    <cellStyle name="Normal 5 4 2 2 2 3 3" xfId="5658" xr:uid="{00000000-0005-0000-0000-0000B81A0000}"/>
    <cellStyle name="Normal 5 4 2 2 2 3 3 2" xfId="14100" xr:uid="{EA3557C9-9067-45FA-8FD9-2452309420B7}"/>
    <cellStyle name="Normal 5 4 2 2 2 3 3 3" xfId="22537" xr:uid="{6E264192-68A1-4498-ADE4-8DAD19F86BE9}"/>
    <cellStyle name="Normal 5 4 2 2 2 3 4" xfId="9882" xr:uid="{9F64EF86-0A55-4682-B43A-85EE713FDBDA}"/>
    <cellStyle name="Normal 5 4 2 2 2 3 5" xfId="18320" xr:uid="{90AF379E-3553-4F15-9231-471C323F858B}"/>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42B351DE-B75B-4461-8CFD-180398D776C4}"/>
    <cellStyle name="Normal 5 4 2 2 2 4 2 2 3" xfId="25095" xr:uid="{7AA253B2-80E0-46D2-9C12-03E5F19EABA5}"/>
    <cellStyle name="Normal 5 4 2 2 2 4 2 3" xfId="12440" xr:uid="{B064F30C-942B-44EC-ABC5-AE02AFFE773D}"/>
    <cellStyle name="Normal 5 4 2 2 2 4 2 4" xfId="20878" xr:uid="{95CF7CB2-E40A-47F3-BB98-F49FE04319A6}"/>
    <cellStyle name="Normal 5 4 2 2 2 4 3" xfId="6071" xr:uid="{00000000-0005-0000-0000-0000BC1A0000}"/>
    <cellStyle name="Normal 5 4 2 2 2 4 3 2" xfId="14513" xr:uid="{A642597D-9FE1-43DF-830E-46CA8A438379}"/>
    <cellStyle name="Normal 5 4 2 2 2 4 3 3" xfId="22950" xr:uid="{DF8FAFBA-BFE2-4F3D-8E48-39EBE2BBFFCF}"/>
    <cellStyle name="Normal 5 4 2 2 2 4 4" xfId="10295" xr:uid="{B9CC9152-D666-4153-9005-86B659E0B043}"/>
    <cellStyle name="Normal 5 4 2 2 2 4 5" xfId="18733" xr:uid="{3B54CAAA-DC7B-4504-ACFF-8E2682D8C202}"/>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8B58B270-9736-4941-8DDA-D7F9D451F59D}"/>
    <cellStyle name="Normal 5 4 2 2 2 5 2 2 3" xfId="25508" xr:uid="{D7612765-3C9C-4896-B5E1-D1D697B6BC66}"/>
    <cellStyle name="Normal 5 4 2 2 2 5 2 3" xfId="12853" xr:uid="{165793DC-124E-4A86-B45E-7B8680EDB40A}"/>
    <cellStyle name="Normal 5 4 2 2 2 5 2 4" xfId="21291" xr:uid="{93EB4D69-DF2F-46CF-9DCA-46570D2925CE}"/>
    <cellStyle name="Normal 5 4 2 2 2 5 3" xfId="6484" xr:uid="{00000000-0005-0000-0000-0000C01A0000}"/>
    <cellStyle name="Normal 5 4 2 2 2 5 3 2" xfId="14926" xr:uid="{C12395EC-B9F1-48EA-A611-59118268BF9E}"/>
    <cellStyle name="Normal 5 4 2 2 2 5 3 3" xfId="23363" xr:uid="{B1FD7091-690C-49A6-8526-1F9CF1CF9FB1}"/>
    <cellStyle name="Normal 5 4 2 2 2 5 4" xfId="10708" xr:uid="{C26DA8D8-6D00-410D-9464-FD556F285898}"/>
    <cellStyle name="Normal 5 4 2 2 2 5 5" xfId="19146" xr:uid="{AE4E1453-2717-4FBB-AE13-4DF90926787A}"/>
    <cellStyle name="Normal 5 4 2 2 2 6" xfId="2613" xr:uid="{00000000-0005-0000-0000-0000C11A0000}"/>
    <cellStyle name="Normal 5 4 2 2 2 6 2" xfId="6897" xr:uid="{00000000-0005-0000-0000-0000C21A0000}"/>
    <cellStyle name="Normal 5 4 2 2 2 6 2 2" xfId="15339" xr:uid="{8EC2AD6C-F227-4E34-AA73-BF3882E8E6FE}"/>
    <cellStyle name="Normal 5 4 2 2 2 6 2 3" xfId="23776" xr:uid="{373869C2-252B-47D1-8284-FADC1108604A}"/>
    <cellStyle name="Normal 5 4 2 2 2 6 3" xfId="11121" xr:uid="{874EE212-5959-4D76-A1F5-21721957F72B}"/>
    <cellStyle name="Normal 5 4 2 2 2 6 4" xfId="19559" xr:uid="{A2EFD9F8-EBC6-4261-9811-CF9FBF129EED}"/>
    <cellStyle name="Normal 5 4 2 2 2 7" xfId="4832" xr:uid="{00000000-0005-0000-0000-0000C31A0000}"/>
    <cellStyle name="Normal 5 4 2 2 2 7 2" xfId="13274" xr:uid="{6D4A2A1D-7DFD-4F12-A4F1-EF7E91299B8B}"/>
    <cellStyle name="Normal 5 4 2 2 2 7 3" xfId="21711" xr:uid="{59FF36B4-0061-4211-AC18-73F97C961175}"/>
    <cellStyle name="Normal 5 4 2 2 2 8" xfId="9056" xr:uid="{68EC2438-4E05-4B74-9CCC-C0915B038307}"/>
    <cellStyle name="Normal 5 4 2 2 2 9" xfId="17494" xr:uid="{A2C635DB-0F1F-4F23-AC6E-F1AFAC93B0DF}"/>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8C1D6318-E23D-4E99-9037-C0DEF8905BE3}"/>
    <cellStyle name="Normal 5 4 2 2 3 2 2 3" xfId="24268" xr:uid="{C6EB4530-B7E2-47E4-A619-8E043D589392}"/>
    <cellStyle name="Normal 5 4 2 2 3 2 3" xfId="11613" xr:uid="{AD816114-2CEB-4BEE-A510-BD457DCEE713}"/>
    <cellStyle name="Normal 5 4 2 2 3 2 4" xfId="20051" xr:uid="{5C29683B-D012-4385-9ECA-9ABEAE4EFCB9}"/>
    <cellStyle name="Normal 5 4 2 2 3 3" xfId="5244" xr:uid="{00000000-0005-0000-0000-0000C71A0000}"/>
    <cellStyle name="Normal 5 4 2 2 3 3 2" xfId="13686" xr:uid="{B3EF3657-0D76-41FC-95CE-A1ED7114C213}"/>
    <cellStyle name="Normal 5 4 2 2 3 3 3" xfId="22123" xr:uid="{4083D927-7368-42E0-B2F0-AD1463DFD23D}"/>
    <cellStyle name="Normal 5 4 2 2 3 4" xfId="9468" xr:uid="{3A98EEF4-E417-47C3-BA88-A22511896704}"/>
    <cellStyle name="Normal 5 4 2 2 3 5" xfId="17906" xr:uid="{382794CD-D156-4E32-9C10-B8ED85FDFBA5}"/>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E221DAC8-CDF1-4916-91C7-03F4CC4EDFDB}"/>
    <cellStyle name="Normal 5 4 2 2 4 2 2 3" xfId="24681" xr:uid="{13A09A1D-5235-41A9-B4E5-DA9D8568CA8F}"/>
    <cellStyle name="Normal 5 4 2 2 4 2 3" xfId="12026" xr:uid="{448BAF14-B30C-48FD-B88E-73DBDFEA52EC}"/>
    <cellStyle name="Normal 5 4 2 2 4 2 4" xfId="20464" xr:uid="{C536AC97-FB32-4E0D-930B-A233BC763D85}"/>
    <cellStyle name="Normal 5 4 2 2 4 3" xfId="5657" xr:uid="{00000000-0005-0000-0000-0000CB1A0000}"/>
    <cellStyle name="Normal 5 4 2 2 4 3 2" xfId="14099" xr:uid="{BB88D951-F3C5-4283-A880-EDA9E4B0D82B}"/>
    <cellStyle name="Normal 5 4 2 2 4 3 3" xfId="22536" xr:uid="{AE14416E-5964-4AB5-81EE-BE31E40967B7}"/>
    <cellStyle name="Normal 5 4 2 2 4 4" xfId="9881" xr:uid="{7483C8D9-5059-4BA7-A607-AB1FE2EEA050}"/>
    <cellStyle name="Normal 5 4 2 2 4 5" xfId="18319" xr:uid="{26E11E89-264A-4129-B4E2-71B139640A3B}"/>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8BD69AC7-7391-48E7-B921-9C2AC43DAD04}"/>
    <cellStyle name="Normal 5 4 2 2 5 2 2 3" xfId="25094" xr:uid="{387A14F0-8C72-4597-B6EC-4A8FBE4DCB4B}"/>
    <cellStyle name="Normal 5 4 2 2 5 2 3" xfId="12439" xr:uid="{62FAA884-6A59-4451-B50E-A37EA782D4A2}"/>
    <cellStyle name="Normal 5 4 2 2 5 2 4" xfId="20877" xr:uid="{6B41764E-02E2-4A07-8615-AAB64F22AE39}"/>
    <cellStyle name="Normal 5 4 2 2 5 3" xfId="6070" xr:uid="{00000000-0005-0000-0000-0000CF1A0000}"/>
    <cellStyle name="Normal 5 4 2 2 5 3 2" xfId="14512" xr:uid="{DA0CF84A-699A-41A2-B096-216407A1AA99}"/>
    <cellStyle name="Normal 5 4 2 2 5 3 3" xfId="22949" xr:uid="{8657B2AE-FF32-4B26-B6DA-66CE63C3D9EC}"/>
    <cellStyle name="Normal 5 4 2 2 5 4" xfId="10294" xr:uid="{2E6B593B-9665-46F3-AF54-9907269D383A}"/>
    <cellStyle name="Normal 5 4 2 2 5 5" xfId="18732" xr:uid="{EB97A398-C724-40BA-A279-FA27E66610CE}"/>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C09B8F0D-F7A2-410C-BC86-AE015978C2B6}"/>
    <cellStyle name="Normal 5 4 2 2 6 2 2 3" xfId="25507" xr:uid="{7D0891FB-C135-4C3D-953B-88DF6AD5A980}"/>
    <cellStyle name="Normal 5 4 2 2 6 2 3" xfId="12852" xr:uid="{964D7040-7FC9-424E-9969-2ECDC8349CD3}"/>
    <cellStyle name="Normal 5 4 2 2 6 2 4" xfId="21290" xr:uid="{BC3B5C85-D8CB-47DE-9A31-02923F6CE124}"/>
    <cellStyle name="Normal 5 4 2 2 6 3" xfId="6483" xr:uid="{00000000-0005-0000-0000-0000D31A0000}"/>
    <cellStyle name="Normal 5 4 2 2 6 3 2" xfId="14925" xr:uid="{4F439614-0B1C-48E1-B5F2-8BDCBB5BDA1B}"/>
    <cellStyle name="Normal 5 4 2 2 6 3 3" xfId="23362" xr:uid="{A3B1AA52-25FF-4516-AA4C-F3C387013E12}"/>
    <cellStyle name="Normal 5 4 2 2 6 4" xfId="10707" xr:uid="{224DACB6-F487-4213-B7DE-FC46B17517E9}"/>
    <cellStyle name="Normal 5 4 2 2 6 5" xfId="19145" xr:uid="{7AC72401-5E7B-40AA-BDDD-86FDC05A9854}"/>
    <cellStyle name="Normal 5 4 2 2 7" xfId="2612" xr:uid="{00000000-0005-0000-0000-0000D41A0000}"/>
    <cellStyle name="Normal 5 4 2 2 7 2" xfId="6896" xr:uid="{00000000-0005-0000-0000-0000D51A0000}"/>
    <cellStyle name="Normal 5 4 2 2 7 2 2" xfId="15338" xr:uid="{55F4AFF5-4844-4FE4-81AE-3BC5C6BD8240}"/>
    <cellStyle name="Normal 5 4 2 2 7 2 3" xfId="23775" xr:uid="{A70722AC-653D-48F2-B02B-0DB70E7FAACA}"/>
    <cellStyle name="Normal 5 4 2 2 7 3" xfId="11120" xr:uid="{A92DA7A8-961B-4A16-B2D8-09C5F1F85E77}"/>
    <cellStyle name="Normal 5 4 2 2 7 4" xfId="19558" xr:uid="{6777E501-801C-4F35-9DE9-BFCDEB0F1D60}"/>
    <cellStyle name="Normal 5 4 2 2 8" xfId="4831" xr:uid="{00000000-0005-0000-0000-0000D61A0000}"/>
    <cellStyle name="Normal 5 4 2 2 8 2" xfId="13273" xr:uid="{15460CEC-73D5-4A9D-B062-6ED84363BFF1}"/>
    <cellStyle name="Normal 5 4 2 2 8 3" xfId="21710" xr:uid="{256FB0F1-67A4-4200-BC9C-A6DABDA0AEBB}"/>
    <cellStyle name="Normal 5 4 2 2 9" xfId="9055" xr:uid="{DAA9369F-1E00-4D53-A6A8-DD04B2A99B44}"/>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1AB6C045-2152-4E96-8243-D2A53C9D3D67}"/>
    <cellStyle name="Normal 5 4 2 3 2 2 2 3" xfId="24270" xr:uid="{D0618877-8EF4-4F20-99FF-10943CFBEC1B}"/>
    <cellStyle name="Normal 5 4 2 3 2 2 3" xfId="11615" xr:uid="{226BEBF4-5881-478E-9839-78ED3AB1D1CF}"/>
    <cellStyle name="Normal 5 4 2 3 2 2 4" xfId="20053" xr:uid="{DAE71094-BFA9-4056-9957-A51EE59E113F}"/>
    <cellStyle name="Normal 5 4 2 3 2 3" xfId="5246" xr:uid="{00000000-0005-0000-0000-0000DB1A0000}"/>
    <cellStyle name="Normal 5 4 2 3 2 3 2" xfId="13688" xr:uid="{0520488A-1154-40F4-AE85-ED6AF75EE516}"/>
    <cellStyle name="Normal 5 4 2 3 2 3 3" xfId="22125" xr:uid="{A7288879-9CDF-4416-8725-4311347793F0}"/>
    <cellStyle name="Normal 5 4 2 3 2 4" xfId="9470" xr:uid="{0E7B1C20-C1D8-4F9B-984B-255CDFC5F550}"/>
    <cellStyle name="Normal 5 4 2 3 2 5" xfId="17908" xr:uid="{9CE7C3A3-30B4-4266-B570-3DD3D25B6350}"/>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26CD1B49-8AF2-4664-A497-C40AC5677DB3}"/>
    <cellStyle name="Normal 5 4 2 3 3 2 2 3" xfId="24683" xr:uid="{BEAAA010-BD66-432E-A8E4-C5BEC9F702CF}"/>
    <cellStyle name="Normal 5 4 2 3 3 2 3" xfId="12028" xr:uid="{42CE5AF2-0C5C-4D96-A8AE-BE0C4A960AE4}"/>
    <cellStyle name="Normal 5 4 2 3 3 2 4" xfId="20466" xr:uid="{23E1569A-DDE4-4494-A249-CBDC5653819E}"/>
    <cellStyle name="Normal 5 4 2 3 3 3" xfId="5659" xr:uid="{00000000-0005-0000-0000-0000DF1A0000}"/>
    <cellStyle name="Normal 5 4 2 3 3 3 2" xfId="14101" xr:uid="{50D6A0A7-E587-48A5-852D-BBBD644D41F9}"/>
    <cellStyle name="Normal 5 4 2 3 3 3 3" xfId="22538" xr:uid="{F14F9498-EC79-4569-AA5B-F6F1EA173B62}"/>
    <cellStyle name="Normal 5 4 2 3 3 4" xfId="9883" xr:uid="{E7686C9A-EDD7-4293-8478-5F1A1966990B}"/>
    <cellStyle name="Normal 5 4 2 3 3 5" xfId="18321" xr:uid="{8564EFC6-524D-465D-AB8B-FEAA343E479D}"/>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B88F5997-04A8-4486-A899-E3D3AE300EEF}"/>
    <cellStyle name="Normal 5 4 2 3 4 2 2 3" xfId="25096" xr:uid="{10FE6C04-C974-46A6-BAA2-E828DB37F232}"/>
    <cellStyle name="Normal 5 4 2 3 4 2 3" xfId="12441" xr:uid="{D1BDF78F-C598-4B45-B23C-43AD3CBAE7FD}"/>
    <cellStyle name="Normal 5 4 2 3 4 2 4" xfId="20879" xr:uid="{67089B9F-26BE-4859-BDB2-D7AF97CEB1A5}"/>
    <cellStyle name="Normal 5 4 2 3 4 3" xfId="6072" xr:uid="{00000000-0005-0000-0000-0000E31A0000}"/>
    <cellStyle name="Normal 5 4 2 3 4 3 2" xfId="14514" xr:uid="{386CA752-1DA2-4440-8D87-76B1732C0F59}"/>
    <cellStyle name="Normal 5 4 2 3 4 3 3" xfId="22951" xr:uid="{865E71B8-9641-4BCF-A180-210ADECE0A23}"/>
    <cellStyle name="Normal 5 4 2 3 4 4" xfId="10296" xr:uid="{4513F67C-0954-438F-AF68-0F2590074191}"/>
    <cellStyle name="Normal 5 4 2 3 4 5" xfId="18734" xr:uid="{B2338AB1-DFB4-4EAC-9483-12BEBC684E5B}"/>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3952E289-2D51-4E0C-A392-E42E004B7471}"/>
    <cellStyle name="Normal 5 4 2 3 5 2 2 3" xfId="25509" xr:uid="{7A3636CD-9DCB-42F3-8035-D2E620F38AD8}"/>
    <cellStyle name="Normal 5 4 2 3 5 2 3" xfId="12854" xr:uid="{1A768B76-E7F7-490D-9C89-F91AC2BB24DC}"/>
    <cellStyle name="Normal 5 4 2 3 5 2 4" xfId="21292" xr:uid="{7D7E21CA-B051-4B64-AE23-0662370F1416}"/>
    <cellStyle name="Normal 5 4 2 3 5 3" xfId="6485" xr:uid="{00000000-0005-0000-0000-0000E71A0000}"/>
    <cellStyle name="Normal 5 4 2 3 5 3 2" xfId="14927" xr:uid="{B9AF4E3B-9675-4AC2-B6A1-EF6E99C68EAB}"/>
    <cellStyle name="Normal 5 4 2 3 5 3 3" xfId="23364" xr:uid="{8DFEE8F6-C412-4AD0-9310-58DAFB666E01}"/>
    <cellStyle name="Normal 5 4 2 3 5 4" xfId="10709" xr:uid="{6DAE8B28-37B3-4663-97C4-6D0D9B936618}"/>
    <cellStyle name="Normal 5 4 2 3 5 5" xfId="19147" xr:uid="{52247F93-156D-4FF3-AC0F-5FAB2805FF05}"/>
    <cellStyle name="Normal 5 4 2 3 6" xfId="2614" xr:uid="{00000000-0005-0000-0000-0000E81A0000}"/>
    <cellStyle name="Normal 5 4 2 3 6 2" xfId="6898" xr:uid="{00000000-0005-0000-0000-0000E91A0000}"/>
    <cellStyle name="Normal 5 4 2 3 6 2 2" xfId="15340" xr:uid="{421D4A70-52AA-45B2-AD05-CE6D483B0575}"/>
    <cellStyle name="Normal 5 4 2 3 6 2 3" xfId="23777" xr:uid="{E4177623-78BD-4511-970C-69EF735032B2}"/>
    <cellStyle name="Normal 5 4 2 3 6 3" xfId="11122" xr:uid="{E3483976-8FF8-4DE5-B517-B043AA529698}"/>
    <cellStyle name="Normal 5 4 2 3 6 4" xfId="19560" xr:uid="{61F69B91-6E0A-4A2C-B6FD-0E15DFE35A4C}"/>
    <cellStyle name="Normal 5 4 2 3 7" xfId="4833" xr:uid="{00000000-0005-0000-0000-0000EA1A0000}"/>
    <cellStyle name="Normal 5 4 2 3 7 2" xfId="13275" xr:uid="{1C8D81C1-519B-49B6-BBAC-6F6CE1E6212D}"/>
    <cellStyle name="Normal 5 4 2 3 7 3" xfId="21712" xr:uid="{783DB83E-D85F-4BC6-9C55-F0CD80500041}"/>
    <cellStyle name="Normal 5 4 2 3 8" xfId="9057" xr:uid="{883B0AA0-8256-427D-A327-67ADCFD06FBD}"/>
    <cellStyle name="Normal 5 4 2 3 9" xfId="17495" xr:uid="{65A2C8CF-B870-4F08-BFA6-CEEE919FCBF1}"/>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8F55F053-D066-44ED-9E92-1961BA276D8A}"/>
    <cellStyle name="Normal 5 4 2 4 2 2 3" xfId="24267" xr:uid="{F33FFF72-7DBD-4EF5-ABB3-75ED8ECC1224}"/>
    <cellStyle name="Normal 5 4 2 4 2 3" xfId="11612" xr:uid="{463D3905-33C7-49AB-B771-586E89ACFFEA}"/>
    <cellStyle name="Normal 5 4 2 4 2 4" xfId="20050" xr:uid="{89650D81-099E-47DF-A5B6-3DCBEC6E5DC1}"/>
    <cellStyle name="Normal 5 4 2 4 3" xfId="5243" xr:uid="{00000000-0005-0000-0000-0000EE1A0000}"/>
    <cellStyle name="Normal 5 4 2 4 3 2" xfId="13685" xr:uid="{99AC964F-7757-4519-970C-E29249136C91}"/>
    <cellStyle name="Normal 5 4 2 4 3 3" xfId="22122" xr:uid="{A239C6A0-96A8-48DB-BEAF-C79C88EC6EA9}"/>
    <cellStyle name="Normal 5 4 2 4 4" xfId="9467" xr:uid="{20BB0EBD-3E60-41C8-A72D-619E4DA5D8C5}"/>
    <cellStyle name="Normal 5 4 2 4 5" xfId="17905" xr:uid="{87E4472D-ED13-4977-9702-76D1594003B9}"/>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060CFC32-BFE6-462B-8F24-D7A775D74257}"/>
    <cellStyle name="Normal 5 4 2 5 2 2 3" xfId="24680" xr:uid="{C329573F-7515-4332-9A08-B332CEBFC61C}"/>
    <cellStyle name="Normal 5 4 2 5 2 3" xfId="12025" xr:uid="{BEEBFC6F-CD1F-46F0-8F90-1DAFBBB72B54}"/>
    <cellStyle name="Normal 5 4 2 5 2 4" xfId="20463" xr:uid="{B80828D7-6824-4843-B820-3568AAF94664}"/>
    <cellStyle name="Normal 5 4 2 5 3" xfId="5656" xr:uid="{00000000-0005-0000-0000-0000F21A0000}"/>
    <cellStyle name="Normal 5 4 2 5 3 2" xfId="14098" xr:uid="{D268CB04-5B8B-41D3-9D6C-641CB6CC571A}"/>
    <cellStyle name="Normal 5 4 2 5 3 3" xfId="22535" xr:uid="{8E24C2E4-076D-47D5-AAF5-04EA783E4BB5}"/>
    <cellStyle name="Normal 5 4 2 5 4" xfId="9880" xr:uid="{A7A20C5B-A6CE-481F-83E6-959B98460E04}"/>
    <cellStyle name="Normal 5 4 2 5 5" xfId="18318" xr:uid="{9AC4E511-5E12-4EDE-8DCB-4D1237C89750}"/>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7E8FA4E1-0E67-43BB-8AC3-5AB3473990D2}"/>
    <cellStyle name="Normal 5 4 2 6 2 2 3" xfId="25093" xr:uid="{FC6544CB-4B52-4E96-AB8D-2A53808C3C7F}"/>
    <cellStyle name="Normal 5 4 2 6 2 3" xfId="12438" xr:uid="{6BA68CC8-CE58-4843-8546-CC230640593A}"/>
    <cellStyle name="Normal 5 4 2 6 2 4" xfId="20876" xr:uid="{B193390B-0F4A-4859-9C14-70EE7F23646D}"/>
    <cellStyle name="Normal 5 4 2 6 3" xfId="6069" xr:uid="{00000000-0005-0000-0000-0000F61A0000}"/>
    <cellStyle name="Normal 5 4 2 6 3 2" xfId="14511" xr:uid="{257C26F2-E4B5-4886-85E3-EFBEA766E89A}"/>
    <cellStyle name="Normal 5 4 2 6 3 3" xfId="22948" xr:uid="{002FB22E-D725-4929-818C-55643BA30040}"/>
    <cellStyle name="Normal 5 4 2 6 4" xfId="10293" xr:uid="{10752C8F-546B-4629-914B-F24F47116517}"/>
    <cellStyle name="Normal 5 4 2 6 5" xfId="18731" xr:uid="{6285C2D4-B355-441F-AC7F-C970D5C841FA}"/>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C569DB2D-C2B2-448F-9690-F2995A8905A0}"/>
    <cellStyle name="Normal 5 4 2 7 2 2 3" xfId="25506" xr:uid="{1897BB89-A60C-4CD3-855A-2B8CE71A1832}"/>
    <cellStyle name="Normal 5 4 2 7 2 3" xfId="12851" xr:uid="{55360A9E-4AC6-479F-ABE2-52481A359C6C}"/>
    <cellStyle name="Normal 5 4 2 7 2 4" xfId="21289" xr:uid="{2153B93C-AADC-4374-9C1C-CB9C42471E6F}"/>
    <cellStyle name="Normal 5 4 2 7 3" xfId="6482" xr:uid="{00000000-0005-0000-0000-0000FA1A0000}"/>
    <cellStyle name="Normal 5 4 2 7 3 2" xfId="14924" xr:uid="{3005F483-DFBD-4112-8C45-DA6404B87E00}"/>
    <cellStyle name="Normal 5 4 2 7 3 3" xfId="23361" xr:uid="{70A15751-05F4-422F-9636-9B4270C1F870}"/>
    <cellStyle name="Normal 5 4 2 7 4" xfId="10706" xr:uid="{7B78E5B2-19E8-42A4-95EB-A676515D1FED}"/>
    <cellStyle name="Normal 5 4 2 7 5" xfId="19144" xr:uid="{593A66B2-096C-4A88-8285-AB56CE71ECB4}"/>
    <cellStyle name="Normal 5 4 2 8" xfId="2611" xr:uid="{00000000-0005-0000-0000-0000FB1A0000}"/>
    <cellStyle name="Normal 5 4 2 8 2" xfId="6895" xr:uid="{00000000-0005-0000-0000-0000FC1A0000}"/>
    <cellStyle name="Normal 5 4 2 8 2 2" xfId="15337" xr:uid="{D58B5AC6-938A-4953-BC72-1229DF649F7B}"/>
    <cellStyle name="Normal 5 4 2 8 2 3" xfId="23774" xr:uid="{8C9DA299-2B20-4ADB-ABDE-13F826CC751C}"/>
    <cellStyle name="Normal 5 4 2 8 3" xfId="11119" xr:uid="{39AD5BF1-909A-4A9F-A077-68185FE192AB}"/>
    <cellStyle name="Normal 5 4 2 8 4" xfId="19557" xr:uid="{0B2B0079-4974-4BD8-95DC-BF0A54D7D69A}"/>
    <cellStyle name="Normal 5 4 2 9" xfId="4830" xr:uid="{00000000-0005-0000-0000-0000FD1A0000}"/>
    <cellStyle name="Normal 5 4 2 9 2" xfId="13272" xr:uid="{4DF58B46-A131-4175-9E73-D4474D630048}"/>
    <cellStyle name="Normal 5 4 2 9 3" xfId="21709" xr:uid="{3CDE5D93-7B16-4C62-BBD3-A7081EB35C48}"/>
    <cellStyle name="Normal 5 4 3" xfId="461" xr:uid="{00000000-0005-0000-0000-0000FE1A0000}"/>
    <cellStyle name="Normal 5 4 3 10" xfId="17496" xr:uid="{DDDF1401-E369-44B3-8BDC-E5A9F7E9A0ED}"/>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6A77BAFE-83E9-443C-B62A-77C33888632D}"/>
    <cellStyle name="Normal 5 4 3 2 2 2 2 3" xfId="24272" xr:uid="{ACC47E62-6141-4B38-B1A4-B7AD72954316}"/>
    <cellStyle name="Normal 5 4 3 2 2 2 3" xfId="11617" xr:uid="{19175833-7302-46D0-882C-30553FB196AB}"/>
    <cellStyle name="Normal 5 4 3 2 2 2 4" xfId="20055" xr:uid="{DA5958F0-D2B1-4181-94A5-D02F4D6F0CA4}"/>
    <cellStyle name="Normal 5 4 3 2 2 3" xfId="5248" xr:uid="{00000000-0005-0000-0000-0000031B0000}"/>
    <cellStyle name="Normal 5 4 3 2 2 3 2" xfId="13690" xr:uid="{64D88EE9-7DB3-4C44-8E67-27C7802E9D14}"/>
    <cellStyle name="Normal 5 4 3 2 2 3 3" xfId="22127" xr:uid="{7C714551-4716-4644-8672-5E245BD60941}"/>
    <cellStyle name="Normal 5 4 3 2 2 4" xfId="9472" xr:uid="{2B56E143-1BEF-40F5-8BDB-3D31B95A2AD7}"/>
    <cellStyle name="Normal 5 4 3 2 2 5" xfId="17910" xr:uid="{0F307D8F-E4CC-49B2-ACC9-3BEB5D489BDB}"/>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AF42D1D5-69EB-480B-B358-C7087A3E2CC2}"/>
    <cellStyle name="Normal 5 4 3 2 3 2 2 3" xfId="24685" xr:uid="{65C2E276-BBFB-42CC-8932-B97308EE57C2}"/>
    <cellStyle name="Normal 5 4 3 2 3 2 3" xfId="12030" xr:uid="{F38634CB-AB77-44D6-AB5C-BEBC7DFBA762}"/>
    <cellStyle name="Normal 5 4 3 2 3 2 4" xfId="20468" xr:uid="{E9E7B000-CD7F-42A0-AA11-57C5BD6D3693}"/>
    <cellStyle name="Normal 5 4 3 2 3 3" xfId="5661" xr:uid="{00000000-0005-0000-0000-0000071B0000}"/>
    <cellStyle name="Normal 5 4 3 2 3 3 2" xfId="14103" xr:uid="{1B09E6A2-2A55-4938-8BE1-E05DABCEAB07}"/>
    <cellStyle name="Normal 5 4 3 2 3 3 3" xfId="22540" xr:uid="{1ECD78A7-A153-447D-A123-1A18B53A7F3B}"/>
    <cellStyle name="Normal 5 4 3 2 3 4" xfId="9885" xr:uid="{555F27FC-7505-496E-BFD0-C5A47C919487}"/>
    <cellStyle name="Normal 5 4 3 2 3 5" xfId="18323" xr:uid="{E57C6B78-C9B3-473E-8E09-8DE41BB8C2F7}"/>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855CCFC2-F9A5-465E-9B7C-E3B30E95CD84}"/>
    <cellStyle name="Normal 5 4 3 2 4 2 2 3" xfId="25098" xr:uid="{58B61BA4-B255-46D0-97C3-95170C00C19E}"/>
    <cellStyle name="Normal 5 4 3 2 4 2 3" xfId="12443" xr:uid="{42935C28-2822-4291-B66A-1D9F698B2226}"/>
    <cellStyle name="Normal 5 4 3 2 4 2 4" xfId="20881" xr:uid="{6804DEAF-67F2-4173-9475-5026EA02BCE3}"/>
    <cellStyle name="Normal 5 4 3 2 4 3" xfId="6074" xr:uid="{00000000-0005-0000-0000-00000B1B0000}"/>
    <cellStyle name="Normal 5 4 3 2 4 3 2" xfId="14516" xr:uid="{8D8B9A78-84BB-4176-A225-884F3AEF786C}"/>
    <cellStyle name="Normal 5 4 3 2 4 3 3" xfId="22953" xr:uid="{F9D85438-555C-4C9D-ACE5-62135F190BB2}"/>
    <cellStyle name="Normal 5 4 3 2 4 4" xfId="10298" xr:uid="{00CCEEDF-E593-4A6A-9A40-1D61D04FCDB5}"/>
    <cellStyle name="Normal 5 4 3 2 4 5" xfId="18736" xr:uid="{60A9A23E-DA54-40DE-B624-C7294D5D540B}"/>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90F55272-8B04-4AD7-8540-5EE0CF46521B}"/>
    <cellStyle name="Normal 5 4 3 2 5 2 2 3" xfId="25511" xr:uid="{A122199E-70BF-431A-9046-2346E25143A1}"/>
    <cellStyle name="Normal 5 4 3 2 5 2 3" xfId="12856" xr:uid="{43C7608C-64F8-464B-82CA-01E52BB4F0F0}"/>
    <cellStyle name="Normal 5 4 3 2 5 2 4" xfId="21294" xr:uid="{2E00B774-77C5-47A6-BD82-01EB954EF705}"/>
    <cellStyle name="Normal 5 4 3 2 5 3" xfId="6487" xr:uid="{00000000-0005-0000-0000-00000F1B0000}"/>
    <cellStyle name="Normal 5 4 3 2 5 3 2" xfId="14929" xr:uid="{1B84CF2E-8ED6-44DF-B570-91C3306401E6}"/>
    <cellStyle name="Normal 5 4 3 2 5 3 3" xfId="23366" xr:uid="{86200B3E-DF89-4744-BA1C-416814709436}"/>
    <cellStyle name="Normal 5 4 3 2 5 4" xfId="10711" xr:uid="{78ED375F-629D-4FCE-81C8-49FF6280FCD5}"/>
    <cellStyle name="Normal 5 4 3 2 5 5" xfId="19149" xr:uid="{CF939B7A-D3DC-4E8F-81C8-D79ACD15CA2E}"/>
    <cellStyle name="Normal 5 4 3 2 6" xfId="2616" xr:uid="{00000000-0005-0000-0000-0000101B0000}"/>
    <cellStyle name="Normal 5 4 3 2 6 2" xfId="6900" xr:uid="{00000000-0005-0000-0000-0000111B0000}"/>
    <cellStyle name="Normal 5 4 3 2 6 2 2" xfId="15342" xr:uid="{BB3986DA-B783-446C-B636-AB032C5873D1}"/>
    <cellStyle name="Normal 5 4 3 2 6 2 3" xfId="23779" xr:uid="{19E55B8F-2244-46FC-836D-09217197D3F6}"/>
    <cellStyle name="Normal 5 4 3 2 6 3" xfId="11124" xr:uid="{C46D3001-A9AD-46BE-A860-5AD79411A2DA}"/>
    <cellStyle name="Normal 5 4 3 2 6 4" xfId="19562" xr:uid="{524AA747-8E70-4BDE-B66D-2539516E0697}"/>
    <cellStyle name="Normal 5 4 3 2 7" xfId="4835" xr:uid="{00000000-0005-0000-0000-0000121B0000}"/>
    <cellStyle name="Normal 5 4 3 2 7 2" xfId="13277" xr:uid="{BBC4D934-6E4A-46B9-AA6C-BA136F3CDE9B}"/>
    <cellStyle name="Normal 5 4 3 2 7 3" xfId="21714" xr:uid="{F758E042-1C06-43E2-8ED3-7C9EEDCCC194}"/>
    <cellStyle name="Normal 5 4 3 2 8" xfId="9059" xr:uid="{D29A9114-E2C5-486F-AAEE-EEF6FA0E6CFD}"/>
    <cellStyle name="Normal 5 4 3 2 9" xfId="17497" xr:uid="{E1DEEBC2-EB80-4594-894D-E8DC4A40A9FC}"/>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4E329BEE-2348-4347-AEAE-28BB729C5BE1}"/>
    <cellStyle name="Normal 5 4 3 3 2 2 3" xfId="24271" xr:uid="{CF76B620-2E6D-48A6-9172-8388961709A1}"/>
    <cellStyle name="Normal 5 4 3 3 2 3" xfId="11616" xr:uid="{EB476400-7F29-414D-BDA0-F00C0489EE73}"/>
    <cellStyle name="Normal 5 4 3 3 2 4" xfId="20054" xr:uid="{BF7C3C17-2D4D-40AA-81B2-CD2A075EB74B}"/>
    <cellStyle name="Normal 5 4 3 3 3" xfId="5247" xr:uid="{00000000-0005-0000-0000-0000161B0000}"/>
    <cellStyle name="Normal 5 4 3 3 3 2" xfId="13689" xr:uid="{13915146-47FD-49C9-BBB1-3A79126428FB}"/>
    <cellStyle name="Normal 5 4 3 3 3 3" xfId="22126" xr:uid="{34C58524-3D92-4855-BAC6-2BF6481D45DB}"/>
    <cellStyle name="Normal 5 4 3 3 4" xfId="9471" xr:uid="{0B6B69C4-6EA8-4325-BF55-9F7767E247EF}"/>
    <cellStyle name="Normal 5 4 3 3 5" xfId="17909" xr:uid="{398539DD-7FD1-4D32-AA24-AF7001F345DA}"/>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BD9DBF57-742C-4568-99A2-A8560A5F5BC0}"/>
    <cellStyle name="Normal 5 4 3 4 2 2 3" xfId="24684" xr:uid="{60DF1AD1-04B4-4566-8D76-E32A8BC6C9C0}"/>
    <cellStyle name="Normal 5 4 3 4 2 3" xfId="12029" xr:uid="{0F66E13C-0B82-4F54-B671-C2B6052A7D71}"/>
    <cellStyle name="Normal 5 4 3 4 2 4" xfId="20467" xr:uid="{47775797-DE3E-4201-A760-5FFE1A3641E9}"/>
    <cellStyle name="Normal 5 4 3 4 3" xfId="5660" xr:uid="{00000000-0005-0000-0000-00001A1B0000}"/>
    <cellStyle name="Normal 5 4 3 4 3 2" xfId="14102" xr:uid="{2A1252BE-6306-4046-AB31-C7C9EB840138}"/>
    <cellStyle name="Normal 5 4 3 4 3 3" xfId="22539" xr:uid="{C2C60CF8-25E1-4B0F-AB3F-3270C829A934}"/>
    <cellStyle name="Normal 5 4 3 4 4" xfId="9884" xr:uid="{6AABAF92-CD3F-4164-BEA4-BFD061F39C0D}"/>
    <cellStyle name="Normal 5 4 3 4 5" xfId="18322" xr:uid="{1E846E6F-5C88-4D83-A793-513741826AC6}"/>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9644DAA7-D570-4C81-8C2F-AC02DDDBBAB1}"/>
    <cellStyle name="Normal 5 4 3 5 2 2 3" xfId="25097" xr:uid="{7B6E5EC4-7081-4A99-BD2C-27BA2BED9B86}"/>
    <cellStyle name="Normal 5 4 3 5 2 3" xfId="12442" xr:uid="{E8DC9294-2DE7-4AD9-B229-12F8C53109B5}"/>
    <cellStyle name="Normal 5 4 3 5 2 4" xfId="20880" xr:uid="{4422484F-FD43-4A95-AE0B-1DCDDB842BB2}"/>
    <cellStyle name="Normal 5 4 3 5 3" xfId="6073" xr:uid="{00000000-0005-0000-0000-00001E1B0000}"/>
    <cellStyle name="Normal 5 4 3 5 3 2" xfId="14515" xr:uid="{73FABE06-20E4-4811-B91A-88739C9D91DC}"/>
    <cellStyle name="Normal 5 4 3 5 3 3" xfId="22952" xr:uid="{5BD5DEBD-8F3F-4467-B42F-CD255A201D67}"/>
    <cellStyle name="Normal 5 4 3 5 4" xfId="10297" xr:uid="{FA450D4E-C4B7-4196-8E0B-2B8985C97B70}"/>
    <cellStyle name="Normal 5 4 3 5 5" xfId="18735" xr:uid="{AD127FDB-0508-4001-A655-4398FEA37E44}"/>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1EF2A2D2-6841-4B4C-8FE7-C6838E9BC42D}"/>
    <cellStyle name="Normal 5 4 3 6 2 2 3" xfId="25510" xr:uid="{D10261D4-5D8E-484F-BE4F-3DF5E22E2C9B}"/>
    <cellStyle name="Normal 5 4 3 6 2 3" xfId="12855" xr:uid="{BF32C4B4-0E91-40C1-865D-725866C46F67}"/>
    <cellStyle name="Normal 5 4 3 6 2 4" xfId="21293" xr:uid="{11880205-C95E-4886-82BC-2C90D77E3DD5}"/>
    <cellStyle name="Normal 5 4 3 6 3" xfId="6486" xr:uid="{00000000-0005-0000-0000-0000221B0000}"/>
    <cellStyle name="Normal 5 4 3 6 3 2" xfId="14928" xr:uid="{D41F7947-3EFE-4AFF-9F0E-8161A58F04CA}"/>
    <cellStyle name="Normal 5 4 3 6 3 3" xfId="23365" xr:uid="{37FBEBE7-9AAE-4E16-A26C-025CE680CBC4}"/>
    <cellStyle name="Normal 5 4 3 6 4" xfId="10710" xr:uid="{679380AA-192B-4AD9-ABB4-916828195877}"/>
    <cellStyle name="Normal 5 4 3 6 5" xfId="19148" xr:uid="{17466627-4AE8-4F45-B74B-7703911A800A}"/>
    <cellStyle name="Normal 5 4 3 7" xfId="2615" xr:uid="{00000000-0005-0000-0000-0000231B0000}"/>
    <cellStyle name="Normal 5 4 3 7 2" xfId="6899" xr:uid="{00000000-0005-0000-0000-0000241B0000}"/>
    <cellStyle name="Normal 5 4 3 7 2 2" xfId="15341" xr:uid="{042F92E1-DB61-44A5-A009-83E70BEEF127}"/>
    <cellStyle name="Normal 5 4 3 7 2 3" xfId="23778" xr:uid="{30F180E7-77A8-419A-BA9E-668D13707661}"/>
    <cellStyle name="Normal 5 4 3 7 3" xfId="11123" xr:uid="{27DD8C06-8AB1-4CA4-B7C4-633E62396B8F}"/>
    <cellStyle name="Normal 5 4 3 7 4" xfId="19561" xr:uid="{80E66B26-6AF5-4BE8-9907-B002288B7E67}"/>
    <cellStyle name="Normal 5 4 3 8" xfId="4834" xr:uid="{00000000-0005-0000-0000-0000251B0000}"/>
    <cellStyle name="Normal 5 4 3 8 2" xfId="13276" xr:uid="{AFDCE4F0-E420-450B-9812-4B149090EBED}"/>
    <cellStyle name="Normal 5 4 3 8 3" xfId="21713" xr:uid="{E7E466A0-FD62-4F5E-83B9-992965D38162}"/>
    <cellStyle name="Normal 5 4 3 9" xfId="9058" xr:uid="{42EBD08F-8651-46C8-AB99-BBE63153E092}"/>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FAA61BE3-CCD6-4032-A6D7-C673E6413AEF}"/>
    <cellStyle name="Normal 5 4 4 2 2 2 3" xfId="24273" xr:uid="{0C513D3F-4ABA-48CB-BC94-4B1E80EF5367}"/>
    <cellStyle name="Normal 5 4 4 2 2 3" xfId="11618" xr:uid="{6ABA386C-50B1-4F8F-85F8-9A0C3BE05E93}"/>
    <cellStyle name="Normal 5 4 4 2 2 4" xfId="20056" xr:uid="{D4BC806B-4C66-43B5-82E7-6D08A41DF077}"/>
    <cellStyle name="Normal 5 4 4 2 3" xfId="5249" xr:uid="{00000000-0005-0000-0000-00002A1B0000}"/>
    <cellStyle name="Normal 5 4 4 2 3 2" xfId="13691" xr:uid="{28FD80D2-F28D-412D-AA2C-A592E1E904B4}"/>
    <cellStyle name="Normal 5 4 4 2 3 3" xfId="22128" xr:uid="{9B19D297-4F22-4BE2-B14C-1100EB72770E}"/>
    <cellStyle name="Normal 5 4 4 2 4" xfId="9473" xr:uid="{2F929B7A-47D5-4790-9FA5-8EF614D21410}"/>
    <cellStyle name="Normal 5 4 4 2 5" xfId="17911" xr:uid="{990F145E-0ADE-4123-8F18-3491090C47B9}"/>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5920A348-2550-48F0-8AAD-0A47469F9B45}"/>
    <cellStyle name="Normal 5 4 4 3 2 2 3" xfId="24686" xr:uid="{E85A93DF-1349-4DA9-A595-560F10356697}"/>
    <cellStyle name="Normal 5 4 4 3 2 3" xfId="12031" xr:uid="{DB6D56FE-2128-410F-83FB-3C3E3DE97FB6}"/>
    <cellStyle name="Normal 5 4 4 3 2 4" xfId="20469" xr:uid="{B057DF3A-26B7-4999-B328-EB5AB4DBA279}"/>
    <cellStyle name="Normal 5 4 4 3 3" xfId="5662" xr:uid="{00000000-0005-0000-0000-00002E1B0000}"/>
    <cellStyle name="Normal 5 4 4 3 3 2" xfId="14104" xr:uid="{B80C46F0-9B14-4FA4-A0CA-51B7DC3C4E47}"/>
    <cellStyle name="Normal 5 4 4 3 3 3" xfId="22541" xr:uid="{2B7DFC4D-38F6-469D-99EB-1916F0ED61A7}"/>
    <cellStyle name="Normal 5 4 4 3 4" xfId="9886" xr:uid="{DA295712-87F0-443D-B6A5-5D2B33C867AB}"/>
    <cellStyle name="Normal 5 4 4 3 5" xfId="18324" xr:uid="{B67F7A24-D3AB-4A03-9E5F-A2B306B1374F}"/>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BC83AB3E-4DAD-401B-B78E-BC646ED8BA8A}"/>
    <cellStyle name="Normal 5 4 4 4 2 2 3" xfId="25099" xr:uid="{B6993E2B-4C96-4B35-A1BD-5C6117EB1154}"/>
    <cellStyle name="Normal 5 4 4 4 2 3" xfId="12444" xr:uid="{838EA092-236A-4ABC-A64F-A9950DBA69B7}"/>
    <cellStyle name="Normal 5 4 4 4 2 4" xfId="20882" xr:uid="{023685C0-F0DC-4E33-ABA4-B7EF2E39BF7A}"/>
    <cellStyle name="Normal 5 4 4 4 3" xfId="6075" xr:uid="{00000000-0005-0000-0000-0000321B0000}"/>
    <cellStyle name="Normal 5 4 4 4 3 2" xfId="14517" xr:uid="{4C197A1B-BBBE-4B96-A0C0-55E767E3B53C}"/>
    <cellStyle name="Normal 5 4 4 4 3 3" xfId="22954" xr:uid="{847EF0EE-3A1B-493C-B131-661DDD0BF0F5}"/>
    <cellStyle name="Normal 5 4 4 4 4" xfId="10299" xr:uid="{398CFA02-B324-4114-9D64-2724C8A141DB}"/>
    <cellStyle name="Normal 5 4 4 4 5" xfId="18737" xr:uid="{FF494676-172B-42A7-8AE7-5C38B58BBCA2}"/>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495DC350-3867-4FAA-9EB3-CAE2A396E2D4}"/>
    <cellStyle name="Normal 5 4 4 5 2 2 3" xfId="25512" xr:uid="{EDE889A1-7A89-4D05-B7D9-57D0130B8D51}"/>
    <cellStyle name="Normal 5 4 4 5 2 3" xfId="12857" xr:uid="{8282B950-C230-4C9D-8E8B-CBD57EC055AD}"/>
    <cellStyle name="Normal 5 4 4 5 2 4" xfId="21295" xr:uid="{15991CF6-4021-48EE-B3AF-280BC2CFF259}"/>
    <cellStyle name="Normal 5 4 4 5 3" xfId="6488" xr:uid="{00000000-0005-0000-0000-0000361B0000}"/>
    <cellStyle name="Normal 5 4 4 5 3 2" xfId="14930" xr:uid="{F2622876-081E-41D0-B56D-B39CE9F450DE}"/>
    <cellStyle name="Normal 5 4 4 5 3 3" xfId="23367" xr:uid="{A2AA19A5-DB32-40DC-BC39-9C8F2B7665BD}"/>
    <cellStyle name="Normal 5 4 4 5 4" xfId="10712" xr:uid="{0D878CD0-EB56-40ED-A3BD-F779A8FD8E21}"/>
    <cellStyle name="Normal 5 4 4 5 5" xfId="19150" xr:uid="{EB47394B-294D-4731-8945-91A53AA23C87}"/>
    <cellStyle name="Normal 5 4 4 6" xfId="2617" xr:uid="{00000000-0005-0000-0000-0000371B0000}"/>
    <cellStyle name="Normal 5 4 4 6 2" xfId="6901" xr:uid="{00000000-0005-0000-0000-0000381B0000}"/>
    <cellStyle name="Normal 5 4 4 6 2 2" xfId="15343" xr:uid="{CE3EC373-B572-491E-8FA1-7631DE43E9EF}"/>
    <cellStyle name="Normal 5 4 4 6 2 3" xfId="23780" xr:uid="{1D206EE0-524B-4C90-B979-10824E388873}"/>
    <cellStyle name="Normal 5 4 4 6 3" xfId="11125" xr:uid="{E6C4A233-7E3F-4D7A-9127-64767C676777}"/>
    <cellStyle name="Normal 5 4 4 6 4" xfId="19563" xr:uid="{C5A34506-761A-4DC8-87FB-2AA65C1CE3EB}"/>
    <cellStyle name="Normal 5 4 4 7" xfId="4836" xr:uid="{00000000-0005-0000-0000-0000391B0000}"/>
    <cellStyle name="Normal 5 4 4 7 2" xfId="13278" xr:uid="{A25717A8-D47F-49F9-AB59-0BDA5E4C5990}"/>
    <cellStyle name="Normal 5 4 4 7 3" xfId="21715" xr:uid="{E0572B1C-3D2A-4198-8070-059EE8F66620}"/>
    <cellStyle name="Normal 5 4 4 8" xfId="9060" xr:uid="{35B1D3C3-9A08-47DC-8707-95A370296E78}"/>
    <cellStyle name="Normal 5 4 4 9" xfId="17498" xr:uid="{04F33AC6-E0EB-4389-9938-22EABCA2EFD4}"/>
    <cellStyle name="Normal 5 4 5" xfId="930" xr:uid="{00000000-0005-0000-0000-00003A1B0000}"/>
    <cellStyle name="Normal 5 4 5 2" xfId="3164" xr:uid="{00000000-0005-0000-0000-00003B1B0000}"/>
    <cellStyle name="Normal 5 4 5 2 2" xfId="7387" xr:uid="{00000000-0005-0000-0000-00003C1B0000}"/>
    <cellStyle name="Normal 5 4 5 2 2 2" xfId="15829" xr:uid="{427BF645-0A02-4E29-AB2F-13F122713485}"/>
    <cellStyle name="Normal 5 4 5 2 2 3" xfId="24266" xr:uid="{2BA503FA-3C64-4D6D-A68B-48359689E2D5}"/>
    <cellStyle name="Normal 5 4 5 2 3" xfId="11611" xr:uid="{31D1F224-4CA7-4780-AFCE-ABB6FFD6CDBE}"/>
    <cellStyle name="Normal 5 4 5 2 4" xfId="20049" xr:uid="{44339B42-E68E-4415-9576-78F79B9DD7E7}"/>
    <cellStyle name="Normal 5 4 5 3" xfId="5242" xr:uid="{00000000-0005-0000-0000-00003D1B0000}"/>
    <cellStyle name="Normal 5 4 5 3 2" xfId="13684" xr:uid="{DC6D2A9D-15A0-4949-B2B0-58C5AE3574E0}"/>
    <cellStyle name="Normal 5 4 5 3 3" xfId="22121" xr:uid="{CA10F135-7C91-47FC-AA38-5997AFCC6E22}"/>
    <cellStyle name="Normal 5 4 5 4" xfId="9466" xr:uid="{DC281E1E-A7D1-4476-9D8E-878B134A11CE}"/>
    <cellStyle name="Normal 5 4 5 5" xfId="17904" xr:uid="{7FF90E14-BAB7-47E5-8601-EBDEA69479DC}"/>
    <cellStyle name="Normal 5 4 6" xfId="1347" xr:uid="{00000000-0005-0000-0000-00003E1B0000}"/>
    <cellStyle name="Normal 5 4 6 2" xfId="3577" xr:uid="{00000000-0005-0000-0000-00003F1B0000}"/>
    <cellStyle name="Normal 5 4 6 2 2" xfId="7800" xr:uid="{00000000-0005-0000-0000-0000401B0000}"/>
    <cellStyle name="Normal 5 4 6 2 2 2" xfId="16242" xr:uid="{B9DCE826-7F33-40D7-A719-B61B051E4CE9}"/>
    <cellStyle name="Normal 5 4 6 2 2 3" xfId="24679" xr:uid="{2AA1D4B9-921B-4510-A092-7EBAD59A114A}"/>
    <cellStyle name="Normal 5 4 6 2 3" xfId="12024" xr:uid="{32353D7A-4D88-4B21-ABA7-93F036AAE992}"/>
    <cellStyle name="Normal 5 4 6 2 4" xfId="20462" xr:uid="{4D4C9F0B-2D90-4C39-832E-B24C3E70E328}"/>
    <cellStyle name="Normal 5 4 6 3" xfId="5655" xr:uid="{00000000-0005-0000-0000-0000411B0000}"/>
    <cellStyle name="Normal 5 4 6 3 2" xfId="14097" xr:uid="{A7AD47C7-E344-4C04-A31B-6A6F985D829E}"/>
    <cellStyle name="Normal 5 4 6 3 3" xfId="22534" xr:uid="{8542517E-CFA3-4CF9-AB67-80096F809052}"/>
    <cellStyle name="Normal 5 4 6 4" xfId="9879" xr:uid="{3F2F91C0-6296-4DA7-8936-163256CA108F}"/>
    <cellStyle name="Normal 5 4 6 5" xfId="18317" xr:uid="{BBE05B9E-FB91-473F-88C9-D47BB10A5932}"/>
    <cellStyle name="Normal 5 4 7" xfId="1760" xr:uid="{00000000-0005-0000-0000-0000421B0000}"/>
    <cellStyle name="Normal 5 4 7 2" xfId="3990" xr:uid="{00000000-0005-0000-0000-0000431B0000}"/>
    <cellStyle name="Normal 5 4 7 2 2" xfId="8213" xr:uid="{00000000-0005-0000-0000-0000441B0000}"/>
    <cellStyle name="Normal 5 4 7 2 2 2" xfId="16655" xr:uid="{F56BA479-3436-4A68-8826-2EB616D9EEA1}"/>
    <cellStyle name="Normal 5 4 7 2 2 3" xfId="25092" xr:uid="{D1FAE2FE-35A9-44B5-8A60-015FBE3E645E}"/>
    <cellStyle name="Normal 5 4 7 2 3" xfId="12437" xr:uid="{FE0E5812-63FD-4B11-9717-31674F04B737}"/>
    <cellStyle name="Normal 5 4 7 2 4" xfId="20875" xr:uid="{55F705B0-7B0A-42A1-A0A4-372DF24A6D88}"/>
    <cellStyle name="Normal 5 4 7 3" xfId="6068" xr:uid="{00000000-0005-0000-0000-0000451B0000}"/>
    <cellStyle name="Normal 5 4 7 3 2" xfId="14510" xr:uid="{66A88981-D16A-4D72-930A-DA1FE0BB1AFA}"/>
    <cellStyle name="Normal 5 4 7 3 3" xfId="22947" xr:uid="{1569E68C-2712-4764-81FF-242C191F58C3}"/>
    <cellStyle name="Normal 5 4 7 4" xfId="10292" xr:uid="{5E818FBA-6704-4A09-A643-4CB21BC9D81C}"/>
    <cellStyle name="Normal 5 4 7 5" xfId="18730" xr:uid="{6F9D3787-449D-4A28-B2CE-0667B2B8039A}"/>
    <cellStyle name="Normal 5 4 8" xfId="2174" xr:uid="{00000000-0005-0000-0000-0000461B0000}"/>
    <cellStyle name="Normal 5 4 8 2" xfId="4403" xr:uid="{00000000-0005-0000-0000-0000471B0000}"/>
    <cellStyle name="Normal 5 4 8 2 2" xfId="8626" xr:uid="{00000000-0005-0000-0000-0000481B0000}"/>
    <cellStyle name="Normal 5 4 8 2 2 2" xfId="17068" xr:uid="{89FCE66A-D044-445D-A81C-C8B14D636F4D}"/>
    <cellStyle name="Normal 5 4 8 2 2 3" xfId="25505" xr:uid="{12A55B99-5DAE-44CE-A308-E15F836348AE}"/>
    <cellStyle name="Normal 5 4 8 2 3" xfId="12850" xr:uid="{7233C2B0-44FB-4224-BB36-58951273D262}"/>
    <cellStyle name="Normal 5 4 8 2 4" xfId="21288" xr:uid="{6E00B419-316D-4D6E-B98A-BE8516D452DA}"/>
    <cellStyle name="Normal 5 4 8 3" xfId="6481" xr:uid="{00000000-0005-0000-0000-0000491B0000}"/>
    <cellStyle name="Normal 5 4 8 3 2" xfId="14923" xr:uid="{3A1F5DF8-30EE-4526-8044-A15EDEEF8F76}"/>
    <cellStyle name="Normal 5 4 8 3 3" xfId="23360" xr:uid="{DBF34D95-84D9-4710-98EB-DEAD69C9FEC9}"/>
    <cellStyle name="Normal 5 4 8 4" xfId="10705" xr:uid="{CE12B955-6B68-4947-B6A7-1679FBA73EA8}"/>
    <cellStyle name="Normal 5 4 8 5" xfId="19143" xr:uid="{D043CFF0-3A1A-4E33-8162-D1CA9D43F77B}"/>
    <cellStyle name="Normal 5 4 9" xfId="2610" xr:uid="{00000000-0005-0000-0000-00004A1B0000}"/>
    <cellStyle name="Normal 5 4 9 2" xfId="6894" xr:uid="{00000000-0005-0000-0000-00004B1B0000}"/>
    <cellStyle name="Normal 5 4 9 2 2" xfId="15336" xr:uid="{D690CE77-0C65-4F4D-81E8-FBF7CEAA90FC}"/>
    <cellStyle name="Normal 5 4 9 2 3" xfId="23773" xr:uid="{66439AB5-2FC4-494A-98AE-53B1169B7B60}"/>
    <cellStyle name="Normal 5 4 9 3" xfId="11118" xr:uid="{77CF264E-13BB-4434-9964-899EEF5A6507}"/>
    <cellStyle name="Normal 5 4 9 4" xfId="19556" xr:uid="{B63F4806-763A-465D-A3AB-07A75FF9BD6D}"/>
    <cellStyle name="Normal 5 5" xfId="464" xr:uid="{00000000-0005-0000-0000-00004C1B0000}"/>
    <cellStyle name="Normal 5 5 10" xfId="9061" xr:uid="{1D464450-3F43-404F-98F3-D3BC8A6FE46F}"/>
    <cellStyle name="Normal 5 5 11" xfId="17499" xr:uid="{364F95B0-EFB8-4CE3-8D44-16934F7DD1A6}"/>
    <cellStyle name="Normal 5 5 2" xfId="465" xr:uid="{00000000-0005-0000-0000-00004D1B0000}"/>
    <cellStyle name="Normal 5 5 2 10" xfId="17500" xr:uid="{5D17BBDF-F167-457C-BE06-27A2470ACCFC}"/>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E1BE5ADC-A4B8-44AB-984C-A0528F06F45A}"/>
    <cellStyle name="Normal 5 5 2 2 2 2 2 3" xfId="24276" xr:uid="{17C4A288-4028-4924-B64C-D40AEAE8E729}"/>
    <cellStyle name="Normal 5 5 2 2 2 2 3" xfId="11621" xr:uid="{96DCDF7F-2BF7-4779-A47F-ECAB6AE26F1C}"/>
    <cellStyle name="Normal 5 5 2 2 2 2 4" xfId="20059" xr:uid="{444BA480-6BD5-44B1-A413-65D8DD8647C2}"/>
    <cellStyle name="Normal 5 5 2 2 2 3" xfId="5252" xr:uid="{00000000-0005-0000-0000-0000521B0000}"/>
    <cellStyle name="Normal 5 5 2 2 2 3 2" xfId="13694" xr:uid="{77BE7B0B-4CDB-4656-AE5D-C82DCA05ED79}"/>
    <cellStyle name="Normal 5 5 2 2 2 3 3" xfId="22131" xr:uid="{5A774FB3-E4CE-4EC7-B7ED-57B33318DCB4}"/>
    <cellStyle name="Normal 5 5 2 2 2 4" xfId="9476" xr:uid="{A39BB737-2504-4F74-9C0E-F6B1F5E78B6B}"/>
    <cellStyle name="Normal 5 5 2 2 2 5" xfId="17914" xr:uid="{09346A28-6B8E-43F9-9442-83EF0B30A815}"/>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A0B0E2ED-3D62-43DD-9840-D1D0BA334A11}"/>
    <cellStyle name="Normal 5 5 2 2 3 2 2 3" xfId="24689" xr:uid="{7745D762-8D45-41ED-9EC9-23A92732C424}"/>
    <cellStyle name="Normal 5 5 2 2 3 2 3" xfId="12034" xr:uid="{B84A18D5-084E-41C3-8C9A-BFD14633729D}"/>
    <cellStyle name="Normal 5 5 2 2 3 2 4" xfId="20472" xr:uid="{EB8168EB-FB0B-48D1-95A7-79AEFB815E16}"/>
    <cellStyle name="Normal 5 5 2 2 3 3" xfId="5665" xr:uid="{00000000-0005-0000-0000-0000561B0000}"/>
    <cellStyle name="Normal 5 5 2 2 3 3 2" xfId="14107" xr:uid="{AFA73F61-160F-496A-BAC1-47B6CFBB6DA8}"/>
    <cellStyle name="Normal 5 5 2 2 3 3 3" xfId="22544" xr:uid="{737680AA-D152-40BA-B741-4F2C97DB9797}"/>
    <cellStyle name="Normal 5 5 2 2 3 4" xfId="9889" xr:uid="{E813D1FB-28A3-4398-BC58-BC8C6F4469EC}"/>
    <cellStyle name="Normal 5 5 2 2 3 5" xfId="18327" xr:uid="{ABF04325-4C95-46E8-B8FA-519CD73A7F26}"/>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39024E45-7B2B-4A25-9A3C-266BE9FDDED2}"/>
    <cellStyle name="Normal 5 5 2 2 4 2 2 3" xfId="25102" xr:uid="{B800E2EF-59C9-4EBA-B63C-FEC1170A6FE5}"/>
    <cellStyle name="Normal 5 5 2 2 4 2 3" xfId="12447" xr:uid="{EC90ED08-9296-4B3C-ABFB-0958CDD29827}"/>
    <cellStyle name="Normal 5 5 2 2 4 2 4" xfId="20885" xr:uid="{864D95F5-B0F8-4BA4-BAE1-B4F5C98A05A9}"/>
    <cellStyle name="Normal 5 5 2 2 4 3" xfId="6078" xr:uid="{00000000-0005-0000-0000-00005A1B0000}"/>
    <cellStyle name="Normal 5 5 2 2 4 3 2" xfId="14520" xr:uid="{2939B708-1D8D-4910-9B21-58C6481D28F8}"/>
    <cellStyle name="Normal 5 5 2 2 4 3 3" xfId="22957" xr:uid="{DEA2D091-B40D-4F73-B732-A07F78CBBA6B}"/>
    <cellStyle name="Normal 5 5 2 2 4 4" xfId="10302" xr:uid="{73CA7D17-D3AF-43AD-9E7B-5D4F7E55F94D}"/>
    <cellStyle name="Normal 5 5 2 2 4 5" xfId="18740" xr:uid="{DDE27A50-0849-410C-A4D3-64C3AF12E6DC}"/>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A34CBBF6-7C54-4BDF-9DEB-522DEC8D2060}"/>
    <cellStyle name="Normal 5 5 2 2 5 2 2 3" xfId="25515" xr:uid="{F7BEDC6F-4CDA-4356-BA75-1D5E29576E7D}"/>
    <cellStyle name="Normal 5 5 2 2 5 2 3" xfId="12860" xr:uid="{DDB1B5D3-A71E-4E7D-96F9-761974308806}"/>
    <cellStyle name="Normal 5 5 2 2 5 2 4" xfId="21298" xr:uid="{343C8DFB-C8F2-41C3-B863-9C550CDDCF5E}"/>
    <cellStyle name="Normal 5 5 2 2 5 3" xfId="6491" xr:uid="{00000000-0005-0000-0000-00005E1B0000}"/>
    <cellStyle name="Normal 5 5 2 2 5 3 2" xfId="14933" xr:uid="{3B387494-555B-4A44-92B6-9F43CB787C5A}"/>
    <cellStyle name="Normal 5 5 2 2 5 3 3" xfId="23370" xr:uid="{814FF830-F1EC-4820-A66C-4A0279A98C73}"/>
    <cellStyle name="Normal 5 5 2 2 5 4" xfId="10715" xr:uid="{6811CD63-14E2-48A4-B07B-53554D993E29}"/>
    <cellStyle name="Normal 5 5 2 2 5 5" xfId="19153" xr:uid="{ADDE3E31-4A44-4215-9918-54586DD044A9}"/>
    <cellStyle name="Normal 5 5 2 2 6" xfId="2620" xr:uid="{00000000-0005-0000-0000-00005F1B0000}"/>
    <cellStyle name="Normal 5 5 2 2 6 2" xfId="6904" xr:uid="{00000000-0005-0000-0000-0000601B0000}"/>
    <cellStyle name="Normal 5 5 2 2 6 2 2" xfId="15346" xr:uid="{570E73F1-E600-42A6-8CA8-D9FC4C02E3D3}"/>
    <cellStyle name="Normal 5 5 2 2 6 2 3" xfId="23783" xr:uid="{C5FDE291-3C69-4493-9FC8-2C82ACB609F1}"/>
    <cellStyle name="Normal 5 5 2 2 6 3" xfId="11128" xr:uid="{29D26BFD-FC24-4FA0-8DE4-908799AEFC1E}"/>
    <cellStyle name="Normal 5 5 2 2 6 4" xfId="19566" xr:uid="{FB25A54E-073F-4F67-BF9F-A95C0C36CB22}"/>
    <cellStyle name="Normal 5 5 2 2 7" xfId="4839" xr:uid="{00000000-0005-0000-0000-0000611B0000}"/>
    <cellStyle name="Normal 5 5 2 2 7 2" xfId="13281" xr:uid="{DB2DA551-8EAF-4D21-8A95-7FEE5023ED36}"/>
    <cellStyle name="Normal 5 5 2 2 7 3" xfId="21718" xr:uid="{A8806E88-9242-4633-AF20-7DA4C0A196A5}"/>
    <cellStyle name="Normal 5 5 2 2 8" xfId="9063" xr:uid="{95E830CC-EDDC-46E5-B626-66009AA1384E}"/>
    <cellStyle name="Normal 5 5 2 2 9" xfId="17501" xr:uid="{55CF7639-AE2A-4ED9-A796-C399EDDC3F04}"/>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CE2B208C-4537-4B1F-96CA-47C8F3E6AA42}"/>
    <cellStyle name="Normal 5 5 2 3 2 2 3" xfId="24275" xr:uid="{48120153-2664-45A5-A6F7-47E157A88FAA}"/>
    <cellStyle name="Normal 5 5 2 3 2 3" xfId="11620" xr:uid="{ADB900BE-8AF7-40C8-A7D0-082A9CBB83AD}"/>
    <cellStyle name="Normal 5 5 2 3 2 4" xfId="20058" xr:uid="{2B7E2EB0-8B62-4B2A-929D-DCCA5E633C99}"/>
    <cellStyle name="Normal 5 5 2 3 3" xfId="5251" xr:uid="{00000000-0005-0000-0000-0000651B0000}"/>
    <cellStyle name="Normal 5 5 2 3 3 2" xfId="13693" xr:uid="{17EB8210-53E0-4525-B8A9-A9D55743E81F}"/>
    <cellStyle name="Normal 5 5 2 3 3 3" xfId="22130" xr:uid="{B648E49B-3B2B-461B-AA64-58025454F028}"/>
    <cellStyle name="Normal 5 5 2 3 4" xfId="9475" xr:uid="{958F9C78-7384-42F4-9195-6B46C8B52281}"/>
    <cellStyle name="Normal 5 5 2 3 5" xfId="17913" xr:uid="{DABAAB54-7858-4DCB-BD13-4FE53326816C}"/>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0F9E715B-A76D-421B-80B2-7B0D47C40F61}"/>
    <cellStyle name="Normal 5 5 2 4 2 2 3" xfId="24688" xr:uid="{01E1AF5D-116F-422A-95D4-E9E03237D6C6}"/>
    <cellStyle name="Normal 5 5 2 4 2 3" xfId="12033" xr:uid="{44D8F166-7915-4E2B-A3C1-5AE16CB58E3B}"/>
    <cellStyle name="Normal 5 5 2 4 2 4" xfId="20471" xr:uid="{7CC866A6-54D5-4647-9578-1867F4F700C6}"/>
    <cellStyle name="Normal 5 5 2 4 3" xfId="5664" xr:uid="{00000000-0005-0000-0000-0000691B0000}"/>
    <cellStyle name="Normal 5 5 2 4 3 2" xfId="14106" xr:uid="{B2B73404-00A3-4A8C-89EE-1AA347F7AA81}"/>
    <cellStyle name="Normal 5 5 2 4 3 3" xfId="22543" xr:uid="{6BFBD64A-3963-4E51-A32B-6C57BA167723}"/>
    <cellStyle name="Normal 5 5 2 4 4" xfId="9888" xr:uid="{6E9C1B18-24B7-47F7-8FD8-7F233C770FC2}"/>
    <cellStyle name="Normal 5 5 2 4 5" xfId="18326" xr:uid="{04D985D8-652B-461B-A0B9-055115EB0A53}"/>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B4F4B2A5-459D-4E3C-AA8D-BC0461CD9037}"/>
    <cellStyle name="Normal 5 5 2 5 2 2 3" xfId="25101" xr:uid="{1DCA7397-B808-4D59-9596-6BCA69BF47CE}"/>
    <cellStyle name="Normal 5 5 2 5 2 3" xfId="12446" xr:uid="{7853E108-6044-4A76-A74D-07C67A01B24A}"/>
    <cellStyle name="Normal 5 5 2 5 2 4" xfId="20884" xr:uid="{D5528084-59E8-40A6-93F9-E88205896DDF}"/>
    <cellStyle name="Normal 5 5 2 5 3" xfId="6077" xr:uid="{00000000-0005-0000-0000-00006D1B0000}"/>
    <cellStyle name="Normal 5 5 2 5 3 2" xfId="14519" xr:uid="{601C2172-EEA7-4895-8258-4CAE3324756C}"/>
    <cellStyle name="Normal 5 5 2 5 3 3" xfId="22956" xr:uid="{E19430F1-0946-41EF-BD4E-B3DAE7DB9E08}"/>
    <cellStyle name="Normal 5 5 2 5 4" xfId="10301" xr:uid="{0004C471-B08A-4675-A0DA-570208D52A82}"/>
    <cellStyle name="Normal 5 5 2 5 5" xfId="18739" xr:uid="{5C214A42-37D8-4CE7-8ABC-95579B948DB1}"/>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4D486934-6CA7-4DC9-AFEE-F7D8AB7D83E1}"/>
    <cellStyle name="Normal 5 5 2 6 2 2 3" xfId="25514" xr:uid="{B9AA5E2B-AF22-4045-9AB6-3297B54EB250}"/>
    <cellStyle name="Normal 5 5 2 6 2 3" xfId="12859" xr:uid="{8CFFBAAD-8701-4D48-9207-3EB5FDD9D6AE}"/>
    <cellStyle name="Normal 5 5 2 6 2 4" xfId="21297" xr:uid="{C4310747-E8DF-474A-A36E-E51E930546ED}"/>
    <cellStyle name="Normal 5 5 2 6 3" xfId="6490" xr:uid="{00000000-0005-0000-0000-0000711B0000}"/>
    <cellStyle name="Normal 5 5 2 6 3 2" xfId="14932" xr:uid="{29FF5896-3879-4893-9B71-792923F1E3BD}"/>
    <cellStyle name="Normal 5 5 2 6 3 3" xfId="23369" xr:uid="{B796F207-E1BB-4808-81DD-D8B9C5F66C85}"/>
    <cellStyle name="Normal 5 5 2 6 4" xfId="10714" xr:uid="{5342E2B0-F1A6-4891-81DE-81B9E2F6C613}"/>
    <cellStyle name="Normal 5 5 2 6 5" xfId="19152" xr:uid="{0674D0BD-158B-4DC2-B34A-A71FBC45FCA1}"/>
    <cellStyle name="Normal 5 5 2 7" xfId="2619" xr:uid="{00000000-0005-0000-0000-0000721B0000}"/>
    <cellStyle name="Normal 5 5 2 7 2" xfId="6903" xr:uid="{00000000-0005-0000-0000-0000731B0000}"/>
    <cellStyle name="Normal 5 5 2 7 2 2" xfId="15345" xr:uid="{11EFBE82-087B-4AD2-8F0D-76915AB714F6}"/>
    <cellStyle name="Normal 5 5 2 7 2 3" xfId="23782" xr:uid="{AA7BFC21-630B-4F18-AB17-D065FCF2CC7E}"/>
    <cellStyle name="Normal 5 5 2 7 3" xfId="11127" xr:uid="{17D93E51-C9C4-4F7E-8E89-74A414078758}"/>
    <cellStyle name="Normal 5 5 2 7 4" xfId="19565" xr:uid="{E749A9C8-4B8C-4322-9AB1-A31787E0F283}"/>
    <cellStyle name="Normal 5 5 2 8" xfId="4838" xr:uid="{00000000-0005-0000-0000-0000741B0000}"/>
    <cellStyle name="Normal 5 5 2 8 2" xfId="13280" xr:uid="{92593D87-66C6-4A58-B242-83A2411CCE36}"/>
    <cellStyle name="Normal 5 5 2 8 3" xfId="21717" xr:uid="{395F31FA-5CDC-45D6-BC9B-C357826B5FB8}"/>
    <cellStyle name="Normal 5 5 2 9" xfId="9062" xr:uid="{56D92190-FF8C-48F3-AF33-F685B64D9466}"/>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E2B5920C-F117-48B3-8906-D0DA6BA364C9}"/>
    <cellStyle name="Normal 5 5 3 2 2 2 3" xfId="24277" xr:uid="{2F356DEE-C0F6-4AB0-82BC-555EBB6D8811}"/>
    <cellStyle name="Normal 5 5 3 2 2 3" xfId="11622" xr:uid="{35CAFF24-CA55-47BB-9E77-B989DE707EC8}"/>
    <cellStyle name="Normal 5 5 3 2 2 4" xfId="20060" xr:uid="{53B3ED04-F16A-427D-9C30-2B3D243D48E3}"/>
    <cellStyle name="Normal 5 5 3 2 3" xfId="5253" xr:uid="{00000000-0005-0000-0000-0000791B0000}"/>
    <cellStyle name="Normal 5 5 3 2 3 2" xfId="13695" xr:uid="{66A81A6D-5026-48DD-8DED-5052B782AA6D}"/>
    <cellStyle name="Normal 5 5 3 2 3 3" xfId="22132" xr:uid="{B6F09695-A34B-4767-A560-B76799F8C6E6}"/>
    <cellStyle name="Normal 5 5 3 2 4" xfId="9477" xr:uid="{5CDBBC0E-AD54-4413-836B-C8C6C9E826E5}"/>
    <cellStyle name="Normal 5 5 3 2 5" xfId="17915" xr:uid="{AA68CA51-E9EC-426A-A770-63DF525A3BF6}"/>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AA0DF335-95F4-40C0-AD3E-357D00D6910D}"/>
    <cellStyle name="Normal 5 5 3 3 2 2 3" xfId="24690" xr:uid="{B5064101-AD01-4D32-A9F2-A2B74547D4FD}"/>
    <cellStyle name="Normal 5 5 3 3 2 3" xfId="12035" xr:uid="{CD0CA562-9FC9-4605-BA33-3F3DCF56FEEE}"/>
    <cellStyle name="Normal 5 5 3 3 2 4" xfId="20473" xr:uid="{95E88C0B-2558-4D05-945C-0451D5C74064}"/>
    <cellStyle name="Normal 5 5 3 3 3" xfId="5666" xr:uid="{00000000-0005-0000-0000-00007D1B0000}"/>
    <cellStyle name="Normal 5 5 3 3 3 2" xfId="14108" xr:uid="{631BBFDF-48E6-450C-BEBD-628EA6E9ED44}"/>
    <cellStyle name="Normal 5 5 3 3 3 3" xfId="22545" xr:uid="{60E10E00-5EBF-4B11-9A52-C171FA4EB4AA}"/>
    <cellStyle name="Normal 5 5 3 3 4" xfId="9890" xr:uid="{2A993854-78A4-4247-9540-69947550A8EC}"/>
    <cellStyle name="Normal 5 5 3 3 5" xfId="18328" xr:uid="{7EC1F75B-2725-48B6-8562-D3C83F9A2570}"/>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8308ED47-EF8E-41D7-B5AB-1F84DE6F6C8E}"/>
    <cellStyle name="Normal 5 5 3 4 2 2 3" xfId="25103" xr:uid="{DF48013F-CD80-41DC-90D6-1BEAD9262245}"/>
    <cellStyle name="Normal 5 5 3 4 2 3" xfId="12448" xr:uid="{B0A014D2-561C-4D34-9A6F-89EDE2C0A36A}"/>
    <cellStyle name="Normal 5 5 3 4 2 4" xfId="20886" xr:uid="{476BC347-7416-45B1-A5FD-EF6B1CEFD6D6}"/>
    <cellStyle name="Normal 5 5 3 4 3" xfId="6079" xr:uid="{00000000-0005-0000-0000-0000811B0000}"/>
    <cellStyle name="Normal 5 5 3 4 3 2" xfId="14521" xr:uid="{C94CFDD0-B1A9-41E1-A2F9-00F0051B2A26}"/>
    <cellStyle name="Normal 5 5 3 4 3 3" xfId="22958" xr:uid="{43C770BA-02A8-4B6D-B8EA-832963715B3E}"/>
    <cellStyle name="Normal 5 5 3 4 4" xfId="10303" xr:uid="{1C16070B-684E-4B01-AFFF-70E47D323C9B}"/>
    <cellStyle name="Normal 5 5 3 4 5" xfId="18741" xr:uid="{C7490806-8E97-489E-B434-D4D3429325AC}"/>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CAC0AAB4-AAAE-47D3-B4FF-F5AF25374DC7}"/>
    <cellStyle name="Normal 5 5 3 5 2 2 3" xfId="25516" xr:uid="{97D3673D-9B09-44F0-BB39-AD918E91E86C}"/>
    <cellStyle name="Normal 5 5 3 5 2 3" xfId="12861" xr:uid="{47C1CF0F-FBF7-42A6-9F0B-857D0F5688D5}"/>
    <cellStyle name="Normal 5 5 3 5 2 4" xfId="21299" xr:uid="{C2964496-DA4F-462B-83ED-3408DE6BAF10}"/>
    <cellStyle name="Normal 5 5 3 5 3" xfId="6492" xr:uid="{00000000-0005-0000-0000-0000851B0000}"/>
    <cellStyle name="Normal 5 5 3 5 3 2" xfId="14934" xr:uid="{D5481EB4-9CF8-4397-ACDE-395CB83460EC}"/>
    <cellStyle name="Normal 5 5 3 5 3 3" xfId="23371" xr:uid="{14478011-1EE5-4588-A497-1C3564340CBE}"/>
    <cellStyle name="Normal 5 5 3 5 4" xfId="10716" xr:uid="{7227FEF9-1E8C-4FB5-9D89-4E4E5870AABB}"/>
    <cellStyle name="Normal 5 5 3 5 5" xfId="19154" xr:uid="{B6B0D00D-927F-4197-8756-3BF08AFB1175}"/>
    <cellStyle name="Normal 5 5 3 6" xfId="2621" xr:uid="{00000000-0005-0000-0000-0000861B0000}"/>
    <cellStyle name="Normal 5 5 3 6 2" xfId="6905" xr:uid="{00000000-0005-0000-0000-0000871B0000}"/>
    <cellStyle name="Normal 5 5 3 6 2 2" xfId="15347" xr:uid="{BF9A42C9-55EA-4627-93D5-7CF4F7F955CB}"/>
    <cellStyle name="Normal 5 5 3 6 2 3" xfId="23784" xr:uid="{37F66C78-BF15-453C-BF1E-1EF2DE16D337}"/>
    <cellStyle name="Normal 5 5 3 6 3" xfId="11129" xr:uid="{3A240CBD-EFEB-464A-BEFB-7071FAE9713E}"/>
    <cellStyle name="Normal 5 5 3 6 4" xfId="19567" xr:uid="{9C4F6AB5-DEC6-474E-AC06-03BC0CCE75AE}"/>
    <cellStyle name="Normal 5 5 3 7" xfId="4840" xr:uid="{00000000-0005-0000-0000-0000881B0000}"/>
    <cellStyle name="Normal 5 5 3 7 2" xfId="13282" xr:uid="{BB950E99-000F-4A63-BA09-CBD742005C7A}"/>
    <cellStyle name="Normal 5 5 3 7 3" xfId="21719" xr:uid="{16F4CFAA-3F36-49D2-8954-26FE9F069752}"/>
    <cellStyle name="Normal 5 5 3 8" xfId="9064" xr:uid="{552ECB20-A534-4A6B-89B0-F919320E34A0}"/>
    <cellStyle name="Normal 5 5 3 9" xfId="17502" xr:uid="{442AA8D5-3630-4DD0-BAA7-1F2CCB09242D}"/>
    <cellStyle name="Normal 5 5 4" xfId="938" xr:uid="{00000000-0005-0000-0000-0000891B0000}"/>
    <cellStyle name="Normal 5 5 4 2" xfId="3172" xr:uid="{00000000-0005-0000-0000-00008A1B0000}"/>
    <cellStyle name="Normal 5 5 4 2 2" xfId="7395" xr:uid="{00000000-0005-0000-0000-00008B1B0000}"/>
    <cellStyle name="Normal 5 5 4 2 2 2" xfId="15837" xr:uid="{03AEC238-0193-4ABE-A4B5-DAF924FE07CE}"/>
    <cellStyle name="Normal 5 5 4 2 2 3" xfId="24274" xr:uid="{621E3554-89C0-4838-A6E6-0A97BE535182}"/>
    <cellStyle name="Normal 5 5 4 2 3" xfId="11619" xr:uid="{331E9D5C-BA73-4F3B-9E68-E0D2B1FFE747}"/>
    <cellStyle name="Normal 5 5 4 2 4" xfId="20057" xr:uid="{9A37E77C-A2EE-4F8B-BB0A-917E189D8900}"/>
    <cellStyle name="Normal 5 5 4 3" xfId="5250" xr:uid="{00000000-0005-0000-0000-00008C1B0000}"/>
    <cellStyle name="Normal 5 5 4 3 2" xfId="13692" xr:uid="{AB037051-D52D-4F0F-AE50-C78B616AD91D}"/>
    <cellStyle name="Normal 5 5 4 3 3" xfId="22129" xr:uid="{1B8FF95E-110F-430D-9D57-CB8361CFB95B}"/>
    <cellStyle name="Normal 5 5 4 4" xfId="9474" xr:uid="{17345F65-DBAD-490A-B307-E3575DC2CC40}"/>
    <cellStyle name="Normal 5 5 4 5" xfId="17912" xr:uid="{4D827563-ED5A-4481-ACB6-8FB03260F1D5}"/>
    <cellStyle name="Normal 5 5 5" xfId="1355" xr:uid="{00000000-0005-0000-0000-00008D1B0000}"/>
    <cellStyle name="Normal 5 5 5 2" xfId="3585" xr:uid="{00000000-0005-0000-0000-00008E1B0000}"/>
    <cellStyle name="Normal 5 5 5 2 2" xfId="7808" xr:uid="{00000000-0005-0000-0000-00008F1B0000}"/>
    <cellStyle name="Normal 5 5 5 2 2 2" xfId="16250" xr:uid="{52F75230-318B-4F89-ABC9-C4C8F6DC40D3}"/>
    <cellStyle name="Normal 5 5 5 2 2 3" xfId="24687" xr:uid="{61B27538-EFD0-4487-B0F3-07D6F9C75E59}"/>
    <cellStyle name="Normal 5 5 5 2 3" xfId="12032" xr:uid="{C08DA7C9-2DBA-4067-91E9-E633C92563B3}"/>
    <cellStyle name="Normal 5 5 5 2 4" xfId="20470" xr:uid="{4DDE8DC5-8D2C-4309-85B4-DD69D826D90D}"/>
    <cellStyle name="Normal 5 5 5 3" xfId="5663" xr:uid="{00000000-0005-0000-0000-0000901B0000}"/>
    <cellStyle name="Normal 5 5 5 3 2" xfId="14105" xr:uid="{80258F14-0B6F-4E6C-99F8-04C106667A84}"/>
    <cellStyle name="Normal 5 5 5 3 3" xfId="22542" xr:uid="{DC59FC8A-DB24-4843-BD4B-C3C8035C0F2D}"/>
    <cellStyle name="Normal 5 5 5 4" xfId="9887" xr:uid="{0183ADF0-2F22-4E6C-BF22-58038EE5C6C2}"/>
    <cellStyle name="Normal 5 5 5 5" xfId="18325" xr:uid="{E878C787-BE37-417F-8CC5-24D4199682FE}"/>
    <cellStyle name="Normal 5 5 6" xfId="1768" xr:uid="{00000000-0005-0000-0000-0000911B0000}"/>
    <cellStyle name="Normal 5 5 6 2" xfId="3998" xr:uid="{00000000-0005-0000-0000-0000921B0000}"/>
    <cellStyle name="Normal 5 5 6 2 2" xfId="8221" xr:uid="{00000000-0005-0000-0000-0000931B0000}"/>
    <cellStyle name="Normal 5 5 6 2 2 2" xfId="16663" xr:uid="{6A7FC165-40F2-43E6-9F22-36165C1A189F}"/>
    <cellStyle name="Normal 5 5 6 2 2 3" xfId="25100" xr:uid="{83044C51-196A-4952-889A-D804DC2BEBFC}"/>
    <cellStyle name="Normal 5 5 6 2 3" xfId="12445" xr:uid="{EB8246DF-53C4-4C4E-B268-EC34A267433E}"/>
    <cellStyle name="Normal 5 5 6 2 4" xfId="20883" xr:uid="{CB8EC61E-F8D0-4EF4-A09C-64E3FE7F565D}"/>
    <cellStyle name="Normal 5 5 6 3" xfId="6076" xr:uid="{00000000-0005-0000-0000-0000941B0000}"/>
    <cellStyle name="Normal 5 5 6 3 2" xfId="14518" xr:uid="{5092FA70-2F8A-4931-86D1-FF1818294107}"/>
    <cellStyle name="Normal 5 5 6 3 3" xfId="22955" xr:uid="{65E6B568-E3C7-47BB-A9D2-1562BA94B96C}"/>
    <cellStyle name="Normal 5 5 6 4" xfId="10300" xr:uid="{F69EE5C3-5A17-41ED-93FF-48EC76105091}"/>
    <cellStyle name="Normal 5 5 6 5" xfId="18738" xr:uid="{2DAAF496-513B-4D67-8E21-EBBE0AF6D9B8}"/>
    <cellStyle name="Normal 5 5 7" xfId="2182" xr:uid="{00000000-0005-0000-0000-0000951B0000}"/>
    <cellStyle name="Normal 5 5 7 2" xfId="4411" xr:uid="{00000000-0005-0000-0000-0000961B0000}"/>
    <cellStyle name="Normal 5 5 7 2 2" xfId="8634" xr:uid="{00000000-0005-0000-0000-0000971B0000}"/>
    <cellStyle name="Normal 5 5 7 2 2 2" xfId="17076" xr:uid="{34E86688-D338-4954-9AFC-AEE00F2B97C9}"/>
    <cellStyle name="Normal 5 5 7 2 2 3" xfId="25513" xr:uid="{65A1108E-B48F-42D2-B7C6-4BE180F8E178}"/>
    <cellStyle name="Normal 5 5 7 2 3" xfId="12858" xr:uid="{4CB9BF17-F0E9-483E-8980-A61D92DF740D}"/>
    <cellStyle name="Normal 5 5 7 2 4" xfId="21296" xr:uid="{D6E8A8AD-3D93-4BA2-9389-70BA7D2700C7}"/>
    <cellStyle name="Normal 5 5 7 3" xfId="6489" xr:uid="{00000000-0005-0000-0000-0000981B0000}"/>
    <cellStyle name="Normal 5 5 7 3 2" xfId="14931" xr:uid="{FDFDC14A-C511-411B-B969-6010E339C1CD}"/>
    <cellStyle name="Normal 5 5 7 3 3" xfId="23368" xr:uid="{D615E71C-BFD9-4AE4-9F06-1DD06D565976}"/>
    <cellStyle name="Normal 5 5 7 4" xfId="10713" xr:uid="{40F1DA7C-50BE-48A8-A4D4-D73160B0F6D4}"/>
    <cellStyle name="Normal 5 5 7 5" xfId="19151" xr:uid="{D07E08F1-CF69-479A-BCEF-F42F184E9BFA}"/>
    <cellStyle name="Normal 5 5 8" xfId="2618" xr:uid="{00000000-0005-0000-0000-0000991B0000}"/>
    <cellStyle name="Normal 5 5 8 2" xfId="6902" xr:uid="{00000000-0005-0000-0000-00009A1B0000}"/>
    <cellStyle name="Normal 5 5 8 2 2" xfId="15344" xr:uid="{F8A28AA5-BF59-42B1-8FAF-5886487BE490}"/>
    <cellStyle name="Normal 5 5 8 2 3" xfId="23781" xr:uid="{74E12C58-629A-4E1A-8B74-31A966F78D18}"/>
    <cellStyle name="Normal 5 5 8 3" xfId="11126" xr:uid="{543AEA98-99D2-4A69-8FBF-35734664AA15}"/>
    <cellStyle name="Normal 5 5 8 4" xfId="19564" xr:uid="{6B52460D-8B97-4292-B37C-DDD48E0AD011}"/>
    <cellStyle name="Normal 5 5 9" xfId="4837" xr:uid="{00000000-0005-0000-0000-00009B1B0000}"/>
    <cellStyle name="Normal 5 5 9 2" xfId="13279" xr:uid="{ECB2B9ED-7E91-4089-9178-8E6495F57367}"/>
    <cellStyle name="Normal 5 5 9 3" xfId="21716" xr:uid="{773688C1-6A18-4605-B9C7-54CDCDB46557}"/>
    <cellStyle name="Normal 5 6" xfId="468" xr:uid="{00000000-0005-0000-0000-00009C1B0000}"/>
    <cellStyle name="Normal 5 6 10" xfId="17503" xr:uid="{4E2A65FB-FEFA-4646-9C7B-3CD0F974239E}"/>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2E43A248-00F6-40FF-A3D7-6EBEBDD6C44B}"/>
    <cellStyle name="Normal 5 6 2 2 2 2 3" xfId="24279" xr:uid="{9DDE1797-8703-4608-BD7B-2B2FF23B4C9E}"/>
    <cellStyle name="Normal 5 6 2 2 2 3" xfId="11624" xr:uid="{52914444-3594-49E3-AE45-6BEB73A7ECD1}"/>
    <cellStyle name="Normal 5 6 2 2 2 4" xfId="20062" xr:uid="{84958C74-0C96-4F1E-9BE6-B7AF27A35021}"/>
    <cellStyle name="Normal 5 6 2 2 3" xfId="5255" xr:uid="{00000000-0005-0000-0000-0000A11B0000}"/>
    <cellStyle name="Normal 5 6 2 2 3 2" xfId="13697" xr:uid="{BDB446DB-82E6-48B4-95FD-494DF9C2E107}"/>
    <cellStyle name="Normal 5 6 2 2 3 3" xfId="22134" xr:uid="{9EC945FA-CA38-4E48-8EDB-298462858901}"/>
    <cellStyle name="Normal 5 6 2 2 4" xfId="9479" xr:uid="{D8E1A77B-E8C3-4DBD-B1C2-86CCC53FD8E5}"/>
    <cellStyle name="Normal 5 6 2 2 5" xfId="17917" xr:uid="{8E592ED5-B051-4330-A4E9-3D5A304EFD18}"/>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570424AB-D5C4-4D0A-8C80-8C8FD6FF7597}"/>
    <cellStyle name="Normal 5 6 2 3 2 2 3" xfId="24692" xr:uid="{E5B41CFE-DB23-4E31-8F2D-1A996CAF95E4}"/>
    <cellStyle name="Normal 5 6 2 3 2 3" xfId="12037" xr:uid="{243C3940-6659-45D9-9CD5-99B98E9FE93F}"/>
    <cellStyle name="Normal 5 6 2 3 2 4" xfId="20475" xr:uid="{1D250484-2C5D-4469-AD23-244062F2BDEF}"/>
    <cellStyle name="Normal 5 6 2 3 3" xfId="5668" xr:uid="{00000000-0005-0000-0000-0000A51B0000}"/>
    <cellStyle name="Normal 5 6 2 3 3 2" xfId="14110" xr:uid="{AE7D7F6C-221F-45A3-8FC8-AF36DDBCBA63}"/>
    <cellStyle name="Normal 5 6 2 3 3 3" xfId="22547" xr:uid="{5980CE60-7CF4-433C-8EAD-4073F4F0DE84}"/>
    <cellStyle name="Normal 5 6 2 3 4" xfId="9892" xr:uid="{D84E4886-543B-439C-A237-D4B5F89D56BF}"/>
    <cellStyle name="Normal 5 6 2 3 5" xfId="18330" xr:uid="{AD583130-AF05-4391-A8C4-A870145F135B}"/>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86EE06B7-F739-4BB0-9BB1-4B546E8AAC02}"/>
    <cellStyle name="Normal 5 6 2 4 2 2 3" xfId="25105" xr:uid="{B0C7DE3A-4828-48D8-A5AA-2EDA5523F7D1}"/>
    <cellStyle name="Normal 5 6 2 4 2 3" xfId="12450" xr:uid="{D7BBCFA7-FDC9-4D1E-8A66-ACA2E984C3BC}"/>
    <cellStyle name="Normal 5 6 2 4 2 4" xfId="20888" xr:uid="{7AC9B942-04E7-4A2E-840A-08BFB710E449}"/>
    <cellStyle name="Normal 5 6 2 4 3" xfId="6081" xr:uid="{00000000-0005-0000-0000-0000A91B0000}"/>
    <cellStyle name="Normal 5 6 2 4 3 2" xfId="14523" xr:uid="{063A5FE4-FBBF-466E-A768-87D2318B1B20}"/>
    <cellStyle name="Normal 5 6 2 4 3 3" xfId="22960" xr:uid="{CA44A214-EBF0-4ED7-BEB5-7EECDB03FB30}"/>
    <cellStyle name="Normal 5 6 2 4 4" xfId="10305" xr:uid="{01580565-A2E1-44D2-9E56-A39CF316A8B7}"/>
    <cellStyle name="Normal 5 6 2 4 5" xfId="18743" xr:uid="{D8B05C98-BC68-45C9-AAFF-B60B8D27F8B0}"/>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466AF1B1-CED8-4D7C-B613-3244CBD5A16B}"/>
    <cellStyle name="Normal 5 6 2 5 2 2 3" xfId="25518" xr:uid="{ADBADAF4-7CDC-46EA-8C94-A95746C7D738}"/>
    <cellStyle name="Normal 5 6 2 5 2 3" xfId="12863" xr:uid="{5742DBC1-24E9-4A12-BFAC-A13C9ED0B6E7}"/>
    <cellStyle name="Normal 5 6 2 5 2 4" xfId="21301" xr:uid="{8BDC7221-F32E-497D-AD8D-8C675B2A9039}"/>
    <cellStyle name="Normal 5 6 2 5 3" xfId="6494" xr:uid="{00000000-0005-0000-0000-0000AD1B0000}"/>
    <cellStyle name="Normal 5 6 2 5 3 2" xfId="14936" xr:uid="{CA0F65A5-9EF8-45F6-A70B-E2EF9C005318}"/>
    <cellStyle name="Normal 5 6 2 5 3 3" xfId="23373" xr:uid="{1DB33374-81F3-40AE-A8F7-F8157105B677}"/>
    <cellStyle name="Normal 5 6 2 5 4" xfId="10718" xr:uid="{ABAC76A3-EFCF-4E0D-9475-9DC84CCDECB4}"/>
    <cellStyle name="Normal 5 6 2 5 5" xfId="19156" xr:uid="{C0FDF1B9-8970-43FC-97F8-3AA05BF6CDED}"/>
    <cellStyle name="Normal 5 6 2 6" xfId="2623" xr:uid="{00000000-0005-0000-0000-0000AE1B0000}"/>
    <cellStyle name="Normal 5 6 2 6 2" xfId="6907" xr:uid="{00000000-0005-0000-0000-0000AF1B0000}"/>
    <cellStyle name="Normal 5 6 2 6 2 2" xfId="15349" xr:uid="{CA8EC654-95A3-4394-AC5F-FD11B00F0453}"/>
    <cellStyle name="Normal 5 6 2 6 2 3" xfId="23786" xr:uid="{ABFC9127-5F63-4DA9-B96E-350600EE1719}"/>
    <cellStyle name="Normal 5 6 2 6 3" xfId="11131" xr:uid="{E7A10674-F48A-415D-BEBD-C7D8B9ED599B}"/>
    <cellStyle name="Normal 5 6 2 6 4" xfId="19569" xr:uid="{87EC4B41-3A0F-4A09-8FAB-1B2D799B596D}"/>
    <cellStyle name="Normal 5 6 2 7" xfId="4842" xr:uid="{00000000-0005-0000-0000-0000B01B0000}"/>
    <cellStyle name="Normal 5 6 2 7 2" xfId="13284" xr:uid="{4F2FA39F-8C46-4B17-8996-D80E212A6F75}"/>
    <cellStyle name="Normal 5 6 2 7 3" xfId="21721" xr:uid="{5EF19805-D881-41F1-BA60-674438BD4E03}"/>
    <cellStyle name="Normal 5 6 2 8" xfId="9066" xr:uid="{5633E5AF-017F-4779-A837-0139446780A7}"/>
    <cellStyle name="Normal 5 6 2 9" xfId="17504" xr:uid="{43791E56-5AFA-4EDB-834A-1AC0B0C7CC7F}"/>
    <cellStyle name="Normal 5 6 3" xfId="942" xr:uid="{00000000-0005-0000-0000-0000B11B0000}"/>
    <cellStyle name="Normal 5 6 3 2" xfId="3176" xr:uid="{00000000-0005-0000-0000-0000B21B0000}"/>
    <cellStyle name="Normal 5 6 3 2 2" xfId="7399" xr:uid="{00000000-0005-0000-0000-0000B31B0000}"/>
    <cellStyle name="Normal 5 6 3 2 2 2" xfId="15841" xr:uid="{129F0391-1CCF-4E8A-9E14-7788D983E59C}"/>
    <cellStyle name="Normal 5 6 3 2 2 3" xfId="24278" xr:uid="{C09BDD32-4F40-4F69-A22C-340BC1D7DD68}"/>
    <cellStyle name="Normal 5 6 3 2 3" xfId="11623" xr:uid="{6EB91CCC-6302-4440-82C0-99AE2FC28914}"/>
    <cellStyle name="Normal 5 6 3 2 4" xfId="20061" xr:uid="{E5AB83C9-F980-4343-8D4E-9E2A072374A1}"/>
    <cellStyle name="Normal 5 6 3 3" xfId="5254" xr:uid="{00000000-0005-0000-0000-0000B41B0000}"/>
    <cellStyle name="Normal 5 6 3 3 2" xfId="13696" xr:uid="{45FBF009-452E-464D-AB7A-2D1857B90FE7}"/>
    <cellStyle name="Normal 5 6 3 3 3" xfId="22133" xr:uid="{1A52383B-B13D-4BB1-A75F-D804F594E3BF}"/>
    <cellStyle name="Normal 5 6 3 4" xfId="9478" xr:uid="{F642FBF9-2532-49A4-A265-24C4325F6BB5}"/>
    <cellStyle name="Normal 5 6 3 5" xfId="17916" xr:uid="{98E797F9-3055-437B-8AD8-22B408E5C621}"/>
    <cellStyle name="Normal 5 6 4" xfId="1359" xr:uid="{00000000-0005-0000-0000-0000B51B0000}"/>
    <cellStyle name="Normal 5 6 4 2" xfId="3589" xr:uid="{00000000-0005-0000-0000-0000B61B0000}"/>
    <cellStyle name="Normal 5 6 4 2 2" xfId="7812" xr:uid="{00000000-0005-0000-0000-0000B71B0000}"/>
    <cellStyle name="Normal 5 6 4 2 2 2" xfId="16254" xr:uid="{A1980F2B-46F8-4C34-A69B-35ADE3BE4043}"/>
    <cellStyle name="Normal 5 6 4 2 2 3" xfId="24691" xr:uid="{CC836DA4-4C35-4917-A53F-DB1882DEFCDF}"/>
    <cellStyle name="Normal 5 6 4 2 3" xfId="12036" xr:uid="{CE2CDFA9-10EA-4758-8DEF-36955F636224}"/>
    <cellStyle name="Normal 5 6 4 2 4" xfId="20474" xr:uid="{B52A314E-E23C-4F38-BD3F-04FA7D6D227C}"/>
    <cellStyle name="Normal 5 6 4 3" xfId="5667" xr:uid="{00000000-0005-0000-0000-0000B81B0000}"/>
    <cellStyle name="Normal 5 6 4 3 2" xfId="14109" xr:uid="{B08D65B1-16D9-4A45-901E-B6D336F27EE0}"/>
    <cellStyle name="Normal 5 6 4 3 3" xfId="22546" xr:uid="{2CB38BD1-39A0-46DF-9547-0856A7734443}"/>
    <cellStyle name="Normal 5 6 4 4" xfId="9891" xr:uid="{3F978E27-BB4C-46C5-BFD6-E780C4C93404}"/>
    <cellStyle name="Normal 5 6 4 5" xfId="18329" xr:uid="{C83F8B7E-9464-41FA-93AE-99FAB16E8CB7}"/>
    <cellStyle name="Normal 5 6 5" xfId="1772" xr:uid="{00000000-0005-0000-0000-0000B91B0000}"/>
    <cellStyle name="Normal 5 6 5 2" xfId="4002" xr:uid="{00000000-0005-0000-0000-0000BA1B0000}"/>
    <cellStyle name="Normal 5 6 5 2 2" xfId="8225" xr:uid="{00000000-0005-0000-0000-0000BB1B0000}"/>
    <cellStyle name="Normal 5 6 5 2 2 2" xfId="16667" xr:uid="{1B6A7415-AAED-47E0-ACCA-E4A818DDFFCF}"/>
    <cellStyle name="Normal 5 6 5 2 2 3" xfId="25104" xr:uid="{0C492EB2-D6A7-4706-8309-2A784876A52E}"/>
    <cellStyle name="Normal 5 6 5 2 3" xfId="12449" xr:uid="{B128EC2A-D207-49CC-B77B-EB1F07942FFC}"/>
    <cellStyle name="Normal 5 6 5 2 4" xfId="20887" xr:uid="{DDC31FF0-24DB-4F72-A385-3A6609592B07}"/>
    <cellStyle name="Normal 5 6 5 3" xfId="6080" xr:uid="{00000000-0005-0000-0000-0000BC1B0000}"/>
    <cellStyle name="Normal 5 6 5 3 2" xfId="14522" xr:uid="{CE5DDACD-21D8-4212-8543-25045C4A3903}"/>
    <cellStyle name="Normal 5 6 5 3 3" xfId="22959" xr:uid="{D5607D6C-E2DD-4952-97FD-6F6A7820CA35}"/>
    <cellStyle name="Normal 5 6 5 4" xfId="10304" xr:uid="{C68EB58C-9929-4835-8D77-2741CEEEC90F}"/>
    <cellStyle name="Normal 5 6 5 5" xfId="18742" xr:uid="{F24E96F1-29AD-4618-893C-E057B5E0EA05}"/>
    <cellStyle name="Normal 5 6 6" xfId="2186" xr:uid="{00000000-0005-0000-0000-0000BD1B0000}"/>
    <cellStyle name="Normal 5 6 6 2" xfId="4415" xr:uid="{00000000-0005-0000-0000-0000BE1B0000}"/>
    <cellStyle name="Normal 5 6 6 2 2" xfId="8638" xr:uid="{00000000-0005-0000-0000-0000BF1B0000}"/>
    <cellStyle name="Normal 5 6 6 2 2 2" xfId="17080" xr:uid="{B3A50950-91C8-4B39-8E28-40336EBF696A}"/>
    <cellStyle name="Normal 5 6 6 2 2 3" xfId="25517" xr:uid="{FF46C97A-4A38-47FB-B30F-3E0833BDD175}"/>
    <cellStyle name="Normal 5 6 6 2 3" xfId="12862" xr:uid="{233EC7D6-7DEB-49AC-9EDB-0E6C13A324BC}"/>
    <cellStyle name="Normal 5 6 6 2 4" xfId="21300" xr:uid="{A2CFA3EB-E6EB-46A6-8E34-D237297B07AE}"/>
    <cellStyle name="Normal 5 6 6 3" xfId="6493" xr:uid="{00000000-0005-0000-0000-0000C01B0000}"/>
    <cellStyle name="Normal 5 6 6 3 2" xfId="14935" xr:uid="{1D0155FC-2617-4587-96B0-47CCD528F604}"/>
    <cellStyle name="Normal 5 6 6 3 3" xfId="23372" xr:uid="{601EFDDF-28D9-4E88-A5D6-25537283AEDC}"/>
    <cellStyle name="Normal 5 6 6 4" xfId="10717" xr:uid="{858C6134-0175-4960-B19C-532F83530E36}"/>
    <cellStyle name="Normal 5 6 6 5" xfId="19155" xr:uid="{3BC7A074-889A-4CE3-888A-79DD5639997A}"/>
    <cellStyle name="Normal 5 6 7" xfId="2622" xr:uid="{00000000-0005-0000-0000-0000C11B0000}"/>
    <cellStyle name="Normal 5 6 7 2" xfId="6906" xr:uid="{00000000-0005-0000-0000-0000C21B0000}"/>
    <cellStyle name="Normal 5 6 7 2 2" xfId="15348" xr:uid="{A336A775-748D-4CC6-995A-449016F25215}"/>
    <cellStyle name="Normal 5 6 7 2 3" xfId="23785" xr:uid="{E6565A18-195D-4020-81FF-0E0711C5CCBE}"/>
    <cellStyle name="Normal 5 6 7 3" xfId="11130" xr:uid="{0FEAA7D7-B73E-475D-BB55-F81280353328}"/>
    <cellStyle name="Normal 5 6 7 4" xfId="19568" xr:uid="{DA2BBA85-EA10-4D36-AE5B-0A05F33FBCEA}"/>
    <cellStyle name="Normal 5 6 8" xfId="4841" xr:uid="{00000000-0005-0000-0000-0000C31B0000}"/>
    <cellStyle name="Normal 5 6 8 2" xfId="13283" xr:uid="{44E92C9C-5AD1-417F-977D-DC840FFED5B5}"/>
    <cellStyle name="Normal 5 6 8 3" xfId="21720" xr:uid="{4903EC5A-B349-4679-A0D1-A2FB787D234F}"/>
    <cellStyle name="Normal 5 6 9" xfId="9065" xr:uid="{E689828B-25E9-4A77-96B3-8C742B54B97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FA453142-4B86-472A-9544-4842D978D659}"/>
    <cellStyle name="Normal 5 7 2 2 2 3" xfId="24280" xr:uid="{506C20F9-D189-429A-8911-ECAEA7B777B4}"/>
    <cellStyle name="Normal 5 7 2 2 3" xfId="11625" xr:uid="{18044C79-0552-4494-B2D6-1C11820005EB}"/>
    <cellStyle name="Normal 5 7 2 2 4" xfId="20063" xr:uid="{87F6D433-EE66-4A3E-96A8-9DFCAA75FC7B}"/>
    <cellStyle name="Normal 5 7 2 3" xfId="5256" xr:uid="{00000000-0005-0000-0000-0000C81B0000}"/>
    <cellStyle name="Normal 5 7 2 3 2" xfId="13698" xr:uid="{CBACCD4A-422A-4649-AAE9-C96E0F619B95}"/>
    <cellStyle name="Normal 5 7 2 3 3" xfId="22135" xr:uid="{A9D976E8-65DA-41B0-A1BF-3CC411CFCA2E}"/>
    <cellStyle name="Normal 5 7 2 4" xfId="9480" xr:uid="{3932B6AE-20A9-4180-852B-ED82E01A0850}"/>
    <cellStyle name="Normal 5 7 2 5" xfId="17918" xr:uid="{3BD63BA7-76E6-4D6F-AACC-2F1C8225C540}"/>
    <cellStyle name="Normal 5 7 3" xfId="1361" xr:uid="{00000000-0005-0000-0000-0000C91B0000}"/>
    <cellStyle name="Normal 5 7 3 2" xfId="3591" xr:uid="{00000000-0005-0000-0000-0000CA1B0000}"/>
    <cellStyle name="Normal 5 7 3 2 2" xfId="7814" xr:uid="{00000000-0005-0000-0000-0000CB1B0000}"/>
    <cellStyle name="Normal 5 7 3 2 2 2" xfId="16256" xr:uid="{24631CED-F25C-46F4-8155-D63EDBAC4B2F}"/>
    <cellStyle name="Normal 5 7 3 2 2 3" xfId="24693" xr:uid="{022AB6A1-CBF1-4284-85FE-CB0431EEF52B}"/>
    <cellStyle name="Normal 5 7 3 2 3" xfId="12038" xr:uid="{678BA3EE-717C-4DB5-BEC8-2EBBAE54610A}"/>
    <cellStyle name="Normal 5 7 3 2 4" xfId="20476" xr:uid="{4FFB34CA-A834-43A2-A33F-4EB40B9067D4}"/>
    <cellStyle name="Normal 5 7 3 3" xfId="5669" xr:uid="{00000000-0005-0000-0000-0000CC1B0000}"/>
    <cellStyle name="Normal 5 7 3 3 2" xfId="14111" xr:uid="{7BC730F5-25C7-4721-875F-0456F8B0ECA5}"/>
    <cellStyle name="Normal 5 7 3 3 3" xfId="22548" xr:uid="{C44CD50C-9F52-4BDB-9F0F-C703F412B080}"/>
    <cellStyle name="Normal 5 7 3 4" xfId="9893" xr:uid="{F9D983F2-92D5-4196-9BF7-460BA5E7632B}"/>
    <cellStyle name="Normal 5 7 3 5" xfId="18331" xr:uid="{70185A18-5C26-437E-B6DF-2A90CB14CE08}"/>
    <cellStyle name="Normal 5 7 4" xfId="1774" xr:uid="{00000000-0005-0000-0000-0000CD1B0000}"/>
    <cellStyle name="Normal 5 7 4 2" xfId="4004" xr:uid="{00000000-0005-0000-0000-0000CE1B0000}"/>
    <cellStyle name="Normal 5 7 4 2 2" xfId="8227" xr:uid="{00000000-0005-0000-0000-0000CF1B0000}"/>
    <cellStyle name="Normal 5 7 4 2 2 2" xfId="16669" xr:uid="{26964310-B66E-409B-94A4-CE65429A6E7F}"/>
    <cellStyle name="Normal 5 7 4 2 2 3" xfId="25106" xr:uid="{4CB7ABA0-065A-442E-B845-707F7D01A191}"/>
    <cellStyle name="Normal 5 7 4 2 3" xfId="12451" xr:uid="{32429CE9-B72F-4943-8FC4-EF3FC1B64352}"/>
    <cellStyle name="Normal 5 7 4 2 4" xfId="20889" xr:uid="{4A56BFAD-F35F-4266-BD2D-292CC23FEC81}"/>
    <cellStyle name="Normal 5 7 4 3" xfId="6082" xr:uid="{00000000-0005-0000-0000-0000D01B0000}"/>
    <cellStyle name="Normal 5 7 4 3 2" xfId="14524" xr:uid="{9C22098C-3135-4682-9B79-184129A9F6F6}"/>
    <cellStyle name="Normal 5 7 4 3 3" xfId="22961" xr:uid="{65C9005F-6A27-4F88-9506-93B0D4948A7D}"/>
    <cellStyle name="Normal 5 7 4 4" xfId="10306" xr:uid="{3DBAB688-F5BA-45B9-B36E-BB62AD184B25}"/>
    <cellStyle name="Normal 5 7 4 5" xfId="18744" xr:uid="{2CF5E5E7-F7B7-4014-8D25-A916A78FC7B3}"/>
    <cellStyle name="Normal 5 7 5" xfId="2188" xr:uid="{00000000-0005-0000-0000-0000D11B0000}"/>
    <cellStyle name="Normal 5 7 5 2" xfId="4417" xr:uid="{00000000-0005-0000-0000-0000D21B0000}"/>
    <cellStyle name="Normal 5 7 5 2 2" xfId="8640" xr:uid="{00000000-0005-0000-0000-0000D31B0000}"/>
    <cellStyle name="Normal 5 7 5 2 2 2" xfId="17082" xr:uid="{A5DDF947-FFC4-4DF3-AFA7-79C6D3EFCCD2}"/>
    <cellStyle name="Normal 5 7 5 2 2 3" xfId="25519" xr:uid="{390E4DD1-FEDA-46DB-877D-CBE001919840}"/>
    <cellStyle name="Normal 5 7 5 2 3" xfId="12864" xr:uid="{D299AE58-5172-481E-82BE-4EFE2B9A75B5}"/>
    <cellStyle name="Normal 5 7 5 2 4" xfId="21302" xr:uid="{3F008AA2-E715-47B3-8F26-898895AD0643}"/>
    <cellStyle name="Normal 5 7 5 3" xfId="6495" xr:uid="{00000000-0005-0000-0000-0000D41B0000}"/>
    <cellStyle name="Normal 5 7 5 3 2" xfId="14937" xr:uid="{1F15F552-B3F5-430B-A3EB-1E71E2AA9445}"/>
    <cellStyle name="Normal 5 7 5 3 3" xfId="23374" xr:uid="{67A453E7-0A49-4AFC-BE0A-1FB7F54380E2}"/>
    <cellStyle name="Normal 5 7 5 4" xfId="10719" xr:uid="{7FA919B7-31E4-4265-99F2-AA0C4B2434A6}"/>
    <cellStyle name="Normal 5 7 5 5" xfId="19157" xr:uid="{2420DD82-96F9-4A94-8FAE-67CC3FA0FCA1}"/>
    <cellStyle name="Normal 5 7 6" xfId="2624" xr:uid="{00000000-0005-0000-0000-0000D51B0000}"/>
    <cellStyle name="Normal 5 7 6 2" xfId="6908" xr:uid="{00000000-0005-0000-0000-0000D61B0000}"/>
    <cellStyle name="Normal 5 7 6 2 2" xfId="15350" xr:uid="{A3C6CA3E-8D03-4C39-A34A-538323035AE7}"/>
    <cellStyle name="Normal 5 7 6 2 3" xfId="23787" xr:uid="{D1C97590-7B7C-400E-9AC6-225C6BDD6432}"/>
    <cellStyle name="Normal 5 7 6 3" xfId="11132" xr:uid="{E3AD8B3F-19A3-4DCE-9FC8-A02D2AA5D76B}"/>
    <cellStyle name="Normal 5 7 6 4" xfId="19570" xr:uid="{F7A18E4E-8BBC-4CC9-A48C-21C384226726}"/>
    <cellStyle name="Normal 5 7 7" xfId="4843" xr:uid="{00000000-0005-0000-0000-0000D71B0000}"/>
    <cellStyle name="Normal 5 7 7 2" xfId="13285" xr:uid="{874E67EA-2106-46AA-882A-EB814C26C213}"/>
    <cellStyle name="Normal 5 7 7 3" xfId="21722" xr:uid="{32202525-49F6-4A4F-909C-ACE91F07B11A}"/>
    <cellStyle name="Normal 5 7 8" xfId="9067" xr:uid="{4DB2EDFE-BF8C-4A8D-9D0A-10B7B3428939}"/>
    <cellStyle name="Normal 5 7 9" xfId="17505" xr:uid="{BA6AAE15-7D89-47E7-BD9A-B96821B02721}"/>
    <cellStyle name="Normal 5 8" xfId="880" xr:uid="{00000000-0005-0000-0000-0000D81B0000}"/>
    <cellStyle name="Normal 5 8 2" xfId="3115" xr:uid="{00000000-0005-0000-0000-0000D91B0000}"/>
    <cellStyle name="Normal 5 8 2 2" xfId="7338" xr:uid="{00000000-0005-0000-0000-0000DA1B0000}"/>
    <cellStyle name="Normal 5 8 2 2 2" xfId="15780" xr:uid="{964E0467-80AD-4A0E-AA0A-3A9D7D755925}"/>
    <cellStyle name="Normal 5 8 2 2 3" xfId="24217" xr:uid="{07487B4C-6CD9-4D8C-8DC8-42B4F49837CA}"/>
    <cellStyle name="Normal 5 8 2 3" xfId="11562" xr:uid="{4DB3E81C-9D50-4E95-9133-88711DB999D2}"/>
    <cellStyle name="Normal 5 8 2 4" xfId="20000" xr:uid="{66944F44-BC15-47ED-AD4E-DCCE52C91718}"/>
    <cellStyle name="Normal 5 8 3" xfId="5193" xr:uid="{00000000-0005-0000-0000-0000DB1B0000}"/>
    <cellStyle name="Normal 5 8 3 2" xfId="13635" xr:uid="{067F3CCD-8DFE-47CC-A1B9-7933748B7E71}"/>
    <cellStyle name="Normal 5 8 3 3" xfId="22072" xr:uid="{EAC07C74-CD2C-4577-BD5B-656AA8FF9CDE}"/>
    <cellStyle name="Normal 5 8 4" xfId="9417" xr:uid="{BC5B6C38-7C05-4415-AE5B-EB005650E842}"/>
    <cellStyle name="Normal 5 8 5" xfId="17855" xr:uid="{8A462A79-CD0A-486F-B8B7-56610F4A4C2C}"/>
    <cellStyle name="Normal 5 9" xfId="1298" xr:uid="{00000000-0005-0000-0000-0000DC1B0000}"/>
    <cellStyle name="Normal 5 9 2" xfId="3528" xr:uid="{00000000-0005-0000-0000-0000DD1B0000}"/>
    <cellStyle name="Normal 5 9 2 2" xfId="7751" xr:uid="{00000000-0005-0000-0000-0000DE1B0000}"/>
    <cellStyle name="Normal 5 9 2 2 2" xfId="16193" xr:uid="{2886506C-DCD9-48DB-976D-ED8A0EBA5050}"/>
    <cellStyle name="Normal 5 9 2 2 3" xfId="24630" xr:uid="{DCE88191-AB78-4587-971C-5379DAF42769}"/>
    <cellStyle name="Normal 5 9 2 3" xfId="11975" xr:uid="{23DA52A3-04D4-484F-BE53-FCB9CEDBD6F4}"/>
    <cellStyle name="Normal 5 9 2 4" xfId="20413" xr:uid="{4D78D13C-DF6C-461F-89F2-9630997CD0CC}"/>
    <cellStyle name="Normal 5 9 3" xfId="5606" xr:uid="{00000000-0005-0000-0000-0000DF1B0000}"/>
    <cellStyle name="Normal 5 9 3 2" xfId="14048" xr:uid="{D85F7683-7E93-4891-A84E-580921FBBF61}"/>
    <cellStyle name="Normal 5 9 3 3" xfId="22485" xr:uid="{F0EBC4DB-4FC5-4296-8B0B-A715621DB817}"/>
    <cellStyle name="Normal 5 9 4" xfId="9830" xr:uid="{872FA156-90BA-4B41-BC70-817EA7929E2D}"/>
    <cellStyle name="Normal 5 9 5" xfId="18268" xr:uid="{F497DEE9-06AB-4143-AA32-86B9D9F380DF}"/>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8D87E9D3-1993-4317-B262-17C13DC1D036}"/>
    <cellStyle name="Normal 8 10 2 2 3" xfId="25520" xr:uid="{0D361C70-E327-419B-8E1A-26A73E062EAD}"/>
    <cellStyle name="Normal 8 10 2 3" xfId="12865" xr:uid="{B3B66393-65FF-44D7-8993-8E570E0C27B4}"/>
    <cellStyle name="Normal 8 10 2 4" xfId="21303" xr:uid="{52149CB6-BFBF-43B2-A716-3A8874E8A6C9}"/>
    <cellStyle name="Normal 8 10 3" xfId="6496" xr:uid="{00000000-0005-0000-0000-0000EB1B0000}"/>
    <cellStyle name="Normal 8 10 3 2" xfId="14938" xr:uid="{33ED5B5A-8A24-4E60-B317-9A797C25A4A9}"/>
    <cellStyle name="Normal 8 10 3 3" xfId="23375" xr:uid="{68D3B607-DD2B-40AB-B32C-A48865FF67FB}"/>
    <cellStyle name="Normal 8 10 4" xfId="10720" xr:uid="{83196502-A28F-489E-A747-36FAC6BF6363}"/>
    <cellStyle name="Normal 8 10 5" xfId="19158" xr:uid="{9EED9691-30AD-4E81-B42D-656BB6CE1B81}"/>
    <cellStyle name="Normal 8 11" xfId="2625" xr:uid="{00000000-0005-0000-0000-0000EC1B0000}"/>
    <cellStyle name="Normal 8 11 2" xfId="6909" xr:uid="{00000000-0005-0000-0000-0000ED1B0000}"/>
    <cellStyle name="Normal 8 11 2 2" xfId="15351" xr:uid="{4010EB73-204C-458E-A530-29F52F387253}"/>
    <cellStyle name="Normal 8 11 2 3" xfId="23788" xr:uid="{98A678E3-4592-4098-A307-8417D0F8E26E}"/>
    <cellStyle name="Normal 8 11 3" xfId="11133" xr:uid="{D17A594A-91B8-4CA5-BC6C-D47A98000C1B}"/>
    <cellStyle name="Normal 8 11 4" xfId="19571" xr:uid="{2F8EDA14-5613-4346-BFD2-FF8659EF897C}"/>
    <cellStyle name="Normal 8 12" xfId="4844" xr:uid="{00000000-0005-0000-0000-0000EE1B0000}"/>
    <cellStyle name="Normal 8 12 2" xfId="13286" xr:uid="{A9784A5B-6A70-4D36-BB63-A190F71CD043}"/>
    <cellStyle name="Normal 8 12 3" xfId="21723" xr:uid="{AD6C3F32-9C4E-440E-8B67-EA15B1EF36B1}"/>
    <cellStyle name="Normal 8 13" xfId="9068" xr:uid="{80BE2FAC-13C3-41AF-8ABD-09AB8F82DF25}"/>
    <cellStyle name="Normal 8 14" xfId="17506" xr:uid="{ED6F520B-DF51-4D46-86FC-4A6D0CEB31A2}"/>
    <cellStyle name="Normal 8 2" xfId="479" xr:uid="{00000000-0005-0000-0000-0000EF1B0000}"/>
    <cellStyle name="Normal 8 2 10" xfId="2626" xr:uid="{00000000-0005-0000-0000-0000F01B0000}"/>
    <cellStyle name="Normal 8 2 10 2" xfId="6910" xr:uid="{00000000-0005-0000-0000-0000F11B0000}"/>
    <cellStyle name="Normal 8 2 10 2 2" xfId="15352" xr:uid="{7F4D1EEC-2666-4F54-B524-C343DECF3501}"/>
    <cellStyle name="Normal 8 2 10 2 3" xfId="23789" xr:uid="{F3204EE3-7D18-4D79-9C83-A1A937645414}"/>
    <cellStyle name="Normal 8 2 10 3" xfId="11134" xr:uid="{AF167C9C-6C4D-4B7D-80A1-55A478DBB43B}"/>
    <cellStyle name="Normal 8 2 10 4" xfId="19572" xr:uid="{A8ACD4E2-3425-46F1-BAEB-D62CC3593CCC}"/>
    <cellStyle name="Normal 8 2 11" xfId="4845" xr:uid="{00000000-0005-0000-0000-0000F21B0000}"/>
    <cellStyle name="Normal 8 2 11 2" xfId="13287" xr:uid="{E5CD16B1-F28D-4624-BE83-A4B9E1EE4B6C}"/>
    <cellStyle name="Normal 8 2 11 3" xfId="21724" xr:uid="{C377F40B-23EE-4D44-B54E-7DA3EB6F9495}"/>
    <cellStyle name="Normal 8 2 12" xfId="9069" xr:uid="{12D871B8-4E20-4BE2-81B8-CBEF377CC193}"/>
    <cellStyle name="Normal 8 2 13" xfId="17507" xr:uid="{CF3DF813-9765-4980-9F4F-CBA4BBF18070}"/>
    <cellStyle name="Normal 8 2 2" xfId="480" xr:uid="{00000000-0005-0000-0000-0000F31B0000}"/>
    <cellStyle name="Normal 8 2 2 10" xfId="4846" xr:uid="{00000000-0005-0000-0000-0000F41B0000}"/>
    <cellStyle name="Normal 8 2 2 10 2" xfId="13288" xr:uid="{2069AD3B-FFD6-4120-AB18-8E8D61B99EA9}"/>
    <cellStyle name="Normal 8 2 2 10 3" xfId="21725" xr:uid="{90CD3B01-7BAE-4A01-BFF0-F2C743A2D523}"/>
    <cellStyle name="Normal 8 2 2 11" xfId="9070" xr:uid="{91BABB50-4F0C-4EF2-A9CF-2F862CD22B5A}"/>
    <cellStyle name="Normal 8 2 2 12" xfId="17508" xr:uid="{E17B2BB1-7DBE-4F78-BD71-CE68B2A7A417}"/>
    <cellStyle name="Normal 8 2 2 2" xfId="481" xr:uid="{00000000-0005-0000-0000-0000F51B0000}"/>
    <cellStyle name="Normal 8 2 2 2 10" xfId="9071" xr:uid="{83CDC036-9002-473F-9722-1E7F04D04E36}"/>
    <cellStyle name="Normal 8 2 2 2 11" xfId="17509" xr:uid="{45B0FEC9-BE01-43B4-9BA1-77895B696CBF}"/>
    <cellStyle name="Normal 8 2 2 2 2" xfId="482" xr:uid="{00000000-0005-0000-0000-0000F61B0000}"/>
    <cellStyle name="Normal 8 2 2 2 2 10" xfId="17510" xr:uid="{799EF5D6-A418-4E53-A200-0A852BD53B6B}"/>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C0F587DA-A970-4A77-932A-AFB9F4FA5370}"/>
    <cellStyle name="Normal 8 2 2 2 2 2 2 2 2 3" xfId="24286" xr:uid="{C81A10E5-972A-48B2-B830-6B1470BFDAC4}"/>
    <cellStyle name="Normal 8 2 2 2 2 2 2 2 3" xfId="11631" xr:uid="{2CD1888A-3008-4B82-9563-AFEC1A52197C}"/>
    <cellStyle name="Normal 8 2 2 2 2 2 2 2 4" xfId="20069" xr:uid="{12400D6F-6910-413D-96A7-2D4005C11CBF}"/>
    <cellStyle name="Normal 8 2 2 2 2 2 2 3" xfId="5262" xr:uid="{00000000-0005-0000-0000-0000FB1B0000}"/>
    <cellStyle name="Normal 8 2 2 2 2 2 2 3 2" xfId="13704" xr:uid="{3C78409E-B0BE-45C1-90F5-10832D66BDDD}"/>
    <cellStyle name="Normal 8 2 2 2 2 2 2 3 3" xfId="22141" xr:uid="{0FF1B278-913D-4621-8183-56C45271AF2D}"/>
    <cellStyle name="Normal 8 2 2 2 2 2 2 4" xfId="9486" xr:uid="{14328519-8B78-4FE7-B04F-8C3BB317EAC0}"/>
    <cellStyle name="Normal 8 2 2 2 2 2 2 5" xfId="17924" xr:uid="{926E9C8D-AC0E-4FAB-AA0B-0BDB620FE051}"/>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DBE05480-6CBE-4692-81A9-5A675A759A88}"/>
    <cellStyle name="Normal 8 2 2 2 2 2 3 2 2 3" xfId="24699" xr:uid="{DDFB2078-698C-45B1-B30C-D640EF0C3524}"/>
    <cellStyle name="Normal 8 2 2 2 2 2 3 2 3" xfId="12044" xr:uid="{D2CB0444-0B83-4BA8-AB0F-88D3B95B8B54}"/>
    <cellStyle name="Normal 8 2 2 2 2 2 3 2 4" xfId="20482" xr:uid="{8BF1B9D8-0CFB-4257-9B6C-14B04180A2F2}"/>
    <cellStyle name="Normal 8 2 2 2 2 2 3 3" xfId="5675" xr:uid="{00000000-0005-0000-0000-0000FF1B0000}"/>
    <cellStyle name="Normal 8 2 2 2 2 2 3 3 2" xfId="14117" xr:uid="{A9C7B4AF-2C1B-4F18-95DE-B57A540A9CD7}"/>
    <cellStyle name="Normal 8 2 2 2 2 2 3 3 3" xfId="22554" xr:uid="{F50C72E4-6E6C-493C-9D7A-F8EE13848668}"/>
    <cellStyle name="Normal 8 2 2 2 2 2 3 4" xfId="9899" xr:uid="{9A799FD1-1BD6-4532-801D-ACB168697B95}"/>
    <cellStyle name="Normal 8 2 2 2 2 2 3 5" xfId="18337" xr:uid="{57186AB3-1398-40C9-B313-58C4FF84247D}"/>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997306C7-D428-467E-AA26-06AAF008BF5C}"/>
    <cellStyle name="Normal 8 2 2 2 2 2 4 2 2 3" xfId="25112" xr:uid="{EFFC574C-5C27-4E64-92B3-FA275668D665}"/>
    <cellStyle name="Normal 8 2 2 2 2 2 4 2 3" xfId="12457" xr:uid="{D05C63F7-9E24-4138-AF5A-766B611F9B9A}"/>
    <cellStyle name="Normal 8 2 2 2 2 2 4 2 4" xfId="20895" xr:uid="{B246ACD7-F368-4FF8-943E-3E72200F4DAC}"/>
    <cellStyle name="Normal 8 2 2 2 2 2 4 3" xfId="6088" xr:uid="{00000000-0005-0000-0000-0000031C0000}"/>
    <cellStyle name="Normal 8 2 2 2 2 2 4 3 2" xfId="14530" xr:uid="{F889391B-119D-4854-9B42-43E552A4FE59}"/>
    <cellStyle name="Normal 8 2 2 2 2 2 4 3 3" xfId="22967" xr:uid="{5D58D6DA-117E-487E-A1C7-7C167A65E25E}"/>
    <cellStyle name="Normal 8 2 2 2 2 2 4 4" xfId="10312" xr:uid="{0B9806E6-135E-4775-9B20-6E75FF42E1CE}"/>
    <cellStyle name="Normal 8 2 2 2 2 2 4 5" xfId="18750" xr:uid="{29E7F32E-677C-46DA-8E4D-F9E549AC9344}"/>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BDA74704-ED55-4071-864F-47BE2A50C9EB}"/>
    <cellStyle name="Normal 8 2 2 2 2 2 5 2 2 3" xfId="25525" xr:uid="{6A7AE0E0-7803-4BCB-AC2F-BCF8ED6EEFDE}"/>
    <cellStyle name="Normal 8 2 2 2 2 2 5 2 3" xfId="12870" xr:uid="{951DED13-F971-4D44-8A8B-9CECB06533E3}"/>
    <cellStyle name="Normal 8 2 2 2 2 2 5 2 4" xfId="21308" xr:uid="{A3EA4E81-29CE-45BC-A7D5-8F615C3739CE}"/>
    <cellStyle name="Normal 8 2 2 2 2 2 5 3" xfId="6501" xr:uid="{00000000-0005-0000-0000-0000071C0000}"/>
    <cellStyle name="Normal 8 2 2 2 2 2 5 3 2" xfId="14943" xr:uid="{4E18D406-227C-4631-8599-B9786EB571B2}"/>
    <cellStyle name="Normal 8 2 2 2 2 2 5 3 3" xfId="23380" xr:uid="{5612ECB2-AEAE-4AA7-B5D3-8B1A4F40D291}"/>
    <cellStyle name="Normal 8 2 2 2 2 2 5 4" xfId="10725" xr:uid="{B9A51EA9-70A6-4AF1-AC83-CB9592FABF62}"/>
    <cellStyle name="Normal 8 2 2 2 2 2 5 5" xfId="19163" xr:uid="{B7D91FA4-4160-4769-9891-97D4147390E5}"/>
    <cellStyle name="Normal 8 2 2 2 2 2 6" xfId="2630" xr:uid="{00000000-0005-0000-0000-0000081C0000}"/>
    <cellStyle name="Normal 8 2 2 2 2 2 6 2" xfId="6914" xr:uid="{00000000-0005-0000-0000-0000091C0000}"/>
    <cellStyle name="Normal 8 2 2 2 2 2 6 2 2" xfId="15356" xr:uid="{DE4E4FDB-D04D-44BF-8BCA-4F29B24255DD}"/>
    <cellStyle name="Normal 8 2 2 2 2 2 6 2 3" xfId="23793" xr:uid="{46B1D17F-93EA-40E6-BAC8-CDA6AF0A55F3}"/>
    <cellStyle name="Normal 8 2 2 2 2 2 6 3" xfId="11138" xr:uid="{753659C5-88F1-44AC-B615-38FCAB40A67C}"/>
    <cellStyle name="Normal 8 2 2 2 2 2 6 4" xfId="19576" xr:uid="{1730B0A3-F36A-4E7A-BDFA-F69D34B27AA4}"/>
    <cellStyle name="Normal 8 2 2 2 2 2 7" xfId="4849" xr:uid="{00000000-0005-0000-0000-00000A1C0000}"/>
    <cellStyle name="Normal 8 2 2 2 2 2 7 2" xfId="13291" xr:uid="{E02736B3-0D3D-4A2D-84D2-AA2D0245353E}"/>
    <cellStyle name="Normal 8 2 2 2 2 2 7 3" xfId="21728" xr:uid="{FBC97303-8D4F-4700-961A-31852FADC04A}"/>
    <cellStyle name="Normal 8 2 2 2 2 2 8" xfId="9073" xr:uid="{3192A58F-9008-401D-8DFC-1E4F4D334127}"/>
    <cellStyle name="Normal 8 2 2 2 2 2 9" xfId="17511" xr:uid="{7ACB44FD-1895-4D6B-B05A-C7D4904EA783}"/>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AE482138-2EB8-4428-BE1C-81B324638425}"/>
    <cellStyle name="Normal 8 2 2 2 2 3 2 2 3" xfId="24285" xr:uid="{BE70DFCC-165C-4749-B652-27A7FE72BB52}"/>
    <cellStyle name="Normal 8 2 2 2 2 3 2 3" xfId="11630" xr:uid="{E54204D7-6649-4498-9791-0E84BFFD9240}"/>
    <cellStyle name="Normal 8 2 2 2 2 3 2 4" xfId="20068" xr:uid="{905453D5-81D0-495A-BF56-AFCF5B5E3B68}"/>
    <cellStyle name="Normal 8 2 2 2 2 3 3" xfId="5261" xr:uid="{00000000-0005-0000-0000-00000E1C0000}"/>
    <cellStyle name="Normal 8 2 2 2 2 3 3 2" xfId="13703" xr:uid="{E238CB73-40C2-420C-A85C-3243EB5FFF77}"/>
    <cellStyle name="Normal 8 2 2 2 2 3 3 3" xfId="22140" xr:uid="{F9D702B7-1EFF-443B-83CB-3039EF85D6B1}"/>
    <cellStyle name="Normal 8 2 2 2 2 3 4" xfId="9485" xr:uid="{C618C9B2-8711-4996-B489-09D087F7D7F7}"/>
    <cellStyle name="Normal 8 2 2 2 2 3 5" xfId="17923" xr:uid="{E818064C-3BB1-494A-A49A-722D8E39379C}"/>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CAD80C8A-6AB3-474C-9EE6-11D4A3988F3E}"/>
    <cellStyle name="Normal 8 2 2 2 2 4 2 2 3" xfId="24698" xr:uid="{F663FB72-540F-4CF4-AB50-C2F2B43F7FD0}"/>
    <cellStyle name="Normal 8 2 2 2 2 4 2 3" xfId="12043" xr:uid="{733F3221-3A36-4850-9174-D316317A3E66}"/>
    <cellStyle name="Normal 8 2 2 2 2 4 2 4" xfId="20481" xr:uid="{5B6D56F8-3437-4276-B13A-07EAF12080B1}"/>
    <cellStyle name="Normal 8 2 2 2 2 4 3" xfId="5674" xr:uid="{00000000-0005-0000-0000-0000121C0000}"/>
    <cellStyle name="Normal 8 2 2 2 2 4 3 2" xfId="14116" xr:uid="{61821BE7-495E-4124-B525-7905F4A33467}"/>
    <cellStyle name="Normal 8 2 2 2 2 4 3 3" xfId="22553" xr:uid="{C565F36B-D5AF-41B2-B842-C45AAE59BE5A}"/>
    <cellStyle name="Normal 8 2 2 2 2 4 4" xfId="9898" xr:uid="{DEDAC4A4-3293-4318-801C-1657AC3ECBD4}"/>
    <cellStyle name="Normal 8 2 2 2 2 4 5" xfId="18336" xr:uid="{BC13B8E6-8EC8-46F8-BF25-E36BB1058EB9}"/>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3E3CADF8-48A3-43A3-A8FF-6B02959ABC0C}"/>
    <cellStyle name="Normal 8 2 2 2 2 5 2 2 3" xfId="25111" xr:uid="{144AF33D-A99B-42E9-981D-94BCB534FCE6}"/>
    <cellStyle name="Normal 8 2 2 2 2 5 2 3" xfId="12456" xr:uid="{676E68B4-F7A7-4FE8-BB5F-CA0A919B26AD}"/>
    <cellStyle name="Normal 8 2 2 2 2 5 2 4" xfId="20894" xr:uid="{23DA2CAC-E750-40A9-9901-82545A235E90}"/>
    <cellStyle name="Normal 8 2 2 2 2 5 3" xfId="6087" xr:uid="{00000000-0005-0000-0000-0000161C0000}"/>
    <cellStyle name="Normal 8 2 2 2 2 5 3 2" xfId="14529" xr:uid="{358E5C10-6C26-414B-BB72-0793BCF76AE6}"/>
    <cellStyle name="Normal 8 2 2 2 2 5 3 3" xfId="22966" xr:uid="{511BCD3E-5C8C-4CAF-BB2A-92670E892639}"/>
    <cellStyle name="Normal 8 2 2 2 2 5 4" xfId="10311" xr:uid="{1F2E392B-97E2-43AE-B533-0A97DCCFF047}"/>
    <cellStyle name="Normal 8 2 2 2 2 5 5" xfId="18749" xr:uid="{71160B47-BCC1-43E1-BF9C-6DAE60145C07}"/>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736053CD-4BA6-48DA-BCE8-A2F142A31A8F}"/>
    <cellStyle name="Normal 8 2 2 2 2 6 2 2 3" xfId="25524" xr:uid="{2E10A543-E5A1-413C-97DE-4458263A7A31}"/>
    <cellStyle name="Normal 8 2 2 2 2 6 2 3" xfId="12869" xr:uid="{E6DF952B-742D-4336-A091-B7335649B676}"/>
    <cellStyle name="Normal 8 2 2 2 2 6 2 4" xfId="21307" xr:uid="{A40AB1D7-6974-4975-8B7E-3A777AE99F9A}"/>
    <cellStyle name="Normal 8 2 2 2 2 6 3" xfId="6500" xr:uid="{00000000-0005-0000-0000-00001A1C0000}"/>
    <cellStyle name="Normal 8 2 2 2 2 6 3 2" xfId="14942" xr:uid="{D391B3DF-D340-445B-8CF7-C2DAC3478696}"/>
    <cellStyle name="Normal 8 2 2 2 2 6 3 3" xfId="23379" xr:uid="{CE9AAA6F-733A-4831-8168-78162563AD48}"/>
    <cellStyle name="Normal 8 2 2 2 2 6 4" xfId="10724" xr:uid="{53DC2A9A-14D8-41B1-B10F-D768BA467C18}"/>
    <cellStyle name="Normal 8 2 2 2 2 6 5" xfId="19162" xr:uid="{A0F76CC0-1FB5-4155-AA99-A9373F93AECC}"/>
    <cellStyle name="Normal 8 2 2 2 2 7" xfId="2629" xr:uid="{00000000-0005-0000-0000-00001B1C0000}"/>
    <cellStyle name="Normal 8 2 2 2 2 7 2" xfId="6913" xr:uid="{00000000-0005-0000-0000-00001C1C0000}"/>
    <cellStyle name="Normal 8 2 2 2 2 7 2 2" xfId="15355" xr:uid="{88C30D8C-0357-48A2-9C45-2127FD7F4427}"/>
    <cellStyle name="Normal 8 2 2 2 2 7 2 3" xfId="23792" xr:uid="{B0A3951F-B57E-40F5-A7CC-7B3FD9B1B8B8}"/>
    <cellStyle name="Normal 8 2 2 2 2 7 3" xfId="11137" xr:uid="{37F529C6-69A1-4452-8192-F4EC9663A75F}"/>
    <cellStyle name="Normal 8 2 2 2 2 7 4" xfId="19575" xr:uid="{7A48C267-EA49-4803-9B67-EEDF4252109C}"/>
    <cellStyle name="Normal 8 2 2 2 2 8" xfId="4848" xr:uid="{00000000-0005-0000-0000-00001D1C0000}"/>
    <cellStyle name="Normal 8 2 2 2 2 8 2" xfId="13290" xr:uid="{EC4BF817-9E2B-4036-A283-9FCB5C848BD3}"/>
    <cellStyle name="Normal 8 2 2 2 2 8 3" xfId="21727" xr:uid="{21B04A71-1605-48B2-82C4-8D4D22D1A677}"/>
    <cellStyle name="Normal 8 2 2 2 2 9" xfId="9072" xr:uid="{5AB418AC-9979-4409-BA94-7A37CDD82ACE}"/>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B43DB896-CC89-41B6-82AC-92E6A65A59BB}"/>
    <cellStyle name="Normal 8 2 2 2 3 2 2 2 3" xfId="24287" xr:uid="{76572AAC-7713-4CF2-9CC9-1F7BC0692702}"/>
    <cellStyle name="Normal 8 2 2 2 3 2 2 3" xfId="11632" xr:uid="{6C5E8959-66D2-4DCB-970C-42EE0C4C893E}"/>
    <cellStyle name="Normal 8 2 2 2 3 2 2 4" xfId="20070" xr:uid="{3EF0684F-E863-4C33-A9D9-666A1620273A}"/>
    <cellStyle name="Normal 8 2 2 2 3 2 3" xfId="5263" xr:uid="{00000000-0005-0000-0000-0000221C0000}"/>
    <cellStyle name="Normal 8 2 2 2 3 2 3 2" xfId="13705" xr:uid="{8E4FD5F5-3091-41E7-954B-E0DE2DC75C24}"/>
    <cellStyle name="Normal 8 2 2 2 3 2 3 3" xfId="22142" xr:uid="{3646F82F-A738-4343-9909-469B20A8B4C5}"/>
    <cellStyle name="Normal 8 2 2 2 3 2 4" xfId="9487" xr:uid="{64D74162-DF1D-43E3-8D46-26C0E4B66186}"/>
    <cellStyle name="Normal 8 2 2 2 3 2 5" xfId="17925" xr:uid="{5CCF277D-7858-4504-90DB-4AE15BADD7C2}"/>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3E928F32-0CA0-4EE5-B33D-9DF203B5B3D2}"/>
    <cellStyle name="Normal 8 2 2 2 3 3 2 2 3" xfId="24700" xr:uid="{A060AE01-C4E6-4B03-8E95-5072EA238439}"/>
    <cellStyle name="Normal 8 2 2 2 3 3 2 3" xfId="12045" xr:uid="{372BA93A-3E4E-4FDC-B1C2-8090AFDA4580}"/>
    <cellStyle name="Normal 8 2 2 2 3 3 2 4" xfId="20483" xr:uid="{D5764E26-04C9-4749-A517-409C49D7548A}"/>
    <cellStyle name="Normal 8 2 2 2 3 3 3" xfId="5676" xr:uid="{00000000-0005-0000-0000-0000261C0000}"/>
    <cellStyle name="Normal 8 2 2 2 3 3 3 2" xfId="14118" xr:uid="{CD1A70FD-9508-411B-8E30-E41D1874D091}"/>
    <cellStyle name="Normal 8 2 2 2 3 3 3 3" xfId="22555" xr:uid="{C70B61E3-FCEA-45DE-8AFA-22819F22AB11}"/>
    <cellStyle name="Normal 8 2 2 2 3 3 4" xfId="9900" xr:uid="{F8F77A8E-FB74-4CC0-B977-DF5A677DD0FD}"/>
    <cellStyle name="Normal 8 2 2 2 3 3 5" xfId="18338" xr:uid="{97726201-D383-4F06-A9F4-20C206014EF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F3603EE7-BCE6-47A2-93F2-F0A486E54216}"/>
    <cellStyle name="Normal 8 2 2 2 3 4 2 2 3" xfId="25113" xr:uid="{57B388BE-A8E9-400D-92D0-4F59ADAE8757}"/>
    <cellStyle name="Normal 8 2 2 2 3 4 2 3" xfId="12458" xr:uid="{7C75AB93-597A-46B7-BF08-C09D8F2A427C}"/>
    <cellStyle name="Normal 8 2 2 2 3 4 2 4" xfId="20896" xr:uid="{9B8E130F-77AD-470B-89A3-739A2D8ACFF8}"/>
    <cellStyle name="Normal 8 2 2 2 3 4 3" xfId="6089" xr:uid="{00000000-0005-0000-0000-00002A1C0000}"/>
    <cellStyle name="Normal 8 2 2 2 3 4 3 2" xfId="14531" xr:uid="{04D34B31-5463-473F-977F-962E2D84DB9C}"/>
    <cellStyle name="Normal 8 2 2 2 3 4 3 3" xfId="22968" xr:uid="{E1670593-D08B-4850-8D0A-88F4C837FCA3}"/>
    <cellStyle name="Normal 8 2 2 2 3 4 4" xfId="10313" xr:uid="{FE55329F-4924-44BC-8D38-E22CDEA84E63}"/>
    <cellStyle name="Normal 8 2 2 2 3 4 5" xfId="18751" xr:uid="{4C3FFBF2-3229-4DE5-B459-94E5132050D8}"/>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E1C31023-C7FE-4259-AD05-A82A7CA0E5B2}"/>
    <cellStyle name="Normal 8 2 2 2 3 5 2 2 3" xfId="25526" xr:uid="{E9BD2469-B798-4AA3-9ABC-9EEB7D63E854}"/>
    <cellStyle name="Normal 8 2 2 2 3 5 2 3" xfId="12871" xr:uid="{B7F80317-5A7D-40BE-967F-48C0369302B8}"/>
    <cellStyle name="Normal 8 2 2 2 3 5 2 4" xfId="21309" xr:uid="{0D22C25A-BB96-4049-B04B-AEB9FB70EF24}"/>
    <cellStyle name="Normal 8 2 2 2 3 5 3" xfId="6502" xr:uid="{00000000-0005-0000-0000-00002E1C0000}"/>
    <cellStyle name="Normal 8 2 2 2 3 5 3 2" xfId="14944" xr:uid="{5F4C2C17-E455-4F7F-AFC7-E0AC6F9A8570}"/>
    <cellStyle name="Normal 8 2 2 2 3 5 3 3" xfId="23381" xr:uid="{AEE2F481-CCF9-4D49-9D95-9F64FC29382F}"/>
    <cellStyle name="Normal 8 2 2 2 3 5 4" xfId="10726" xr:uid="{FECE4A7B-32D7-45C2-B123-17AADC71B183}"/>
    <cellStyle name="Normal 8 2 2 2 3 5 5" xfId="19164" xr:uid="{5D7FD1D6-E19D-4744-A5D8-42CA5156930F}"/>
    <cellStyle name="Normal 8 2 2 2 3 6" xfId="2631" xr:uid="{00000000-0005-0000-0000-00002F1C0000}"/>
    <cellStyle name="Normal 8 2 2 2 3 6 2" xfId="6915" xr:uid="{00000000-0005-0000-0000-0000301C0000}"/>
    <cellStyle name="Normal 8 2 2 2 3 6 2 2" xfId="15357" xr:uid="{16837171-7A50-49B5-8745-529511D8964C}"/>
    <cellStyle name="Normal 8 2 2 2 3 6 2 3" xfId="23794" xr:uid="{30EBC3D7-1836-4ACB-AC6D-E25ABCF20D33}"/>
    <cellStyle name="Normal 8 2 2 2 3 6 3" xfId="11139" xr:uid="{883D616B-C3B3-41F6-AD90-294665642AD8}"/>
    <cellStyle name="Normal 8 2 2 2 3 6 4" xfId="19577" xr:uid="{72C9CE3C-C3C9-41CC-AE8E-DC08A1335DE9}"/>
    <cellStyle name="Normal 8 2 2 2 3 7" xfId="4850" xr:uid="{00000000-0005-0000-0000-0000311C0000}"/>
    <cellStyle name="Normal 8 2 2 2 3 7 2" xfId="13292" xr:uid="{3CC967F7-009C-4A28-9CBE-76B12AE13706}"/>
    <cellStyle name="Normal 8 2 2 2 3 7 3" xfId="21729" xr:uid="{0BA8E6B6-AA2A-4E5C-BACE-6F0F396E2C77}"/>
    <cellStyle name="Normal 8 2 2 2 3 8" xfId="9074" xr:uid="{B69AAE0F-0537-486C-A5FD-18DD8A6BF1E9}"/>
    <cellStyle name="Normal 8 2 2 2 3 9" xfId="17512" xr:uid="{A89E35FA-87C4-4202-A917-E10267D90B28}"/>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773C6E13-64ED-4FCD-8CE2-4F3A2FB25AAA}"/>
    <cellStyle name="Normal 8 2 2 2 4 2 2 3" xfId="24284" xr:uid="{B2148127-11A0-450F-B078-EA574CBA7C79}"/>
    <cellStyle name="Normal 8 2 2 2 4 2 3" xfId="11629" xr:uid="{1E3D8D36-8088-4144-A94F-925FA3EBDFC9}"/>
    <cellStyle name="Normal 8 2 2 2 4 2 4" xfId="20067" xr:uid="{9084CCBD-4982-4485-BA50-0B4DF9CE54D7}"/>
    <cellStyle name="Normal 8 2 2 2 4 3" xfId="5260" xr:uid="{00000000-0005-0000-0000-0000351C0000}"/>
    <cellStyle name="Normal 8 2 2 2 4 3 2" xfId="13702" xr:uid="{D3566614-8162-4190-89F3-EE197EFCC7FD}"/>
    <cellStyle name="Normal 8 2 2 2 4 3 3" xfId="22139" xr:uid="{1BE5A004-EFD4-4B60-A640-5FFBF275EFD0}"/>
    <cellStyle name="Normal 8 2 2 2 4 4" xfId="9484" xr:uid="{A995FA62-C5C8-414D-B6D7-DD9A86337051}"/>
    <cellStyle name="Normal 8 2 2 2 4 5" xfId="17922" xr:uid="{9EB4C0C8-8881-490A-96F8-8696A54DF1F5}"/>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D2DDA20C-D634-4969-8CD6-12D47BDB3602}"/>
    <cellStyle name="Normal 8 2 2 2 5 2 2 3" xfId="24697" xr:uid="{E07F513C-9A34-4BFE-86DF-9D21096C9A1F}"/>
    <cellStyle name="Normal 8 2 2 2 5 2 3" xfId="12042" xr:uid="{8085471D-3A9C-4429-A830-2B263D667D52}"/>
    <cellStyle name="Normal 8 2 2 2 5 2 4" xfId="20480" xr:uid="{1445A46F-DD63-4683-B7FE-35484C93979C}"/>
    <cellStyle name="Normal 8 2 2 2 5 3" xfId="5673" xr:uid="{00000000-0005-0000-0000-0000391C0000}"/>
    <cellStyle name="Normal 8 2 2 2 5 3 2" xfId="14115" xr:uid="{3BB6AAF7-9952-4B57-A029-9E1EF2680271}"/>
    <cellStyle name="Normal 8 2 2 2 5 3 3" xfId="22552" xr:uid="{5506B9DF-2BF5-47ED-AAB5-52335B98E865}"/>
    <cellStyle name="Normal 8 2 2 2 5 4" xfId="9897" xr:uid="{5660BC02-4C8E-4130-980E-C5ACAC126B7A}"/>
    <cellStyle name="Normal 8 2 2 2 5 5" xfId="18335" xr:uid="{5E761346-54B1-4080-B872-0755D9ADAFE6}"/>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E3C3B5CB-F2FE-4C3A-945A-54E0FC4C6F8D}"/>
    <cellStyle name="Normal 8 2 2 2 6 2 2 3" xfId="25110" xr:uid="{43722801-B1BE-4579-A545-F3B73045537D}"/>
    <cellStyle name="Normal 8 2 2 2 6 2 3" xfId="12455" xr:uid="{D1920B42-4525-49AB-B6F8-8C4DAFF5D721}"/>
    <cellStyle name="Normal 8 2 2 2 6 2 4" xfId="20893" xr:uid="{B3B801E7-B90D-49C5-8A61-8701A9C2410B}"/>
    <cellStyle name="Normal 8 2 2 2 6 3" xfId="6086" xr:uid="{00000000-0005-0000-0000-00003D1C0000}"/>
    <cellStyle name="Normal 8 2 2 2 6 3 2" xfId="14528" xr:uid="{FAF710B1-96B0-4B55-9EA2-A030E20D273B}"/>
    <cellStyle name="Normal 8 2 2 2 6 3 3" xfId="22965" xr:uid="{67FFF2C8-801E-475F-B62A-205A8B325EA3}"/>
    <cellStyle name="Normal 8 2 2 2 6 4" xfId="10310" xr:uid="{332830A9-BC05-4AC5-8FE4-265E1FA2069B}"/>
    <cellStyle name="Normal 8 2 2 2 6 5" xfId="18748" xr:uid="{638D1496-F9F5-4304-8EF1-FA0EA061FD45}"/>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0041CA25-D494-4CDD-A2B8-55C17FCC1267}"/>
    <cellStyle name="Normal 8 2 2 2 7 2 2 3" xfId="25523" xr:uid="{AD5D8A4D-458B-4461-A96C-D3653B466CFB}"/>
    <cellStyle name="Normal 8 2 2 2 7 2 3" xfId="12868" xr:uid="{74E9389C-9913-43DD-87C0-23437E5E1D04}"/>
    <cellStyle name="Normal 8 2 2 2 7 2 4" xfId="21306" xr:uid="{586E3BD4-4C23-464E-9F74-2B104E216C4A}"/>
    <cellStyle name="Normal 8 2 2 2 7 3" xfId="6499" xr:uid="{00000000-0005-0000-0000-0000411C0000}"/>
    <cellStyle name="Normal 8 2 2 2 7 3 2" xfId="14941" xr:uid="{EF208983-193D-461C-A609-CFDC353D81E3}"/>
    <cellStyle name="Normal 8 2 2 2 7 3 3" xfId="23378" xr:uid="{3FF464C8-83A1-4809-B266-06FF9A8692BF}"/>
    <cellStyle name="Normal 8 2 2 2 7 4" xfId="10723" xr:uid="{8DA1DB0D-AC6C-4275-9AC6-1DEAF5354D40}"/>
    <cellStyle name="Normal 8 2 2 2 7 5" xfId="19161" xr:uid="{C70F8EF9-1599-484B-B85F-7933303CB5EC}"/>
    <cellStyle name="Normal 8 2 2 2 8" xfId="2628" xr:uid="{00000000-0005-0000-0000-0000421C0000}"/>
    <cellStyle name="Normal 8 2 2 2 8 2" xfId="6912" xr:uid="{00000000-0005-0000-0000-0000431C0000}"/>
    <cellStyle name="Normal 8 2 2 2 8 2 2" xfId="15354" xr:uid="{9404232E-BC17-4A3C-A646-46220E967907}"/>
    <cellStyle name="Normal 8 2 2 2 8 2 3" xfId="23791" xr:uid="{94B5A8ED-F92B-43CA-9735-06FA3CFB9048}"/>
    <cellStyle name="Normal 8 2 2 2 8 3" xfId="11136" xr:uid="{BD1FF6CA-A5EB-470F-B0F8-EAF95BE7052F}"/>
    <cellStyle name="Normal 8 2 2 2 8 4" xfId="19574" xr:uid="{45D45900-894C-492F-BD18-2CF4BCE6A1EF}"/>
    <cellStyle name="Normal 8 2 2 2 9" xfId="4847" xr:uid="{00000000-0005-0000-0000-0000441C0000}"/>
    <cellStyle name="Normal 8 2 2 2 9 2" xfId="13289" xr:uid="{5AE3949C-BF67-45A9-9E39-D326381CBA02}"/>
    <cellStyle name="Normal 8 2 2 2 9 3" xfId="21726" xr:uid="{A7441CC7-D050-4493-B732-C74D291CC3D5}"/>
    <cellStyle name="Normal 8 2 2 3" xfId="485" xr:uid="{00000000-0005-0000-0000-0000451C0000}"/>
    <cellStyle name="Normal 8 2 2 3 10" xfId="17513" xr:uid="{07908EF8-3058-472F-BDCA-602CE19657F3}"/>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0FE0F19A-7D75-42D4-B079-EA5AD9967049}"/>
    <cellStyle name="Normal 8 2 2 3 2 2 2 2 3" xfId="24289" xr:uid="{EBAD51DA-FCFE-417B-A7AE-41AAF22433C0}"/>
    <cellStyle name="Normal 8 2 2 3 2 2 2 3" xfId="11634" xr:uid="{802CDEA6-7FBA-4075-ABC6-DEB5BBC26463}"/>
    <cellStyle name="Normal 8 2 2 3 2 2 2 4" xfId="20072" xr:uid="{C2298029-CC17-40D5-83B2-504F87B1EA2C}"/>
    <cellStyle name="Normal 8 2 2 3 2 2 3" xfId="5265" xr:uid="{00000000-0005-0000-0000-00004A1C0000}"/>
    <cellStyle name="Normal 8 2 2 3 2 2 3 2" xfId="13707" xr:uid="{AAC2A9C8-D3D8-4F95-BDE3-E316B1CEC115}"/>
    <cellStyle name="Normal 8 2 2 3 2 2 3 3" xfId="22144" xr:uid="{A2EE33F0-44A3-4F43-9D23-205DCC891222}"/>
    <cellStyle name="Normal 8 2 2 3 2 2 4" xfId="9489" xr:uid="{4ABFB871-2F8A-40BD-8576-F4586C984052}"/>
    <cellStyle name="Normal 8 2 2 3 2 2 5" xfId="17927" xr:uid="{58F418EA-0470-433C-841D-7813D8F7890D}"/>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EC8B98DE-875B-427C-BE5E-5284809E3E46}"/>
    <cellStyle name="Normal 8 2 2 3 2 3 2 2 3" xfId="24702" xr:uid="{5827D8EE-8EDA-41DE-B8D5-C440F7DB3A49}"/>
    <cellStyle name="Normal 8 2 2 3 2 3 2 3" xfId="12047" xr:uid="{D7548966-939F-4E3C-9596-200D813BDA15}"/>
    <cellStyle name="Normal 8 2 2 3 2 3 2 4" xfId="20485" xr:uid="{AD42365C-58E1-449D-903C-5C9F4DC52792}"/>
    <cellStyle name="Normal 8 2 2 3 2 3 3" xfId="5678" xr:uid="{00000000-0005-0000-0000-00004E1C0000}"/>
    <cellStyle name="Normal 8 2 2 3 2 3 3 2" xfId="14120" xr:uid="{D6B71B59-83C5-456E-9002-7DD2C32495B4}"/>
    <cellStyle name="Normal 8 2 2 3 2 3 3 3" xfId="22557" xr:uid="{3F32069C-BD91-4A57-BDEA-14CA156AFDD2}"/>
    <cellStyle name="Normal 8 2 2 3 2 3 4" xfId="9902" xr:uid="{2D62BD09-48C1-4483-B5FB-971B4BB56E46}"/>
    <cellStyle name="Normal 8 2 2 3 2 3 5" xfId="18340" xr:uid="{B78AD5C7-BCFF-44A3-9A1B-0687393E87A8}"/>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8B10E3BD-CFAA-49FC-A6C1-B64F003980C7}"/>
    <cellStyle name="Normal 8 2 2 3 2 4 2 2 3" xfId="25115" xr:uid="{04E2318D-EA02-4337-9768-182C9DD37ACE}"/>
    <cellStyle name="Normal 8 2 2 3 2 4 2 3" xfId="12460" xr:uid="{622B7828-AA30-4BEA-BAA0-625296E3F854}"/>
    <cellStyle name="Normal 8 2 2 3 2 4 2 4" xfId="20898" xr:uid="{35245892-788A-46B8-8391-50CE4D4F5CAC}"/>
    <cellStyle name="Normal 8 2 2 3 2 4 3" xfId="6091" xr:uid="{00000000-0005-0000-0000-0000521C0000}"/>
    <cellStyle name="Normal 8 2 2 3 2 4 3 2" xfId="14533" xr:uid="{0B10610A-A0B9-47CB-B377-2CE69EDDF095}"/>
    <cellStyle name="Normal 8 2 2 3 2 4 3 3" xfId="22970" xr:uid="{F3340061-39A1-4392-9165-781C989361C0}"/>
    <cellStyle name="Normal 8 2 2 3 2 4 4" xfId="10315" xr:uid="{F2584B28-3AF3-47F9-B141-7A5E5E920411}"/>
    <cellStyle name="Normal 8 2 2 3 2 4 5" xfId="18753" xr:uid="{5D0CCF3A-CC47-48E5-BE9B-B3E828E91208}"/>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2639E18D-993B-4BF7-A681-C49F785A2EBC}"/>
    <cellStyle name="Normal 8 2 2 3 2 5 2 2 3" xfId="25528" xr:uid="{D33526C9-D546-4AA6-966E-02B76951B969}"/>
    <cellStyle name="Normal 8 2 2 3 2 5 2 3" xfId="12873" xr:uid="{490F5E4B-93DD-4BBB-BDA1-07F1AD094B91}"/>
    <cellStyle name="Normal 8 2 2 3 2 5 2 4" xfId="21311" xr:uid="{24CE58D8-8B87-4ACD-B1B4-0BA5EC00805B}"/>
    <cellStyle name="Normal 8 2 2 3 2 5 3" xfId="6504" xr:uid="{00000000-0005-0000-0000-0000561C0000}"/>
    <cellStyle name="Normal 8 2 2 3 2 5 3 2" xfId="14946" xr:uid="{D3149982-B103-4C62-BCB0-3CAD77AF4AD6}"/>
    <cellStyle name="Normal 8 2 2 3 2 5 3 3" xfId="23383" xr:uid="{E880048D-C105-46AC-84D1-7A12FC4EC5EF}"/>
    <cellStyle name="Normal 8 2 2 3 2 5 4" xfId="10728" xr:uid="{F11BF39A-A36C-4758-85F8-A795B8B82BD4}"/>
    <cellStyle name="Normal 8 2 2 3 2 5 5" xfId="19166" xr:uid="{62A86D4E-CAEE-4482-8632-77B701F1DED4}"/>
    <cellStyle name="Normal 8 2 2 3 2 6" xfId="2633" xr:uid="{00000000-0005-0000-0000-0000571C0000}"/>
    <cellStyle name="Normal 8 2 2 3 2 6 2" xfId="6917" xr:uid="{00000000-0005-0000-0000-0000581C0000}"/>
    <cellStyle name="Normal 8 2 2 3 2 6 2 2" xfId="15359" xr:uid="{DCA9D1DE-C424-4365-9E46-C70A8F87C541}"/>
    <cellStyle name="Normal 8 2 2 3 2 6 2 3" xfId="23796" xr:uid="{A323BDA9-2CC3-49B2-8FC5-29DC88AF5972}"/>
    <cellStyle name="Normal 8 2 2 3 2 6 3" xfId="11141" xr:uid="{59F79DAB-8723-4448-8472-FD5DBD0A9AF2}"/>
    <cellStyle name="Normal 8 2 2 3 2 6 4" xfId="19579" xr:uid="{F0710595-5C96-4495-B4B0-DE26A4C62255}"/>
    <cellStyle name="Normal 8 2 2 3 2 7" xfId="4852" xr:uid="{00000000-0005-0000-0000-0000591C0000}"/>
    <cellStyle name="Normal 8 2 2 3 2 7 2" xfId="13294" xr:uid="{0CC20286-CE0F-44A1-9A3C-F4E15CE3A12E}"/>
    <cellStyle name="Normal 8 2 2 3 2 7 3" xfId="21731" xr:uid="{8525A2E1-C7E3-4949-9A47-609E4FA14EC1}"/>
    <cellStyle name="Normal 8 2 2 3 2 8" xfId="9076" xr:uid="{12161241-52AD-4095-BCFC-F0274C10942B}"/>
    <cellStyle name="Normal 8 2 2 3 2 9" xfId="17514" xr:uid="{E079CBB1-73C5-4486-823B-4B0516E541B4}"/>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67364B5C-9D04-4BFC-9BE6-3C46D5B8DA72}"/>
    <cellStyle name="Normal 8 2 2 3 3 2 2 3" xfId="24288" xr:uid="{C6D7049A-A715-4619-87DA-3A68A475E3E9}"/>
    <cellStyle name="Normal 8 2 2 3 3 2 3" xfId="11633" xr:uid="{C1CCB2BC-DFA1-4691-B290-F05F3B2226D4}"/>
    <cellStyle name="Normal 8 2 2 3 3 2 4" xfId="20071" xr:uid="{42AFDD57-9111-4428-8520-18E1C553D84D}"/>
    <cellStyle name="Normal 8 2 2 3 3 3" xfId="5264" xr:uid="{00000000-0005-0000-0000-00005D1C0000}"/>
    <cellStyle name="Normal 8 2 2 3 3 3 2" xfId="13706" xr:uid="{1B5D3ED8-77EF-41F0-B653-4577027A8F38}"/>
    <cellStyle name="Normal 8 2 2 3 3 3 3" xfId="22143" xr:uid="{D36B395F-0953-4D80-967E-78BE8A924512}"/>
    <cellStyle name="Normal 8 2 2 3 3 4" xfId="9488" xr:uid="{978AC0BF-0CA5-44ED-B9BB-A2E24C4A1FB8}"/>
    <cellStyle name="Normal 8 2 2 3 3 5" xfId="17926" xr:uid="{15E21662-987F-448F-9E4F-CCCB47D437D4}"/>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26C0A941-6B38-4557-8EAF-634A63D188A6}"/>
    <cellStyle name="Normal 8 2 2 3 4 2 2 3" xfId="24701" xr:uid="{5C54336D-6B4E-484D-B5B0-60AE42E38669}"/>
    <cellStyle name="Normal 8 2 2 3 4 2 3" xfId="12046" xr:uid="{466B3AB4-D794-474E-8AC3-4FEB4B40F7EC}"/>
    <cellStyle name="Normal 8 2 2 3 4 2 4" xfId="20484" xr:uid="{0733AE56-D9A2-420E-A5A5-E90D85705C6B}"/>
    <cellStyle name="Normal 8 2 2 3 4 3" xfId="5677" xr:uid="{00000000-0005-0000-0000-0000611C0000}"/>
    <cellStyle name="Normal 8 2 2 3 4 3 2" xfId="14119" xr:uid="{CAE23526-AE9D-4F3C-B7BB-A5A92C851B71}"/>
    <cellStyle name="Normal 8 2 2 3 4 3 3" xfId="22556" xr:uid="{A63E6E55-E5CB-47E3-9068-8F9BB5FC8716}"/>
    <cellStyle name="Normal 8 2 2 3 4 4" xfId="9901" xr:uid="{B5AD9810-D751-488E-A809-4B22AEDA65A9}"/>
    <cellStyle name="Normal 8 2 2 3 4 5" xfId="18339" xr:uid="{93E8CF6F-4FDB-4E75-9661-0199CA49CF56}"/>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B9144DA7-AAA0-4086-BCAA-5D754B9227B2}"/>
    <cellStyle name="Normal 8 2 2 3 5 2 2 3" xfId="25114" xr:uid="{09F93ADA-B60A-4D2A-9B80-D4EF2D08B571}"/>
    <cellStyle name="Normal 8 2 2 3 5 2 3" xfId="12459" xr:uid="{B1A0DEA6-D776-4F98-B98C-A121143910D7}"/>
    <cellStyle name="Normal 8 2 2 3 5 2 4" xfId="20897" xr:uid="{CF486CE8-B0EA-42D1-BC52-986CC6840013}"/>
    <cellStyle name="Normal 8 2 2 3 5 3" xfId="6090" xr:uid="{00000000-0005-0000-0000-0000651C0000}"/>
    <cellStyle name="Normal 8 2 2 3 5 3 2" xfId="14532" xr:uid="{39E76976-0457-4D5B-ADD7-B55A41704C46}"/>
    <cellStyle name="Normal 8 2 2 3 5 3 3" xfId="22969" xr:uid="{8B22E950-DD70-4BC2-B5B9-F5CB76808A15}"/>
    <cellStyle name="Normal 8 2 2 3 5 4" xfId="10314" xr:uid="{2517EEF2-CAFF-4812-BE83-EDB573D06247}"/>
    <cellStyle name="Normal 8 2 2 3 5 5" xfId="18752" xr:uid="{FFB8FB17-D881-4227-ABEF-B94C02F6E053}"/>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C1C5917B-DECC-4D59-982D-1D170DB4A7A1}"/>
    <cellStyle name="Normal 8 2 2 3 6 2 2 3" xfId="25527" xr:uid="{F12CE639-2290-4BA5-9CEE-5FFCE0931F01}"/>
    <cellStyle name="Normal 8 2 2 3 6 2 3" xfId="12872" xr:uid="{8FF9C07B-70BC-4F4A-AD2C-90A2CA58EE51}"/>
    <cellStyle name="Normal 8 2 2 3 6 2 4" xfId="21310" xr:uid="{C08B87C9-2FF5-4674-BE30-58E71B04EFFD}"/>
    <cellStyle name="Normal 8 2 2 3 6 3" xfId="6503" xr:uid="{00000000-0005-0000-0000-0000691C0000}"/>
    <cellStyle name="Normal 8 2 2 3 6 3 2" xfId="14945" xr:uid="{2204374D-B0E1-4F5E-9C93-9BD587DB1A68}"/>
    <cellStyle name="Normal 8 2 2 3 6 3 3" xfId="23382" xr:uid="{68071003-C1F2-4CAC-B13C-77E4A3F545D3}"/>
    <cellStyle name="Normal 8 2 2 3 6 4" xfId="10727" xr:uid="{0450328A-98A3-411A-96F3-4400FAEFCE9D}"/>
    <cellStyle name="Normal 8 2 2 3 6 5" xfId="19165" xr:uid="{E2FA1013-0B8F-490A-8691-68D19DD794A0}"/>
    <cellStyle name="Normal 8 2 2 3 7" xfId="2632" xr:uid="{00000000-0005-0000-0000-00006A1C0000}"/>
    <cellStyle name="Normal 8 2 2 3 7 2" xfId="6916" xr:uid="{00000000-0005-0000-0000-00006B1C0000}"/>
    <cellStyle name="Normal 8 2 2 3 7 2 2" xfId="15358" xr:uid="{C00462BC-9765-4C56-BD65-7408F7D410D3}"/>
    <cellStyle name="Normal 8 2 2 3 7 2 3" xfId="23795" xr:uid="{94D5DF29-9BC6-439F-B77B-844D96FD1D44}"/>
    <cellStyle name="Normal 8 2 2 3 7 3" xfId="11140" xr:uid="{DB4CBC0F-A3CE-45FD-8891-32CB40928F01}"/>
    <cellStyle name="Normal 8 2 2 3 7 4" xfId="19578" xr:uid="{6C4328FA-E38B-4538-B9A6-0FDA6E6C1F29}"/>
    <cellStyle name="Normal 8 2 2 3 8" xfId="4851" xr:uid="{00000000-0005-0000-0000-00006C1C0000}"/>
    <cellStyle name="Normal 8 2 2 3 8 2" xfId="13293" xr:uid="{0990AA7B-D4F6-48BC-B1A4-4A2F919EC4F8}"/>
    <cellStyle name="Normal 8 2 2 3 8 3" xfId="21730" xr:uid="{2882AA72-174E-40EB-9949-B565C615A4AE}"/>
    <cellStyle name="Normal 8 2 2 3 9" xfId="9075" xr:uid="{C2F3C118-2BE9-4FDC-BDAE-B8B7BECBC1CB}"/>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72294428-4BF9-467B-96B5-A089B2FFA2C4}"/>
    <cellStyle name="Normal 8 2 2 4 2 2 2 3" xfId="24290" xr:uid="{05715172-36B4-45CA-BE65-D7BDB2203348}"/>
    <cellStyle name="Normal 8 2 2 4 2 2 3" xfId="11635" xr:uid="{4E1D07AC-4F30-453D-82FE-4923F033A7F5}"/>
    <cellStyle name="Normal 8 2 2 4 2 2 4" xfId="20073" xr:uid="{676B1F42-0992-4B2C-9751-B8B3E785F4AC}"/>
    <cellStyle name="Normal 8 2 2 4 2 3" xfId="5266" xr:uid="{00000000-0005-0000-0000-0000711C0000}"/>
    <cellStyle name="Normal 8 2 2 4 2 3 2" xfId="13708" xr:uid="{F25BBC97-CE50-461A-A0C9-6E88D2984604}"/>
    <cellStyle name="Normal 8 2 2 4 2 3 3" xfId="22145" xr:uid="{7EA65842-954F-4E86-BAE5-2271A8F8DF5F}"/>
    <cellStyle name="Normal 8 2 2 4 2 4" xfId="9490" xr:uid="{CAD81924-B5BC-4201-BD33-D12039914AF1}"/>
    <cellStyle name="Normal 8 2 2 4 2 5" xfId="17928" xr:uid="{A9F275FF-20DA-408A-B690-5CF5E2596B3C}"/>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99DFEDBE-3C2C-4807-B340-0E4F3E6C7CCF}"/>
    <cellStyle name="Normal 8 2 2 4 3 2 2 3" xfId="24703" xr:uid="{A52160F9-4AFD-44FD-A9DF-7AA814FEC36E}"/>
    <cellStyle name="Normal 8 2 2 4 3 2 3" xfId="12048" xr:uid="{525D9E4C-DB70-4E1D-A732-2D9288C7E58D}"/>
    <cellStyle name="Normal 8 2 2 4 3 2 4" xfId="20486" xr:uid="{3114F2DC-1473-4E59-9D0F-4DA7B22719D8}"/>
    <cellStyle name="Normal 8 2 2 4 3 3" xfId="5679" xr:uid="{00000000-0005-0000-0000-0000751C0000}"/>
    <cellStyle name="Normal 8 2 2 4 3 3 2" xfId="14121" xr:uid="{763986E7-A6B9-43C5-AC38-FC059642F4FF}"/>
    <cellStyle name="Normal 8 2 2 4 3 3 3" xfId="22558" xr:uid="{16F6003F-DD16-4660-BD36-368581ADA043}"/>
    <cellStyle name="Normal 8 2 2 4 3 4" xfId="9903" xr:uid="{EE54D911-7906-4D66-8C56-47EC37F57634}"/>
    <cellStyle name="Normal 8 2 2 4 3 5" xfId="18341" xr:uid="{78ED5022-44DB-4322-9EAC-73F89E0FA371}"/>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CFCD939B-C1BD-4623-811A-3CF81E90472C}"/>
    <cellStyle name="Normal 8 2 2 4 4 2 2 3" xfId="25116" xr:uid="{131B8E2D-8769-44B4-AF77-5E97A78D4F0B}"/>
    <cellStyle name="Normal 8 2 2 4 4 2 3" xfId="12461" xr:uid="{26331D71-8971-4D9E-B465-F23B91BE46E5}"/>
    <cellStyle name="Normal 8 2 2 4 4 2 4" xfId="20899" xr:uid="{8AB52038-60A2-42A5-AC6E-FE892E3F1900}"/>
    <cellStyle name="Normal 8 2 2 4 4 3" xfId="6092" xr:uid="{00000000-0005-0000-0000-0000791C0000}"/>
    <cellStyle name="Normal 8 2 2 4 4 3 2" xfId="14534" xr:uid="{F8E6A832-0448-4B59-881C-39CF7CE7A4BB}"/>
    <cellStyle name="Normal 8 2 2 4 4 3 3" xfId="22971" xr:uid="{BAE35EAA-1A26-446A-BC65-75A785109580}"/>
    <cellStyle name="Normal 8 2 2 4 4 4" xfId="10316" xr:uid="{68F3C6D6-9FBA-4C62-AA1F-8E93EC4697BA}"/>
    <cellStyle name="Normal 8 2 2 4 4 5" xfId="18754" xr:uid="{C28D1DDD-5092-4456-B227-CB3CE8A299A9}"/>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ED5B7038-5D7B-4690-86AC-BBE08C4A1E13}"/>
    <cellStyle name="Normal 8 2 2 4 5 2 2 3" xfId="25529" xr:uid="{5DCA3850-7D84-4376-BE16-8F3600B3574B}"/>
    <cellStyle name="Normal 8 2 2 4 5 2 3" xfId="12874" xr:uid="{BCADE3A9-5903-40A7-9C5C-7B517CDD4600}"/>
    <cellStyle name="Normal 8 2 2 4 5 2 4" xfId="21312" xr:uid="{DA30BF60-616D-4538-BE2B-E47CD8AE7F6F}"/>
    <cellStyle name="Normal 8 2 2 4 5 3" xfId="6505" xr:uid="{00000000-0005-0000-0000-00007D1C0000}"/>
    <cellStyle name="Normal 8 2 2 4 5 3 2" xfId="14947" xr:uid="{703FA443-084B-460A-8CB3-76C7C0B87316}"/>
    <cellStyle name="Normal 8 2 2 4 5 3 3" xfId="23384" xr:uid="{3B1A1672-FAD2-4DAE-A718-647E4E7DB5FB}"/>
    <cellStyle name="Normal 8 2 2 4 5 4" xfId="10729" xr:uid="{7A5951C7-9212-4FBB-B1B0-891D9B030778}"/>
    <cellStyle name="Normal 8 2 2 4 5 5" xfId="19167" xr:uid="{B50B17C8-F130-458F-832C-1532DDCAEC0C}"/>
    <cellStyle name="Normal 8 2 2 4 6" xfId="2634" xr:uid="{00000000-0005-0000-0000-00007E1C0000}"/>
    <cellStyle name="Normal 8 2 2 4 6 2" xfId="6918" xr:uid="{00000000-0005-0000-0000-00007F1C0000}"/>
    <cellStyle name="Normal 8 2 2 4 6 2 2" xfId="15360" xr:uid="{BE9BC8E1-324A-44A6-89F7-22A115E8E6F3}"/>
    <cellStyle name="Normal 8 2 2 4 6 2 3" xfId="23797" xr:uid="{2D4DC14B-7DE3-48A8-A77A-AAFAD96F0728}"/>
    <cellStyle name="Normal 8 2 2 4 6 3" xfId="11142" xr:uid="{8685D81E-B5A9-4F8F-917A-A9F6797CEB7D}"/>
    <cellStyle name="Normal 8 2 2 4 6 4" xfId="19580" xr:uid="{9DA0782D-A580-42B5-A60A-2128D8346ABF}"/>
    <cellStyle name="Normal 8 2 2 4 7" xfId="4853" xr:uid="{00000000-0005-0000-0000-0000801C0000}"/>
    <cellStyle name="Normal 8 2 2 4 7 2" xfId="13295" xr:uid="{7A8FFA94-2301-47CC-80F5-C890D0711F48}"/>
    <cellStyle name="Normal 8 2 2 4 7 3" xfId="21732" xr:uid="{B2AA81AB-3794-42FC-8565-CFD6E85DB6B0}"/>
    <cellStyle name="Normal 8 2 2 4 8" xfId="9077" xr:uid="{A7DEF0DB-427C-4F7E-ABA7-7D9A6FD3E92E}"/>
    <cellStyle name="Normal 8 2 2 4 9" xfId="17515" xr:uid="{0FA53BE2-26CA-4FC7-B8F4-5D3E7A4F3E80}"/>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04EAE1CC-BEFE-419F-94E8-79E8EF35F488}"/>
    <cellStyle name="Normal 8 2 2 5 2 2 3" xfId="24283" xr:uid="{0D1CA775-EBA5-4454-85F1-D9BD81E5C428}"/>
    <cellStyle name="Normal 8 2 2 5 2 3" xfId="11628" xr:uid="{6137975C-808C-4549-B356-857AB5EB64CF}"/>
    <cellStyle name="Normal 8 2 2 5 2 4" xfId="20066" xr:uid="{4EE6E25D-6122-4BA2-A7D5-1F5F77F5E290}"/>
    <cellStyle name="Normal 8 2 2 5 3" xfId="5259" xr:uid="{00000000-0005-0000-0000-0000841C0000}"/>
    <cellStyle name="Normal 8 2 2 5 3 2" xfId="13701" xr:uid="{F902F585-D1A9-444C-89EA-7FF7134F46D5}"/>
    <cellStyle name="Normal 8 2 2 5 3 3" xfId="22138" xr:uid="{D137769F-C627-48FD-9DBA-1528FD3B8C8F}"/>
    <cellStyle name="Normal 8 2 2 5 4" xfId="9483" xr:uid="{0AC0BB37-82D7-47C4-8B3B-3E9D00393E48}"/>
    <cellStyle name="Normal 8 2 2 5 5" xfId="17921" xr:uid="{7F5816FE-A8EA-4094-A33A-D87C2894F2A2}"/>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385298B1-29E4-41F6-81B5-30E75E0059C5}"/>
    <cellStyle name="Normal 8 2 2 6 2 2 3" xfId="24696" xr:uid="{DA64EEE3-FA12-41AC-B09F-69A74E091588}"/>
    <cellStyle name="Normal 8 2 2 6 2 3" xfId="12041" xr:uid="{967E59DE-7009-496E-A3E5-FDC7BA968751}"/>
    <cellStyle name="Normal 8 2 2 6 2 4" xfId="20479" xr:uid="{3AC79C24-7C5C-46DE-B164-2EB81584758F}"/>
    <cellStyle name="Normal 8 2 2 6 3" xfId="5672" xr:uid="{00000000-0005-0000-0000-0000881C0000}"/>
    <cellStyle name="Normal 8 2 2 6 3 2" xfId="14114" xr:uid="{F8991645-643A-4321-8723-72766B617665}"/>
    <cellStyle name="Normal 8 2 2 6 3 3" xfId="22551" xr:uid="{16209E1D-53F6-46DA-8F6A-B21CF6800857}"/>
    <cellStyle name="Normal 8 2 2 6 4" xfId="9896" xr:uid="{BED8CEED-24F0-4AA5-87E3-4AF94283B977}"/>
    <cellStyle name="Normal 8 2 2 6 5" xfId="18334" xr:uid="{EED70844-4508-4170-98A2-9D6C4495EB4A}"/>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27510006-4980-495E-A57E-ED6724644386}"/>
    <cellStyle name="Normal 8 2 2 7 2 2 3" xfId="25109" xr:uid="{CFECF346-EC72-4783-AE1F-7D0921711F3E}"/>
    <cellStyle name="Normal 8 2 2 7 2 3" xfId="12454" xr:uid="{DFF170B4-01F7-4600-8483-9E6E30D5582C}"/>
    <cellStyle name="Normal 8 2 2 7 2 4" xfId="20892" xr:uid="{024EF376-53C0-45EC-A05A-685945FE5FD4}"/>
    <cellStyle name="Normal 8 2 2 7 3" xfId="6085" xr:uid="{00000000-0005-0000-0000-00008C1C0000}"/>
    <cellStyle name="Normal 8 2 2 7 3 2" xfId="14527" xr:uid="{4EA9CE76-2FA9-4FC6-854A-5D17FFEDBCD8}"/>
    <cellStyle name="Normal 8 2 2 7 3 3" xfId="22964" xr:uid="{9E4ED6C1-8B4F-4B49-BEAC-04DE50CD8EDC}"/>
    <cellStyle name="Normal 8 2 2 7 4" xfId="10309" xr:uid="{54F4F9E9-59EC-4D25-B621-EE60D8D1DAD7}"/>
    <cellStyle name="Normal 8 2 2 7 5" xfId="18747" xr:uid="{F252FF5C-2B58-4EC0-8CFD-5B66374286A8}"/>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5C507DB1-A1B9-4F1D-B700-767F10A76A6B}"/>
    <cellStyle name="Normal 8 2 2 8 2 2 3" xfId="25522" xr:uid="{C58EF071-F5DA-45E3-830C-FF35182F27C9}"/>
    <cellStyle name="Normal 8 2 2 8 2 3" xfId="12867" xr:uid="{792A9A48-3E3D-4EEC-921D-3C9251E2B5F4}"/>
    <cellStyle name="Normal 8 2 2 8 2 4" xfId="21305" xr:uid="{C32C1623-48F7-40B4-93B5-5A082064D548}"/>
    <cellStyle name="Normal 8 2 2 8 3" xfId="6498" xr:uid="{00000000-0005-0000-0000-0000901C0000}"/>
    <cellStyle name="Normal 8 2 2 8 3 2" xfId="14940" xr:uid="{E4EE2372-2651-4AB7-B1E4-111A665E56E6}"/>
    <cellStyle name="Normal 8 2 2 8 3 3" xfId="23377" xr:uid="{AADADAAE-FDD1-4C69-A774-2A0B055CC14B}"/>
    <cellStyle name="Normal 8 2 2 8 4" xfId="10722" xr:uid="{83591ED9-0808-4502-9F72-9633853B612B}"/>
    <cellStyle name="Normal 8 2 2 8 5" xfId="19160" xr:uid="{7C8BA227-3F2A-4566-BFBC-098AF2BD28B1}"/>
    <cellStyle name="Normal 8 2 2 9" xfId="2627" xr:uid="{00000000-0005-0000-0000-0000911C0000}"/>
    <cellStyle name="Normal 8 2 2 9 2" xfId="6911" xr:uid="{00000000-0005-0000-0000-0000921C0000}"/>
    <cellStyle name="Normal 8 2 2 9 2 2" xfId="15353" xr:uid="{BAAD4446-B01E-4065-8E90-C06AC3D61500}"/>
    <cellStyle name="Normal 8 2 2 9 2 3" xfId="23790" xr:uid="{F152DE93-884F-427D-B437-D20153DCC5FA}"/>
    <cellStyle name="Normal 8 2 2 9 3" xfId="11135" xr:uid="{8E6DDA9E-FBFA-4AA4-9EE2-A8E95EF8EB53}"/>
    <cellStyle name="Normal 8 2 2 9 4" xfId="19573" xr:uid="{A3220E5D-20D4-481B-A498-73D09E5DFF11}"/>
    <cellStyle name="Normal 8 2 3" xfId="488" xr:uid="{00000000-0005-0000-0000-0000931C0000}"/>
    <cellStyle name="Normal 8 2 3 10" xfId="9078" xr:uid="{A116392C-4E93-46A8-A89F-953450835A98}"/>
    <cellStyle name="Normal 8 2 3 11" xfId="17516" xr:uid="{F3089258-1D5B-43E4-A6A6-AB659E91BC9A}"/>
    <cellStyle name="Normal 8 2 3 2" xfId="489" xr:uid="{00000000-0005-0000-0000-0000941C0000}"/>
    <cellStyle name="Normal 8 2 3 2 10" xfId="17517" xr:uid="{8791BD6F-E36E-4717-9C65-ADFEB87CD93C}"/>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401BDE4B-1BAD-4D21-AB80-7323FCA56DF2}"/>
    <cellStyle name="Normal 8 2 3 2 2 2 2 2 3" xfId="24293" xr:uid="{D9A698D2-5E53-4122-90F5-297354AB2037}"/>
    <cellStyle name="Normal 8 2 3 2 2 2 2 3" xfId="11638" xr:uid="{E61EBFE8-B2DC-4903-84B8-577394CA7F1A}"/>
    <cellStyle name="Normal 8 2 3 2 2 2 2 4" xfId="20076" xr:uid="{D85E4E57-5209-4A6C-ADBB-856BA3B2555A}"/>
    <cellStyle name="Normal 8 2 3 2 2 2 3" xfId="5269" xr:uid="{00000000-0005-0000-0000-0000991C0000}"/>
    <cellStyle name="Normal 8 2 3 2 2 2 3 2" xfId="13711" xr:uid="{1B9E5113-0ACE-44C8-AACA-6A9F84A21C35}"/>
    <cellStyle name="Normal 8 2 3 2 2 2 3 3" xfId="22148" xr:uid="{C9FC14C0-DF1B-4E68-AB9E-E8A129CD38C0}"/>
    <cellStyle name="Normal 8 2 3 2 2 2 4" xfId="9493" xr:uid="{357D459F-3304-4AF7-9EC4-30A358EAADED}"/>
    <cellStyle name="Normal 8 2 3 2 2 2 5" xfId="17931" xr:uid="{15289997-54FE-44A5-9BC0-CB6E2D69520C}"/>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6B4C859B-6D14-4528-AC5B-AD9A582BAE0E}"/>
    <cellStyle name="Normal 8 2 3 2 2 3 2 2 3" xfId="24706" xr:uid="{4A4D89F3-1594-450C-B7B3-85470BEAB20E}"/>
    <cellStyle name="Normal 8 2 3 2 2 3 2 3" xfId="12051" xr:uid="{704C09E7-50B1-4F26-BBAA-6AFABA6FB584}"/>
    <cellStyle name="Normal 8 2 3 2 2 3 2 4" xfId="20489" xr:uid="{274D6684-CF37-4F16-AF53-89FAC7252EFE}"/>
    <cellStyle name="Normal 8 2 3 2 2 3 3" xfId="5682" xr:uid="{00000000-0005-0000-0000-00009D1C0000}"/>
    <cellStyle name="Normal 8 2 3 2 2 3 3 2" xfId="14124" xr:uid="{64815DEB-CA3A-4DF0-A0C8-36B835052170}"/>
    <cellStyle name="Normal 8 2 3 2 2 3 3 3" xfId="22561" xr:uid="{9D3FE0CD-5ABB-44BB-B9B6-732BDAFA1E05}"/>
    <cellStyle name="Normal 8 2 3 2 2 3 4" xfId="9906" xr:uid="{4F5532E0-5348-4FAF-94EB-22B55C06B592}"/>
    <cellStyle name="Normal 8 2 3 2 2 3 5" xfId="18344" xr:uid="{5690FA61-6ADF-49E3-BE15-4CE0528C9336}"/>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8D023377-071C-46FE-BE0E-987AD5F728D4}"/>
    <cellStyle name="Normal 8 2 3 2 2 4 2 2 3" xfId="25119" xr:uid="{4447C7E9-19E2-4DD0-AB10-1C619A00B935}"/>
    <cellStyle name="Normal 8 2 3 2 2 4 2 3" xfId="12464" xr:uid="{2E3ED755-4A88-442C-9A35-362F9C2B926B}"/>
    <cellStyle name="Normal 8 2 3 2 2 4 2 4" xfId="20902" xr:uid="{C1BE0884-2706-4902-B695-1EE996552580}"/>
    <cellStyle name="Normal 8 2 3 2 2 4 3" xfId="6095" xr:uid="{00000000-0005-0000-0000-0000A11C0000}"/>
    <cellStyle name="Normal 8 2 3 2 2 4 3 2" xfId="14537" xr:uid="{A3CF7579-D009-4C12-9E8D-F243E0CE2321}"/>
    <cellStyle name="Normal 8 2 3 2 2 4 3 3" xfId="22974" xr:uid="{D1F0245E-2479-4D3F-A388-4E90ACB06E73}"/>
    <cellStyle name="Normal 8 2 3 2 2 4 4" xfId="10319" xr:uid="{B6149A0C-E50B-4CBE-89C1-D5B5C2DFEA7F}"/>
    <cellStyle name="Normal 8 2 3 2 2 4 5" xfId="18757" xr:uid="{59869D29-B7C0-41EB-AE28-EA2943880AA3}"/>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AFC63F61-C908-4686-8CC5-FDAC1F6B4EE3}"/>
    <cellStyle name="Normal 8 2 3 2 2 5 2 2 3" xfId="25532" xr:uid="{CF61023D-D181-492B-BFEC-9D7C1F966C40}"/>
    <cellStyle name="Normal 8 2 3 2 2 5 2 3" xfId="12877" xr:uid="{4009051D-FCA3-444D-A0A9-55D226A03B30}"/>
    <cellStyle name="Normal 8 2 3 2 2 5 2 4" xfId="21315" xr:uid="{1B39074A-3D6D-4AEB-99A3-73D126D52522}"/>
    <cellStyle name="Normal 8 2 3 2 2 5 3" xfId="6508" xr:uid="{00000000-0005-0000-0000-0000A51C0000}"/>
    <cellStyle name="Normal 8 2 3 2 2 5 3 2" xfId="14950" xr:uid="{3CA6C44D-6F77-46CB-B9CE-BDB3CBF5298B}"/>
    <cellStyle name="Normal 8 2 3 2 2 5 3 3" xfId="23387" xr:uid="{CD955AFD-8C2B-4B38-BE41-EE61E66CD6CF}"/>
    <cellStyle name="Normal 8 2 3 2 2 5 4" xfId="10732" xr:uid="{8BC6CD69-0E1A-4D48-9E7E-382F44C55FAE}"/>
    <cellStyle name="Normal 8 2 3 2 2 5 5" xfId="19170" xr:uid="{9E71C99A-ABC6-4E62-9C97-671696A13DF8}"/>
    <cellStyle name="Normal 8 2 3 2 2 6" xfId="2637" xr:uid="{00000000-0005-0000-0000-0000A61C0000}"/>
    <cellStyle name="Normal 8 2 3 2 2 6 2" xfId="6921" xr:uid="{00000000-0005-0000-0000-0000A71C0000}"/>
    <cellStyle name="Normal 8 2 3 2 2 6 2 2" xfId="15363" xr:uid="{F7829359-A20F-43EE-91BF-A9E6435DFE0A}"/>
    <cellStyle name="Normal 8 2 3 2 2 6 2 3" xfId="23800" xr:uid="{41F82E4D-8818-4C7C-9D71-5B9FC3D7A992}"/>
    <cellStyle name="Normal 8 2 3 2 2 6 3" xfId="11145" xr:uid="{82721DB6-01D8-4A9B-81DE-6EE9CC8DED7E}"/>
    <cellStyle name="Normal 8 2 3 2 2 6 4" xfId="19583" xr:uid="{A3747A2D-03C2-475D-8EFC-E284D1F70C22}"/>
    <cellStyle name="Normal 8 2 3 2 2 7" xfId="4856" xr:uid="{00000000-0005-0000-0000-0000A81C0000}"/>
    <cellStyle name="Normal 8 2 3 2 2 7 2" xfId="13298" xr:uid="{B2390D6F-795A-4E44-AB13-C11164A28447}"/>
    <cellStyle name="Normal 8 2 3 2 2 7 3" xfId="21735" xr:uid="{EC085522-D510-4A51-800C-3296CE5F1B50}"/>
    <cellStyle name="Normal 8 2 3 2 2 8" xfId="9080" xr:uid="{677EE058-6AFB-4817-BB46-825A156C6240}"/>
    <cellStyle name="Normal 8 2 3 2 2 9" xfId="17518" xr:uid="{1E4DDEBE-44EA-4B94-AF2E-76E1556DA581}"/>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C5F0BEFE-6B48-4A32-B74D-0CA180BB6161}"/>
    <cellStyle name="Normal 8 2 3 2 3 2 2 3" xfId="24292" xr:uid="{902D134A-3047-44A6-9D4D-1BD95F2E801B}"/>
    <cellStyle name="Normal 8 2 3 2 3 2 3" xfId="11637" xr:uid="{B3EFCA07-D69C-4136-9393-33A25D1DDD04}"/>
    <cellStyle name="Normal 8 2 3 2 3 2 4" xfId="20075" xr:uid="{448093C0-EF50-404C-A698-F00037FFFFFE}"/>
    <cellStyle name="Normal 8 2 3 2 3 3" xfId="5268" xr:uid="{00000000-0005-0000-0000-0000AC1C0000}"/>
    <cellStyle name="Normal 8 2 3 2 3 3 2" xfId="13710" xr:uid="{95840392-8A3E-4E93-A392-8F7FC4B1EC08}"/>
    <cellStyle name="Normal 8 2 3 2 3 3 3" xfId="22147" xr:uid="{BE60D573-61EC-4910-ACC5-9ACBA48D4902}"/>
    <cellStyle name="Normal 8 2 3 2 3 4" xfId="9492" xr:uid="{2E5529AA-9953-478E-BE23-CE4CE30C6D4E}"/>
    <cellStyle name="Normal 8 2 3 2 3 5" xfId="17930" xr:uid="{5F826892-1DB3-44FE-9C3F-433183D01814}"/>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44BD3D5E-3FD3-40AC-8EA3-B7646449ED6A}"/>
    <cellStyle name="Normal 8 2 3 2 4 2 2 3" xfId="24705" xr:uid="{2CFA934D-66EF-4635-A3D1-31DA1926B9B9}"/>
    <cellStyle name="Normal 8 2 3 2 4 2 3" xfId="12050" xr:uid="{6D026084-993D-4305-B268-F3AC0EC5B92C}"/>
    <cellStyle name="Normal 8 2 3 2 4 2 4" xfId="20488" xr:uid="{FF692006-A4F2-4265-8657-927349B43056}"/>
    <cellStyle name="Normal 8 2 3 2 4 3" xfId="5681" xr:uid="{00000000-0005-0000-0000-0000B01C0000}"/>
    <cellStyle name="Normal 8 2 3 2 4 3 2" xfId="14123" xr:uid="{0292CB54-8242-4D88-8168-80B2F687BB68}"/>
    <cellStyle name="Normal 8 2 3 2 4 3 3" xfId="22560" xr:uid="{B5D55E47-877D-494E-ADCA-61C57FD58302}"/>
    <cellStyle name="Normal 8 2 3 2 4 4" xfId="9905" xr:uid="{B20A2231-0982-4ACD-8F41-B888439D6F21}"/>
    <cellStyle name="Normal 8 2 3 2 4 5" xfId="18343" xr:uid="{BC3F4D1F-8BDA-4260-9470-30112D49A40A}"/>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95BE192D-711E-4384-B5AF-4AFC09005E90}"/>
    <cellStyle name="Normal 8 2 3 2 5 2 2 3" xfId="25118" xr:uid="{C00277B6-3B2C-47D5-8289-21EC76DF539B}"/>
    <cellStyle name="Normal 8 2 3 2 5 2 3" xfId="12463" xr:uid="{ACAAE68F-139B-49C9-B409-5B6D3BC85ECD}"/>
    <cellStyle name="Normal 8 2 3 2 5 2 4" xfId="20901" xr:uid="{11F44E6B-CED8-43EF-B0B7-257EF9C126D6}"/>
    <cellStyle name="Normal 8 2 3 2 5 3" xfId="6094" xr:uid="{00000000-0005-0000-0000-0000B41C0000}"/>
    <cellStyle name="Normal 8 2 3 2 5 3 2" xfId="14536" xr:uid="{20972C0A-4A4D-484E-8C83-631D803784A0}"/>
    <cellStyle name="Normal 8 2 3 2 5 3 3" xfId="22973" xr:uid="{D692F818-40F4-4ECE-BB03-992CC0088077}"/>
    <cellStyle name="Normal 8 2 3 2 5 4" xfId="10318" xr:uid="{7FC567CB-FE5B-40E3-A2AA-BC6AB2774A40}"/>
    <cellStyle name="Normal 8 2 3 2 5 5" xfId="18756" xr:uid="{33BD691C-C8B4-459D-AF9F-42DDBC7153E3}"/>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C320C284-E538-42CA-A204-1272966A938F}"/>
    <cellStyle name="Normal 8 2 3 2 6 2 2 3" xfId="25531" xr:uid="{E26F2E4B-DC35-499E-A241-C73D065A01EE}"/>
    <cellStyle name="Normal 8 2 3 2 6 2 3" xfId="12876" xr:uid="{D0F564AE-3789-4E3A-B18C-929C3CDE571E}"/>
    <cellStyle name="Normal 8 2 3 2 6 2 4" xfId="21314" xr:uid="{1281F592-3C47-4747-9C2C-F4D5AE68C183}"/>
    <cellStyle name="Normal 8 2 3 2 6 3" xfId="6507" xr:uid="{00000000-0005-0000-0000-0000B81C0000}"/>
    <cellStyle name="Normal 8 2 3 2 6 3 2" xfId="14949" xr:uid="{40F79DBD-3997-4D4E-868D-26818B9CE224}"/>
    <cellStyle name="Normal 8 2 3 2 6 3 3" xfId="23386" xr:uid="{36A4A660-408A-4327-AF27-043126783476}"/>
    <cellStyle name="Normal 8 2 3 2 6 4" xfId="10731" xr:uid="{029F54F7-40F7-4121-9F93-0DE522A86A31}"/>
    <cellStyle name="Normal 8 2 3 2 6 5" xfId="19169" xr:uid="{C457797E-ECF2-4419-B514-190F4F4D991D}"/>
    <cellStyle name="Normal 8 2 3 2 7" xfId="2636" xr:uid="{00000000-0005-0000-0000-0000B91C0000}"/>
    <cellStyle name="Normal 8 2 3 2 7 2" xfId="6920" xr:uid="{00000000-0005-0000-0000-0000BA1C0000}"/>
    <cellStyle name="Normal 8 2 3 2 7 2 2" xfId="15362" xr:uid="{BA4868F6-F388-46CA-BA55-4FCFEA999719}"/>
    <cellStyle name="Normal 8 2 3 2 7 2 3" xfId="23799" xr:uid="{721F1D31-5F6B-415F-AE9A-BCBF92373DAE}"/>
    <cellStyle name="Normal 8 2 3 2 7 3" xfId="11144" xr:uid="{C104E403-5431-463A-BD50-0B39400CEE1A}"/>
    <cellStyle name="Normal 8 2 3 2 7 4" xfId="19582" xr:uid="{7E918C47-B0D7-40F6-A61F-8CBFC04EC313}"/>
    <cellStyle name="Normal 8 2 3 2 8" xfId="4855" xr:uid="{00000000-0005-0000-0000-0000BB1C0000}"/>
    <cellStyle name="Normal 8 2 3 2 8 2" xfId="13297" xr:uid="{E26E6735-962B-40F9-B901-5DDD943CA80D}"/>
    <cellStyle name="Normal 8 2 3 2 8 3" xfId="21734" xr:uid="{24A3B39B-929F-4B41-BF7A-D6C2DE1BC8E4}"/>
    <cellStyle name="Normal 8 2 3 2 9" xfId="9079" xr:uid="{9684574D-135C-4DF3-B0C2-C4ADEF80ADC5}"/>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238FB4DD-3759-480E-B11C-E9BC002860FA}"/>
    <cellStyle name="Normal 8 2 3 3 2 2 2 3" xfId="24294" xr:uid="{2FC96DD4-29B8-4380-B0EC-0A3174120F6E}"/>
    <cellStyle name="Normal 8 2 3 3 2 2 3" xfId="11639" xr:uid="{56433714-9BAA-40D2-B88C-5EE9505E313F}"/>
    <cellStyle name="Normal 8 2 3 3 2 2 4" xfId="20077" xr:uid="{29D95204-B8E6-4876-A8D5-EFD97D270C54}"/>
    <cellStyle name="Normal 8 2 3 3 2 3" xfId="5270" xr:uid="{00000000-0005-0000-0000-0000C01C0000}"/>
    <cellStyle name="Normal 8 2 3 3 2 3 2" xfId="13712" xr:uid="{AA920347-6B5E-4DFF-A09E-6D48B3381168}"/>
    <cellStyle name="Normal 8 2 3 3 2 3 3" xfId="22149" xr:uid="{29F6B199-85AF-4AE5-92F4-9979512EC81A}"/>
    <cellStyle name="Normal 8 2 3 3 2 4" xfId="9494" xr:uid="{8DFAEA71-5A5F-42A2-ABDE-ACDB7459F7E7}"/>
    <cellStyle name="Normal 8 2 3 3 2 5" xfId="17932" xr:uid="{1A065C5B-0374-4819-A4E2-4B25B2A3154F}"/>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344BA413-CF67-4622-8B97-CBEF5BB0C165}"/>
    <cellStyle name="Normal 8 2 3 3 3 2 2 3" xfId="24707" xr:uid="{49A8FC71-F1D3-42C2-A706-1B7D3F2C255A}"/>
    <cellStyle name="Normal 8 2 3 3 3 2 3" xfId="12052" xr:uid="{F6AA443F-D0FE-44B4-A2CD-D2511EC96B94}"/>
    <cellStyle name="Normal 8 2 3 3 3 2 4" xfId="20490" xr:uid="{C1A10BC5-54C0-4C63-B90E-8749C8686320}"/>
    <cellStyle name="Normal 8 2 3 3 3 3" xfId="5683" xr:uid="{00000000-0005-0000-0000-0000C41C0000}"/>
    <cellStyle name="Normal 8 2 3 3 3 3 2" xfId="14125" xr:uid="{0E88B59A-6597-4569-A2D8-6DD488F94DE7}"/>
    <cellStyle name="Normal 8 2 3 3 3 3 3" xfId="22562" xr:uid="{37519975-803E-4546-A7DE-8648E91172F3}"/>
    <cellStyle name="Normal 8 2 3 3 3 4" xfId="9907" xr:uid="{52A9A799-E084-437B-BFCB-C38324BE08BA}"/>
    <cellStyle name="Normal 8 2 3 3 3 5" xfId="18345" xr:uid="{BC185BDC-13D3-48CF-AC0E-0990B8EE3EF0}"/>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82B30542-67F5-4B09-9EE4-42E8BF95BAE2}"/>
    <cellStyle name="Normal 8 2 3 3 4 2 2 3" xfId="25120" xr:uid="{DDD7D730-E6AA-499B-B59D-773A01558F6E}"/>
    <cellStyle name="Normal 8 2 3 3 4 2 3" xfId="12465" xr:uid="{EB8241A3-7ECF-46A8-B769-E07614F5CBD3}"/>
    <cellStyle name="Normal 8 2 3 3 4 2 4" xfId="20903" xr:uid="{91AEDBC5-275E-48DF-BFA2-C20CB19AADB6}"/>
    <cellStyle name="Normal 8 2 3 3 4 3" xfId="6096" xr:uid="{00000000-0005-0000-0000-0000C81C0000}"/>
    <cellStyle name="Normal 8 2 3 3 4 3 2" xfId="14538" xr:uid="{85765521-BF75-479A-A220-249A4B4BD15E}"/>
    <cellStyle name="Normal 8 2 3 3 4 3 3" xfId="22975" xr:uid="{AD808F62-AD0F-4580-9704-151049D34484}"/>
    <cellStyle name="Normal 8 2 3 3 4 4" xfId="10320" xr:uid="{A56A414C-30FF-4C35-B585-126DFBFD13EE}"/>
    <cellStyle name="Normal 8 2 3 3 4 5" xfId="18758" xr:uid="{A615BAFA-7C91-42C5-AA16-A2E9B3184D3D}"/>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0710A1C0-85A8-4164-8C86-30B1514F0FE0}"/>
    <cellStyle name="Normal 8 2 3 3 5 2 2 3" xfId="25533" xr:uid="{B643C58E-89B8-4F3C-8D1B-E0D00DAB13EA}"/>
    <cellStyle name="Normal 8 2 3 3 5 2 3" xfId="12878" xr:uid="{1F6AE62D-F67D-4E4A-8785-610D4483EE12}"/>
    <cellStyle name="Normal 8 2 3 3 5 2 4" xfId="21316" xr:uid="{0464D5A3-1C35-46FF-BEF8-C7784EE7A470}"/>
    <cellStyle name="Normal 8 2 3 3 5 3" xfId="6509" xr:uid="{00000000-0005-0000-0000-0000CC1C0000}"/>
    <cellStyle name="Normal 8 2 3 3 5 3 2" xfId="14951" xr:uid="{AB1EF1EB-CC0F-466E-BCD6-5B5DDACF5E05}"/>
    <cellStyle name="Normal 8 2 3 3 5 3 3" xfId="23388" xr:uid="{854E2386-6E69-4468-855B-F4FB9E54ECB9}"/>
    <cellStyle name="Normal 8 2 3 3 5 4" xfId="10733" xr:uid="{28802EA5-CD27-4C77-AA2B-02B72E888800}"/>
    <cellStyle name="Normal 8 2 3 3 5 5" xfId="19171" xr:uid="{AAC3D693-1806-43EE-BD34-D85D458FB597}"/>
    <cellStyle name="Normal 8 2 3 3 6" xfId="2638" xr:uid="{00000000-0005-0000-0000-0000CD1C0000}"/>
    <cellStyle name="Normal 8 2 3 3 6 2" xfId="6922" xr:uid="{00000000-0005-0000-0000-0000CE1C0000}"/>
    <cellStyle name="Normal 8 2 3 3 6 2 2" xfId="15364" xr:uid="{267CF47B-BDD4-4E46-8426-03A6ED45A8E1}"/>
    <cellStyle name="Normal 8 2 3 3 6 2 3" xfId="23801" xr:uid="{C35EC284-B3D1-464A-B23E-ED598BFEC19B}"/>
    <cellStyle name="Normal 8 2 3 3 6 3" xfId="11146" xr:uid="{1F99DC1A-1397-40D6-8138-E7FEA5FD4819}"/>
    <cellStyle name="Normal 8 2 3 3 6 4" xfId="19584" xr:uid="{DADA2007-65D9-4BC1-90CA-F00E04AD1E6F}"/>
    <cellStyle name="Normal 8 2 3 3 7" xfId="4857" xr:uid="{00000000-0005-0000-0000-0000CF1C0000}"/>
    <cellStyle name="Normal 8 2 3 3 7 2" xfId="13299" xr:uid="{D62E515A-217A-4E5F-8F5B-F890EEE0309B}"/>
    <cellStyle name="Normal 8 2 3 3 7 3" xfId="21736" xr:uid="{1E68C0C9-DFA7-4774-A183-4553E5B15BC5}"/>
    <cellStyle name="Normal 8 2 3 3 8" xfId="9081" xr:uid="{34FB7A58-6CB9-4950-8AC6-BA627F21413C}"/>
    <cellStyle name="Normal 8 2 3 3 9" xfId="17519" xr:uid="{8F861F34-36A8-45DD-BFFC-30C0D5656211}"/>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18902529-962E-4F5A-9D82-347F9A851CDF}"/>
    <cellStyle name="Normal 8 2 3 4 2 2 3" xfId="24291" xr:uid="{C9D824CA-47DE-49C0-BE49-39239931C2AA}"/>
    <cellStyle name="Normal 8 2 3 4 2 3" xfId="11636" xr:uid="{DC3B83A5-978E-4DDA-AB7F-C8AC98823963}"/>
    <cellStyle name="Normal 8 2 3 4 2 4" xfId="20074" xr:uid="{799D5394-1929-4C73-B121-0345F144F6F8}"/>
    <cellStyle name="Normal 8 2 3 4 3" xfId="5267" xr:uid="{00000000-0005-0000-0000-0000D31C0000}"/>
    <cellStyle name="Normal 8 2 3 4 3 2" xfId="13709" xr:uid="{468AA6E4-C71E-4BC6-B666-A8E8A30F029B}"/>
    <cellStyle name="Normal 8 2 3 4 3 3" xfId="22146" xr:uid="{3BFA16F0-E9B6-4051-9E3C-460FF68A7953}"/>
    <cellStyle name="Normal 8 2 3 4 4" xfId="9491" xr:uid="{6CC61809-ADEB-4EF8-903C-81C256C46E75}"/>
    <cellStyle name="Normal 8 2 3 4 5" xfId="17929" xr:uid="{5642FBB3-515A-408E-B14B-E90E6FB24D2B}"/>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09F33EEB-A303-4F7B-9D62-4E14BA88CD05}"/>
    <cellStyle name="Normal 8 2 3 5 2 2 3" xfId="24704" xr:uid="{2F21D757-A39D-4C3B-9513-F6EFF99F2ADB}"/>
    <cellStyle name="Normal 8 2 3 5 2 3" xfId="12049" xr:uid="{71E7BE55-7BDF-42F9-9DD2-764D9FE1580D}"/>
    <cellStyle name="Normal 8 2 3 5 2 4" xfId="20487" xr:uid="{3CB47209-0D73-469C-9BF4-CD225FF63FBB}"/>
    <cellStyle name="Normal 8 2 3 5 3" xfId="5680" xr:uid="{00000000-0005-0000-0000-0000D71C0000}"/>
    <cellStyle name="Normal 8 2 3 5 3 2" xfId="14122" xr:uid="{EDAC5666-064E-4B1D-A090-8A8E897C6339}"/>
    <cellStyle name="Normal 8 2 3 5 3 3" xfId="22559" xr:uid="{A1DFC4EC-33E4-418F-8D97-46D2C23B1553}"/>
    <cellStyle name="Normal 8 2 3 5 4" xfId="9904" xr:uid="{BC9F6B84-C043-4BF8-9CE2-AB892F97EB55}"/>
    <cellStyle name="Normal 8 2 3 5 5" xfId="18342" xr:uid="{053D688D-04D0-49AA-8C09-F308791826D2}"/>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60C662D8-C3BE-45D0-88EC-D893F502D384}"/>
    <cellStyle name="Normal 8 2 3 6 2 2 3" xfId="25117" xr:uid="{14DB0B9D-BC22-47DD-A780-095B546D24D8}"/>
    <cellStyle name="Normal 8 2 3 6 2 3" xfId="12462" xr:uid="{B1184472-2805-4F7A-A104-30B27958141D}"/>
    <cellStyle name="Normal 8 2 3 6 2 4" xfId="20900" xr:uid="{3C3D9569-E776-45D2-89E1-603E50013DE8}"/>
    <cellStyle name="Normal 8 2 3 6 3" xfId="6093" xr:uid="{00000000-0005-0000-0000-0000DB1C0000}"/>
    <cellStyle name="Normal 8 2 3 6 3 2" xfId="14535" xr:uid="{33516745-BBDD-496F-A861-3CC1DCC71007}"/>
    <cellStyle name="Normal 8 2 3 6 3 3" xfId="22972" xr:uid="{AD0FE8DC-76AC-43FD-8FCB-77BD239977C3}"/>
    <cellStyle name="Normal 8 2 3 6 4" xfId="10317" xr:uid="{B26E48BE-183F-4A7C-953A-85581798AD5D}"/>
    <cellStyle name="Normal 8 2 3 6 5" xfId="18755" xr:uid="{8228055B-CDD6-40A1-8C23-721FF2DD55E9}"/>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35E2302F-A913-4197-B26C-919EB67E73E7}"/>
    <cellStyle name="Normal 8 2 3 7 2 2 3" xfId="25530" xr:uid="{86BD1CAF-CC8A-4C33-962B-7265345B7EF3}"/>
    <cellStyle name="Normal 8 2 3 7 2 3" xfId="12875" xr:uid="{D0DEED4F-E72B-48E7-9C44-4084914F74A5}"/>
    <cellStyle name="Normal 8 2 3 7 2 4" xfId="21313" xr:uid="{17484589-EE8D-4579-B08B-D396B61670A0}"/>
    <cellStyle name="Normal 8 2 3 7 3" xfId="6506" xr:uid="{00000000-0005-0000-0000-0000DF1C0000}"/>
    <cellStyle name="Normal 8 2 3 7 3 2" xfId="14948" xr:uid="{710D009B-C836-4A65-ADDE-288A0C95AFEC}"/>
    <cellStyle name="Normal 8 2 3 7 3 3" xfId="23385" xr:uid="{02866942-CCAE-4096-A132-0D7626838601}"/>
    <cellStyle name="Normal 8 2 3 7 4" xfId="10730" xr:uid="{CEBA2E41-674F-4CFF-817E-ED3401688AEB}"/>
    <cellStyle name="Normal 8 2 3 7 5" xfId="19168" xr:uid="{D933CC63-6954-4F72-ABE8-BD4198AA9A63}"/>
    <cellStyle name="Normal 8 2 3 8" xfId="2635" xr:uid="{00000000-0005-0000-0000-0000E01C0000}"/>
    <cellStyle name="Normal 8 2 3 8 2" xfId="6919" xr:uid="{00000000-0005-0000-0000-0000E11C0000}"/>
    <cellStyle name="Normal 8 2 3 8 2 2" xfId="15361" xr:uid="{A48F7C0F-C0A2-43DC-9E5C-AEB5B71F3A02}"/>
    <cellStyle name="Normal 8 2 3 8 2 3" xfId="23798" xr:uid="{EF57A80F-1AC5-47E7-8288-40642A6095A6}"/>
    <cellStyle name="Normal 8 2 3 8 3" xfId="11143" xr:uid="{240CA68A-38CE-43E9-9287-D3DF3BE55085}"/>
    <cellStyle name="Normal 8 2 3 8 4" xfId="19581" xr:uid="{C07668CA-D9F6-4774-8E07-AD2DFC437D9F}"/>
    <cellStyle name="Normal 8 2 3 9" xfId="4854" xr:uid="{00000000-0005-0000-0000-0000E21C0000}"/>
    <cellStyle name="Normal 8 2 3 9 2" xfId="13296" xr:uid="{0BFC14C3-DC92-4CB8-B845-12EE7D5EDC54}"/>
    <cellStyle name="Normal 8 2 3 9 3" xfId="21733" xr:uid="{549B2FB2-9F73-40D1-A911-9D9525EFBED1}"/>
    <cellStyle name="Normal 8 2 4" xfId="492" xr:uid="{00000000-0005-0000-0000-0000E31C0000}"/>
    <cellStyle name="Normal 8 2 4 10" xfId="17520" xr:uid="{67D1D889-FCBD-468B-871E-D969A705A60F}"/>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1E78E288-83E2-45B8-A619-9CC27E49CFEF}"/>
    <cellStyle name="Normal 8 2 4 2 2 2 2 3" xfId="24296" xr:uid="{48B402F2-E2AF-48E5-841B-77E4BEC1D464}"/>
    <cellStyle name="Normal 8 2 4 2 2 2 3" xfId="11641" xr:uid="{E2FDB857-F999-49BF-A073-6588051A3FC1}"/>
    <cellStyle name="Normal 8 2 4 2 2 2 4" xfId="20079" xr:uid="{BC275CFC-58E0-47A1-AEFF-3ED46D030F50}"/>
    <cellStyle name="Normal 8 2 4 2 2 3" xfId="5272" xr:uid="{00000000-0005-0000-0000-0000E81C0000}"/>
    <cellStyle name="Normal 8 2 4 2 2 3 2" xfId="13714" xr:uid="{C4412F0E-5019-42E4-8E5C-2856E89E9A77}"/>
    <cellStyle name="Normal 8 2 4 2 2 3 3" xfId="22151" xr:uid="{CEC25503-D9F8-4FE3-A4F4-8BD34E5891AD}"/>
    <cellStyle name="Normal 8 2 4 2 2 4" xfId="9496" xr:uid="{BF644293-431E-4811-A314-BC42E01A4D93}"/>
    <cellStyle name="Normal 8 2 4 2 2 5" xfId="17934" xr:uid="{F031CE34-4A5E-4626-BFC0-F5FDCFD5679B}"/>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1672D4C3-DBF8-460A-A008-CE1A38F40C9F}"/>
    <cellStyle name="Normal 8 2 4 2 3 2 2 3" xfId="24709" xr:uid="{4C101F51-B676-4FA0-A14B-304C8A8DA4BD}"/>
    <cellStyle name="Normal 8 2 4 2 3 2 3" xfId="12054" xr:uid="{1F9FE4F4-2503-411E-A5FA-41AF7B31CA5D}"/>
    <cellStyle name="Normal 8 2 4 2 3 2 4" xfId="20492" xr:uid="{FC8ECEB6-56EA-4B25-8FA8-B880C135C289}"/>
    <cellStyle name="Normal 8 2 4 2 3 3" xfId="5685" xr:uid="{00000000-0005-0000-0000-0000EC1C0000}"/>
    <cellStyle name="Normal 8 2 4 2 3 3 2" xfId="14127" xr:uid="{BF7D3901-79C4-42F7-8B35-2E5713A6ACEC}"/>
    <cellStyle name="Normal 8 2 4 2 3 3 3" xfId="22564" xr:uid="{49FD1BC2-52EE-4277-96A0-0838376B9076}"/>
    <cellStyle name="Normal 8 2 4 2 3 4" xfId="9909" xr:uid="{80E5B466-2E5C-48A5-BB26-151FFE012EB2}"/>
    <cellStyle name="Normal 8 2 4 2 3 5" xfId="18347" xr:uid="{DB2998B9-C7DB-40AE-A65D-FEA376F164FE}"/>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ED4FE75F-8486-4A78-A782-A376ABF4CC9C}"/>
    <cellStyle name="Normal 8 2 4 2 4 2 2 3" xfId="25122" xr:uid="{9A02D4A4-16AD-42C7-89C8-00A9AD721BCD}"/>
    <cellStyle name="Normal 8 2 4 2 4 2 3" xfId="12467" xr:uid="{4095BF05-AA03-474D-84ED-9A9EB2A868E1}"/>
    <cellStyle name="Normal 8 2 4 2 4 2 4" xfId="20905" xr:uid="{AE15F272-B1E6-4687-B7B7-2C1EAA2CE907}"/>
    <cellStyle name="Normal 8 2 4 2 4 3" xfId="6098" xr:uid="{00000000-0005-0000-0000-0000F01C0000}"/>
    <cellStyle name="Normal 8 2 4 2 4 3 2" xfId="14540" xr:uid="{69609223-010F-45E6-89AD-3B5EBC4754DD}"/>
    <cellStyle name="Normal 8 2 4 2 4 3 3" xfId="22977" xr:uid="{5FED60FA-2D7E-47BB-8066-D1B8357B83DC}"/>
    <cellStyle name="Normal 8 2 4 2 4 4" xfId="10322" xr:uid="{9EF601A8-83F9-49ED-A89C-DC5D3DEC9118}"/>
    <cellStyle name="Normal 8 2 4 2 4 5" xfId="18760" xr:uid="{0FC2CE0B-5C7E-4DF0-ADF2-B0A1F86D2652}"/>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E8658C2F-B5E1-4278-998E-BF93648642CB}"/>
    <cellStyle name="Normal 8 2 4 2 5 2 2 3" xfId="25535" xr:uid="{70E9EB2E-7B74-403D-8784-08E2E017BAA8}"/>
    <cellStyle name="Normal 8 2 4 2 5 2 3" xfId="12880" xr:uid="{590915FF-4E24-4EDD-8834-3B1A41AAE72D}"/>
    <cellStyle name="Normal 8 2 4 2 5 2 4" xfId="21318" xr:uid="{A905660F-F4BB-4452-B602-31ADDB484D3C}"/>
    <cellStyle name="Normal 8 2 4 2 5 3" xfId="6511" xr:uid="{00000000-0005-0000-0000-0000F41C0000}"/>
    <cellStyle name="Normal 8 2 4 2 5 3 2" xfId="14953" xr:uid="{B70A4040-2C61-40B5-AF08-A98D9FB99C0D}"/>
    <cellStyle name="Normal 8 2 4 2 5 3 3" xfId="23390" xr:uid="{4DDA96A8-34DA-41E9-804C-FA0492E9FD68}"/>
    <cellStyle name="Normal 8 2 4 2 5 4" xfId="10735" xr:uid="{A4440A5A-640E-4B99-95DE-9A8CFA12143C}"/>
    <cellStyle name="Normal 8 2 4 2 5 5" xfId="19173" xr:uid="{FB189187-2217-40B5-887E-DB156AA5C808}"/>
    <cellStyle name="Normal 8 2 4 2 6" xfId="2640" xr:uid="{00000000-0005-0000-0000-0000F51C0000}"/>
    <cellStyle name="Normal 8 2 4 2 6 2" xfId="6924" xr:uid="{00000000-0005-0000-0000-0000F61C0000}"/>
    <cellStyle name="Normal 8 2 4 2 6 2 2" xfId="15366" xr:uid="{A429B0AC-478A-4021-9E5C-2F296F6A90F2}"/>
    <cellStyle name="Normal 8 2 4 2 6 2 3" xfId="23803" xr:uid="{E4026257-0AAE-4034-885F-441B0AF919BC}"/>
    <cellStyle name="Normal 8 2 4 2 6 3" xfId="11148" xr:uid="{5E2A56C4-CEAC-4A38-B8E1-FC42B138CB12}"/>
    <cellStyle name="Normal 8 2 4 2 6 4" xfId="19586" xr:uid="{9EE95139-15B8-43FF-9766-1E45AC911800}"/>
    <cellStyle name="Normal 8 2 4 2 7" xfId="4859" xr:uid="{00000000-0005-0000-0000-0000F71C0000}"/>
    <cellStyle name="Normal 8 2 4 2 7 2" xfId="13301" xr:uid="{C6EE8330-8790-4B1F-AF48-8A214479640A}"/>
    <cellStyle name="Normal 8 2 4 2 7 3" xfId="21738" xr:uid="{5C7DE39B-0650-4CB9-B1CD-A6942863BC9A}"/>
    <cellStyle name="Normal 8 2 4 2 8" xfId="9083" xr:uid="{10E929C0-0CD8-4401-8515-06558EAE3491}"/>
    <cellStyle name="Normal 8 2 4 2 9" xfId="17521" xr:uid="{98BB8C1F-3657-455C-8443-F874E8086376}"/>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BE1DBADB-9616-492D-A5C6-41AF154E8255}"/>
    <cellStyle name="Normal 8 2 4 3 2 2 3" xfId="24295" xr:uid="{5E291C8D-C3A2-4CBF-B68E-3C8FD5886BF1}"/>
    <cellStyle name="Normal 8 2 4 3 2 3" xfId="11640" xr:uid="{D70AB68A-07FA-4370-B396-24D0DDCBB745}"/>
    <cellStyle name="Normal 8 2 4 3 2 4" xfId="20078" xr:uid="{91815E23-D9CB-4E8A-AB0A-C76A61F3C233}"/>
    <cellStyle name="Normal 8 2 4 3 3" xfId="5271" xr:uid="{00000000-0005-0000-0000-0000FB1C0000}"/>
    <cellStyle name="Normal 8 2 4 3 3 2" xfId="13713" xr:uid="{5D78D341-9562-417E-A3D4-5434AD6FF93F}"/>
    <cellStyle name="Normal 8 2 4 3 3 3" xfId="22150" xr:uid="{5AC054B8-943B-468B-ACE9-109D2D784FB4}"/>
    <cellStyle name="Normal 8 2 4 3 4" xfId="9495" xr:uid="{0251FA7C-40A4-4F5E-AAA9-817F670E80F9}"/>
    <cellStyle name="Normal 8 2 4 3 5" xfId="17933" xr:uid="{DFC00480-FA2A-4F0A-8241-484A2E07D6D3}"/>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B45A0EAA-7523-4537-A252-A1B3E217344D}"/>
    <cellStyle name="Normal 8 2 4 4 2 2 3" xfId="24708" xr:uid="{5E5767BE-AC9C-4591-AB2D-003F659EB532}"/>
    <cellStyle name="Normal 8 2 4 4 2 3" xfId="12053" xr:uid="{39E8CDB6-15AD-453B-B0B4-5124F894CBF3}"/>
    <cellStyle name="Normal 8 2 4 4 2 4" xfId="20491" xr:uid="{9E6D804A-E6AB-4D04-8EFD-027D8E062FBC}"/>
    <cellStyle name="Normal 8 2 4 4 3" xfId="5684" xr:uid="{00000000-0005-0000-0000-0000FF1C0000}"/>
    <cellStyle name="Normal 8 2 4 4 3 2" xfId="14126" xr:uid="{E9EC88E8-12B3-4CBB-846B-C7C5521DB9BA}"/>
    <cellStyle name="Normal 8 2 4 4 3 3" xfId="22563" xr:uid="{08949548-DEF7-44C3-9BD1-7CB02BFDDEA2}"/>
    <cellStyle name="Normal 8 2 4 4 4" xfId="9908" xr:uid="{876F13CB-5307-48BC-B17E-DEA0125FA9B8}"/>
    <cellStyle name="Normal 8 2 4 4 5" xfId="18346" xr:uid="{44E8F1BD-A534-4567-95C0-B3BD836A1289}"/>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AABCC752-89D0-48BA-9018-B3A84D7F3D56}"/>
    <cellStyle name="Normal 8 2 4 5 2 2 3" xfId="25121" xr:uid="{B8FF8F46-E440-4777-9092-36C1779E74F9}"/>
    <cellStyle name="Normal 8 2 4 5 2 3" xfId="12466" xr:uid="{3B039EC1-6085-4F47-93DF-7121B2716A3D}"/>
    <cellStyle name="Normal 8 2 4 5 2 4" xfId="20904" xr:uid="{ACA1F2C9-CAFA-435F-BAAD-00C3327D0044}"/>
    <cellStyle name="Normal 8 2 4 5 3" xfId="6097" xr:uid="{00000000-0005-0000-0000-0000031D0000}"/>
    <cellStyle name="Normal 8 2 4 5 3 2" xfId="14539" xr:uid="{E34AAC73-262F-4925-91C3-97E6880F110F}"/>
    <cellStyle name="Normal 8 2 4 5 3 3" xfId="22976" xr:uid="{0B5A35FD-53B0-4263-A38E-860F0E2BDF80}"/>
    <cellStyle name="Normal 8 2 4 5 4" xfId="10321" xr:uid="{91545DFE-6A84-413D-804F-01A480E3259C}"/>
    <cellStyle name="Normal 8 2 4 5 5" xfId="18759" xr:uid="{71197855-DD6F-4951-974E-90C6797FF1F9}"/>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CED7BEE6-0DE4-4D20-9A1D-9E5C92745BF6}"/>
    <cellStyle name="Normal 8 2 4 6 2 2 3" xfId="25534" xr:uid="{B01C43DC-565A-450D-B87A-75FABD7853BF}"/>
    <cellStyle name="Normal 8 2 4 6 2 3" xfId="12879" xr:uid="{9EE35CB5-CD4C-409F-B38F-3335846A8620}"/>
    <cellStyle name="Normal 8 2 4 6 2 4" xfId="21317" xr:uid="{FAA74C2A-BAC6-4FE9-A14D-A88FE6EBD6C7}"/>
    <cellStyle name="Normal 8 2 4 6 3" xfId="6510" xr:uid="{00000000-0005-0000-0000-0000071D0000}"/>
    <cellStyle name="Normal 8 2 4 6 3 2" xfId="14952" xr:uid="{C71F8F2C-E5C6-4200-9BCF-A30E7BE05C94}"/>
    <cellStyle name="Normal 8 2 4 6 3 3" xfId="23389" xr:uid="{80366E5B-09DE-4273-91F1-0C8391F02F69}"/>
    <cellStyle name="Normal 8 2 4 6 4" xfId="10734" xr:uid="{33FE65DC-E270-4097-84E7-EA9E956C787E}"/>
    <cellStyle name="Normal 8 2 4 6 5" xfId="19172" xr:uid="{47E3469D-CE75-4D00-8D54-BD2F5A931472}"/>
    <cellStyle name="Normal 8 2 4 7" xfId="2639" xr:uid="{00000000-0005-0000-0000-0000081D0000}"/>
    <cellStyle name="Normal 8 2 4 7 2" xfId="6923" xr:uid="{00000000-0005-0000-0000-0000091D0000}"/>
    <cellStyle name="Normal 8 2 4 7 2 2" xfId="15365" xr:uid="{16251924-9503-459A-A279-E3E847C21E13}"/>
    <cellStyle name="Normal 8 2 4 7 2 3" xfId="23802" xr:uid="{7CC093CB-CFC9-4FC1-B61C-F0154DFAF1A3}"/>
    <cellStyle name="Normal 8 2 4 7 3" xfId="11147" xr:uid="{207B10C9-4ED0-477A-8B42-54B598A85CF4}"/>
    <cellStyle name="Normal 8 2 4 7 4" xfId="19585" xr:uid="{1DC407B9-AF8C-48CD-836F-748452214F3C}"/>
    <cellStyle name="Normal 8 2 4 8" xfId="4858" xr:uid="{00000000-0005-0000-0000-00000A1D0000}"/>
    <cellStyle name="Normal 8 2 4 8 2" xfId="13300" xr:uid="{F9D8FDAF-A4C9-4D03-ADF1-D1EFFC06D73F}"/>
    <cellStyle name="Normal 8 2 4 8 3" xfId="21737" xr:uid="{3C6E6E26-031A-4583-8A43-60DAFFCE7D59}"/>
    <cellStyle name="Normal 8 2 4 9" xfId="9082" xr:uid="{FDD088B5-93E1-4A4E-ACE0-81CEF4FB8242}"/>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59D4F38C-9F97-46D3-AF38-E2E0E1FA8D71}"/>
    <cellStyle name="Normal 8 2 5 2 2 2 3" xfId="24297" xr:uid="{9A1348CC-C360-4D5E-A932-A858F6C037BA}"/>
    <cellStyle name="Normal 8 2 5 2 2 3" xfId="11642" xr:uid="{11B41FC5-D557-41BF-A46A-531385C9EEC7}"/>
    <cellStyle name="Normal 8 2 5 2 2 4" xfId="20080" xr:uid="{41F3E97D-AD28-4C0A-A876-C27280F90219}"/>
    <cellStyle name="Normal 8 2 5 2 3" xfId="5273" xr:uid="{00000000-0005-0000-0000-00000F1D0000}"/>
    <cellStyle name="Normal 8 2 5 2 3 2" xfId="13715" xr:uid="{172009AE-23AB-4AF6-B902-85A59AAF7009}"/>
    <cellStyle name="Normal 8 2 5 2 3 3" xfId="22152" xr:uid="{64079F5E-5F9C-419D-9970-8E11D69A050F}"/>
    <cellStyle name="Normal 8 2 5 2 4" xfId="9497" xr:uid="{0738517D-B151-4AA0-89FB-8F3E812DDB17}"/>
    <cellStyle name="Normal 8 2 5 2 5" xfId="17935" xr:uid="{A659EE6B-EF60-42C2-8CF6-69A2A14E4ACB}"/>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02F119C8-DEAB-478C-AC6C-4FDF4EEA1810}"/>
    <cellStyle name="Normal 8 2 5 3 2 2 3" xfId="24710" xr:uid="{62090854-A876-4EBE-9A84-8E10E06C84A3}"/>
    <cellStyle name="Normal 8 2 5 3 2 3" xfId="12055" xr:uid="{8233B150-02F2-4601-8D79-AF034A350E03}"/>
    <cellStyle name="Normal 8 2 5 3 2 4" xfId="20493" xr:uid="{937CE6BD-6A17-4A32-9285-4460EFEB0E4B}"/>
    <cellStyle name="Normal 8 2 5 3 3" xfId="5686" xr:uid="{00000000-0005-0000-0000-0000131D0000}"/>
    <cellStyle name="Normal 8 2 5 3 3 2" xfId="14128" xr:uid="{F5F3A294-1CDE-4358-B546-7518AA498466}"/>
    <cellStyle name="Normal 8 2 5 3 3 3" xfId="22565" xr:uid="{F7A26AE5-79E8-46DB-BFE7-C9BC37A7950B}"/>
    <cellStyle name="Normal 8 2 5 3 4" xfId="9910" xr:uid="{D83EFC31-98E9-48B5-AADB-D825617A1BC2}"/>
    <cellStyle name="Normal 8 2 5 3 5" xfId="18348" xr:uid="{A99A3772-8984-4C38-A32B-FEBA0885A2D0}"/>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EBB43415-6D83-4457-9AEA-E99C545C7AB1}"/>
    <cellStyle name="Normal 8 2 5 4 2 2 3" xfId="25123" xr:uid="{D9F0F6F5-2E81-4D23-8E28-2BA931F4B3EA}"/>
    <cellStyle name="Normal 8 2 5 4 2 3" xfId="12468" xr:uid="{F7153E3A-5EA1-44F4-BC8C-2892BD96F636}"/>
    <cellStyle name="Normal 8 2 5 4 2 4" xfId="20906" xr:uid="{9A0FA08E-12F8-4E20-8B3A-F8273F55A5DA}"/>
    <cellStyle name="Normal 8 2 5 4 3" xfId="6099" xr:uid="{00000000-0005-0000-0000-0000171D0000}"/>
    <cellStyle name="Normal 8 2 5 4 3 2" xfId="14541" xr:uid="{3DDA4C0B-7B0E-4D89-A5E1-68221FA8A499}"/>
    <cellStyle name="Normal 8 2 5 4 3 3" xfId="22978" xr:uid="{1F4779A6-E6E7-44C9-ABD2-4D1B2144724D}"/>
    <cellStyle name="Normal 8 2 5 4 4" xfId="10323" xr:uid="{F5276828-F190-4D94-BB10-43E21A05A3F1}"/>
    <cellStyle name="Normal 8 2 5 4 5" xfId="18761" xr:uid="{441CBA8F-D905-46CC-8550-037C76CF625E}"/>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A7631B04-4CBE-473E-A77F-2E2AA68EE98F}"/>
    <cellStyle name="Normal 8 2 5 5 2 2 3" xfId="25536" xr:uid="{EFB3A58B-7CD5-4A2D-98D5-3EBF32D887CF}"/>
    <cellStyle name="Normal 8 2 5 5 2 3" xfId="12881" xr:uid="{50FDAB9E-A03D-459F-888C-620563223A45}"/>
    <cellStyle name="Normal 8 2 5 5 2 4" xfId="21319" xr:uid="{4A052D35-CF1C-4336-A6F3-291B2D388782}"/>
    <cellStyle name="Normal 8 2 5 5 3" xfId="6512" xr:uid="{00000000-0005-0000-0000-00001B1D0000}"/>
    <cellStyle name="Normal 8 2 5 5 3 2" xfId="14954" xr:uid="{08A2AD6C-3049-4F25-9424-B0C313CBA7F9}"/>
    <cellStyle name="Normal 8 2 5 5 3 3" xfId="23391" xr:uid="{B937E5D9-1989-4531-A837-C0CFFCF39F33}"/>
    <cellStyle name="Normal 8 2 5 5 4" xfId="10736" xr:uid="{23972B92-04E1-47C3-87C0-329013C39213}"/>
    <cellStyle name="Normal 8 2 5 5 5" xfId="19174" xr:uid="{91F004D8-568C-4A3E-A018-395EF52CD48B}"/>
    <cellStyle name="Normal 8 2 5 6" xfId="2641" xr:uid="{00000000-0005-0000-0000-00001C1D0000}"/>
    <cellStyle name="Normal 8 2 5 6 2" xfId="6925" xr:uid="{00000000-0005-0000-0000-00001D1D0000}"/>
    <cellStyle name="Normal 8 2 5 6 2 2" xfId="15367" xr:uid="{3B9A83C1-5248-478A-A865-466FC4BC95C0}"/>
    <cellStyle name="Normal 8 2 5 6 2 3" xfId="23804" xr:uid="{F127DC13-338C-4A99-82A9-2C78722EA9F3}"/>
    <cellStyle name="Normal 8 2 5 6 3" xfId="11149" xr:uid="{7CC8F84B-728C-4C5D-9226-5B0A2D691F63}"/>
    <cellStyle name="Normal 8 2 5 6 4" xfId="19587" xr:uid="{FC08099E-CA34-404A-8B25-1C429121D395}"/>
    <cellStyle name="Normal 8 2 5 7" xfId="4860" xr:uid="{00000000-0005-0000-0000-00001E1D0000}"/>
    <cellStyle name="Normal 8 2 5 7 2" xfId="13302" xr:uid="{7D7B451B-707A-451C-80F2-04732CCDAC07}"/>
    <cellStyle name="Normal 8 2 5 7 3" xfId="21739" xr:uid="{BEDDFA32-14B9-49F6-9142-17375399298E}"/>
    <cellStyle name="Normal 8 2 5 8" xfId="9084" xr:uid="{077D3482-7C98-4AF5-8109-A7B429189078}"/>
    <cellStyle name="Normal 8 2 5 9" xfId="17522" xr:uid="{91776102-7047-4458-96C5-82A7809A19D9}"/>
    <cellStyle name="Normal 8 2 6" xfId="946" xr:uid="{00000000-0005-0000-0000-00001F1D0000}"/>
    <cellStyle name="Normal 8 2 6 2" xfId="3180" xr:uid="{00000000-0005-0000-0000-0000201D0000}"/>
    <cellStyle name="Normal 8 2 6 2 2" xfId="7403" xr:uid="{00000000-0005-0000-0000-0000211D0000}"/>
    <cellStyle name="Normal 8 2 6 2 2 2" xfId="15845" xr:uid="{7D4CE704-BB15-466C-8566-8E80808BEE07}"/>
    <cellStyle name="Normal 8 2 6 2 2 3" xfId="24282" xr:uid="{14FC6C4D-AFC1-4FD4-9A52-F144F72CF8B6}"/>
    <cellStyle name="Normal 8 2 6 2 3" xfId="11627" xr:uid="{7CA939D2-F36B-451A-95BA-94B3C5893EBB}"/>
    <cellStyle name="Normal 8 2 6 2 4" xfId="20065" xr:uid="{1676283D-57A3-49EF-A89E-C1C443D19EEC}"/>
    <cellStyle name="Normal 8 2 6 3" xfId="5258" xr:uid="{00000000-0005-0000-0000-0000221D0000}"/>
    <cellStyle name="Normal 8 2 6 3 2" xfId="13700" xr:uid="{B8719902-FE8C-4252-8E8D-CFCF9081ED0E}"/>
    <cellStyle name="Normal 8 2 6 3 3" xfId="22137" xr:uid="{8DC80BD9-73A8-4FAB-B173-56385A035C68}"/>
    <cellStyle name="Normal 8 2 6 4" xfId="9482" xr:uid="{E374DAA9-CB92-45A7-A334-93C1530FC28F}"/>
    <cellStyle name="Normal 8 2 6 5" xfId="17920" xr:uid="{752DF66D-579E-4790-9173-9BA87F52A5B4}"/>
    <cellStyle name="Normal 8 2 7" xfId="1363" xr:uid="{00000000-0005-0000-0000-0000231D0000}"/>
    <cellStyle name="Normal 8 2 7 2" xfId="3593" xr:uid="{00000000-0005-0000-0000-0000241D0000}"/>
    <cellStyle name="Normal 8 2 7 2 2" xfId="7816" xr:uid="{00000000-0005-0000-0000-0000251D0000}"/>
    <cellStyle name="Normal 8 2 7 2 2 2" xfId="16258" xr:uid="{56752F5E-636E-434B-B572-F92CA0CD843F}"/>
    <cellStyle name="Normal 8 2 7 2 2 3" xfId="24695" xr:uid="{C4837E2C-4A60-4280-894C-FCAFE80701C4}"/>
    <cellStyle name="Normal 8 2 7 2 3" xfId="12040" xr:uid="{FB2A9D67-D59C-445F-9DEA-1207F2AD8EA1}"/>
    <cellStyle name="Normal 8 2 7 2 4" xfId="20478" xr:uid="{ADDFE0C5-B327-4AEE-A0BB-4995038559B4}"/>
    <cellStyle name="Normal 8 2 7 3" xfId="5671" xr:uid="{00000000-0005-0000-0000-0000261D0000}"/>
    <cellStyle name="Normal 8 2 7 3 2" xfId="14113" xr:uid="{6F59FE43-4135-45C6-8D61-AD31477356FB}"/>
    <cellStyle name="Normal 8 2 7 3 3" xfId="22550" xr:uid="{690567B1-0593-49BF-84FC-AC662AE6B780}"/>
    <cellStyle name="Normal 8 2 7 4" xfId="9895" xr:uid="{318039EA-B807-468F-B0B7-1CCE189CF255}"/>
    <cellStyle name="Normal 8 2 7 5" xfId="18333" xr:uid="{F7BB2571-E4A1-4DEC-A37B-BEE3D707D316}"/>
    <cellStyle name="Normal 8 2 8" xfId="1776" xr:uid="{00000000-0005-0000-0000-0000271D0000}"/>
    <cellStyle name="Normal 8 2 8 2" xfId="4006" xr:uid="{00000000-0005-0000-0000-0000281D0000}"/>
    <cellStyle name="Normal 8 2 8 2 2" xfId="8229" xr:uid="{00000000-0005-0000-0000-0000291D0000}"/>
    <cellStyle name="Normal 8 2 8 2 2 2" xfId="16671" xr:uid="{14839422-169E-4D0C-BECA-DC6A0414F615}"/>
    <cellStyle name="Normal 8 2 8 2 2 3" xfId="25108" xr:uid="{0378556A-8C92-4CE3-8BF9-C7B00D43520D}"/>
    <cellStyle name="Normal 8 2 8 2 3" xfId="12453" xr:uid="{7CC25516-6F9B-4837-9374-3ECE141E4359}"/>
    <cellStyle name="Normal 8 2 8 2 4" xfId="20891" xr:uid="{8716AA0B-F6F9-4086-8D31-79A8512A29EC}"/>
    <cellStyle name="Normal 8 2 8 3" xfId="6084" xr:uid="{00000000-0005-0000-0000-00002A1D0000}"/>
    <cellStyle name="Normal 8 2 8 3 2" xfId="14526" xr:uid="{EC700D49-6194-429F-B905-5C3DF7D2B324}"/>
    <cellStyle name="Normal 8 2 8 3 3" xfId="22963" xr:uid="{E807CE77-B259-4442-9F86-EA732D60ABC3}"/>
    <cellStyle name="Normal 8 2 8 4" xfId="10308" xr:uid="{FCF4515A-B8DC-48C1-B974-F639616202B7}"/>
    <cellStyle name="Normal 8 2 8 5" xfId="18746" xr:uid="{6CFEE513-5870-442C-9DDD-75E3D3CD8FD1}"/>
    <cellStyle name="Normal 8 2 9" xfId="2190" xr:uid="{00000000-0005-0000-0000-00002B1D0000}"/>
    <cellStyle name="Normal 8 2 9 2" xfId="4419" xr:uid="{00000000-0005-0000-0000-00002C1D0000}"/>
    <cellStyle name="Normal 8 2 9 2 2" xfId="8642" xr:uid="{00000000-0005-0000-0000-00002D1D0000}"/>
    <cellStyle name="Normal 8 2 9 2 2 2" xfId="17084" xr:uid="{D8835EF1-05AA-4A72-AEE2-250B94315F4D}"/>
    <cellStyle name="Normal 8 2 9 2 2 3" xfId="25521" xr:uid="{41E9A8C1-4C53-41D2-B273-802A18D6B4A4}"/>
    <cellStyle name="Normal 8 2 9 2 3" xfId="12866" xr:uid="{96539B28-ED74-4762-8908-AA7AD50D22AF}"/>
    <cellStyle name="Normal 8 2 9 2 4" xfId="21304" xr:uid="{BAFF8874-F196-4821-B0A4-0E1BA78C0882}"/>
    <cellStyle name="Normal 8 2 9 3" xfId="6497" xr:uid="{00000000-0005-0000-0000-00002E1D0000}"/>
    <cellStyle name="Normal 8 2 9 3 2" xfId="14939" xr:uid="{9B2A7DF4-A8B5-4DF5-962B-79767EF3F4F3}"/>
    <cellStyle name="Normal 8 2 9 3 3" xfId="23376" xr:uid="{0C5B7853-D47A-4CF8-B49D-F9AD309FC25D}"/>
    <cellStyle name="Normal 8 2 9 4" xfId="10721" xr:uid="{637E234C-2BE2-4984-9564-562297549A9F}"/>
    <cellStyle name="Normal 8 2 9 5" xfId="19159" xr:uid="{ECFE882C-2025-40EF-B95C-0BB9DE8964A8}"/>
    <cellStyle name="Normal 8 3" xfId="495" xr:uid="{00000000-0005-0000-0000-00002F1D0000}"/>
    <cellStyle name="Normal 8 3 10" xfId="4861" xr:uid="{00000000-0005-0000-0000-0000301D0000}"/>
    <cellStyle name="Normal 8 3 10 2" xfId="13303" xr:uid="{A806AA60-3E17-47F4-AE63-70F89CC496A5}"/>
    <cellStyle name="Normal 8 3 10 3" xfId="21740" xr:uid="{ACB352C4-FF7D-4E52-901D-A6D6B9C2907E}"/>
    <cellStyle name="Normal 8 3 11" xfId="9085" xr:uid="{0E6B6D5F-0EFC-4E35-B8A8-2F228B5507C9}"/>
    <cellStyle name="Normal 8 3 12" xfId="17523" xr:uid="{FF42AB26-5211-4637-A314-568C96FE3781}"/>
    <cellStyle name="Normal 8 3 2" xfId="496" xr:uid="{00000000-0005-0000-0000-0000311D0000}"/>
    <cellStyle name="Normal 8 3 2 10" xfId="9086" xr:uid="{F1157409-0047-4F43-AE5A-DC2D4FFDD48B}"/>
    <cellStyle name="Normal 8 3 2 11" xfId="17524" xr:uid="{14D2E36E-20F0-45F7-AD7E-E667517E10F0}"/>
    <cellStyle name="Normal 8 3 2 2" xfId="497" xr:uid="{00000000-0005-0000-0000-0000321D0000}"/>
    <cellStyle name="Normal 8 3 2 2 10" xfId="17525" xr:uid="{BCABE97D-D68E-4DDA-9295-C1C327B6FE8B}"/>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FAF61D70-901A-4EBA-90A7-1E92166F86D5}"/>
    <cellStyle name="Normal 8 3 2 2 2 2 2 2 3" xfId="24301" xr:uid="{5D33D04C-BCF2-494D-B4D2-F5A1BDAF1C6C}"/>
    <cellStyle name="Normal 8 3 2 2 2 2 2 3" xfId="11646" xr:uid="{21EA7F4C-676B-4A80-8733-33469F468CD9}"/>
    <cellStyle name="Normal 8 3 2 2 2 2 2 4" xfId="20084" xr:uid="{3C7BB572-C81A-476F-A11E-DB16A12937AE}"/>
    <cellStyle name="Normal 8 3 2 2 2 2 3" xfId="5277" xr:uid="{00000000-0005-0000-0000-0000371D0000}"/>
    <cellStyle name="Normal 8 3 2 2 2 2 3 2" xfId="13719" xr:uid="{15A612DF-14BF-4FF7-B9C9-92B812274947}"/>
    <cellStyle name="Normal 8 3 2 2 2 2 3 3" xfId="22156" xr:uid="{DCC174BC-9FBF-4C03-BAAE-C7C496192739}"/>
    <cellStyle name="Normal 8 3 2 2 2 2 4" xfId="9501" xr:uid="{54F449A2-A2D4-4697-B2B6-1A31DF39AC01}"/>
    <cellStyle name="Normal 8 3 2 2 2 2 5" xfId="17939" xr:uid="{FDA5943D-A36D-40E4-8889-B77864A2916B}"/>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00DC4A37-1929-40FE-BBD5-6010E08C61DE}"/>
    <cellStyle name="Normal 8 3 2 2 2 3 2 2 3" xfId="24714" xr:uid="{F11FC415-CE0A-4298-9420-27C5FA2A07F0}"/>
    <cellStyle name="Normal 8 3 2 2 2 3 2 3" xfId="12059" xr:uid="{D8393DEA-A367-41B3-8F77-61FF299AF6AC}"/>
    <cellStyle name="Normal 8 3 2 2 2 3 2 4" xfId="20497" xr:uid="{88992413-6BDE-486F-9A3C-4DFE7E636671}"/>
    <cellStyle name="Normal 8 3 2 2 2 3 3" xfId="5690" xr:uid="{00000000-0005-0000-0000-00003B1D0000}"/>
    <cellStyle name="Normal 8 3 2 2 2 3 3 2" xfId="14132" xr:uid="{2CC9B0CD-A121-4239-9769-03D8C5E921DB}"/>
    <cellStyle name="Normal 8 3 2 2 2 3 3 3" xfId="22569" xr:uid="{675742DA-770B-4624-A3A0-527D0A18DA9C}"/>
    <cellStyle name="Normal 8 3 2 2 2 3 4" xfId="9914" xr:uid="{6AC0F705-1500-4DA3-A1A1-79410129E0A0}"/>
    <cellStyle name="Normal 8 3 2 2 2 3 5" xfId="18352" xr:uid="{D6A01363-0A24-4A7A-B2D1-5CFC5FCF13F9}"/>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DC2FB0E0-19A2-4655-8CE4-819C26E5116C}"/>
    <cellStyle name="Normal 8 3 2 2 2 4 2 2 3" xfId="25127" xr:uid="{D5BD7A1F-1B31-40C3-AE85-C3D64EE7164B}"/>
    <cellStyle name="Normal 8 3 2 2 2 4 2 3" xfId="12472" xr:uid="{DA8C4BD8-73CC-465C-AAB5-5EB47A5280FB}"/>
    <cellStyle name="Normal 8 3 2 2 2 4 2 4" xfId="20910" xr:uid="{0885DE22-7F64-4573-8F90-4897472A4218}"/>
    <cellStyle name="Normal 8 3 2 2 2 4 3" xfId="6103" xr:uid="{00000000-0005-0000-0000-00003F1D0000}"/>
    <cellStyle name="Normal 8 3 2 2 2 4 3 2" xfId="14545" xr:uid="{74B24832-ED1B-4503-AF6F-36D51B5D0092}"/>
    <cellStyle name="Normal 8 3 2 2 2 4 3 3" xfId="22982" xr:uid="{1B1F6451-CC04-4828-8959-994A32E3F6A1}"/>
    <cellStyle name="Normal 8 3 2 2 2 4 4" xfId="10327" xr:uid="{9AAFC86F-EF83-4E4A-95CF-3A65BA28BC71}"/>
    <cellStyle name="Normal 8 3 2 2 2 4 5" xfId="18765" xr:uid="{9CA618B9-11E3-4F3B-9FE5-3F3A6240FCCC}"/>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0DC81A1A-ABA3-4C6F-AE6C-D7295BD70A72}"/>
    <cellStyle name="Normal 8 3 2 2 2 5 2 2 3" xfId="25540" xr:uid="{21267177-6AD0-4185-BF60-9F6A9A118931}"/>
    <cellStyle name="Normal 8 3 2 2 2 5 2 3" xfId="12885" xr:uid="{8D00253D-3FAF-4A5F-87A7-75153C9DC704}"/>
    <cellStyle name="Normal 8 3 2 2 2 5 2 4" xfId="21323" xr:uid="{54CA46A2-BCFA-4747-8C7E-E5060D45D932}"/>
    <cellStyle name="Normal 8 3 2 2 2 5 3" xfId="6516" xr:uid="{00000000-0005-0000-0000-0000431D0000}"/>
    <cellStyle name="Normal 8 3 2 2 2 5 3 2" xfId="14958" xr:uid="{BC63810B-A699-466E-8A06-15FD877E930A}"/>
    <cellStyle name="Normal 8 3 2 2 2 5 3 3" xfId="23395" xr:uid="{5CA3FA28-402F-4991-824A-EBB176A97AF4}"/>
    <cellStyle name="Normal 8 3 2 2 2 5 4" xfId="10740" xr:uid="{1AC0BC96-D9B7-4451-A634-31B0B86F0688}"/>
    <cellStyle name="Normal 8 3 2 2 2 5 5" xfId="19178" xr:uid="{30E37CAE-FC46-418D-8E58-14E1A29F6ABB}"/>
    <cellStyle name="Normal 8 3 2 2 2 6" xfId="2645" xr:uid="{00000000-0005-0000-0000-0000441D0000}"/>
    <cellStyle name="Normal 8 3 2 2 2 6 2" xfId="6929" xr:uid="{00000000-0005-0000-0000-0000451D0000}"/>
    <cellStyle name="Normal 8 3 2 2 2 6 2 2" xfId="15371" xr:uid="{A5C5781B-A389-483D-B2DB-2227820367F7}"/>
    <cellStyle name="Normal 8 3 2 2 2 6 2 3" xfId="23808" xr:uid="{30B1189D-D410-47D7-A203-C3738576F6CA}"/>
    <cellStyle name="Normal 8 3 2 2 2 6 3" xfId="11153" xr:uid="{7A721D0A-E27B-482C-B9CE-FC7DC2A4FEAA}"/>
    <cellStyle name="Normal 8 3 2 2 2 6 4" xfId="19591" xr:uid="{EE6CC3D1-8CCB-4EB4-AC8A-706037114191}"/>
    <cellStyle name="Normal 8 3 2 2 2 7" xfId="4864" xr:uid="{00000000-0005-0000-0000-0000461D0000}"/>
    <cellStyle name="Normal 8 3 2 2 2 7 2" xfId="13306" xr:uid="{06362925-4577-4766-BEFC-358622F29204}"/>
    <cellStyle name="Normal 8 3 2 2 2 7 3" xfId="21743" xr:uid="{123FC8A5-670C-4ADB-94C9-284E0DFE3546}"/>
    <cellStyle name="Normal 8 3 2 2 2 8" xfId="9088" xr:uid="{EF984E20-07B0-4572-AD1D-73B28F8EF870}"/>
    <cellStyle name="Normal 8 3 2 2 2 9" xfId="17526" xr:uid="{616B37EE-DBA7-4FD8-A65A-1A6BAC809AF1}"/>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DE7803C0-1393-41E6-9317-51425183F9F1}"/>
    <cellStyle name="Normal 8 3 2 2 3 2 2 3" xfId="24300" xr:uid="{91430E1E-9FB3-4D3E-B343-D48DB83E1C7F}"/>
    <cellStyle name="Normal 8 3 2 2 3 2 3" xfId="11645" xr:uid="{6E18561B-BCF2-49BA-A016-A37230723412}"/>
    <cellStyle name="Normal 8 3 2 2 3 2 4" xfId="20083" xr:uid="{617967B1-66DA-4624-BC32-6C1AB414C050}"/>
    <cellStyle name="Normal 8 3 2 2 3 3" xfId="5276" xr:uid="{00000000-0005-0000-0000-00004A1D0000}"/>
    <cellStyle name="Normal 8 3 2 2 3 3 2" xfId="13718" xr:uid="{F144ED79-7AC3-4A67-9CF6-B505304252D0}"/>
    <cellStyle name="Normal 8 3 2 2 3 3 3" xfId="22155" xr:uid="{735970B9-A2F8-4F01-AC31-E295A9B68ED3}"/>
    <cellStyle name="Normal 8 3 2 2 3 4" xfId="9500" xr:uid="{9AD47A03-EB2C-43EB-A393-73D42F295515}"/>
    <cellStyle name="Normal 8 3 2 2 3 5" xfId="17938" xr:uid="{8BAF6D37-B2EE-4535-B870-E130BD799391}"/>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09D6A877-4732-4291-A25E-E37C1D95C70B}"/>
    <cellStyle name="Normal 8 3 2 2 4 2 2 3" xfId="24713" xr:uid="{4BFF59EF-437C-4BAE-B86E-122B1BC79D18}"/>
    <cellStyle name="Normal 8 3 2 2 4 2 3" xfId="12058" xr:uid="{283AFB85-34B2-41D1-9FB1-317C867E29BF}"/>
    <cellStyle name="Normal 8 3 2 2 4 2 4" xfId="20496" xr:uid="{934D14A0-2A47-4E11-9F95-7A3DDD6B4BF6}"/>
    <cellStyle name="Normal 8 3 2 2 4 3" xfId="5689" xr:uid="{00000000-0005-0000-0000-00004E1D0000}"/>
    <cellStyle name="Normal 8 3 2 2 4 3 2" xfId="14131" xr:uid="{09E022C7-47F0-408F-BED3-99C334555D0B}"/>
    <cellStyle name="Normal 8 3 2 2 4 3 3" xfId="22568" xr:uid="{E7F06661-629D-4068-ACA9-697BA5B2FF50}"/>
    <cellStyle name="Normal 8 3 2 2 4 4" xfId="9913" xr:uid="{EA8ADF6E-20D5-4DB3-B1ED-81971D3A4A5A}"/>
    <cellStyle name="Normal 8 3 2 2 4 5" xfId="18351" xr:uid="{A59BC67D-C118-4A9B-8474-8434508FC1A5}"/>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3980405A-A7FC-47EA-AA88-1B29ADFA49E4}"/>
    <cellStyle name="Normal 8 3 2 2 5 2 2 3" xfId="25126" xr:uid="{E11F7FB1-9A83-4701-A2B7-DC9AF1B4756E}"/>
    <cellStyle name="Normal 8 3 2 2 5 2 3" xfId="12471" xr:uid="{7ABC227D-B3DB-4737-BB88-2A2177B325BE}"/>
    <cellStyle name="Normal 8 3 2 2 5 2 4" xfId="20909" xr:uid="{CEABED02-C549-4AE1-8D04-A90013975134}"/>
    <cellStyle name="Normal 8 3 2 2 5 3" xfId="6102" xr:uid="{00000000-0005-0000-0000-0000521D0000}"/>
    <cellStyle name="Normal 8 3 2 2 5 3 2" xfId="14544" xr:uid="{C81141E9-5C3F-409E-8565-E474CF83EA1D}"/>
    <cellStyle name="Normal 8 3 2 2 5 3 3" xfId="22981" xr:uid="{EDCCBA48-C608-4856-A612-9E8029DFCA5A}"/>
    <cellStyle name="Normal 8 3 2 2 5 4" xfId="10326" xr:uid="{5A2D4348-705B-4D33-AFD8-4E8D01039CAA}"/>
    <cellStyle name="Normal 8 3 2 2 5 5" xfId="18764" xr:uid="{CEFCA62D-139D-46AD-BE3D-6AAAD3370031}"/>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DD6DAC1B-CB09-4F14-BA18-0CF55586E63A}"/>
    <cellStyle name="Normal 8 3 2 2 6 2 2 3" xfId="25539" xr:uid="{24EB2804-A426-4596-801E-E15334ADFD28}"/>
    <cellStyle name="Normal 8 3 2 2 6 2 3" xfId="12884" xr:uid="{B23DBF11-3C3C-4D78-8FDA-0E81E696A1EA}"/>
    <cellStyle name="Normal 8 3 2 2 6 2 4" xfId="21322" xr:uid="{80C322E6-9544-4FB8-8AEE-68C4683FA411}"/>
    <cellStyle name="Normal 8 3 2 2 6 3" xfId="6515" xr:uid="{00000000-0005-0000-0000-0000561D0000}"/>
    <cellStyle name="Normal 8 3 2 2 6 3 2" xfId="14957" xr:uid="{D44C3518-A06F-447D-A2A7-92CCDD65F521}"/>
    <cellStyle name="Normal 8 3 2 2 6 3 3" xfId="23394" xr:uid="{0EDB18CB-355B-4FE9-B1AA-BDAF345EE100}"/>
    <cellStyle name="Normal 8 3 2 2 6 4" xfId="10739" xr:uid="{59A0668D-05CD-4970-B09C-7C5A676393D2}"/>
    <cellStyle name="Normal 8 3 2 2 6 5" xfId="19177" xr:uid="{D9BC180C-2627-4156-9E0D-CBEEACF59D7F}"/>
    <cellStyle name="Normal 8 3 2 2 7" xfId="2644" xr:uid="{00000000-0005-0000-0000-0000571D0000}"/>
    <cellStyle name="Normal 8 3 2 2 7 2" xfId="6928" xr:uid="{00000000-0005-0000-0000-0000581D0000}"/>
    <cellStyle name="Normal 8 3 2 2 7 2 2" xfId="15370" xr:uid="{76492B3C-1C67-4BE2-A21C-4C5518E174EF}"/>
    <cellStyle name="Normal 8 3 2 2 7 2 3" xfId="23807" xr:uid="{E1241FB0-3B9F-4A44-B717-F4E17E20CE3E}"/>
    <cellStyle name="Normal 8 3 2 2 7 3" xfId="11152" xr:uid="{24E0F5E1-55E8-4012-82A5-E6B252925C4E}"/>
    <cellStyle name="Normal 8 3 2 2 7 4" xfId="19590" xr:uid="{EEF06A0B-7B2F-4D1D-A463-9F60720D96CD}"/>
    <cellStyle name="Normal 8 3 2 2 8" xfId="4863" xr:uid="{00000000-0005-0000-0000-0000591D0000}"/>
    <cellStyle name="Normal 8 3 2 2 8 2" xfId="13305" xr:uid="{73B653F0-1488-425E-A98B-89D20BEB9358}"/>
    <cellStyle name="Normal 8 3 2 2 8 3" xfId="21742" xr:uid="{C01060E8-25F5-4CDF-9D72-050EA3B3B39F}"/>
    <cellStyle name="Normal 8 3 2 2 9" xfId="9087" xr:uid="{48270539-FAD4-4880-AD70-10196679FF09}"/>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C0A129E3-C6A0-40FA-AEB3-5FF4D7D86FBF}"/>
    <cellStyle name="Normal 8 3 2 3 2 2 2 3" xfId="24302" xr:uid="{4E444F92-589F-40BD-92EB-7BEAC4333892}"/>
    <cellStyle name="Normal 8 3 2 3 2 2 3" xfId="11647" xr:uid="{7D6CBFC6-B5E1-4641-A47A-C83DB09D2016}"/>
    <cellStyle name="Normal 8 3 2 3 2 2 4" xfId="20085" xr:uid="{0C82AB73-0F19-4E3E-9A85-8F06C5CFEA8E}"/>
    <cellStyle name="Normal 8 3 2 3 2 3" xfId="5278" xr:uid="{00000000-0005-0000-0000-00005E1D0000}"/>
    <cellStyle name="Normal 8 3 2 3 2 3 2" xfId="13720" xr:uid="{8D1281E5-A6FB-46BF-AF11-E0DBEA4E15CC}"/>
    <cellStyle name="Normal 8 3 2 3 2 3 3" xfId="22157" xr:uid="{2B4362D2-600D-4CDE-9CE5-DA9BA8868CA2}"/>
    <cellStyle name="Normal 8 3 2 3 2 4" xfId="9502" xr:uid="{80A7F04F-A962-42D5-ACAA-22397FAA7402}"/>
    <cellStyle name="Normal 8 3 2 3 2 5" xfId="17940" xr:uid="{C727E174-8276-40ED-8050-1B061B61DB88}"/>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5C68842C-E990-4358-A967-2B0B1D43AB99}"/>
    <cellStyle name="Normal 8 3 2 3 3 2 2 3" xfId="24715" xr:uid="{93CC70D0-1BFD-4E5F-951B-34120B673F2A}"/>
    <cellStyle name="Normal 8 3 2 3 3 2 3" xfId="12060" xr:uid="{23F0AB44-4FCC-4F20-9445-28CA0C92965D}"/>
    <cellStyle name="Normal 8 3 2 3 3 2 4" xfId="20498" xr:uid="{D0075791-B0ED-4392-8D53-35C8521A37EA}"/>
    <cellStyle name="Normal 8 3 2 3 3 3" xfId="5691" xr:uid="{00000000-0005-0000-0000-0000621D0000}"/>
    <cellStyle name="Normal 8 3 2 3 3 3 2" xfId="14133" xr:uid="{62948EF4-E14A-4C70-BAF6-9CE1A5F18FAA}"/>
    <cellStyle name="Normal 8 3 2 3 3 3 3" xfId="22570" xr:uid="{2DFC2712-FBD3-4D67-843A-C28FC0D505A1}"/>
    <cellStyle name="Normal 8 3 2 3 3 4" xfId="9915" xr:uid="{0FBC5AB7-C721-47E8-ADDC-87BD6C5A43EE}"/>
    <cellStyle name="Normal 8 3 2 3 3 5" xfId="18353" xr:uid="{89F6E35D-28C0-4524-BD69-22EB01059B7A}"/>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73F31119-5CAF-4754-9756-891FB635B36C}"/>
    <cellStyle name="Normal 8 3 2 3 4 2 2 3" xfId="25128" xr:uid="{327291ED-0A6A-4DEC-AECF-BF0428740653}"/>
    <cellStyle name="Normal 8 3 2 3 4 2 3" xfId="12473" xr:uid="{E0F4AF6D-0949-430E-ADCB-070C8759EE25}"/>
    <cellStyle name="Normal 8 3 2 3 4 2 4" xfId="20911" xr:uid="{81AD093D-098F-4FA5-BF21-85FBFAE1F081}"/>
    <cellStyle name="Normal 8 3 2 3 4 3" xfId="6104" xr:uid="{00000000-0005-0000-0000-0000661D0000}"/>
    <cellStyle name="Normal 8 3 2 3 4 3 2" xfId="14546" xr:uid="{AB11416F-9FBD-4B37-98BA-D4B1FCD31972}"/>
    <cellStyle name="Normal 8 3 2 3 4 3 3" xfId="22983" xr:uid="{B5810A2F-9283-4EDA-B1C4-7D989AF2AD8C}"/>
    <cellStyle name="Normal 8 3 2 3 4 4" xfId="10328" xr:uid="{BA957782-4E12-4801-80A0-E17BB3FBEB91}"/>
    <cellStyle name="Normal 8 3 2 3 4 5" xfId="18766" xr:uid="{4C0216CD-2967-4A3A-85DD-9162E56AA0EB}"/>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E4E4D2BF-36AD-4918-959D-85ACA4019076}"/>
    <cellStyle name="Normal 8 3 2 3 5 2 2 3" xfId="25541" xr:uid="{B9C87D3D-E921-4167-B3D2-48D28A80D523}"/>
    <cellStyle name="Normal 8 3 2 3 5 2 3" xfId="12886" xr:uid="{6BD6ACD7-1EBE-4C6F-BB11-E1AA7B2DA195}"/>
    <cellStyle name="Normal 8 3 2 3 5 2 4" xfId="21324" xr:uid="{5D8D2211-A4D2-4113-82A4-C2EDAFA30C72}"/>
    <cellStyle name="Normal 8 3 2 3 5 3" xfId="6517" xr:uid="{00000000-0005-0000-0000-00006A1D0000}"/>
    <cellStyle name="Normal 8 3 2 3 5 3 2" xfId="14959" xr:uid="{95BE84BA-D054-4313-8D7B-E0A5FE2FE1CB}"/>
    <cellStyle name="Normal 8 3 2 3 5 3 3" xfId="23396" xr:uid="{52A5C9A2-919A-40C2-B3A4-65D7FBAD4430}"/>
    <cellStyle name="Normal 8 3 2 3 5 4" xfId="10741" xr:uid="{7A7E5D17-0C6F-4DFC-97B9-FE0173586444}"/>
    <cellStyle name="Normal 8 3 2 3 5 5" xfId="19179" xr:uid="{765B498A-8B3E-43C5-8058-9BBE12828AC5}"/>
    <cellStyle name="Normal 8 3 2 3 6" xfId="2646" xr:uid="{00000000-0005-0000-0000-00006B1D0000}"/>
    <cellStyle name="Normal 8 3 2 3 6 2" xfId="6930" xr:uid="{00000000-0005-0000-0000-00006C1D0000}"/>
    <cellStyle name="Normal 8 3 2 3 6 2 2" xfId="15372" xr:uid="{D05D97F4-6D9E-4388-8B15-4228A1200681}"/>
    <cellStyle name="Normal 8 3 2 3 6 2 3" xfId="23809" xr:uid="{454ACCFF-B481-44EA-94F9-80DD5DB08A66}"/>
    <cellStyle name="Normal 8 3 2 3 6 3" xfId="11154" xr:uid="{10156706-32B1-460E-876A-B50FF53907F8}"/>
    <cellStyle name="Normal 8 3 2 3 6 4" xfId="19592" xr:uid="{A1C70B30-1C85-4E59-A05B-CA70BC451D1E}"/>
    <cellStyle name="Normal 8 3 2 3 7" xfId="4865" xr:uid="{00000000-0005-0000-0000-00006D1D0000}"/>
    <cellStyle name="Normal 8 3 2 3 7 2" xfId="13307" xr:uid="{08A87CD9-0895-4584-9805-93710FF6BDD8}"/>
    <cellStyle name="Normal 8 3 2 3 7 3" xfId="21744" xr:uid="{E320D437-618C-43C4-9654-C869247A7A8C}"/>
    <cellStyle name="Normal 8 3 2 3 8" xfId="9089" xr:uid="{1FE3B357-9D0F-42E9-9B87-DD59792A7517}"/>
    <cellStyle name="Normal 8 3 2 3 9" xfId="17527" xr:uid="{3D23673B-E052-4A80-81ED-7B9CA527261A}"/>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E92F52F8-BCC1-4C8F-99AF-9EA1947AB845}"/>
    <cellStyle name="Normal 8 3 2 4 2 2 3" xfId="24299" xr:uid="{0B2BF882-7F13-4ED7-A5F0-BAEE9D9A32C8}"/>
    <cellStyle name="Normal 8 3 2 4 2 3" xfId="11644" xr:uid="{29675A80-1841-4C6E-9E0E-5F0AA290C956}"/>
    <cellStyle name="Normal 8 3 2 4 2 4" xfId="20082" xr:uid="{2FB1DD0C-41E4-4006-A71E-898C9D316585}"/>
    <cellStyle name="Normal 8 3 2 4 3" xfId="5275" xr:uid="{00000000-0005-0000-0000-0000711D0000}"/>
    <cellStyle name="Normal 8 3 2 4 3 2" xfId="13717" xr:uid="{7B2AA460-1405-4421-B26B-B3CD4A34C904}"/>
    <cellStyle name="Normal 8 3 2 4 3 3" xfId="22154" xr:uid="{C262F995-64BE-4487-82AA-4FF74B1A7B81}"/>
    <cellStyle name="Normal 8 3 2 4 4" xfId="9499" xr:uid="{DC8E4DDC-ECF6-4702-9009-F058498CB388}"/>
    <cellStyle name="Normal 8 3 2 4 5" xfId="17937" xr:uid="{2604E76A-4BD0-4D4B-BBE6-3C73ACDFB338}"/>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83E66A4C-572E-4F72-B9FF-AF36945AD51C}"/>
    <cellStyle name="Normal 8 3 2 5 2 2 3" xfId="24712" xr:uid="{50452A3A-444A-493A-B157-1189A099D0F7}"/>
    <cellStyle name="Normal 8 3 2 5 2 3" xfId="12057" xr:uid="{4E4B0354-AB61-45BC-A239-0D70501EA87A}"/>
    <cellStyle name="Normal 8 3 2 5 2 4" xfId="20495" xr:uid="{8E8996E1-1FCE-480A-8109-EBD894637332}"/>
    <cellStyle name="Normal 8 3 2 5 3" xfId="5688" xr:uid="{00000000-0005-0000-0000-0000751D0000}"/>
    <cellStyle name="Normal 8 3 2 5 3 2" xfId="14130" xr:uid="{B65D76AC-3D32-4782-98DF-262E1102C206}"/>
    <cellStyle name="Normal 8 3 2 5 3 3" xfId="22567" xr:uid="{A47341AD-792C-41A2-9165-51B78028B379}"/>
    <cellStyle name="Normal 8 3 2 5 4" xfId="9912" xr:uid="{30F49DA3-B430-404A-8A6B-CD98D2A5F86D}"/>
    <cellStyle name="Normal 8 3 2 5 5" xfId="18350" xr:uid="{8B5DC377-6CA6-41CC-BE38-3473588C844B}"/>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2E8E1AF2-7B35-477E-9C14-27C4C9CE6FA7}"/>
    <cellStyle name="Normal 8 3 2 6 2 2 3" xfId="25125" xr:uid="{B320F3F5-5CA2-44FB-B745-0C28A3EC8BB0}"/>
    <cellStyle name="Normal 8 3 2 6 2 3" xfId="12470" xr:uid="{567FBFE9-ABD1-4344-828A-AB034DDAFFD5}"/>
    <cellStyle name="Normal 8 3 2 6 2 4" xfId="20908" xr:uid="{A16AD0AE-586A-4006-B2FB-41B67D07F34B}"/>
    <cellStyle name="Normal 8 3 2 6 3" xfId="6101" xr:uid="{00000000-0005-0000-0000-0000791D0000}"/>
    <cellStyle name="Normal 8 3 2 6 3 2" xfId="14543" xr:uid="{2C26A48E-9342-4250-A965-8FDE9FCF560C}"/>
    <cellStyle name="Normal 8 3 2 6 3 3" xfId="22980" xr:uid="{D5CD5047-5781-4D9C-BF64-25A3A18BEEB5}"/>
    <cellStyle name="Normal 8 3 2 6 4" xfId="10325" xr:uid="{AB2B891C-E2D4-49F5-ABCC-DE1E81D4A484}"/>
    <cellStyle name="Normal 8 3 2 6 5" xfId="18763" xr:uid="{3B119E9D-B0CD-4730-B12E-A8619DB1E6F9}"/>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70117F38-7BD9-4EE8-924B-744722C77EBA}"/>
    <cellStyle name="Normal 8 3 2 7 2 2 3" xfId="25538" xr:uid="{4657C76A-9DB2-4A28-A663-16834AEA6DCD}"/>
    <cellStyle name="Normal 8 3 2 7 2 3" xfId="12883" xr:uid="{987CD483-2685-4292-9EC7-FE1D7BBC2D92}"/>
    <cellStyle name="Normal 8 3 2 7 2 4" xfId="21321" xr:uid="{DAC8D81B-4E39-4F21-AE69-EBD2C1E415A9}"/>
    <cellStyle name="Normal 8 3 2 7 3" xfId="6514" xr:uid="{00000000-0005-0000-0000-00007D1D0000}"/>
    <cellStyle name="Normal 8 3 2 7 3 2" xfId="14956" xr:uid="{238DC282-C0E8-4102-8151-3CA9172679AE}"/>
    <cellStyle name="Normal 8 3 2 7 3 3" xfId="23393" xr:uid="{04BF71E2-6FDE-43C7-B53C-88C340C002E9}"/>
    <cellStyle name="Normal 8 3 2 7 4" xfId="10738" xr:uid="{A5D86D12-DC2D-4C03-8065-9B0A9395F290}"/>
    <cellStyle name="Normal 8 3 2 7 5" xfId="19176" xr:uid="{885F9414-70CF-40D0-97D8-F412AB2EF74E}"/>
    <cellStyle name="Normal 8 3 2 8" xfId="2643" xr:uid="{00000000-0005-0000-0000-00007E1D0000}"/>
    <cellStyle name="Normal 8 3 2 8 2" xfId="6927" xr:uid="{00000000-0005-0000-0000-00007F1D0000}"/>
    <cellStyle name="Normal 8 3 2 8 2 2" xfId="15369" xr:uid="{4E9CE514-EE91-40AF-AAFD-2C3196FDDFBF}"/>
    <cellStyle name="Normal 8 3 2 8 2 3" xfId="23806" xr:uid="{F733E48A-F3BD-4223-96E6-1894BC40C00F}"/>
    <cellStyle name="Normal 8 3 2 8 3" xfId="11151" xr:uid="{0B1BAC2D-8308-4667-B427-FF8FB794C3A8}"/>
    <cellStyle name="Normal 8 3 2 8 4" xfId="19589" xr:uid="{9E7FF9CC-C39D-4442-B7CD-C6BB2FA9F536}"/>
    <cellStyle name="Normal 8 3 2 9" xfId="4862" xr:uid="{00000000-0005-0000-0000-0000801D0000}"/>
    <cellStyle name="Normal 8 3 2 9 2" xfId="13304" xr:uid="{C2F95BD6-28AF-4FA2-9EC8-AB8BC8372A6C}"/>
    <cellStyle name="Normal 8 3 2 9 3" xfId="21741" xr:uid="{EB61C40D-5CA0-4189-8772-E5E957B96569}"/>
    <cellStyle name="Normal 8 3 3" xfId="500" xr:uid="{00000000-0005-0000-0000-0000811D0000}"/>
    <cellStyle name="Normal 8 3 3 10" xfId="17528" xr:uid="{50209725-0797-4221-BCFA-A8347A63B16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77634CB8-6A06-484D-9396-224F7D392DF1}"/>
    <cellStyle name="Normal 8 3 3 2 2 2 2 3" xfId="24304" xr:uid="{8D1499BE-CEAB-4B96-84B8-424FA62E55EA}"/>
    <cellStyle name="Normal 8 3 3 2 2 2 3" xfId="11649" xr:uid="{D1C18FCD-38E4-43FB-A8EC-50BB5C7D9ACA}"/>
    <cellStyle name="Normal 8 3 3 2 2 2 4" xfId="20087" xr:uid="{AC4CF533-B98E-47D1-880C-2B25BE238B38}"/>
    <cellStyle name="Normal 8 3 3 2 2 3" xfId="5280" xr:uid="{00000000-0005-0000-0000-0000861D0000}"/>
    <cellStyle name="Normal 8 3 3 2 2 3 2" xfId="13722" xr:uid="{A8343BD0-5FB0-4B8F-AB59-786AA00F0772}"/>
    <cellStyle name="Normal 8 3 3 2 2 3 3" xfId="22159" xr:uid="{E33EA773-90F2-4C29-8D24-57EB8201327B}"/>
    <cellStyle name="Normal 8 3 3 2 2 4" xfId="9504" xr:uid="{57FA7203-3C87-4B3F-ADF9-CFD06BC280D2}"/>
    <cellStyle name="Normal 8 3 3 2 2 5" xfId="17942" xr:uid="{8B5CE8AD-0549-45D7-9E59-1F0BBB1E6D1C}"/>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5AF89545-A7B4-4EB7-AC23-C4119C2BDA97}"/>
    <cellStyle name="Normal 8 3 3 2 3 2 2 3" xfId="24717" xr:uid="{0C526C3A-EC25-4F21-BAF0-6817A775AF2C}"/>
    <cellStyle name="Normal 8 3 3 2 3 2 3" xfId="12062" xr:uid="{70E6C60E-6253-48C5-AFCF-D72594A9B76E}"/>
    <cellStyle name="Normal 8 3 3 2 3 2 4" xfId="20500" xr:uid="{58EE01EF-AEBD-40CC-9DDB-D841DED73637}"/>
    <cellStyle name="Normal 8 3 3 2 3 3" xfId="5693" xr:uid="{00000000-0005-0000-0000-00008A1D0000}"/>
    <cellStyle name="Normal 8 3 3 2 3 3 2" xfId="14135" xr:uid="{A485F9D5-E963-495C-8BC1-43CB3B15AFB7}"/>
    <cellStyle name="Normal 8 3 3 2 3 3 3" xfId="22572" xr:uid="{55FE5B13-C421-4F8E-B61D-FF35946BE540}"/>
    <cellStyle name="Normal 8 3 3 2 3 4" xfId="9917" xr:uid="{8CC4A6A9-2351-471D-AD49-8D324A76E7E1}"/>
    <cellStyle name="Normal 8 3 3 2 3 5" xfId="18355" xr:uid="{941F0AC5-E5CD-4390-ACCD-64F817E2BD95}"/>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EBEE87C8-3828-45A7-B5CA-3CB779EF3F9C}"/>
    <cellStyle name="Normal 8 3 3 2 4 2 2 3" xfId="25130" xr:uid="{D01A5C7D-500A-4CC7-B75C-DFA027BC77C3}"/>
    <cellStyle name="Normal 8 3 3 2 4 2 3" xfId="12475" xr:uid="{4E0EC946-EE7E-4452-945B-AA359F3DAE31}"/>
    <cellStyle name="Normal 8 3 3 2 4 2 4" xfId="20913" xr:uid="{9E2BA853-AF81-427F-82CC-B0A9FF8F5454}"/>
    <cellStyle name="Normal 8 3 3 2 4 3" xfId="6106" xr:uid="{00000000-0005-0000-0000-00008E1D0000}"/>
    <cellStyle name="Normal 8 3 3 2 4 3 2" xfId="14548" xr:uid="{6A4A73ED-C9EA-430F-9707-6FEA275F1636}"/>
    <cellStyle name="Normal 8 3 3 2 4 3 3" xfId="22985" xr:uid="{0AC51FF2-1ABD-442B-BBE0-0EE03DF26DEA}"/>
    <cellStyle name="Normal 8 3 3 2 4 4" xfId="10330" xr:uid="{35BDF794-B393-4D10-9594-8ED0CA3BD854}"/>
    <cellStyle name="Normal 8 3 3 2 4 5" xfId="18768" xr:uid="{968F8D08-353C-46E7-B1F4-944C7E21008C}"/>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45F5D150-0DBA-419F-99CE-B4327A4F0B9E}"/>
    <cellStyle name="Normal 8 3 3 2 5 2 2 3" xfId="25543" xr:uid="{9365BD6D-0F6F-444B-978F-B9A41D33C4B2}"/>
    <cellStyle name="Normal 8 3 3 2 5 2 3" xfId="12888" xr:uid="{3CC15DF2-5B45-4D80-B028-26B39B80F627}"/>
    <cellStyle name="Normal 8 3 3 2 5 2 4" xfId="21326" xr:uid="{FB59F897-E54E-4B4A-BF42-D64BD63E0AE0}"/>
    <cellStyle name="Normal 8 3 3 2 5 3" xfId="6519" xr:uid="{00000000-0005-0000-0000-0000921D0000}"/>
    <cellStyle name="Normal 8 3 3 2 5 3 2" xfId="14961" xr:uid="{AFF6800D-A5BB-4927-BBBC-0B3E0B3BE4AF}"/>
    <cellStyle name="Normal 8 3 3 2 5 3 3" xfId="23398" xr:uid="{0E08F510-E24D-49DC-8F73-0094D0EF1458}"/>
    <cellStyle name="Normal 8 3 3 2 5 4" xfId="10743" xr:uid="{525637C7-9311-4110-BD7D-B1D1BC851779}"/>
    <cellStyle name="Normal 8 3 3 2 5 5" xfId="19181" xr:uid="{71F0728B-BA87-4CAC-9208-A47937102676}"/>
    <cellStyle name="Normal 8 3 3 2 6" xfId="2648" xr:uid="{00000000-0005-0000-0000-0000931D0000}"/>
    <cellStyle name="Normal 8 3 3 2 6 2" xfId="6932" xr:uid="{00000000-0005-0000-0000-0000941D0000}"/>
    <cellStyle name="Normal 8 3 3 2 6 2 2" xfId="15374" xr:uid="{721B8D08-80A1-4CF4-A43E-2279F5E32935}"/>
    <cellStyle name="Normal 8 3 3 2 6 2 3" xfId="23811" xr:uid="{9350DC8F-3DC0-4421-8AFE-6FBB5254B02E}"/>
    <cellStyle name="Normal 8 3 3 2 6 3" xfId="11156" xr:uid="{617A749C-B943-4165-9D37-D12A42221341}"/>
    <cellStyle name="Normal 8 3 3 2 6 4" xfId="19594" xr:uid="{91D90A5E-7851-44C0-B56F-E259DC0C5EF3}"/>
    <cellStyle name="Normal 8 3 3 2 7" xfId="4867" xr:uid="{00000000-0005-0000-0000-0000951D0000}"/>
    <cellStyle name="Normal 8 3 3 2 7 2" xfId="13309" xr:uid="{722E6279-4766-4C73-B732-145D641A9EED}"/>
    <cellStyle name="Normal 8 3 3 2 7 3" xfId="21746" xr:uid="{51011DD9-BCE8-4A0D-B422-8C2A07B6C927}"/>
    <cellStyle name="Normal 8 3 3 2 8" xfId="9091" xr:uid="{9D2E355E-EB56-4C8F-BB79-8BB03BC10832}"/>
    <cellStyle name="Normal 8 3 3 2 9" xfId="17529" xr:uid="{A8CEC580-AAF6-40B8-BFB1-2170F18023A4}"/>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A6DD1337-E230-463F-85CE-82AE6F4C9CBB}"/>
    <cellStyle name="Normal 8 3 3 3 2 2 3" xfId="24303" xr:uid="{3378F414-FD6A-4535-BF12-B05C262A0C93}"/>
    <cellStyle name="Normal 8 3 3 3 2 3" xfId="11648" xr:uid="{F34FBB5D-2230-47E6-8410-25238B23EC53}"/>
    <cellStyle name="Normal 8 3 3 3 2 4" xfId="20086" xr:uid="{AE09BFA7-B48A-4DC5-8AE1-84299C9E76CA}"/>
    <cellStyle name="Normal 8 3 3 3 3" xfId="5279" xr:uid="{00000000-0005-0000-0000-0000991D0000}"/>
    <cellStyle name="Normal 8 3 3 3 3 2" xfId="13721" xr:uid="{B92A62C5-E771-440E-B9F4-F07331D5576B}"/>
    <cellStyle name="Normal 8 3 3 3 3 3" xfId="22158" xr:uid="{74265B61-1470-4B40-8604-19AF3A415312}"/>
    <cellStyle name="Normal 8 3 3 3 4" xfId="9503" xr:uid="{F9437A42-44DD-4938-82AC-1BB68550DBBF}"/>
    <cellStyle name="Normal 8 3 3 3 5" xfId="17941" xr:uid="{522D632C-968F-428F-B59B-C820D81F6524}"/>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94684EF5-35EF-4972-B72C-9B65B3E4FDF2}"/>
    <cellStyle name="Normal 8 3 3 4 2 2 3" xfId="24716" xr:uid="{CAEBAF6E-61DD-4790-9DC2-F799E825BE88}"/>
    <cellStyle name="Normal 8 3 3 4 2 3" xfId="12061" xr:uid="{80F7AC9C-B0E9-4910-8018-E3FA8807197D}"/>
    <cellStyle name="Normal 8 3 3 4 2 4" xfId="20499" xr:uid="{37565A8B-0E0E-45E3-B715-53E81A9BFED2}"/>
    <cellStyle name="Normal 8 3 3 4 3" xfId="5692" xr:uid="{00000000-0005-0000-0000-00009D1D0000}"/>
    <cellStyle name="Normal 8 3 3 4 3 2" xfId="14134" xr:uid="{CDE47830-F5EF-4280-9FC2-47FA7CAB5349}"/>
    <cellStyle name="Normal 8 3 3 4 3 3" xfId="22571" xr:uid="{E16490F8-9767-4BB3-A4B9-38BB140EE3AB}"/>
    <cellStyle name="Normal 8 3 3 4 4" xfId="9916" xr:uid="{CF8DFBBB-A50F-4059-9A2A-CAB697F04B94}"/>
    <cellStyle name="Normal 8 3 3 4 5" xfId="18354" xr:uid="{902E15AF-41B3-4EAB-BE7D-46E677834524}"/>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B9411D31-735C-43CF-97E0-CB19948C95FB}"/>
    <cellStyle name="Normal 8 3 3 5 2 2 3" xfId="25129" xr:uid="{D0D3C2F3-71FD-4DE5-BCD4-794494300E82}"/>
    <cellStyle name="Normal 8 3 3 5 2 3" xfId="12474" xr:uid="{AD2778B7-F62D-44D6-8084-22E6485B8C2A}"/>
    <cellStyle name="Normal 8 3 3 5 2 4" xfId="20912" xr:uid="{1FB5BF72-754F-41F4-8949-EAA5C850D208}"/>
    <cellStyle name="Normal 8 3 3 5 3" xfId="6105" xr:uid="{00000000-0005-0000-0000-0000A11D0000}"/>
    <cellStyle name="Normal 8 3 3 5 3 2" xfId="14547" xr:uid="{7EFF3CDC-8CE1-420C-8BBD-CAD092DD20BA}"/>
    <cellStyle name="Normal 8 3 3 5 3 3" xfId="22984" xr:uid="{7AFA7452-1AE4-4E4C-8B8E-345AC7DE5517}"/>
    <cellStyle name="Normal 8 3 3 5 4" xfId="10329" xr:uid="{F4AEF4F8-301E-4311-8E35-38A66608E0A0}"/>
    <cellStyle name="Normal 8 3 3 5 5" xfId="18767" xr:uid="{4EE25BD6-78E3-4ADF-A498-63E7BAF1FFA1}"/>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FE3BE2A6-68E0-45AB-B7AE-8C615089BF1A}"/>
    <cellStyle name="Normal 8 3 3 6 2 2 3" xfId="25542" xr:uid="{08621A87-6E70-4AE6-B6D6-2F97B40E540D}"/>
    <cellStyle name="Normal 8 3 3 6 2 3" xfId="12887" xr:uid="{73383153-AAAF-4840-A43F-80DDE868292A}"/>
    <cellStyle name="Normal 8 3 3 6 2 4" xfId="21325" xr:uid="{62134563-4CFF-4550-8598-2855AF5578FF}"/>
    <cellStyle name="Normal 8 3 3 6 3" xfId="6518" xr:uid="{00000000-0005-0000-0000-0000A51D0000}"/>
    <cellStyle name="Normal 8 3 3 6 3 2" xfId="14960" xr:uid="{7D10B047-F48F-4110-8062-4FC5A31AE7B1}"/>
    <cellStyle name="Normal 8 3 3 6 3 3" xfId="23397" xr:uid="{3DC5BC7E-F095-48B7-B26D-F9E06DEBDDF5}"/>
    <cellStyle name="Normal 8 3 3 6 4" xfId="10742" xr:uid="{1A019334-B560-4705-9567-C69A8786E17A}"/>
    <cellStyle name="Normal 8 3 3 6 5" xfId="19180" xr:uid="{69089613-94CD-489E-A5C2-805CF66B060C}"/>
    <cellStyle name="Normal 8 3 3 7" xfId="2647" xr:uid="{00000000-0005-0000-0000-0000A61D0000}"/>
    <cellStyle name="Normal 8 3 3 7 2" xfId="6931" xr:uid="{00000000-0005-0000-0000-0000A71D0000}"/>
    <cellStyle name="Normal 8 3 3 7 2 2" xfId="15373" xr:uid="{351CE617-18C5-4EDB-9871-04CFBF9EA3C7}"/>
    <cellStyle name="Normal 8 3 3 7 2 3" xfId="23810" xr:uid="{5A4E62F4-6ACE-484E-92D5-C0F4AC81455B}"/>
    <cellStyle name="Normal 8 3 3 7 3" xfId="11155" xr:uid="{30A7B612-CA1B-450F-A7A5-B1FBDDA44C6B}"/>
    <cellStyle name="Normal 8 3 3 7 4" xfId="19593" xr:uid="{0720C8F9-25F4-488E-9FC0-0DCAFBBF1920}"/>
    <cellStyle name="Normal 8 3 3 8" xfId="4866" xr:uid="{00000000-0005-0000-0000-0000A81D0000}"/>
    <cellStyle name="Normal 8 3 3 8 2" xfId="13308" xr:uid="{8F744F58-D9DA-4FAA-8630-544894A83F0E}"/>
    <cellStyle name="Normal 8 3 3 8 3" xfId="21745" xr:uid="{41740470-65FF-4884-80B5-D136396EAD90}"/>
    <cellStyle name="Normal 8 3 3 9" xfId="9090" xr:uid="{E26BC91A-C356-4542-8347-D65EDBFAF74C}"/>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A4EEF467-42B9-4B4E-AFCD-FE9BE127D2D6}"/>
    <cellStyle name="Normal 8 3 4 2 2 2 3" xfId="24305" xr:uid="{7AA0A1FA-F3AE-4214-A4DC-E60C5B8A5C05}"/>
    <cellStyle name="Normal 8 3 4 2 2 3" xfId="11650" xr:uid="{EF9C5A13-50AD-4429-895D-3EB91D7AE284}"/>
    <cellStyle name="Normal 8 3 4 2 2 4" xfId="20088" xr:uid="{89C8D29F-A0AC-48C0-A3CF-73893ED75B1A}"/>
    <cellStyle name="Normal 8 3 4 2 3" xfId="5281" xr:uid="{00000000-0005-0000-0000-0000AD1D0000}"/>
    <cellStyle name="Normal 8 3 4 2 3 2" xfId="13723" xr:uid="{B4F12647-648D-4050-8678-0DEF7BC340AF}"/>
    <cellStyle name="Normal 8 3 4 2 3 3" xfId="22160" xr:uid="{4230F38F-5C50-49CF-8050-699FDB977CD2}"/>
    <cellStyle name="Normal 8 3 4 2 4" xfId="9505" xr:uid="{1D44D326-EE24-4754-A015-BF28BE6307F4}"/>
    <cellStyle name="Normal 8 3 4 2 5" xfId="17943" xr:uid="{F2953932-F199-4C44-94F6-9D4E96F83E52}"/>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1C1BAE68-222C-4E35-97B2-0552F6AFC9B9}"/>
    <cellStyle name="Normal 8 3 4 3 2 2 3" xfId="24718" xr:uid="{66A7EEFD-2F2A-4058-9EA9-ED3C7BE58765}"/>
    <cellStyle name="Normal 8 3 4 3 2 3" xfId="12063" xr:uid="{1832A4AD-4772-4382-BE9E-F28E9673966B}"/>
    <cellStyle name="Normal 8 3 4 3 2 4" xfId="20501" xr:uid="{986D5784-223B-4958-96A5-D34A7291689F}"/>
    <cellStyle name="Normal 8 3 4 3 3" xfId="5694" xr:uid="{00000000-0005-0000-0000-0000B11D0000}"/>
    <cellStyle name="Normal 8 3 4 3 3 2" xfId="14136" xr:uid="{2635294F-BD69-4DEF-B545-FE90BA111046}"/>
    <cellStyle name="Normal 8 3 4 3 3 3" xfId="22573" xr:uid="{D20B9097-B945-4690-AE72-4F3EE139C1EA}"/>
    <cellStyle name="Normal 8 3 4 3 4" xfId="9918" xr:uid="{9E0E27AB-34E4-42B0-8324-9774334F48F6}"/>
    <cellStyle name="Normal 8 3 4 3 5" xfId="18356" xr:uid="{3AEAC8E2-D3B7-4E14-8E26-C4307FBC080D}"/>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F4604ED4-B248-48AF-9848-3D9AF0A9CCA3}"/>
    <cellStyle name="Normal 8 3 4 4 2 2 3" xfId="25131" xr:uid="{76DFA857-7607-47FD-B97C-B97DC63D1D0D}"/>
    <cellStyle name="Normal 8 3 4 4 2 3" xfId="12476" xr:uid="{6ACEACE9-0368-499F-9763-D665F05E0A29}"/>
    <cellStyle name="Normal 8 3 4 4 2 4" xfId="20914" xr:uid="{F186F5DE-87A9-4047-BEE5-855E979BAF5E}"/>
    <cellStyle name="Normal 8 3 4 4 3" xfId="6107" xr:uid="{00000000-0005-0000-0000-0000B51D0000}"/>
    <cellStyle name="Normal 8 3 4 4 3 2" xfId="14549" xr:uid="{155F7988-84A4-4AD2-B423-7795F17F156A}"/>
    <cellStyle name="Normal 8 3 4 4 3 3" xfId="22986" xr:uid="{1342C7A2-E5F4-448E-B407-D668FD7798F8}"/>
    <cellStyle name="Normal 8 3 4 4 4" xfId="10331" xr:uid="{C25EE678-2501-477B-A8C7-922BA66D5FB6}"/>
    <cellStyle name="Normal 8 3 4 4 5" xfId="18769" xr:uid="{8E3885D2-83AD-45EA-B5BD-C96ABE911CB4}"/>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D255CE7A-FFD9-4F75-BCA7-E1868F397CD9}"/>
    <cellStyle name="Normal 8 3 4 5 2 2 3" xfId="25544" xr:uid="{4C7F1A32-4443-490A-9678-9EBAAB948849}"/>
    <cellStyle name="Normal 8 3 4 5 2 3" xfId="12889" xr:uid="{44B9ACC4-C6FE-4B2C-9E3F-43D82CD9555F}"/>
    <cellStyle name="Normal 8 3 4 5 2 4" xfId="21327" xr:uid="{3DF8A53E-E6AE-433C-B8E6-79EA98F47F1B}"/>
    <cellStyle name="Normal 8 3 4 5 3" xfId="6520" xr:uid="{00000000-0005-0000-0000-0000B91D0000}"/>
    <cellStyle name="Normal 8 3 4 5 3 2" xfId="14962" xr:uid="{474A3B08-AF7D-45EA-A3AC-7967DBD63696}"/>
    <cellStyle name="Normal 8 3 4 5 3 3" xfId="23399" xr:uid="{1B9C3562-74A4-4498-BF12-684ED797C4E6}"/>
    <cellStyle name="Normal 8 3 4 5 4" xfId="10744" xr:uid="{BC309FDE-49B9-4937-A336-03B86AA00FDB}"/>
    <cellStyle name="Normal 8 3 4 5 5" xfId="19182" xr:uid="{80BF2E11-B116-47DC-AE7D-879896F0CB8D}"/>
    <cellStyle name="Normal 8 3 4 6" xfId="2649" xr:uid="{00000000-0005-0000-0000-0000BA1D0000}"/>
    <cellStyle name="Normal 8 3 4 6 2" xfId="6933" xr:uid="{00000000-0005-0000-0000-0000BB1D0000}"/>
    <cellStyle name="Normal 8 3 4 6 2 2" xfId="15375" xr:uid="{24D42BB4-900A-4954-BE29-53732C5BD452}"/>
    <cellStyle name="Normal 8 3 4 6 2 3" xfId="23812" xr:uid="{EEABE2A5-3895-48FC-8423-7EC2B3E12953}"/>
    <cellStyle name="Normal 8 3 4 6 3" xfId="11157" xr:uid="{010A7280-370F-47CB-91BB-7C4ACED0E9B1}"/>
    <cellStyle name="Normal 8 3 4 6 4" xfId="19595" xr:uid="{0CC3C06E-60F2-449B-A992-38A3B20A3FAB}"/>
    <cellStyle name="Normal 8 3 4 7" xfId="4868" xr:uid="{00000000-0005-0000-0000-0000BC1D0000}"/>
    <cellStyle name="Normal 8 3 4 7 2" xfId="13310" xr:uid="{7DE30312-55EF-49B4-BEF0-AC70E0CCAFD8}"/>
    <cellStyle name="Normal 8 3 4 7 3" xfId="21747" xr:uid="{5268CF78-5D8F-421D-9EFD-4CF157893A02}"/>
    <cellStyle name="Normal 8 3 4 8" xfId="9092" xr:uid="{077C7568-2270-4175-8CD4-995BA24F7933}"/>
    <cellStyle name="Normal 8 3 4 9" xfId="17530" xr:uid="{7D8800AD-2106-4D13-BABE-C9FA430E5317}"/>
    <cellStyle name="Normal 8 3 5" xfId="962" xr:uid="{00000000-0005-0000-0000-0000BD1D0000}"/>
    <cellStyle name="Normal 8 3 5 2" xfId="3196" xr:uid="{00000000-0005-0000-0000-0000BE1D0000}"/>
    <cellStyle name="Normal 8 3 5 2 2" xfId="7419" xr:uid="{00000000-0005-0000-0000-0000BF1D0000}"/>
    <cellStyle name="Normal 8 3 5 2 2 2" xfId="15861" xr:uid="{B75FA753-C5A7-468C-A570-44D92D168F05}"/>
    <cellStyle name="Normal 8 3 5 2 2 3" xfId="24298" xr:uid="{FD8E0DEA-6DE3-4234-8EB7-16E4D24E9FA9}"/>
    <cellStyle name="Normal 8 3 5 2 3" xfId="11643" xr:uid="{2C53379C-B795-4FEA-B92C-DABAACDC1AB1}"/>
    <cellStyle name="Normal 8 3 5 2 4" xfId="20081" xr:uid="{058FBD70-DD8B-46D7-B93B-D8BFBF0E247F}"/>
    <cellStyle name="Normal 8 3 5 3" xfId="5274" xr:uid="{00000000-0005-0000-0000-0000C01D0000}"/>
    <cellStyle name="Normal 8 3 5 3 2" xfId="13716" xr:uid="{061818E9-429E-40ED-B411-223BE7609BC1}"/>
    <cellStyle name="Normal 8 3 5 3 3" xfId="22153" xr:uid="{C3D2F792-BFB3-4E83-9E61-604A9E47D866}"/>
    <cellStyle name="Normal 8 3 5 4" xfId="9498" xr:uid="{BF71B659-4E34-4832-8B2C-73B0B6C81293}"/>
    <cellStyle name="Normal 8 3 5 5" xfId="17936" xr:uid="{E91BB558-E97E-4992-9715-526EE11F5AAF}"/>
    <cellStyle name="Normal 8 3 6" xfId="1379" xr:uid="{00000000-0005-0000-0000-0000C11D0000}"/>
    <cellStyle name="Normal 8 3 6 2" xfId="3609" xr:uid="{00000000-0005-0000-0000-0000C21D0000}"/>
    <cellStyle name="Normal 8 3 6 2 2" xfId="7832" xr:uid="{00000000-0005-0000-0000-0000C31D0000}"/>
    <cellStyle name="Normal 8 3 6 2 2 2" xfId="16274" xr:uid="{79E14C5E-25C7-49CB-B0A3-9AE1731E19DA}"/>
    <cellStyle name="Normal 8 3 6 2 2 3" xfId="24711" xr:uid="{D1ED72C3-1DE0-4B3A-A523-6A97DB8D8012}"/>
    <cellStyle name="Normal 8 3 6 2 3" xfId="12056" xr:uid="{2D5DEA4D-219E-4AFF-B8DB-2F39036F411D}"/>
    <cellStyle name="Normal 8 3 6 2 4" xfId="20494" xr:uid="{60CDA0CD-E8FF-4517-9F3C-20C6A3D34E46}"/>
    <cellStyle name="Normal 8 3 6 3" xfId="5687" xr:uid="{00000000-0005-0000-0000-0000C41D0000}"/>
    <cellStyle name="Normal 8 3 6 3 2" xfId="14129" xr:uid="{61F9B453-A257-4EC9-991D-16F67E4E94FA}"/>
    <cellStyle name="Normal 8 3 6 3 3" xfId="22566" xr:uid="{E2666A0C-A306-4687-9456-3A20EBF65E35}"/>
    <cellStyle name="Normal 8 3 6 4" xfId="9911" xr:uid="{CB2549BA-36B4-4305-B359-7343615BEF90}"/>
    <cellStyle name="Normal 8 3 6 5" xfId="18349" xr:uid="{5B673B4D-C8DD-4725-A8B9-5AE1FEC123A9}"/>
    <cellStyle name="Normal 8 3 7" xfId="1792" xr:uid="{00000000-0005-0000-0000-0000C51D0000}"/>
    <cellStyle name="Normal 8 3 7 2" xfId="4022" xr:uid="{00000000-0005-0000-0000-0000C61D0000}"/>
    <cellStyle name="Normal 8 3 7 2 2" xfId="8245" xr:uid="{00000000-0005-0000-0000-0000C71D0000}"/>
    <cellStyle name="Normal 8 3 7 2 2 2" xfId="16687" xr:uid="{6B2528C1-DC59-4EDA-BCF9-736F32CF6CC2}"/>
    <cellStyle name="Normal 8 3 7 2 2 3" xfId="25124" xr:uid="{B6041A98-BEE0-427A-BDD2-603D9A9E62D9}"/>
    <cellStyle name="Normal 8 3 7 2 3" xfId="12469" xr:uid="{8A3A5652-3057-4174-9D3F-DAEB4105945A}"/>
    <cellStyle name="Normal 8 3 7 2 4" xfId="20907" xr:uid="{9F4CBE15-1CDA-4604-8DC9-402AFEF5D6FC}"/>
    <cellStyle name="Normal 8 3 7 3" xfId="6100" xr:uid="{00000000-0005-0000-0000-0000C81D0000}"/>
    <cellStyle name="Normal 8 3 7 3 2" xfId="14542" xr:uid="{CB816C8F-E728-43C3-BB45-5BE4AC6F46AA}"/>
    <cellStyle name="Normal 8 3 7 3 3" xfId="22979" xr:uid="{32B591A4-5365-4042-8221-AB0B490A2B8A}"/>
    <cellStyle name="Normal 8 3 7 4" xfId="10324" xr:uid="{C01ACD68-CC12-46F9-B045-B5CD98F14F87}"/>
    <cellStyle name="Normal 8 3 7 5" xfId="18762" xr:uid="{C28EA3DB-2416-4B9E-A899-80EF30D57676}"/>
    <cellStyle name="Normal 8 3 8" xfId="2206" xr:uid="{00000000-0005-0000-0000-0000C91D0000}"/>
    <cellStyle name="Normal 8 3 8 2" xfId="4435" xr:uid="{00000000-0005-0000-0000-0000CA1D0000}"/>
    <cellStyle name="Normal 8 3 8 2 2" xfId="8658" xr:uid="{00000000-0005-0000-0000-0000CB1D0000}"/>
    <cellStyle name="Normal 8 3 8 2 2 2" xfId="17100" xr:uid="{EB60A86A-8C26-4415-A645-71D28A5E54FE}"/>
    <cellStyle name="Normal 8 3 8 2 2 3" xfId="25537" xr:uid="{4EE744E6-AC43-4E22-873A-0AED5BDE44F1}"/>
    <cellStyle name="Normal 8 3 8 2 3" xfId="12882" xr:uid="{5836E7EA-A101-4EF4-B7F3-B150CDDB50D3}"/>
    <cellStyle name="Normal 8 3 8 2 4" xfId="21320" xr:uid="{914217A5-91C2-48C4-953C-62D73FCC7BA4}"/>
    <cellStyle name="Normal 8 3 8 3" xfId="6513" xr:uid="{00000000-0005-0000-0000-0000CC1D0000}"/>
    <cellStyle name="Normal 8 3 8 3 2" xfId="14955" xr:uid="{0E680A51-A501-4D82-A40D-D1811DC9A728}"/>
    <cellStyle name="Normal 8 3 8 3 3" xfId="23392" xr:uid="{209032D3-E354-4A99-98DA-9FEC62352E57}"/>
    <cellStyle name="Normal 8 3 8 4" xfId="10737" xr:uid="{1582E082-CAD4-4583-A1A4-DF6F64D92D1B}"/>
    <cellStyle name="Normal 8 3 8 5" xfId="19175" xr:uid="{FE60B075-D2FA-4FA1-A8C7-8CD9139E9755}"/>
    <cellStyle name="Normal 8 3 9" xfId="2642" xr:uid="{00000000-0005-0000-0000-0000CD1D0000}"/>
    <cellStyle name="Normal 8 3 9 2" xfId="6926" xr:uid="{00000000-0005-0000-0000-0000CE1D0000}"/>
    <cellStyle name="Normal 8 3 9 2 2" xfId="15368" xr:uid="{86D12C7A-587A-4CA9-A74D-C0B51983F047}"/>
    <cellStyle name="Normal 8 3 9 2 3" xfId="23805" xr:uid="{3BE6BD74-82DE-47E1-A560-1FAFC22342DB}"/>
    <cellStyle name="Normal 8 3 9 3" xfId="11150" xr:uid="{5E8B4CB7-9FCF-4898-BDD7-AD90D31BCBED}"/>
    <cellStyle name="Normal 8 3 9 4" xfId="19588" xr:uid="{EC2A3BFF-EA33-4C1A-A0E7-B6E402DE0BB4}"/>
    <cellStyle name="Normal 8 4" xfId="503" xr:uid="{00000000-0005-0000-0000-0000CF1D0000}"/>
    <cellStyle name="Normal 8 4 10" xfId="9093" xr:uid="{A484F320-5401-4FCE-B67D-E7C9B5D11963}"/>
    <cellStyle name="Normal 8 4 11" xfId="17531" xr:uid="{5FBBF1CE-9A6E-4D76-8552-3BBAAD3FE530}"/>
    <cellStyle name="Normal 8 4 2" xfId="504" xr:uid="{00000000-0005-0000-0000-0000D01D0000}"/>
    <cellStyle name="Normal 8 4 2 10" xfId="17532" xr:uid="{7B9E84E4-29A3-4EDB-8DF9-C6B4C0F9FC32}"/>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FA300053-66CA-4F99-8E92-5808F233F7E3}"/>
    <cellStyle name="Normal 8 4 2 2 2 2 2 3" xfId="24308" xr:uid="{3B77D327-261D-4D8E-8EEA-2BA63B0B023C}"/>
    <cellStyle name="Normal 8 4 2 2 2 2 3" xfId="11653" xr:uid="{354E42D3-31D0-4A19-8AFD-0BD99C2D305C}"/>
    <cellStyle name="Normal 8 4 2 2 2 2 4" xfId="20091" xr:uid="{87671EDE-D5EA-43D0-934E-5BBE52345636}"/>
    <cellStyle name="Normal 8 4 2 2 2 3" xfId="5284" xr:uid="{00000000-0005-0000-0000-0000D51D0000}"/>
    <cellStyle name="Normal 8 4 2 2 2 3 2" xfId="13726" xr:uid="{925B8854-022C-4D70-BCD3-563DBF713898}"/>
    <cellStyle name="Normal 8 4 2 2 2 3 3" xfId="22163" xr:uid="{43D6963F-695E-483E-988F-67328EAED489}"/>
    <cellStyle name="Normal 8 4 2 2 2 4" xfId="9508" xr:uid="{8DDFFC74-5EDD-457E-A172-1DB56E31ADAA}"/>
    <cellStyle name="Normal 8 4 2 2 2 5" xfId="17946" xr:uid="{731679BD-65AF-4353-8324-2A8337D577D4}"/>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8D23A4CB-B731-4CA5-8E69-6EADCDCE351E}"/>
    <cellStyle name="Normal 8 4 2 2 3 2 2 3" xfId="24721" xr:uid="{975DC106-7FA1-46C2-B29E-47A4D3223A05}"/>
    <cellStyle name="Normal 8 4 2 2 3 2 3" xfId="12066" xr:uid="{A295FDA4-95F3-4453-8515-F45F5B6B2176}"/>
    <cellStyle name="Normal 8 4 2 2 3 2 4" xfId="20504" xr:uid="{53A48C93-BEC5-44EB-BAC4-96DC783DAE0E}"/>
    <cellStyle name="Normal 8 4 2 2 3 3" xfId="5697" xr:uid="{00000000-0005-0000-0000-0000D91D0000}"/>
    <cellStyle name="Normal 8 4 2 2 3 3 2" xfId="14139" xr:uid="{36B8B645-3CBF-4787-B748-6CD2C42B7EAC}"/>
    <cellStyle name="Normal 8 4 2 2 3 3 3" xfId="22576" xr:uid="{4DD48F55-D664-4760-8BAA-39FCA58E407E}"/>
    <cellStyle name="Normal 8 4 2 2 3 4" xfId="9921" xr:uid="{D4DBD39B-BC04-4EB4-AA24-9E4C34F5029F}"/>
    <cellStyle name="Normal 8 4 2 2 3 5" xfId="18359" xr:uid="{3C8A05F0-4AC6-4A28-B374-C8045ADF64BC}"/>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9B17E16A-D843-4317-A470-231B1F734817}"/>
    <cellStyle name="Normal 8 4 2 2 4 2 2 3" xfId="25134" xr:uid="{01183115-B1D4-4B04-9685-40BB0347C44D}"/>
    <cellStyle name="Normal 8 4 2 2 4 2 3" xfId="12479" xr:uid="{B7451187-04F8-43B0-9D13-FF14D926B1BC}"/>
    <cellStyle name="Normal 8 4 2 2 4 2 4" xfId="20917" xr:uid="{CEC9F8B0-1580-4BA8-A390-F583432E8363}"/>
    <cellStyle name="Normal 8 4 2 2 4 3" xfId="6110" xr:uid="{00000000-0005-0000-0000-0000DD1D0000}"/>
    <cellStyle name="Normal 8 4 2 2 4 3 2" xfId="14552" xr:uid="{6EFD4274-62BA-4ABA-8B9E-09773341D502}"/>
    <cellStyle name="Normal 8 4 2 2 4 3 3" xfId="22989" xr:uid="{472D42F3-5015-4F24-8555-8CD3F609CD43}"/>
    <cellStyle name="Normal 8 4 2 2 4 4" xfId="10334" xr:uid="{733C9028-D63F-4A22-8A9B-54F29E0240A3}"/>
    <cellStyle name="Normal 8 4 2 2 4 5" xfId="18772" xr:uid="{10A0D4F5-E7DF-4FE8-8EAB-C79106AA951E}"/>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A10E9216-E6AD-4EFB-B313-8B71C8B17941}"/>
    <cellStyle name="Normal 8 4 2 2 5 2 2 3" xfId="25547" xr:uid="{50BE2302-62CB-4CB4-8105-6FE9D690A0C4}"/>
    <cellStyle name="Normal 8 4 2 2 5 2 3" xfId="12892" xr:uid="{D03A0AE0-AB7C-496C-AFAD-91DEF36524E7}"/>
    <cellStyle name="Normal 8 4 2 2 5 2 4" xfId="21330" xr:uid="{201EFCB4-F6C9-4AB0-9729-E78E63A3D301}"/>
    <cellStyle name="Normal 8 4 2 2 5 3" xfId="6523" xr:uid="{00000000-0005-0000-0000-0000E11D0000}"/>
    <cellStyle name="Normal 8 4 2 2 5 3 2" xfId="14965" xr:uid="{C39FC745-0D07-4FC6-994D-1B80104BD944}"/>
    <cellStyle name="Normal 8 4 2 2 5 3 3" xfId="23402" xr:uid="{5B890EC3-AD0E-4C9D-9151-5E4D671D5681}"/>
    <cellStyle name="Normal 8 4 2 2 5 4" xfId="10747" xr:uid="{F01218B2-F554-4591-B739-B9A8D4E3F4A5}"/>
    <cellStyle name="Normal 8 4 2 2 5 5" xfId="19185" xr:uid="{DDCDBB19-1434-4D55-88BE-F48C4B0FF20B}"/>
    <cellStyle name="Normal 8 4 2 2 6" xfId="2652" xr:uid="{00000000-0005-0000-0000-0000E21D0000}"/>
    <cellStyle name="Normal 8 4 2 2 6 2" xfId="6936" xr:uid="{00000000-0005-0000-0000-0000E31D0000}"/>
    <cellStyle name="Normal 8 4 2 2 6 2 2" xfId="15378" xr:uid="{02223DF1-6905-49C5-B271-3FC3C1F489A4}"/>
    <cellStyle name="Normal 8 4 2 2 6 2 3" xfId="23815" xr:uid="{BF5FAC29-95F5-48BA-AAAA-7F24042C4554}"/>
    <cellStyle name="Normal 8 4 2 2 6 3" xfId="11160" xr:uid="{847D1FEB-5AFD-47C8-B338-8626EBA1E360}"/>
    <cellStyle name="Normal 8 4 2 2 6 4" xfId="19598" xr:uid="{35F59211-EC42-42B5-A790-861E3BC92220}"/>
    <cellStyle name="Normal 8 4 2 2 7" xfId="4871" xr:uid="{00000000-0005-0000-0000-0000E41D0000}"/>
    <cellStyle name="Normal 8 4 2 2 7 2" xfId="13313" xr:uid="{0F4681E7-1757-40CF-81AA-3DD1D12E7219}"/>
    <cellStyle name="Normal 8 4 2 2 7 3" xfId="21750" xr:uid="{9B6E7CDB-5CFA-4385-9A73-CFBD4F807829}"/>
    <cellStyle name="Normal 8 4 2 2 8" xfId="9095" xr:uid="{F895322C-B35A-4525-8C2D-B6777CEFA45F}"/>
    <cellStyle name="Normal 8 4 2 2 9" xfId="17533" xr:uid="{F67A0D62-F575-4F38-B846-8D549195C855}"/>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309F3B9E-85BC-46F8-AE53-59392934972D}"/>
    <cellStyle name="Normal 8 4 2 3 2 2 3" xfId="24307" xr:uid="{0B23AC0B-0CD7-46B9-B7D2-DC5A8A86E311}"/>
    <cellStyle name="Normal 8 4 2 3 2 3" xfId="11652" xr:uid="{26E53774-8C07-43E5-B661-B77C317A61A1}"/>
    <cellStyle name="Normal 8 4 2 3 2 4" xfId="20090" xr:uid="{672E6819-4428-4894-9B14-DFCEBFFBA5A0}"/>
    <cellStyle name="Normal 8 4 2 3 3" xfId="5283" xr:uid="{00000000-0005-0000-0000-0000E81D0000}"/>
    <cellStyle name="Normal 8 4 2 3 3 2" xfId="13725" xr:uid="{6BAA755F-DD45-425D-BAE6-CBA6AF146361}"/>
    <cellStyle name="Normal 8 4 2 3 3 3" xfId="22162" xr:uid="{FB54EE7C-927E-4D75-826B-633DA1A93BED}"/>
    <cellStyle name="Normal 8 4 2 3 4" xfId="9507" xr:uid="{8F4AF0CB-FB7F-49E6-BCCD-F51F170005A0}"/>
    <cellStyle name="Normal 8 4 2 3 5" xfId="17945" xr:uid="{588D5D25-91D4-4E00-B0B4-F1AFE239D1CD}"/>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C3C1D1A6-4C7E-488F-A315-FDAB5D2E3B3F}"/>
    <cellStyle name="Normal 8 4 2 4 2 2 3" xfId="24720" xr:uid="{D966CABD-FFB9-483F-8FA7-9AD8BA344897}"/>
    <cellStyle name="Normal 8 4 2 4 2 3" xfId="12065" xr:uid="{E4665809-5208-43CD-9373-820587C1D136}"/>
    <cellStyle name="Normal 8 4 2 4 2 4" xfId="20503" xr:uid="{7E2AF90D-D520-4509-9E6F-32E8427D05AC}"/>
    <cellStyle name="Normal 8 4 2 4 3" xfId="5696" xr:uid="{00000000-0005-0000-0000-0000EC1D0000}"/>
    <cellStyle name="Normal 8 4 2 4 3 2" xfId="14138" xr:uid="{BC76C5A1-0B95-42B3-B803-13B82B66C8EA}"/>
    <cellStyle name="Normal 8 4 2 4 3 3" xfId="22575" xr:uid="{954729C4-B238-4A65-8C64-5626058A2FA8}"/>
    <cellStyle name="Normal 8 4 2 4 4" xfId="9920" xr:uid="{AF7A559E-014F-4F80-9ACF-5C3C51D92A79}"/>
    <cellStyle name="Normal 8 4 2 4 5" xfId="18358" xr:uid="{43A5B85A-1704-4410-83E8-535076CE2D9D}"/>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0149DE77-347D-4DCD-A923-EA5BD68E5A62}"/>
    <cellStyle name="Normal 8 4 2 5 2 2 3" xfId="25133" xr:uid="{937EC468-A720-40C7-A141-BA9250798F03}"/>
    <cellStyle name="Normal 8 4 2 5 2 3" xfId="12478" xr:uid="{501BE38E-9692-4CCD-9067-F1E2036AFBF6}"/>
    <cellStyle name="Normal 8 4 2 5 2 4" xfId="20916" xr:uid="{B731FFFC-FC13-4146-AA62-6421F1020D2B}"/>
    <cellStyle name="Normal 8 4 2 5 3" xfId="6109" xr:uid="{00000000-0005-0000-0000-0000F01D0000}"/>
    <cellStyle name="Normal 8 4 2 5 3 2" xfId="14551" xr:uid="{961459A8-5E2C-4BA2-A0F0-FE5289261FB3}"/>
    <cellStyle name="Normal 8 4 2 5 3 3" xfId="22988" xr:uid="{9680ACA3-AF03-4AB1-9DDC-03AD04089FAF}"/>
    <cellStyle name="Normal 8 4 2 5 4" xfId="10333" xr:uid="{4D26534B-0277-47D1-A4B5-C8F2FF08CE96}"/>
    <cellStyle name="Normal 8 4 2 5 5" xfId="18771" xr:uid="{27293B45-6655-4D2B-ACA7-F215A8714B8E}"/>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00B8C9FF-D8BC-4962-A797-DF2FA333BE05}"/>
    <cellStyle name="Normal 8 4 2 6 2 2 3" xfId="25546" xr:uid="{36541679-9400-40B6-97F4-899499235564}"/>
    <cellStyle name="Normal 8 4 2 6 2 3" xfId="12891" xr:uid="{98F6E08A-FA8D-4A89-A487-673492F930F3}"/>
    <cellStyle name="Normal 8 4 2 6 2 4" xfId="21329" xr:uid="{ECF0A288-B90E-4FD3-A23C-AE6B2FEDCBEB}"/>
    <cellStyle name="Normal 8 4 2 6 3" xfId="6522" xr:uid="{00000000-0005-0000-0000-0000F41D0000}"/>
    <cellStyle name="Normal 8 4 2 6 3 2" xfId="14964" xr:uid="{83B9FCDE-035A-4EE5-BD85-7FB6D3E018F1}"/>
    <cellStyle name="Normal 8 4 2 6 3 3" xfId="23401" xr:uid="{8300B6EB-9259-4AA7-838E-9B8528E651FE}"/>
    <cellStyle name="Normal 8 4 2 6 4" xfId="10746" xr:uid="{0C6B7CC4-3889-4667-A994-1216C314A46C}"/>
    <cellStyle name="Normal 8 4 2 6 5" xfId="19184" xr:uid="{5F07481B-986B-427F-ACDD-9CB94EED8C05}"/>
    <cellStyle name="Normal 8 4 2 7" xfId="2651" xr:uid="{00000000-0005-0000-0000-0000F51D0000}"/>
    <cellStyle name="Normal 8 4 2 7 2" xfId="6935" xr:uid="{00000000-0005-0000-0000-0000F61D0000}"/>
    <cellStyle name="Normal 8 4 2 7 2 2" xfId="15377" xr:uid="{67BA09CC-A110-4DFC-ACC7-12C33569F762}"/>
    <cellStyle name="Normal 8 4 2 7 2 3" xfId="23814" xr:uid="{F08D3714-6427-4274-9B7A-F7D0C4503647}"/>
    <cellStyle name="Normal 8 4 2 7 3" xfId="11159" xr:uid="{2867B939-2260-4B09-9722-8338C4A5A99D}"/>
    <cellStyle name="Normal 8 4 2 7 4" xfId="19597" xr:uid="{B93035F8-D880-4A4F-A3D8-F440720CC2CF}"/>
    <cellStyle name="Normal 8 4 2 8" xfId="4870" xr:uid="{00000000-0005-0000-0000-0000F71D0000}"/>
    <cellStyle name="Normal 8 4 2 8 2" xfId="13312" xr:uid="{64642761-4180-4A6C-A326-3BCEAB74EAA3}"/>
    <cellStyle name="Normal 8 4 2 8 3" xfId="21749" xr:uid="{432F56D3-BCBF-4C9F-B1A3-FE5FF2EF051A}"/>
    <cellStyle name="Normal 8 4 2 9" xfId="9094" xr:uid="{C5151EFB-4D55-4D6D-9736-82B1ADA6B67E}"/>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C14EABF8-2BF0-42F3-AF8F-A7E3A0DEF350}"/>
    <cellStyle name="Normal 8 4 3 2 2 2 3" xfId="24309" xr:uid="{03107C54-3789-4A5A-99B1-EDBFD1084107}"/>
    <cellStyle name="Normal 8 4 3 2 2 3" xfId="11654" xr:uid="{F4712C18-6833-43BB-B899-B36991B0E1C8}"/>
    <cellStyle name="Normal 8 4 3 2 2 4" xfId="20092" xr:uid="{459E2697-7484-484E-A4E6-0185897D8D17}"/>
    <cellStyle name="Normal 8 4 3 2 3" xfId="5285" xr:uid="{00000000-0005-0000-0000-0000FC1D0000}"/>
    <cellStyle name="Normal 8 4 3 2 3 2" xfId="13727" xr:uid="{8DB1C92E-67A2-4910-9187-998849FDDE5B}"/>
    <cellStyle name="Normal 8 4 3 2 3 3" xfId="22164" xr:uid="{0D6090A9-AC9E-452D-9953-CDC43A4F136D}"/>
    <cellStyle name="Normal 8 4 3 2 4" xfId="9509" xr:uid="{5F5BC467-0681-4059-A22A-DD2F977CAA72}"/>
    <cellStyle name="Normal 8 4 3 2 5" xfId="17947" xr:uid="{6E3B6A14-2C28-4E96-9C1A-EFA687109427}"/>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760A6F75-1F53-4F8C-B5E3-CFD827EDDBD9}"/>
    <cellStyle name="Normal 8 4 3 3 2 2 3" xfId="24722" xr:uid="{5FCC8A23-116F-4B6C-B1FD-F2F1AFE88C2A}"/>
    <cellStyle name="Normal 8 4 3 3 2 3" xfId="12067" xr:uid="{D0672744-008A-4253-9B07-2AF75BA3CBA1}"/>
    <cellStyle name="Normal 8 4 3 3 2 4" xfId="20505" xr:uid="{A27FFB59-CD6B-451E-9502-0B5282D04FA4}"/>
    <cellStyle name="Normal 8 4 3 3 3" xfId="5698" xr:uid="{00000000-0005-0000-0000-0000001E0000}"/>
    <cellStyle name="Normal 8 4 3 3 3 2" xfId="14140" xr:uid="{E15FAD0B-C85E-4C4E-93F6-08947500C78F}"/>
    <cellStyle name="Normal 8 4 3 3 3 3" xfId="22577" xr:uid="{D23337CF-B846-42D1-93A9-EBDB5EDFC937}"/>
    <cellStyle name="Normal 8 4 3 3 4" xfId="9922" xr:uid="{2268FE20-5B4F-4987-B68F-93972E1ECF0A}"/>
    <cellStyle name="Normal 8 4 3 3 5" xfId="18360" xr:uid="{2FF68F41-E1EF-4660-B712-BC6FA50149D8}"/>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5E07ABBA-8DAE-4163-B0CC-47CDA83BFB4A}"/>
    <cellStyle name="Normal 8 4 3 4 2 2 3" xfId="25135" xr:uid="{A526F426-601E-416D-9253-200D39AA9871}"/>
    <cellStyle name="Normal 8 4 3 4 2 3" xfId="12480" xr:uid="{D8B64FBB-8C36-464C-A0B4-0E95DF3830A4}"/>
    <cellStyle name="Normal 8 4 3 4 2 4" xfId="20918" xr:uid="{6ACFA64D-A8A7-4078-9600-C593458167C3}"/>
    <cellStyle name="Normal 8 4 3 4 3" xfId="6111" xr:uid="{00000000-0005-0000-0000-0000041E0000}"/>
    <cellStyle name="Normal 8 4 3 4 3 2" xfId="14553" xr:uid="{377C7D63-B416-4627-B8DF-1FAF184A086E}"/>
    <cellStyle name="Normal 8 4 3 4 3 3" xfId="22990" xr:uid="{2D2F9BEC-EEC4-455C-9925-3A366D753B5F}"/>
    <cellStyle name="Normal 8 4 3 4 4" xfId="10335" xr:uid="{D30FF1B3-18F0-4EBC-9E21-3705576619B4}"/>
    <cellStyle name="Normal 8 4 3 4 5" xfId="18773" xr:uid="{C53EBF0A-FAC7-4E7B-8201-B063795E0280}"/>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D3583C6F-24AC-4441-966C-DBE28DABF310}"/>
    <cellStyle name="Normal 8 4 3 5 2 2 3" xfId="25548" xr:uid="{4C082C59-A9CD-4B6A-A962-EC5CFEED9282}"/>
    <cellStyle name="Normal 8 4 3 5 2 3" xfId="12893" xr:uid="{4FA562CF-33C5-4E9A-96C3-7B51AF4189BE}"/>
    <cellStyle name="Normal 8 4 3 5 2 4" xfId="21331" xr:uid="{F621EB43-B2BD-4829-82E3-E97F7F193A6E}"/>
    <cellStyle name="Normal 8 4 3 5 3" xfId="6524" xr:uid="{00000000-0005-0000-0000-0000081E0000}"/>
    <cellStyle name="Normal 8 4 3 5 3 2" xfId="14966" xr:uid="{D3C5EF08-03B1-4680-9499-ABB6ADD68459}"/>
    <cellStyle name="Normal 8 4 3 5 3 3" xfId="23403" xr:uid="{EB91B771-6564-4A7E-ACB3-A821FB288EF5}"/>
    <cellStyle name="Normal 8 4 3 5 4" xfId="10748" xr:uid="{C138EAFA-2E8A-493F-A957-B70CF1A4461A}"/>
    <cellStyle name="Normal 8 4 3 5 5" xfId="19186" xr:uid="{757DF386-6C21-40CB-8881-7130FE0E9030}"/>
    <cellStyle name="Normal 8 4 3 6" xfId="2653" xr:uid="{00000000-0005-0000-0000-0000091E0000}"/>
    <cellStyle name="Normal 8 4 3 6 2" xfId="6937" xr:uid="{00000000-0005-0000-0000-00000A1E0000}"/>
    <cellStyle name="Normal 8 4 3 6 2 2" xfId="15379" xr:uid="{6A452625-0BF5-4097-A6FD-0D069077E464}"/>
    <cellStyle name="Normal 8 4 3 6 2 3" xfId="23816" xr:uid="{980B6E77-E90F-49AE-A4CF-67A0795C4E32}"/>
    <cellStyle name="Normal 8 4 3 6 3" xfId="11161" xr:uid="{B743C7E6-1476-4120-8C2F-456D8F734A43}"/>
    <cellStyle name="Normal 8 4 3 6 4" xfId="19599" xr:uid="{6A362B5E-61FE-4140-A238-2C462BDF3683}"/>
    <cellStyle name="Normal 8 4 3 7" xfId="4872" xr:uid="{00000000-0005-0000-0000-00000B1E0000}"/>
    <cellStyle name="Normal 8 4 3 7 2" xfId="13314" xr:uid="{71CF826C-536D-4AE0-9D86-F461A4BCDCE1}"/>
    <cellStyle name="Normal 8 4 3 7 3" xfId="21751" xr:uid="{D0237A96-67E7-4424-A047-C0644E38C55D}"/>
    <cellStyle name="Normal 8 4 3 8" xfId="9096" xr:uid="{1B4B812D-7172-496A-AB73-208422E4C273}"/>
    <cellStyle name="Normal 8 4 3 9" xfId="17534" xr:uid="{8BF074E1-7643-423E-BE12-64D66643DDE0}"/>
    <cellStyle name="Normal 8 4 4" xfId="970" xr:uid="{00000000-0005-0000-0000-00000C1E0000}"/>
    <cellStyle name="Normal 8 4 4 2" xfId="3204" xr:uid="{00000000-0005-0000-0000-00000D1E0000}"/>
    <cellStyle name="Normal 8 4 4 2 2" xfId="7427" xr:uid="{00000000-0005-0000-0000-00000E1E0000}"/>
    <cellStyle name="Normal 8 4 4 2 2 2" xfId="15869" xr:uid="{A7DCF18D-1C2F-4A70-B92E-347EBC10579B}"/>
    <cellStyle name="Normal 8 4 4 2 2 3" xfId="24306" xr:uid="{40BB1CCC-D9E8-430D-89C2-2642D4BB7C71}"/>
    <cellStyle name="Normal 8 4 4 2 3" xfId="11651" xr:uid="{3D53BF78-C9B2-402A-94EB-3DF6693E9215}"/>
    <cellStyle name="Normal 8 4 4 2 4" xfId="20089" xr:uid="{B0C8EE6B-4A4A-4701-84F0-DC386176E27B}"/>
    <cellStyle name="Normal 8 4 4 3" xfId="5282" xr:uid="{00000000-0005-0000-0000-00000F1E0000}"/>
    <cellStyle name="Normal 8 4 4 3 2" xfId="13724" xr:uid="{6868E133-28AF-4EBF-9F1D-8C31F4692903}"/>
    <cellStyle name="Normal 8 4 4 3 3" xfId="22161" xr:uid="{4EC7D5B3-BB4B-4F07-A934-B21C2F608BAC}"/>
    <cellStyle name="Normal 8 4 4 4" xfId="9506" xr:uid="{11F6A979-3F9C-4AE5-BCFD-85B7F1040582}"/>
    <cellStyle name="Normal 8 4 4 5" xfId="17944" xr:uid="{B7FBDD8C-05D3-4EE5-82E1-3317D3A091AE}"/>
    <cellStyle name="Normal 8 4 5" xfId="1387" xr:uid="{00000000-0005-0000-0000-0000101E0000}"/>
    <cellStyle name="Normal 8 4 5 2" xfId="3617" xr:uid="{00000000-0005-0000-0000-0000111E0000}"/>
    <cellStyle name="Normal 8 4 5 2 2" xfId="7840" xr:uid="{00000000-0005-0000-0000-0000121E0000}"/>
    <cellStyle name="Normal 8 4 5 2 2 2" xfId="16282" xr:uid="{A5CF880F-7F81-458E-91EF-3D2827F88FE5}"/>
    <cellStyle name="Normal 8 4 5 2 2 3" xfId="24719" xr:uid="{FF3D7685-C146-4DBE-A8F4-2CF56FB107EA}"/>
    <cellStyle name="Normal 8 4 5 2 3" xfId="12064" xr:uid="{6248F067-8337-481F-B1B1-EF189BB3ADDA}"/>
    <cellStyle name="Normal 8 4 5 2 4" xfId="20502" xr:uid="{81E2E54B-7110-4740-9A6C-F85E6DB0FB2B}"/>
    <cellStyle name="Normal 8 4 5 3" xfId="5695" xr:uid="{00000000-0005-0000-0000-0000131E0000}"/>
    <cellStyle name="Normal 8 4 5 3 2" xfId="14137" xr:uid="{05BEF9F4-5133-4AF5-8216-0D475DB665F8}"/>
    <cellStyle name="Normal 8 4 5 3 3" xfId="22574" xr:uid="{318AF024-0037-4CF0-9B3B-983BCB10C40A}"/>
    <cellStyle name="Normal 8 4 5 4" xfId="9919" xr:uid="{6B4C5547-73DC-4537-A1D9-2BF6A8B9A827}"/>
    <cellStyle name="Normal 8 4 5 5" xfId="18357" xr:uid="{46221074-B58F-43A2-BDF1-F498D473496E}"/>
    <cellStyle name="Normal 8 4 6" xfId="1800" xr:uid="{00000000-0005-0000-0000-0000141E0000}"/>
    <cellStyle name="Normal 8 4 6 2" xfId="4030" xr:uid="{00000000-0005-0000-0000-0000151E0000}"/>
    <cellStyle name="Normal 8 4 6 2 2" xfId="8253" xr:uid="{00000000-0005-0000-0000-0000161E0000}"/>
    <cellStyle name="Normal 8 4 6 2 2 2" xfId="16695" xr:uid="{F9287BF3-9812-4CBB-9EC2-0E43B8C9D545}"/>
    <cellStyle name="Normal 8 4 6 2 2 3" xfId="25132" xr:uid="{99C3BD2B-A6CF-4816-B825-A1BA33177C9F}"/>
    <cellStyle name="Normal 8 4 6 2 3" xfId="12477" xr:uid="{E458BB7F-68F9-458D-B395-BD3DE8386B24}"/>
    <cellStyle name="Normal 8 4 6 2 4" xfId="20915" xr:uid="{DA2BA71E-D1BB-4473-BC7D-28B385A418EC}"/>
    <cellStyle name="Normal 8 4 6 3" xfId="6108" xr:uid="{00000000-0005-0000-0000-0000171E0000}"/>
    <cellStyle name="Normal 8 4 6 3 2" xfId="14550" xr:uid="{BD06FECA-0A34-4B89-9FED-07B48AEF981B}"/>
    <cellStyle name="Normal 8 4 6 3 3" xfId="22987" xr:uid="{6C03BE09-84C4-4AD4-B43D-7F5DA75F6856}"/>
    <cellStyle name="Normal 8 4 6 4" xfId="10332" xr:uid="{C25B5E2D-4571-440B-9152-894E8C293E9C}"/>
    <cellStyle name="Normal 8 4 6 5" xfId="18770" xr:uid="{78C558E8-5EDF-4776-93CF-47A536F3C421}"/>
    <cellStyle name="Normal 8 4 7" xfId="2214" xr:uid="{00000000-0005-0000-0000-0000181E0000}"/>
    <cellStyle name="Normal 8 4 7 2" xfId="4443" xr:uid="{00000000-0005-0000-0000-0000191E0000}"/>
    <cellStyle name="Normal 8 4 7 2 2" xfId="8666" xr:uid="{00000000-0005-0000-0000-00001A1E0000}"/>
    <cellStyle name="Normal 8 4 7 2 2 2" xfId="17108" xr:uid="{46210C23-D996-4F45-AD2A-136C34AF50ED}"/>
    <cellStyle name="Normal 8 4 7 2 2 3" xfId="25545" xr:uid="{343974BF-CCB5-4FE2-B1F8-A4A729BC54CB}"/>
    <cellStyle name="Normal 8 4 7 2 3" xfId="12890" xr:uid="{C1FD980E-0434-47BA-8FAA-C524B640A772}"/>
    <cellStyle name="Normal 8 4 7 2 4" xfId="21328" xr:uid="{D42C9CC0-AE2A-4657-B6E5-0DD5251F8B57}"/>
    <cellStyle name="Normal 8 4 7 3" xfId="6521" xr:uid="{00000000-0005-0000-0000-00001B1E0000}"/>
    <cellStyle name="Normal 8 4 7 3 2" xfId="14963" xr:uid="{83CFFACF-ECB7-4A24-AFB3-FE6EE9A241B8}"/>
    <cellStyle name="Normal 8 4 7 3 3" xfId="23400" xr:uid="{2571499B-1CDE-41F6-B444-70AED99A7E8C}"/>
    <cellStyle name="Normal 8 4 7 4" xfId="10745" xr:uid="{D697DF63-4026-4E7B-BB55-446FFA23034C}"/>
    <cellStyle name="Normal 8 4 7 5" xfId="19183" xr:uid="{9BB8C98B-36FD-40D0-A1A3-F476402D7EF2}"/>
    <cellStyle name="Normal 8 4 8" xfId="2650" xr:uid="{00000000-0005-0000-0000-00001C1E0000}"/>
    <cellStyle name="Normal 8 4 8 2" xfId="6934" xr:uid="{00000000-0005-0000-0000-00001D1E0000}"/>
    <cellStyle name="Normal 8 4 8 2 2" xfId="15376" xr:uid="{2CD9D79F-8EC8-4466-8E62-CA8E071EE9CD}"/>
    <cellStyle name="Normal 8 4 8 2 3" xfId="23813" xr:uid="{5EB13802-875B-4318-99E1-A6EE1C1D1423}"/>
    <cellStyle name="Normal 8 4 8 3" xfId="11158" xr:uid="{B2477E36-9884-41BE-9510-0A1AF1861E5E}"/>
    <cellStyle name="Normal 8 4 8 4" xfId="19596" xr:uid="{8C365D6A-6D4B-4802-94A8-7012F83786DB}"/>
    <cellStyle name="Normal 8 4 9" xfId="4869" xr:uid="{00000000-0005-0000-0000-00001E1E0000}"/>
    <cellStyle name="Normal 8 4 9 2" xfId="13311" xr:uid="{85648755-4ED6-4628-8D7F-9197B8E79AA8}"/>
    <cellStyle name="Normal 8 4 9 3" xfId="21748" xr:uid="{6BFD3124-9661-4263-AFDC-F04D492C22B1}"/>
    <cellStyle name="Normal 8 5" xfId="507" xr:uid="{00000000-0005-0000-0000-00001F1E0000}"/>
    <cellStyle name="Normal 8 5 10" xfId="17535" xr:uid="{4F17FEEF-008D-4104-A73B-613FE8A206AB}"/>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B9024FD5-4789-4ACB-ACD8-866B16203861}"/>
    <cellStyle name="Normal 8 5 2 2 2 2 3" xfId="24311" xr:uid="{DAE3824F-5B24-412D-A049-2AFD61946F86}"/>
    <cellStyle name="Normal 8 5 2 2 2 3" xfId="11656" xr:uid="{7862A21D-8DA4-464A-9665-70A36EDBA345}"/>
    <cellStyle name="Normal 8 5 2 2 2 4" xfId="20094" xr:uid="{7413B614-B13B-4118-9F85-1DFAA7A4354A}"/>
    <cellStyle name="Normal 8 5 2 2 3" xfId="5287" xr:uid="{00000000-0005-0000-0000-0000241E0000}"/>
    <cellStyle name="Normal 8 5 2 2 3 2" xfId="13729" xr:uid="{1136EB64-E40C-464D-9B1D-BABFCF4187A1}"/>
    <cellStyle name="Normal 8 5 2 2 3 3" xfId="22166" xr:uid="{A1F1F000-D7D3-409F-B60A-31906FEF1156}"/>
    <cellStyle name="Normal 8 5 2 2 4" xfId="9511" xr:uid="{01ACB05B-7CF8-4E7E-960A-F1C1FEA95A26}"/>
    <cellStyle name="Normal 8 5 2 2 5" xfId="17949" xr:uid="{499590E6-13FF-41D0-9BFB-2B213D296E18}"/>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91A49D96-42F8-4AC0-9A69-46C994914F6F}"/>
    <cellStyle name="Normal 8 5 2 3 2 2 3" xfId="24724" xr:uid="{688B54A3-FA0A-494F-AB56-02C0124E3FE4}"/>
    <cellStyle name="Normal 8 5 2 3 2 3" xfId="12069" xr:uid="{3D1317C4-55F9-40F2-B93C-02A2A7A5E963}"/>
    <cellStyle name="Normal 8 5 2 3 2 4" xfId="20507" xr:uid="{346AF8CA-29AC-4111-BCF6-86EEE0459768}"/>
    <cellStyle name="Normal 8 5 2 3 3" xfId="5700" xr:uid="{00000000-0005-0000-0000-0000281E0000}"/>
    <cellStyle name="Normal 8 5 2 3 3 2" xfId="14142" xr:uid="{0D3CF09A-B983-42BF-931A-4B45A26E90F1}"/>
    <cellStyle name="Normal 8 5 2 3 3 3" xfId="22579" xr:uid="{E6D20901-2777-4C78-B17D-2B9E71A75FEA}"/>
    <cellStyle name="Normal 8 5 2 3 4" xfId="9924" xr:uid="{92E75B41-B246-4F88-A4C1-CE251CAF1E38}"/>
    <cellStyle name="Normal 8 5 2 3 5" xfId="18362" xr:uid="{5CA2AEE9-72F6-4ED6-8F41-DFD26D5B7C8B}"/>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464928DF-E039-41CC-8323-489750365F01}"/>
    <cellStyle name="Normal 8 5 2 4 2 2 3" xfId="25137" xr:uid="{D927C5C7-A1A5-4370-95AE-C21026263399}"/>
    <cellStyle name="Normal 8 5 2 4 2 3" xfId="12482" xr:uid="{237EA924-8CA3-42FF-8EA9-119AC0AA6E14}"/>
    <cellStyle name="Normal 8 5 2 4 2 4" xfId="20920" xr:uid="{629DB306-3B99-4B11-ADBB-CA5EDFE65BDE}"/>
    <cellStyle name="Normal 8 5 2 4 3" xfId="6113" xr:uid="{00000000-0005-0000-0000-00002C1E0000}"/>
    <cellStyle name="Normal 8 5 2 4 3 2" xfId="14555" xr:uid="{EEB0477D-2B2E-4614-BED5-FE8CD9B191DB}"/>
    <cellStyle name="Normal 8 5 2 4 3 3" xfId="22992" xr:uid="{99E1F1CE-ED53-4C61-A006-E97F9814CDB9}"/>
    <cellStyle name="Normal 8 5 2 4 4" xfId="10337" xr:uid="{7A83846E-B025-4B41-A38B-97F08991A781}"/>
    <cellStyle name="Normal 8 5 2 4 5" xfId="18775" xr:uid="{BAB325A0-AC56-4993-A7DF-FDBBCEE73577}"/>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12C49A05-7BDD-4BC9-998F-CD5E730BE4FC}"/>
    <cellStyle name="Normal 8 5 2 5 2 2 3" xfId="25550" xr:uid="{C1CBA9DF-BC13-4127-8193-79FA66A1352D}"/>
    <cellStyle name="Normal 8 5 2 5 2 3" xfId="12895" xr:uid="{BF129869-28AF-4C73-9CEC-5A584EDF80BB}"/>
    <cellStyle name="Normal 8 5 2 5 2 4" xfId="21333" xr:uid="{49CC10B9-CC45-4087-BBE5-79CA640DE412}"/>
    <cellStyle name="Normal 8 5 2 5 3" xfId="6526" xr:uid="{00000000-0005-0000-0000-0000301E0000}"/>
    <cellStyle name="Normal 8 5 2 5 3 2" xfId="14968" xr:uid="{14309C20-36D8-4D2E-AEBB-01A2E7ABE6F2}"/>
    <cellStyle name="Normal 8 5 2 5 3 3" xfId="23405" xr:uid="{A03A4139-D90A-4B3D-BE33-AB2B02FFFCE5}"/>
    <cellStyle name="Normal 8 5 2 5 4" xfId="10750" xr:uid="{B7997762-2961-4512-86C8-FFA7F987B2B6}"/>
    <cellStyle name="Normal 8 5 2 5 5" xfId="19188" xr:uid="{313D8676-BA14-4716-95F9-468E46D7B36F}"/>
    <cellStyle name="Normal 8 5 2 6" xfId="2655" xr:uid="{00000000-0005-0000-0000-0000311E0000}"/>
    <cellStyle name="Normal 8 5 2 6 2" xfId="6939" xr:uid="{00000000-0005-0000-0000-0000321E0000}"/>
    <cellStyle name="Normal 8 5 2 6 2 2" xfId="15381" xr:uid="{D52BD260-57A3-434E-AD4B-D6038316D40A}"/>
    <cellStyle name="Normal 8 5 2 6 2 3" xfId="23818" xr:uid="{BB70B53E-F802-4204-B65C-7DAD860DC840}"/>
    <cellStyle name="Normal 8 5 2 6 3" xfId="11163" xr:uid="{51EFAAB3-6275-4513-8FB4-944780E773B7}"/>
    <cellStyle name="Normal 8 5 2 6 4" xfId="19601" xr:uid="{B8433C4B-0352-4CCE-B859-B063361445B4}"/>
    <cellStyle name="Normal 8 5 2 7" xfId="4874" xr:uid="{00000000-0005-0000-0000-0000331E0000}"/>
    <cellStyle name="Normal 8 5 2 7 2" xfId="13316" xr:uid="{F4014B20-EFEC-4BB2-9918-F3AB496E4834}"/>
    <cellStyle name="Normal 8 5 2 7 3" xfId="21753" xr:uid="{17441743-3EEF-4F3C-AF80-19DDC42A5DB8}"/>
    <cellStyle name="Normal 8 5 2 8" xfId="9098" xr:uid="{60DE02A1-83F1-4981-90F3-B6401D82D977}"/>
    <cellStyle name="Normal 8 5 2 9" xfId="17536" xr:uid="{92E3DCF1-EE0F-4B91-ADCF-9F434CFD16D2}"/>
    <cellStyle name="Normal 8 5 3" xfId="974" xr:uid="{00000000-0005-0000-0000-0000341E0000}"/>
    <cellStyle name="Normal 8 5 3 2" xfId="3208" xr:uid="{00000000-0005-0000-0000-0000351E0000}"/>
    <cellStyle name="Normal 8 5 3 2 2" xfId="7431" xr:uid="{00000000-0005-0000-0000-0000361E0000}"/>
    <cellStyle name="Normal 8 5 3 2 2 2" xfId="15873" xr:uid="{DC3F18AB-2325-4E73-B893-32F36C94FF03}"/>
    <cellStyle name="Normal 8 5 3 2 2 3" xfId="24310" xr:uid="{00AE62E1-86B1-4F50-961D-B162CF1CC41D}"/>
    <cellStyle name="Normal 8 5 3 2 3" xfId="11655" xr:uid="{E8FCB1C2-5D82-4DB2-A8C8-FB25B047BC45}"/>
    <cellStyle name="Normal 8 5 3 2 4" xfId="20093" xr:uid="{F5F9CC6D-5973-4F6C-9BF0-127F34C32272}"/>
    <cellStyle name="Normal 8 5 3 3" xfId="5286" xr:uid="{00000000-0005-0000-0000-0000371E0000}"/>
    <cellStyle name="Normal 8 5 3 3 2" xfId="13728" xr:uid="{94AE605F-1F9D-4FB0-815E-905D74D01516}"/>
    <cellStyle name="Normal 8 5 3 3 3" xfId="22165" xr:uid="{A6975782-4560-4985-B82C-FA47E07593C7}"/>
    <cellStyle name="Normal 8 5 3 4" xfId="9510" xr:uid="{163DD715-5C74-4585-8E0C-5607E2F6C21B}"/>
    <cellStyle name="Normal 8 5 3 5" xfId="17948" xr:uid="{41C88879-A7E0-4BCD-9945-E926117009CC}"/>
    <cellStyle name="Normal 8 5 4" xfId="1391" xr:uid="{00000000-0005-0000-0000-0000381E0000}"/>
    <cellStyle name="Normal 8 5 4 2" xfId="3621" xr:uid="{00000000-0005-0000-0000-0000391E0000}"/>
    <cellStyle name="Normal 8 5 4 2 2" xfId="7844" xr:uid="{00000000-0005-0000-0000-00003A1E0000}"/>
    <cellStyle name="Normal 8 5 4 2 2 2" xfId="16286" xr:uid="{7FA5832F-EB9C-43AE-B59D-5ABD56D81C4B}"/>
    <cellStyle name="Normal 8 5 4 2 2 3" xfId="24723" xr:uid="{884B67D8-DDA7-4B1F-9822-8F041DD6072B}"/>
    <cellStyle name="Normal 8 5 4 2 3" xfId="12068" xr:uid="{4FEC7FBB-4F3E-4ED7-8544-98C1782A6DA6}"/>
    <cellStyle name="Normal 8 5 4 2 4" xfId="20506" xr:uid="{03571866-EDF7-497D-B2DF-8CB06CC07AB3}"/>
    <cellStyle name="Normal 8 5 4 3" xfId="5699" xr:uid="{00000000-0005-0000-0000-00003B1E0000}"/>
    <cellStyle name="Normal 8 5 4 3 2" xfId="14141" xr:uid="{F2F73A1D-5B65-4655-8DC8-23ACCD4A1FFA}"/>
    <cellStyle name="Normal 8 5 4 3 3" xfId="22578" xr:uid="{FAE34E63-D735-455A-89B3-479B288DD834}"/>
    <cellStyle name="Normal 8 5 4 4" xfId="9923" xr:uid="{B36ADC98-56F1-4884-BCC5-4D3EDD41AC92}"/>
    <cellStyle name="Normal 8 5 4 5" xfId="18361" xr:uid="{2F22E4F9-AEB2-470F-8CD7-675880AF3172}"/>
    <cellStyle name="Normal 8 5 5" xfId="1804" xr:uid="{00000000-0005-0000-0000-00003C1E0000}"/>
    <cellStyle name="Normal 8 5 5 2" xfId="4034" xr:uid="{00000000-0005-0000-0000-00003D1E0000}"/>
    <cellStyle name="Normal 8 5 5 2 2" xfId="8257" xr:uid="{00000000-0005-0000-0000-00003E1E0000}"/>
    <cellStyle name="Normal 8 5 5 2 2 2" xfId="16699" xr:uid="{2BE3C541-A204-4FC4-A267-392867F1B1D8}"/>
    <cellStyle name="Normal 8 5 5 2 2 3" xfId="25136" xr:uid="{0056C2B1-1F65-4E30-BC81-C189E5E17DBE}"/>
    <cellStyle name="Normal 8 5 5 2 3" xfId="12481" xr:uid="{566A8AAA-50EE-4339-8907-F031C68C31F6}"/>
    <cellStyle name="Normal 8 5 5 2 4" xfId="20919" xr:uid="{25329DFE-4DED-4C6F-B3F9-1E98173F8F9E}"/>
    <cellStyle name="Normal 8 5 5 3" xfId="6112" xr:uid="{00000000-0005-0000-0000-00003F1E0000}"/>
    <cellStyle name="Normal 8 5 5 3 2" xfId="14554" xr:uid="{8C2E25A3-0ABB-4B41-9A0A-D8C2919E3179}"/>
    <cellStyle name="Normal 8 5 5 3 3" xfId="22991" xr:uid="{EC57A7DB-DD2C-46E8-B921-9EF5FB02BC83}"/>
    <cellStyle name="Normal 8 5 5 4" xfId="10336" xr:uid="{CE0D6B68-400F-4411-B7B3-FAA551B70C3D}"/>
    <cellStyle name="Normal 8 5 5 5" xfId="18774" xr:uid="{FC95F436-90FE-44D7-912A-4729F8578499}"/>
    <cellStyle name="Normal 8 5 6" xfId="2218" xr:uid="{00000000-0005-0000-0000-0000401E0000}"/>
    <cellStyle name="Normal 8 5 6 2" xfId="4447" xr:uid="{00000000-0005-0000-0000-0000411E0000}"/>
    <cellStyle name="Normal 8 5 6 2 2" xfId="8670" xr:uid="{00000000-0005-0000-0000-0000421E0000}"/>
    <cellStyle name="Normal 8 5 6 2 2 2" xfId="17112" xr:uid="{95D4F359-557C-4861-AD89-7DAB136C5615}"/>
    <cellStyle name="Normal 8 5 6 2 2 3" xfId="25549" xr:uid="{3D6958C2-45C1-4C89-86AC-1BA938DDAA13}"/>
    <cellStyle name="Normal 8 5 6 2 3" xfId="12894" xr:uid="{239BA55C-55D1-4A98-827A-502420DCEF25}"/>
    <cellStyle name="Normal 8 5 6 2 4" xfId="21332" xr:uid="{39B42030-134E-438D-9AB2-2D884E404E35}"/>
    <cellStyle name="Normal 8 5 6 3" xfId="6525" xr:uid="{00000000-0005-0000-0000-0000431E0000}"/>
    <cellStyle name="Normal 8 5 6 3 2" xfId="14967" xr:uid="{7D38FC6F-665D-4F77-B812-2F25368B9653}"/>
    <cellStyle name="Normal 8 5 6 3 3" xfId="23404" xr:uid="{51753183-0525-4699-93ED-6C3BB952FEF5}"/>
    <cellStyle name="Normal 8 5 6 4" xfId="10749" xr:uid="{C9A6267E-AEDA-4F08-8648-5BC15C0DEBC7}"/>
    <cellStyle name="Normal 8 5 6 5" xfId="19187" xr:uid="{AB51E171-CAFF-4E6A-AFEB-06F9C14B9DEC}"/>
    <cellStyle name="Normal 8 5 7" xfId="2654" xr:uid="{00000000-0005-0000-0000-0000441E0000}"/>
    <cellStyle name="Normal 8 5 7 2" xfId="6938" xr:uid="{00000000-0005-0000-0000-0000451E0000}"/>
    <cellStyle name="Normal 8 5 7 2 2" xfId="15380" xr:uid="{DBA1638A-A9AD-4B70-8A78-D21E7C5A960F}"/>
    <cellStyle name="Normal 8 5 7 2 3" xfId="23817" xr:uid="{137B4C1C-3E7C-454A-B5B8-541E0627C69E}"/>
    <cellStyle name="Normal 8 5 7 3" xfId="11162" xr:uid="{1A7B5A0A-7CE2-4C63-A5F8-056EEB7B8C81}"/>
    <cellStyle name="Normal 8 5 7 4" xfId="19600" xr:uid="{14B9500E-EC70-4F45-AB1D-50B4A23C053D}"/>
    <cellStyle name="Normal 8 5 8" xfId="4873" xr:uid="{00000000-0005-0000-0000-0000461E0000}"/>
    <cellStyle name="Normal 8 5 8 2" xfId="13315" xr:uid="{72496ECF-F763-498B-8B86-8F8832B27AA6}"/>
    <cellStyle name="Normal 8 5 8 3" xfId="21752" xr:uid="{053A8735-19BA-45A6-8CF4-1D54F1C256D5}"/>
    <cellStyle name="Normal 8 5 9" xfId="9097" xr:uid="{1870D0F0-E354-47C4-B41F-080E40E518F6}"/>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77F09D7C-4B98-4E86-8707-2D0E1A31C7EB}"/>
    <cellStyle name="Normal 8 6 2 2 2 3" xfId="24312" xr:uid="{32D46C4F-82CE-44F3-814F-DF0142F96DDF}"/>
    <cellStyle name="Normal 8 6 2 2 3" xfId="11657" xr:uid="{610617A2-B4D3-4672-8706-A9946963F725}"/>
    <cellStyle name="Normal 8 6 2 2 4" xfId="20095" xr:uid="{3D289764-3989-4A91-A35B-DA453D2B23C2}"/>
    <cellStyle name="Normal 8 6 2 3" xfId="5288" xr:uid="{00000000-0005-0000-0000-00004B1E0000}"/>
    <cellStyle name="Normal 8 6 2 3 2" xfId="13730" xr:uid="{C0122B71-8BB9-4DCD-815F-3DB02F7ABBC3}"/>
    <cellStyle name="Normal 8 6 2 3 3" xfId="22167" xr:uid="{E468A730-89D3-42A3-9608-8C46A8F0E868}"/>
    <cellStyle name="Normal 8 6 2 4" xfId="9512" xr:uid="{7862AA34-4A7B-468E-81F6-F99CB3A8F39A}"/>
    <cellStyle name="Normal 8 6 2 5" xfId="17950" xr:uid="{660D77A9-1304-49F8-B81D-B2263F7E993E}"/>
    <cellStyle name="Normal 8 6 3" xfId="1393" xr:uid="{00000000-0005-0000-0000-00004C1E0000}"/>
    <cellStyle name="Normal 8 6 3 2" xfId="3623" xr:uid="{00000000-0005-0000-0000-00004D1E0000}"/>
    <cellStyle name="Normal 8 6 3 2 2" xfId="7846" xr:uid="{00000000-0005-0000-0000-00004E1E0000}"/>
    <cellStyle name="Normal 8 6 3 2 2 2" xfId="16288" xr:uid="{3A275BD8-14E6-40FF-B9C2-0EA6D3692884}"/>
    <cellStyle name="Normal 8 6 3 2 2 3" xfId="24725" xr:uid="{DBAE72B4-99BF-425C-993B-826F4097AFE6}"/>
    <cellStyle name="Normal 8 6 3 2 3" xfId="12070" xr:uid="{CD149FEA-60DD-4827-8DBD-E79DF75F5E18}"/>
    <cellStyle name="Normal 8 6 3 2 4" xfId="20508" xr:uid="{443A11CB-3681-418D-BEC2-041AF3FC3CB0}"/>
    <cellStyle name="Normal 8 6 3 3" xfId="5701" xr:uid="{00000000-0005-0000-0000-00004F1E0000}"/>
    <cellStyle name="Normal 8 6 3 3 2" xfId="14143" xr:uid="{23EABE0F-1A44-4BC4-B803-D8D3EDE62BD5}"/>
    <cellStyle name="Normal 8 6 3 3 3" xfId="22580" xr:uid="{8009B98C-E823-4411-8EC9-505F436E94E6}"/>
    <cellStyle name="Normal 8 6 3 4" xfId="9925" xr:uid="{1EE5055E-18C8-4A91-AC6E-BDA284A269F5}"/>
    <cellStyle name="Normal 8 6 3 5" xfId="18363" xr:uid="{4E62234B-469B-4D99-BF4A-E86E39E778C5}"/>
    <cellStyle name="Normal 8 6 4" xfId="1806" xr:uid="{00000000-0005-0000-0000-0000501E0000}"/>
    <cellStyle name="Normal 8 6 4 2" xfId="4036" xr:uid="{00000000-0005-0000-0000-0000511E0000}"/>
    <cellStyle name="Normal 8 6 4 2 2" xfId="8259" xr:uid="{00000000-0005-0000-0000-0000521E0000}"/>
    <cellStyle name="Normal 8 6 4 2 2 2" xfId="16701" xr:uid="{6663EF7D-5DD8-46CA-B1BE-A8B83835FBBD}"/>
    <cellStyle name="Normal 8 6 4 2 2 3" xfId="25138" xr:uid="{17694CBA-DB94-477E-8B2C-383491188719}"/>
    <cellStyle name="Normal 8 6 4 2 3" xfId="12483" xr:uid="{D2550AE4-FE55-42F4-B730-4617C57CEF10}"/>
    <cellStyle name="Normal 8 6 4 2 4" xfId="20921" xr:uid="{6460C3F5-3CCA-4D2F-92D8-B808DBA994E8}"/>
    <cellStyle name="Normal 8 6 4 3" xfId="6114" xr:uid="{00000000-0005-0000-0000-0000531E0000}"/>
    <cellStyle name="Normal 8 6 4 3 2" xfId="14556" xr:uid="{8DE5104E-AE96-47F2-A913-E67C5CC777E4}"/>
    <cellStyle name="Normal 8 6 4 3 3" xfId="22993" xr:uid="{CB039DCD-7F67-4D03-B6CA-914FD27E6139}"/>
    <cellStyle name="Normal 8 6 4 4" xfId="10338" xr:uid="{D8A0F93C-DA27-41B6-93C2-9249103B8760}"/>
    <cellStyle name="Normal 8 6 4 5" xfId="18776" xr:uid="{1C1F6A94-8DFB-44C5-ADE3-49CC761933E8}"/>
    <cellStyle name="Normal 8 6 5" xfId="2220" xr:uid="{00000000-0005-0000-0000-0000541E0000}"/>
    <cellStyle name="Normal 8 6 5 2" xfId="4449" xr:uid="{00000000-0005-0000-0000-0000551E0000}"/>
    <cellStyle name="Normal 8 6 5 2 2" xfId="8672" xr:uid="{00000000-0005-0000-0000-0000561E0000}"/>
    <cellStyle name="Normal 8 6 5 2 2 2" xfId="17114" xr:uid="{45434DDE-6954-422D-B57C-5A4CFF6C3D27}"/>
    <cellStyle name="Normal 8 6 5 2 2 3" xfId="25551" xr:uid="{DA71C373-E2D9-491A-B479-5B3EFAB7672C}"/>
    <cellStyle name="Normal 8 6 5 2 3" xfId="12896" xr:uid="{7B7840AD-E669-4028-9F84-245A5ECE52E9}"/>
    <cellStyle name="Normal 8 6 5 2 4" xfId="21334" xr:uid="{B7DCD76C-E228-490B-A441-87DA3A3C20F6}"/>
    <cellStyle name="Normal 8 6 5 3" xfId="6527" xr:uid="{00000000-0005-0000-0000-0000571E0000}"/>
    <cellStyle name="Normal 8 6 5 3 2" xfId="14969" xr:uid="{2C5D51A3-06F4-4EFF-A933-8A081C5839F2}"/>
    <cellStyle name="Normal 8 6 5 3 3" xfId="23406" xr:uid="{3F2BE836-1F5A-4F97-8FB7-6CE7D1DE368A}"/>
    <cellStyle name="Normal 8 6 5 4" xfId="10751" xr:uid="{D20012FE-5BB8-4C20-ABC3-B8FDE2C88D94}"/>
    <cellStyle name="Normal 8 6 5 5" xfId="19189" xr:uid="{FB7DDD53-44F4-4C58-A335-E25D05550227}"/>
    <cellStyle name="Normal 8 6 6" xfId="2656" xr:uid="{00000000-0005-0000-0000-0000581E0000}"/>
    <cellStyle name="Normal 8 6 6 2" xfId="6940" xr:uid="{00000000-0005-0000-0000-0000591E0000}"/>
    <cellStyle name="Normal 8 6 6 2 2" xfId="15382" xr:uid="{23F3304A-B5D3-4F7F-9D58-08B7D7DFD6BD}"/>
    <cellStyle name="Normal 8 6 6 2 3" xfId="23819" xr:uid="{87440C50-4310-4A2D-A63A-D1F5D7634A5D}"/>
    <cellStyle name="Normal 8 6 6 3" xfId="11164" xr:uid="{F8520A70-4581-4B84-A472-340A68E39F56}"/>
    <cellStyle name="Normal 8 6 6 4" xfId="19602" xr:uid="{56804D2B-8483-4DB5-A9DF-09578661EAE6}"/>
    <cellStyle name="Normal 8 6 7" xfId="4875" xr:uid="{00000000-0005-0000-0000-00005A1E0000}"/>
    <cellStyle name="Normal 8 6 7 2" xfId="13317" xr:uid="{92F56E4A-A9E6-4840-B059-D3008B402592}"/>
    <cellStyle name="Normal 8 6 7 3" xfId="21754" xr:uid="{98EB54C5-61DE-42B9-BC90-4ED371E95460}"/>
    <cellStyle name="Normal 8 6 8" xfId="9099" xr:uid="{6F53ED36-7680-4D08-AED1-F9C639EB6CB0}"/>
    <cellStyle name="Normal 8 6 9" xfId="17537" xr:uid="{C2D4D6EE-CD96-4D4F-92C1-92B5FD1272EA}"/>
    <cellStyle name="Normal 8 7" xfId="945" xr:uid="{00000000-0005-0000-0000-00005B1E0000}"/>
    <cellStyle name="Normal 8 7 2" xfId="3179" xr:uid="{00000000-0005-0000-0000-00005C1E0000}"/>
    <cellStyle name="Normal 8 7 2 2" xfId="7402" xr:uid="{00000000-0005-0000-0000-00005D1E0000}"/>
    <cellStyle name="Normal 8 7 2 2 2" xfId="15844" xr:uid="{9ED36AFD-F6FD-4914-9D12-2EAC2DB23D7A}"/>
    <cellStyle name="Normal 8 7 2 2 3" xfId="24281" xr:uid="{419A8405-9FF6-4BF0-B0B4-804A8F7FCADB}"/>
    <cellStyle name="Normal 8 7 2 3" xfId="11626" xr:uid="{BA4EDE0D-F3C6-464F-A60B-4F5BFC573DB7}"/>
    <cellStyle name="Normal 8 7 2 4" xfId="20064" xr:uid="{7B703BCD-FC41-4B87-BEC0-B4E94E4B5B38}"/>
    <cellStyle name="Normal 8 7 3" xfId="5257" xr:uid="{00000000-0005-0000-0000-00005E1E0000}"/>
    <cellStyle name="Normal 8 7 3 2" xfId="13699" xr:uid="{16D5F911-2E27-4711-A004-51D88CECDEA0}"/>
    <cellStyle name="Normal 8 7 3 3" xfId="22136" xr:uid="{FA424300-4ADC-499D-9112-6107C93011BD}"/>
    <cellStyle name="Normal 8 7 4" xfId="9481" xr:uid="{D639BD10-313F-4BA0-B899-9B6A1ECE7560}"/>
    <cellStyle name="Normal 8 7 5" xfId="17919" xr:uid="{68874E42-66D6-4832-857C-0029721E00BE}"/>
    <cellStyle name="Normal 8 8" xfId="1362" xr:uid="{00000000-0005-0000-0000-00005F1E0000}"/>
    <cellStyle name="Normal 8 8 2" xfId="3592" xr:uid="{00000000-0005-0000-0000-0000601E0000}"/>
    <cellStyle name="Normal 8 8 2 2" xfId="7815" xr:uid="{00000000-0005-0000-0000-0000611E0000}"/>
    <cellStyle name="Normal 8 8 2 2 2" xfId="16257" xr:uid="{1B96EE42-3D69-41C6-8F27-EEFAA9884D2C}"/>
    <cellStyle name="Normal 8 8 2 2 3" xfId="24694" xr:uid="{91D0784E-F337-4F03-98F3-B5C72C033176}"/>
    <cellStyle name="Normal 8 8 2 3" xfId="12039" xr:uid="{71B5954D-2120-4F5E-AF71-870A294A2C37}"/>
    <cellStyle name="Normal 8 8 2 4" xfId="20477" xr:uid="{946A51A6-D63A-47CA-AEC7-F14D861A9642}"/>
    <cellStyle name="Normal 8 8 3" xfId="5670" xr:uid="{00000000-0005-0000-0000-0000621E0000}"/>
    <cellStyle name="Normal 8 8 3 2" xfId="14112" xr:uid="{802A50BD-9768-4E07-BC94-E3CAC542CD43}"/>
    <cellStyle name="Normal 8 8 3 3" xfId="22549" xr:uid="{015EFE2F-38BC-493A-9B75-7A17C13DD566}"/>
    <cellStyle name="Normal 8 8 4" xfId="9894" xr:uid="{47F3D0FA-1057-4D51-81EB-2D39BFAE1439}"/>
    <cellStyle name="Normal 8 8 5" xfId="18332" xr:uid="{F29F954B-662D-4046-8EEF-CD7BE3FD236A}"/>
    <cellStyle name="Normal 8 9" xfId="1775" xr:uid="{00000000-0005-0000-0000-0000631E0000}"/>
    <cellStyle name="Normal 8 9 2" xfId="4005" xr:uid="{00000000-0005-0000-0000-0000641E0000}"/>
    <cellStyle name="Normal 8 9 2 2" xfId="8228" xr:uid="{00000000-0005-0000-0000-0000651E0000}"/>
    <cellStyle name="Normal 8 9 2 2 2" xfId="16670" xr:uid="{5BBB170F-A13F-496A-A4EE-2B9B603843FF}"/>
    <cellStyle name="Normal 8 9 2 2 3" xfId="25107" xr:uid="{5711CBA2-03B4-4C70-A93C-A6700067F232}"/>
    <cellStyle name="Normal 8 9 2 3" xfId="12452" xr:uid="{0474B398-BAD4-4D49-B514-B8CE351AC6A6}"/>
    <cellStyle name="Normal 8 9 2 4" xfId="20890" xr:uid="{8FE4DFD8-9AFD-4704-A0BD-C994592DFB53}"/>
    <cellStyle name="Normal 8 9 3" xfId="6083" xr:uid="{00000000-0005-0000-0000-0000661E0000}"/>
    <cellStyle name="Normal 8 9 3 2" xfId="14525" xr:uid="{D1C09743-5C94-4199-8444-C97ADFA53B91}"/>
    <cellStyle name="Normal 8 9 3 3" xfId="22962" xr:uid="{8CBE4CF6-368C-42F1-972C-0FEEBDBF2B2B}"/>
    <cellStyle name="Normal 8 9 4" xfId="10307" xr:uid="{F04207E6-85C6-4DDA-BDA8-C15FFB528269}"/>
    <cellStyle name="Normal 8 9 5" xfId="18745" xr:uid="{FAA4D1B2-0BD7-49F5-ADB1-A55812CDBE78}"/>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8DF57123-2B8F-409D-B5B8-1E8B255C7C76}"/>
    <cellStyle name="Normal 9 2 10 2 3" xfId="23820" xr:uid="{16E4255B-2AAA-48CA-9879-3C4288083FA5}"/>
    <cellStyle name="Normal 9 2 10 3" xfId="11165" xr:uid="{FDC3AEA0-E7C4-4254-AA56-72C1D7D0011D}"/>
    <cellStyle name="Normal 9 2 10 4" xfId="19603" xr:uid="{67EF8087-2089-43AF-910D-5D1FA63AA3BF}"/>
    <cellStyle name="Normal 9 2 11" xfId="4876" xr:uid="{00000000-0005-0000-0000-00006B1E0000}"/>
    <cellStyle name="Normal 9 2 11 2" xfId="13318" xr:uid="{81ABE0E1-D251-4C29-AE3F-54ECB094CA9C}"/>
    <cellStyle name="Normal 9 2 11 3" xfId="21755" xr:uid="{AA9E63EF-ADDC-4169-9153-1CA6674C5A21}"/>
    <cellStyle name="Normal 9 2 12" xfId="9100" xr:uid="{37989292-0E18-4653-825B-36A8AB5F614C}"/>
    <cellStyle name="Normal 9 2 13" xfId="17538" xr:uid="{30E98E56-7EA1-4DC6-983A-4C52D5C32E28}"/>
    <cellStyle name="Normal 9 2 2" xfId="512" xr:uid="{00000000-0005-0000-0000-00006C1E0000}"/>
    <cellStyle name="Normal 9 2 2 10" xfId="4877" xr:uid="{00000000-0005-0000-0000-00006D1E0000}"/>
    <cellStyle name="Normal 9 2 2 10 2" xfId="13319" xr:uid="{A173AC77-3D33-4AF0-A994-B864654BEE90}"/>
    <cellStyle name="Normal 9 2 2 10 3" xfId="21756" xr:uid="{49C3506B-0BD7-439D-A5F2-0116A07D65A8}"/>
    <cellStyle name="Normal 9 2 2 11" xfId="9101" xr:uid="{55FCC4B2-2142-406B-887A-FADAF4DABE68}"/>
    <cellStyle name="Normal 9 2 2 12" xfId="17539" xr:uid="{CE2A261C-1089-4C54-972D-34B1F65EF10B}"/>
    <cellStyle name="Normal 9 2 2 2" xfId="513" xr:uid="{00000000-0005-0000-0000-00006E1E0000}"/>
    <cellStyle name="Normal 9 2 2 2 10" xfId="9102" xr:uid="{98158C90-C221-453D-83F4-52C5E453FAE6}"/>
    <cellStyle name="Normal 9 2 2 2 11" xfId="17540" xr:uid="{04D925FB-88C6-4844-97FA-92F85EE53E3B}"/>
    <cellStyle name="Normal 9 2 2 2 2" xfId="514" xr:uid="{00000000-0005-0000-0000-00006F1E0000}"/>
    <cellStyle name="Normal 9 2 2 2 2 10" xfId="17541" xr:uid="{3BAEA9B0-9026-4ADA-9C8E-FB4F2161F6D4}"/>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F4907913-D725-4B56-A519-67413DFF5DB0}"/>
    <cellStyle name="Normal 9 2 2 2 2 2 2 2 2 3" xfId="24317" xr:uid="{A61B8CDD-3066-4C85-9BCD-9790E6BA53A3}"/>
    <cellStyle name="Normal 9 2 2 2 2 2 2 2 3" xfId="11662" xr:uid="{ACC5B174-8796-4EB0-94DC-0D04847E3C25}"/>
    <cellStyle name="Normal 9 2 2 2 2 2 2 2 4" xfId="20100" xr:uid="{663A129F-F631-4751-A11B-44ADB9CDCFD0}"/>
    <cellStyle name="Normal 9 2 2 2 2 2 2 3" xfId="5293" xr:uid="{00000000-0005-0000-0000-0000741E0000}"/>
    <cellStyle name="Normal 9 2 2 2 2 2 2 3 2" xfId="13735" xr:uid="{90965156-9826-4FF4-AACF-DFB91264741F}"/>
    <cellStyle name="Normal 9 2 2 2 2 2 2 3 3" xfId="22172" xr:uid="{DA2F2847-AD1A-44F4-8E19-3CB59DDB2800}"/>
    <cellStyle name="Normal 9 2 2 2 2 2 2 4" xfId="9517" xr:uid="{C7562221-F6FD-4FD0-9103-9D2BB3ACE1C4}"/>
    <cellStyle name="Normal 9 2 2 2 2 2 2 5" xfId="17955" xr:uid="{DB1724BD-52A1-4F5E-BD62-013A9011DB73}"/>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3074C875-EAB1-4EA6-89D9-484DAE60FC53}"/>
    <cellStyle name="Normal 9 2 2 2 2 2 3 2 2 3" xfId="24730" xr:uid="{1C36CFAD-610F-4F79-8C80-A25A1FEBE6D3}"/>
    <cellStyle name="Normal 9 2 2 2 2 2 3 2 3" xfId="12075" xr:uid="{1A71514C-387A-4E3D-A5CD-90060E6A5878}"/>
    <cellStyle name="Normal 9 2 2 2 2 2 3 2 4" xfId="20513" xr:uid="{BF7E5BE0-93C4-45A8-9A53-4AD91EA7C29B}"/>
    <cellStyle name="Normal 9 2 2 2 2 2 3 3" xfId="5706" xr:uid="{00000000-0005-0000-0000-0000781E0000}"/>
    <cellStyle name="Normal 9 2 2 2 2 2 3 3 2" xfId="14148" xr:uid="{362CBD1E-8E40-4F83-A203-F9BB7CF07B95}"/>
    <cellStyle name="Normal 9 2 2 2 2 2 3 3 3" xfId="22585" xr:uid="{78DD4E3C-82F9-456D-9ECD-7B74C29051F4}"/>
    <cellStyle name="Normal 9 2 2 2 2 2 3 4" xfId="9930" xr:uid="{A334886C-4C5F-4BC2-A34D-029A477305E6}"/>
    <cellStyle name="Normal 9 2 2 2 2 2 3 5" xfId="18368" xr:uid="{9E664131-5844-4CC1-8284-AA6069C4017F}"/>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5947BF12-A09A-4732-BD02-09FE0A9E3DDE}"/>
    <cellStyle name="Normal 9 2 2 2 2 2 4 2 2 3" xfId="25143" xr:uid="{0BDCA8FC-5CAB-4035-B828-FDDDC8BD5E5B}"/>
    <cellStyle name="Normal 9 2 2 2 2 2 4 2 3" xfId="12488" xr:uid="{A5164B11-BEEB-44E6-8B1F-18A136F1594A}"/>
    <cellStyle name="Normal 9 2 2 2 2 2 4 2 4" xfId="20926" xr:uid="{5BC2F878-B673-488F-AD5B-5EAED1DDA9F8}"/>
    <cellStyle name="Normal 9 2 2 2 2 2 4 3" xfId="6119" xr:uid="{00000000-0005-0000-0000-00007C1E0000}"/>
    <cellStyle name="Normal 9 2 2 2 2 2 4 3 2" xfId="14561" xr:uid="{967DA18C-8FFE-4735-8B7A-44BF10496D12}"/>
    <cellStyle name="Normal 9 2 2 2 2 2 4 3 3" xfId="22998" xr:uid="{3E0FB35F-A7D1-4B3F-8F54-9F9671119CF1}"/>
    <cellStyle name="Normal 9 2 2 2 2 2 4 4" xfId="10343" xr:uid="{C6410590-E9EB-4416-9E9D-167C72D4596B}"/>
    <cellStyle name="Normal 9 2 2 2 2 2 4 5" xfId="18781" xr:uid="{CDBD507B-4EF2-497F-ACD1-E36F3CD43429}"/>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E7490314-9F00-49CB-852C-D0BF32CA0A43}"/>
    <cellStyle name="Normal 9 2 2 2 2 2 5 2 2 3" xfId="25556" xr:uid="{EFA2E703-EAAE-4991-91EC-BF33E650B65E}"/>
    <cellStyle name="Normal 9 2 2 2 2 2 5 2 3" xfId="12901" xr:uid="{9D713457-52AA-4AFC-88D7-F6D5A9EC2C1B}"/>
    <cellStyle name="Normal 9 2 2 2 2 2 5 2 4" xfId="21339" xr:uid="{5E151685-24BA-4272-96BB-02BB814B2518}"/>
    <cellStyle name="Normal 9 2 2 2 2 2 5 3" xfId="6532" xr:uid="{00000000-0005-0000-0000-0000801E0000}"/>
    <cellStyle name="Normal 9 2 2 2 2 2 5 3 2" xfId="14974" xr:uid="{7E434D74-2C70-48DF-950E-971874DE116E}"/>
    <cellStyle name="Normal 9 2 2 2 2 2 5 3 3" xfId="23411" xr:uid="{33736506-4EFE-4076-ADDB-59D85B78E247}"/>
    <cellStyle name="Normal 9 2 2 2 2 2 5 4" xfId="10756" xr:uid="{B752E88D-CDC1-426A-8E96-A27648DF67CA}"/>
    <cellStyle name="Normal 9 2 2 2 2 2 5 5" xfId="19194" xr:uid="{91405DAE-528E-4349-B53A-105D94822AE7}"/>
    <cellStyle name="Normal 9 2 2 2 2 2 6" xfId="2661" xr:uid="{00000000-0005-0000-0000-0000811E0000}"/>
    <cellStyle name="Normal 9 2 2 2 2 2 6 2" xfId="6945" xr:uid="{00000000-0005-0000-0000-0000821E0000}"/>
    <cellStyle name="Normal 9 2 2 2 2 2 6 2 2" xfId="15387" xr:uid="{6550E867-CB90-4501-9893-600410A746AE}"/>
    <cellStyle name="Normal 9 2 2 2 2 2 6 2 3" xfId="23824" xr:uid="{DEDD65A2-0E0D-44E9-88E3-183CED3F5A89}"/>
    <cellStyle name="Normal 9 2 2 2 2 2 6 3" xfId="11169" xr:uid="{C5C1EE87-38EB-4450-B4D8-B47757770586}"/>
    <cellStyle name="Normal 9 2 2 2 2 2 6 4" xfId="19607" xr:uid="{DBC7F8BB-6B3F-43A6-BB54-768429868E63}"/>
    <cellStyle name="Normal 9 2 2 2 2 2 7" xfId="4880" xr:uid="{00000000-0005-0000-0000-0000831E0000}"/>
    <cellStyle name="Normal 9 2 2 2 2 2 7 2" xfId="13322" xr:uid="{C9F2D1F0-274F-422A-AEBA-54BD64E8BC9A}"/>
    <cellStyle name="Normal 9 2 2 2 2 2 7 3" xfId="21759" xr:uid="{42E1A9FA-860F-4102-9FFD-1C8A60EE6E8A}"/>
    <cellStyle name="Normal 9 2 2 2 2 2 8" xfId="9104" xr:uid="{DB7DAA77-4DE0-4F2C-8383-45B1D68C2043}"/>
    <cellStyle name="Normal 9 2 2 2 2 2 9" xfId="17542" xr:uid="{A5D1CB88-3724-46FA-B349-E58746D05C21}"/>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5696CBA2-B0D4-4ED0-9E73-29FE076B2C59}"/>
    <cellStyle name="Normal 9 2 2 2 2 3 2 2 3" xfId="24316" xr:uid="{D12C88B9-4FD5-436F-80A7-050447B478C8}"/>
    <cellStyle name="Normal 9 2 2 2 2 3 2 3" xfId="11661" xr:uid="{FF11BABB-FCB8-4053-90F4-82D2CEF73C61}"/>
    <cellStyle name="Normal 9 2 2 2 2 3 2 4" xfId="20099" xr:uid="{43D5A1E5-0221-4107-8BEC-0BC64CE6AB4C}"/>
    <cellStyle name="Normal 9 2 2 2 2 3 3" xfId="5292" xr:uid="{00000000-0005-0000-0000-0000871E0000}"/>
    <cellStyle name="Normal 9 2 2 2 2 3 3 2" xfId="13734" xr:uid="{1C516F6B-23A8-4131-87AB-41288054B47A}"/>
    <cellStyle name="Normal 9 2 2 2 2 3 3 3" xfId="22171" xr:uid="{3FCA6361-4487-445D-B2A9-E9AA82EE9063}"/>
    <cellStyle name="Normal 9 2 2 2 2 3 4" xfId="9516" xr:uid="{3326FD21-D5A5-4CB0-BBB1-20E2E31AD5D7}"/>
    <cellStyle name="Normal 9 2 2 2 2 3 5" xfId="17954" xr:uid="{AB480804-4990-4AD9-9E9A-1F8A9502BDC1}"/>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08933C17-7EC3-45E7-B517-60909A47F5AF}"/>
    <cellStyle name="Normal 9 2 2 2 2 4 2 2 3" xfId="24729" xr:uid="{DA6FE432-D10E-4442-BF8E-43DD1C001C46}"/>
    <cellStyle name="Normal 9 2 2 2 2 4 2 3" xfId="12074" xr:uid="{47462ECF-B8C8-492C-9970-184B9A222A4F}"/>
    <cellStyle name="Normal 9 2 2 2 2 4 2 4" xfId="20512" xr:uid="{B9B9710B-E3FD-4ACE-AA48-2E2F53599C9E}"/>
    <cellStyle name="Normal 9 2 2 2 2 4 3" xfId="5705" xr:uid="{00000000-0005-0000-0000-00008B1E0000}"/>
    <cellStyle name="Normal 9 2 2 2 2 4 3 2" xfId="14147" xr:uid="{66C3DDB9-A79E-45ED-8D9E-FABB453144E4}"/>
    <cellStyle name="Normal 9 2 2 2 2 4 3 3" xfId="22584" xr:uid="{1F3C751D-C8D0-4396-89F7-3DF996C8D9B7}"/>
    <cellStyle name="Normal 9 2 2 2 2 4 4" xfId="9929" xr:uid="{5BA17B00-84A5-4BD4-A526-C92D213C4798}"/>
    <cellStyle name="Normal 9 2 2 2 2 4 5" xfId="18367" xr:uid="{28678141-81AA-422C-A301-EE69ACDCE30B}"/>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20AD1B3B-51E8-4971-B279-1A9A0A85F392}"/>
    <cellStyle name="Normal 9 2 2 2 2 5 2 2 3" xfId="25142" xr:uid="{C81449D3-EDE3-416C-B909-93012835C3A2}"/>
    <cellStyle name="Normal 9 2 2 2 2 5 2 3" xfId="12487" xr:uid="{032DAA97-5CBE-4C0E-9236-DAC104133488}"/>
    <cellStyle name="Normal 9 2 2 2 2 5 2 4" xfId="20925" xr:uid="{F584CA05-B85C-43E5-AAB5-4DA54B6A9791}"/>
    <cellStyle name="Normal 9 2 2 2 2 5 3" xfId="6118" xr:uid="{00000000-0005-0000-0000-00008F1E0000}"/>
    <cellStyle name="Normal 9 2 2 2 2 5 3 2" xfId="14560" xr:uid="{20BCF6BB-2EBE-44DC-A792-EF11C9EB5F33}"/>
    <cellStyle name="Normal 9 2 2 2 2 5 3 3" xfId="22997" xr:uid="{FAEE08B4-6CB6-4747-A3B7-3C96A715747D}"/>
    <cellStyle name="Normal 9 2 2 2 2 5 4" xfId="10342" xr:uid="{881F573D-2880-4C86-A35E-0011417A2E21}"/>
    <cellStyle name="Normal 9 2 2 2 2 5 5" xfId="18780" xr:uid="{990C1A3C-9847-425C-9964-A625FC9A7226}"/>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34F4C3BA-B5D3-4C39-88F4-37C9A95548D9}"/>
    <cellStyle name="Normal 9 2 2 2 2 6 2 2 3" xfId="25555" xr:uid="{F2571D69-DF2C-4392-9804-E6BF4D3B8B52}"/>
    <cellStyle name="Normal 9 2 2 2 2 6 2 3" xfId="12900" xr:uid="{9A0A177B-628F-49A9-967D-B1AC235BB3BF}"/>
    <cellStyle name="Normal 9 2 2 2 2 6 2 4" xfId="21338" xr:uid="{7B230756-BF3E-4308-8EFA-567BFA73BB60}"/>
    <cellStyle name="Normal 9 2 2 2 2 6 3" xfId="6531" xr:uid="{00000000-0005-0000-0000-0000931E0000}"/>
    <cellStyle name="Normal 9 2 2 2 2 6 3 2" xfId="14973" xr:uid="{2902266D-22EC-42C3-88FB-71CFF3DDC306}"/>
    <cellStyle name="Normal 9 2 2 2 2 6 3 3" xfId="23410" xr:uid="{DE476C1A-FBF2-4C8E-B184-0F4BE1FE349A}"/>
    <cellStyle name="Normal 9 2 2 2 2 6 4" xfId="10755" xr:uid="{94D1A1D8-D147-4DBD-B558-63E9000467C3}"/>
    <cellStyle name="Normal 9 2 2 2 2 6 5" xfId="19193" xr:uid="{5C5C5045-7481-4CAB-9623-B5A2A88DCEF2}"/>
    <cellStyle name="Normal 9 2 2 2 2 7" xfId="2660" xr:uid="{00000000-0005-0000-0000-0000941E0000}"/>
    <cellStyle name="Normal 9 2 2 2 2 7 2" xfId="6944" xr:uid="{00000000-0005-0000-0000-0000951E0000}"/>
    <cellStyle name="Normal 9 2 2 2 2 7 2 2" xfId="15386" xr:uid="{6C0A1CC0-D278-4CD4-9226-8036899D7624}"/>
    <cellStyle name="Normal 9 2 2 2 2 7 2 3" xfId="23823" xr:uid="{F4CC2935-5324-4D08-9C0B-83EFE479DA70}"/>
    <cellStyle name="Normal 9 2 2 2 2 7 3" xfId="11168" xr:uid="{EB0E6219-7096-4064-913A-D24444E0B98B}"/>
    <cellStyle name="Normal 9 2 2 2 2 7 4" xfId="19606" xr:uid="{EE8919A8-72C7-4F5C-9B19-29B9E78A8C32}"/>
    <cellStyle name="Normal 9 2 2 2 2 8" xfId="4879" xr:uid="{00000000-0005-0000-0000-0000961E0000}"/>
    <cellStyle name="Normal 9 2 2 2 2 8 2" xfId="13321" xr:uid="{A2ADDA01-FC09-4D25-BD69-81828C02E66D}"/>
    <cellStyle name="Normal 9 2 2 2 2 8 3" xfId="21758" xr:uid="{628630FC-26D3-45EA-BD65-C7157FBB5585}"/>
    <cellStyle name="Normal 9 2 2 2 2 9" xfId="9103" xr:uid="{1E6960A6-61F6-4B08-B601-D6865C4511F7}"/>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9C8F5872-49A6-40A9-98B5-172FD599C639}"/>
    <cellStyle name="Normal 9 2 2 2 3 2 2 2 3" xfId="24318" xr:uid="{57F761D1-F480-4BEE-B384-2BC24D59E0BE}"/>
    <cellStyle name="Normal 9 2 2 2 3 2 2 3" xfId="11663" xr:uid="{D7857469-9392-4F16-A98C-D78ACB513A0A}"/>
    <cellStyle name="Normal 9 2 2 2 3 2 2 4" xfId="20101" xr:uid="{DC040CA1-DD7B-4F3A-B264-3976D28C411A}"/>
    <cellStyle name="Normal 9 2 2 2 3 2 3" xfId="5294" xr:uid="{00000000-0005-0000-0000-00009B1E0000}"/>
    <cellStyle name="Normal 9 2 2 2 3 2 3 2" xfId="13736" xr:uid="{B15DA780-4E94-4D39-9AFF-73EE10DB8F3B}"/>
    <cellStyle name="Normal 9 2 2 2 3 2 3 3" xfId="22173" xr:uid="{F6332046-EA21-4090-ACB7-E2EDD605407F}"/>
    <cellStyle name="Normal 9 2 2 2 3 2 4" xfId="9518" xr:uid="{41EED285-0291-4A90-83C3-6B6C7513BA83}"/>
    <cellStyle name="Normal 9 2 2 2 3 2 5" xfId="17956" xr:uid="{8F01EFB0-3256-4751-A91F-38A213C59481}"/>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6A26193C-34C6-4592-BD24-074EF0C8DB2D}"/>
    <cellStyle name="Normal 9 2 2 2 3 3 2 2 3" xfId="24731" xr:uid="{D6CD3290-6C6D-44C1-9F3A-1810D99CFDC0}"/>
    <cellStyle name="Normal 9 2 2 2 3 3 2 3" xfId="12076" xr:uid="{56DFBCDE-DECD-4A25-BD16-2899130E0D19}"/>
    <cellStyle name="Normal 9 2 2 2 3 3 2 4" xfId="20514" xr:uid="{79AF8F10-D76C-45E2-ADF2-80774A22D67C}"/>
    <cellStyle name="Normal 9 2 2 2 3 3 3" xfId="5707" xr:uid="{00000000-0005-0000-0000-00009F1E0000}"/>
    <cellStyle name="Normal 9 2 2 2 3 3 3 2" xfId="14149" xr:uid="{AE259FAE-CD6B-499B-8FCD-DB0A371A0886}"/>
    <cellStyle name="Normal 9 2 2 2 3 3 3 3" xfId="22586" xr:uid="{B0DA3AD6-49F5-45AA-AD96-B1E1B18817A2}"/>
    <cellStyle name="Normal 9 2 2 2 3 3 4" xfId="9931" xr:uid="{D82CA33D-FA35-47AA-BD98-CBBA1570093B}"/>
    <cellStyle name="Normal 9 2 2 2 3 3 5" xfId="18369" xr:uid="{775371FF-D3A0-4173-A756-D78F5A4CC566}"/>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FD52BBDD-8ACB-4847-B6DC-5E0C94157EBD}"/>
    <cellStyle name="Normal 9 2 2 2 3 4 2 2 3" xfId="25144" xr:uid="{9ABD2406-03F9-4A4D-A025-4183E76865B9}"/>
    <cellStyle name="Normal 9 2 2 2 3 4 2 3" xfId="12489" xr:uid="{41C8A9E7-23BD-421E-BBC3-B5AD353FE7C7}"/>
    <cellStyle name="Normal 9 2 2 2 3 4 2 4" xfId="20927" xr:uid="{1866BDFE-2153-4112-93D1-87337203A920}"/>
    <cellStyle name="Normal 9 2 2 2 3 4 3" xfId="6120" xr:uid="{00000000-0005-0000-0000-0000A31E0000}"/>
    <cellStyle name="Normal 9 2 2 2 3 4 3 2" xfId="14562" xr:uid="{634D3555-3601-4C8A-A455-EE674EA15C95}"/>
    <cellStyle name="Normal 9 2 2 2 3 4 3 3" xfId="22999" xr:uid="{B53F740B-33A3-4E2C-9CCE-D5D732570207}"/>
    <cellStyle name="Normal 9 2 2 2 3 4 4" xfId="10344" xr:uid="{7219A066-6F68-4774-B70F-9A39F5F100CD}"/>
    <cellStyle name="Normal 9 2 2 2 3 4 5" xfId="18782" xr:uid="{5C89DE56-4E50-4E2D-857D-4F8805E5C7B1}"/>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EB7ECF81-C0F9-4F98-9BA6-F1A5F96A18F4}"/>
    <cellStyle name="Normal 9 2 2 2 3 5 2 2 3" xfId="25557" xr:uid="{4CE9D8F7-5A9A-4A0D-BCFA-E15BC59D883E}"/>
    <cellStyle name="Normal 9 2 2 2 3 5 2 3" xfId="12902" xr:uid="{11FBBAE6-BC6E-4905-A091-028E978FB9DE}"/>
    <cellStyle name="Normal 9 2 2 2 3 5 2 4" xfId="21340" xr:uid="{5CD43D6B-BE81-4DDA-AB05-1D670541819B}"/>
    <cellStyle name="Normal 9 2 2 2 3 5 3" xfId="6533" xr:uid="{00000000-0005-0000-0000-0000A71E0000}"/>
    <cellStyle name="Normal 9 2 2 2 3 5 3 2" xfId="14975" xr:uid="{552F8848-CE3E-4AEB-BCA7-A70275FCB47C}"/>
    <cellStyle name="Normal 9 2 2 2 3 5 3 3" xfId="23412" xr:uid="{55C8D695-50BE-4D9D-8B38-D53CDFAD56D0}"/>
    <cellStyle name="Normal 9 2 2 2 3 5 4" xfId="10757" xr:uid="{DA7E8968-2A6D-4280-A507-D2F614D9B8CB}"/>
    <cellStyle name="Normal 9 2 2 2 3 5 5" xfId="19195" xr:uid="{94327DD1-3663-4BFF-A449-F20C48597746}"/>
    <cellStyle name="Normal 9 2 2 2 3 6" xfId="2662" xr:uid="{00000000-0005-0000-0000-0000A81E0000}"/>
    <cellStyle name="Normal 9 2 2 2 3 6 2" xfId="6946" xr:uid="{00000000-0005-0000-0000-0000A91E0000}"/>
    <cellStyle name="Normal 9 2 2 2 3 6 2 2" xfId="15388" xr:uid="{B54590E7-E9A4-4D5C-B340-AEE9BEB768D5}"/>
    <cellStyle name="Normal 9 2 2 2 3 6 2 3" xfId="23825" xr:uid="{BCC83C27-9E00-44A4-A11A-6FFDF700BCE3}"/>
    <cellStyle name="Normal 9 2 2 2 3 6 3" xfId="11170" xr:uid="{930ADBFA-84F4-4F64-985B-A9A67148D7AE}"/>
    <cellStyle name="Normal 9 2 2 2 3 6 4" xfId="19608" xr:uid="{AE991FD8-31DA-4F6A-9976-9DDE3903CD95}"/>
    <cellStyle name="Normal 9 2 2 2 3 7" xfId="4881" xr:uid="{00000000-0005-0000-0000-0000AA1E0000}"/>
    <cellStyle name="Normal 9 2 2 2 3 7 2" xfId="13323" xr:uid="{EC992798-2BFE-409B-9A10-45928A9E0E3D}"/>
    <cellStyle name="Normal 9 2 2 2 3 7 3" xfId="21760" xr:uid="{D963F02A-3074-4EB2-AC94-4F27830913A3}"/>
    <cellStyle name="Normal 9 2 2 2 3 8" xfId="9105" xr:uid="{1CF60EF9-9230-4572-A745-0CC3AEA8D0A8}"/>
    <cellStyle name="Normal 9 2 2 2 3 9" xfId="17543" xr:uid="{55B6AD72-87B3-4F7A-8B58-4295F538B694}"/>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274A378F-C883-4E4E-9B32-4955A2AA16B9}"/>
    <cellStyle name="Normal 9 2 2 2 4 2 2 3" xfId="24315" xr:uid="{020385D3-DD09-4743-8E5A-2F2EB649124E}"/>
    <cellStyle name="Normal 9 2 2 2 4 2 3" xfId="11660" xr:uid="{C0294B14-0B6F-49EA-88C1-CF5A7396E5D4}"/>
    <cellStyle name="Normal 9 2 2 2 4 2 4" xfId="20098" xr:uid="{2F5FED7F-8634-468C-A3B5-8AE04F69FDC9}"/>
    <cellStyle name="Normal 9 2 2 2 4 3" xfId="5291" xr:uid="{00000000-0005-0000-0000-0000AE1E0000}"/>
    <cellStyle name="Normal 9 2 2 2 4 3 2" xfId="13733" xr:uid="{390F57C4-9633-4CD8-8ECD-17E474AD7E9D}"/>
    <cellStyle name="Normal 9 2 2 2 4 3 3" xfId="22170" xr:uid="{D6937C16-CAAD-4FED-B826-A64E5C6FFF23}"/>
    <cellStyle name="Normal 9 2 2 2 4 4" xfId="9515" xr:uid="{2C452BD3-60BA-4C86-A924-3936AA6F4E07}"/>
    <cellStyle name="Normal 9 2 2 2 4 5" xfId="17953" xr:uid="{83C7DE0F-36ED-46EB-90A4-E18D249634B8}"/>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7FC4641F-97BC-4F35-9D88-9787901701D5}"/>
    <cellStyle name="Normal 9 2 2 2 5 2 2 3" xfId="24728" xr:uid="{8850F916-1CDF-44C7-A9AA-42CDDE878FA9}"/>
    <cellStyle name="Normal 9 2 2 2 5 2 3" xfId="12073" xr:uid="{565F5AA3-1E18-4CBD-803D-BCF344B97B0D}"/>
    <cellStyle name="Normal 9 2 2 2 5 2 4" xfId="20511" xr:uid="{1795C58D-CF14-4B19-B212-836C13937DC6}"/>
    <cellStyle name="Normal 9 2 2 2 5 3" xfId="5704" xr:uid="{00000000-0005-0000-0000-0000B21E0000}"/>
    <cellStyle name="Normal 9 2 2 2 5 3 2" xfId="14146" xr:uid="{E91D4A5B-F473-462A-B956-C3606AFC7D6E}"/>
    <cellStyle name="Normal 9 2 2 2 5 3 3" xfId="22583" xr:uid="{0EACA1BF-1493-4337-A19A-E94455E0D946}"/>
    <cellStyle name="Normal 9 2 2 2 5 4" xfId="9928" xr:uid="{6AAA524F-4902-451B-B469-7997830E7CFC}"/>
    <cellStyle name="Normal 9 2 2 2 5 5" xfId="18366" xr:uid="{5FDBD4B0-5368-48C6-A2C4-D54BC1A5BF4F}"/>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AF2031C4-B4FB-4C72-AB68-A89286633239}"/>
    <cellStyle name="Normal 9 2 2 2 6 2 2 3" xfId="25141" xr:uid="{59260112-92D7-4BDE-9B30-426C7B4D0C26}"/>
    <cellStyle name="Normal 9 2 2 2 6 2 3" xfId="12486" xr:uid="{CF5E0E4E-4E20-4ECB-B1F7-ED9E9228822D}"/>
    <cellStyle name="Normal 9 2 2 2 6 2 4" xfId="20924" xr:uid="{2B15007F-B67A-489B-BEA7-0D6EC013248C}"/>
    <cellStyle name="Normal 9 2 2 2 6 3" xfId="6117" xr:uid="{00000000-0005-0000-0000-0000B61E0000}"/>
    <cellStyle name="Normal 9 2 2 2 6 3 2" xfId="14559" xr:uid="{A58B4064-B7BE-4DD6-AD95-EF0134F13216}"/>
    <cellStyle name="Normal 9 2 2 2 6 3 3" xfId="22996" xr:uid="{41F9D671-E2EF-4050-A3FC-F5C8FC570D7C}"/>
    <cellStyle name="Normal 9 2 2 2 6 4" xfId="10341" xr:uid="{FB0377F3-5EB1-4E64-BDF5-698B266C0965}"/>
    <cellStyle name="Normal 9 2 2 2 6 5" xfId="18779" xr:uid="{82F280C9-345B-4B3F-8C4A-9DD4B1EDC085}"/>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72A3610F-BA6F-4D47-A552-1CC917B4BC60}"/>
    <cellStyle name="Normal 9 2 2 2 7 2 2 3" xfId="25554" xr:uid="{FBF023CF-CAEC-4A21-88AD-2163365DCF6D}"/>
    <cellStyle name="Normal 9 2 2 2 7 2 3" xfId="12899" xr:uid="{E855575B-5BB6-494C-82D2-6E1E4415C54A}"/>
    <cellStyle name="Normal 9 2 2 2 7 2 4" xfId="21337" xr:uid="{D9B5C6E8-5F9F-4C10-9DE9-696503FA587F}"/>
    <cellStyle name="Normal 9 2 2 2 7 3" xfId="6530" xr:uid="{00000000-0005-0000-0000-0000BA1E0000}"/>
    <cellStyle name="Normal 9 2 2 2 7 3 2" xfId="14972" xr:uid="{CB628E2B-BA82-4BE5-8A96-00ADC8B8CC38}"/>
    <cellStyle name="Normal 9 2 2 2 7 3 3" xfId="23409" xr:uid="{CFACBE2B-F002-4E01-AF92-1F5A10E9EAE8}"/>
    <cellStyle name="Normal 9 2 2 2 7 4" xfId="10754" xr:uid="{1315FDB8-EE2D-4F0D-B4DB-D41AC2F17E52}"/>
    <cellStyle name="Normal 9 2 2 2 7 5" xfId="19192" xr:uid="{BB9D2E69-3374-4817-9228-B893A5B123EC}"/>
    <cellStyle name="Normal 9 2 2 2 8" xfId="2659" xr:uid="{00000000-0005-0000-0000-0000BB1E0000}"/>
    <cellStyle name="Normal 9 2 2 2 8 2" xfId="6943" xr:uid="{00000000-0005-0000-0000-0000BC1E0000}"/>
    <cellStyle name="Normal 9 2 2 2 8 2 2" xfId="15385" xr:uid="{D27C2BCD-C60D-4FDB-9F17-1054CB8F19EF}"/>
    <cellStyle name="Normal 9 2 2 2 8 2 3" xfId="23822" xr:uid="{F85C1EF1-2BC0-4985-AD8A-A518371350D7}"/>
    <cellStyle name="Normal 9 2 2 2 8 3" xfId="11167" xr:uid="{4DF6139E-26CD-4595-8521-E8F3629516A3}"/>
    <cellStyle name="Normal 9 2 2 2 8 4" xfId="19605" xr:uid="{12CE60A4-BCDE-468A-B00C-2706B2F0B791}"/>
    <cellStyle name="Normal 9 2 2 2 9" xfId="4878" xr:uid="{00000000-0005-0000-0000-0000BD1E0000}"/>
    <cellStyle name="Normal 9 2 2 2 9 2" xfId="13320" xr:uid="{F4AB8BEF-677C-428C-8474-A5C626FE1627}"/>
    <cellStyle name="Normal 9 2 2 2 9 3" xfId="21757" xr:uid="{BDACF843-7B3A-49DB-AD59-2B1989F28168}"/>
    <cellStyle name="Normal 9 2 2 3" xfId="517" xr:uid="{00000000-0005-0000-0000-0000BE1E0000}"/>
    <cellStyle name="Normal 9 2 2 3 10" xfId="17544" xr:uid="{9C3C4131-7740-44FC-B298-A95FF903041A}"/>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7A31CE05-B3E5-4A7E-B9CD-1A481FCEB56B}"/>
    <cellStyle name="Normal 9 2 2 3 2 2 2 2 3" xfId="24320" xr:uid="{67ACBB40-4786-413F-BD24-CD21D7E436EB}"/>
    <cellStyle name="Normal 9 2 2 3 2 2 2 3" xfId="11665" xr:uid="{82818318-E0B5-4E7F-8849-3828E582406A}"/>
    <cellStyle name="Normal 9 2 2 3 2 2 2 4" xfId="20103" xr:uid="{F6A96DCB-40F9-454B-AF31-9516743AF4B9}"/>
    <cellStyle name="Normal 9 2 2 3 2 2 3" xfId="5296" xr:uid="{00000000-0005-0000-0000-0000C31E0000}"/>
    <cellStyle name="Normal 9 2 2 3 2 2 3 2" xfId="13738" xr:uid="{E48C0B62-92DF-447D-81AF-1905772EDEB8}"/>
    <cellStyle name="Normal 9 2 2 3 2 2 3 3" xfId="22175" xr:uid="{B2C793A3-45E7-453D-8CC7-126410258B49}"/>
    <cellStyle name="Normal 9 2 2 3 2 2 4" xfId="9520" xr:uid="{C5275E84-DEDF-46BC-987F-0F8E820BBE6B}"/>
    <cellStyle name="Normal 9 2 2 3 2 2 5" xfId="17958" xr:uid="{A552157E-F1C3-4B59-963E-606B531CD4DC}"/>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FB61588F-B4CD-4254-BF13-09565B7102E6}"/>
    <cellStyle name="Normal 9 2 2 3 2 3 2 2 3" xfId="24733" xr:uid="{E9AE034D-5524-4768-AAAF-E5AC5D3F21CF}"/>
    <cellStyle name="Normal 9 2 2 3 2 3 2 3" xfId="12078" xr:uid="{61C8C989-9193-42E6-8A0B-B49E80AB3F01}"/>
    <cellStyle name="Normal 9 2 2 3 2 3 2 4" xfId="20516" xr:uid="{D415F208-160D-457D-A412-4192ABD90F14}"/>
    <cellStyle name="Normal 9 2 2 3 2 3 3" xfId="5709" xr:uid="{00000000-0005-0000-0000-0000C71E0000}"/>
    <cellStyle name="Normal 9 2 2 3 2 3 3 2" xfId="14151" xr:uid="{9C9C72A9-A850-42A3-B248-AD44B15E475E}"/>
    <cellStyle name="Normal 9 2 2 3 2 3 3 3" xfId="22588" xr:uid="{F689C6E7-57F2-47C7-8319-46C96D637357}"/>
    <cellStyle name="Normal 9 2 2 3 2 3 4" xfId="9933" xr:uid="{73C2BFE3-76FA-4D47-93A7-D291782379B5}"/>
    <cellStyle name="Normal 9 2 2 3 2 3 5" xfId="18371" xr:uid="{EA7D988D-8384-449A-866E-71DF8CD0D687}"/>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0E3D87E9-652D-49BC-85DF-40F02DC1973A}"/>
    <cellStyle name="Normal 9 2 2 3 2 4 2 2 3" xfId="25146" xr:uid="{6DDA64FA-32D5-4022-9672-A85176BEE4E2}"/>
    <cellStyle name="Normal 9 2 2 3 2 4 2 3" xfId="12491" xr:uid="{A49DE62F-2B20-4CD9-8233-F531556046E2}"/>
    <cellStyle name="Normal 9 2 2 3 2 4 2 4" xfId="20929" xr:uid="{2C06217C-2701-4CED-ADA5-324537651CC2}"/>
    <cellStyle name="Normal 9 2 2 3 2 4 3" xfId="6122" xr:uid="{00000000-0005-0000-0000-0000CB1E0000}"/>
    <cellStyle name="Normal 9 2 2 3 2 4 3 2" xfId="14564" xr:uid="{795BEF8C-04FF-4C99-819E-1EE5499E3A35}"/>
    <cellStyle name="Normal 9 2 2 3 2 4 3 3" xfId="23001" xr:uid="{8CC05357-4A3F-482E-BE19-DE853FCD906B}"/>
    <cellStyle name="Normal 9 2 2 3 2 4 4" xfId="10346" xr:uid="{52468125-482C-4A37-8DE5-6BCFD444EDEA}"/>
    <cellStyle name="Normal 9 2 2 3 2 4 5" xfId="18784" xr:uid="{38A45F5C-1D3E-4575-BEF3-3C8112F62F6D}"/>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BA141F93-F62F-495F-820C-E542CF6FBE9F}"/>
    <cellStyle name="Normal 9 2 2 3 2 5 2 2 3" xfId="25559" xr:uid="{0E5336C6-B0AE-4031-98DC-0CCC413160B4}"/>
    <cellStyle name="Normal 9 2 2 3 2 5 2 3" xfId="12904" xr:uid="{A319DF0A-85B5-4942-9C7E-F6A31FA2A5D8}"/>
    <cellStyle name="Normal 9 2 2 3 2 5 2 4" xfId="21342" xr:uid="{22203297-4427-4F64-BDAD-6CD3F8257049}"/>
    <cellStyle name="Normal 9 2 2 3 2 5 3" xfId="6535" xr:uid="{00000000-0005-0000-0000-0000CF1E0000}"/>
    <cellStyle name="Normal 9 2 2 3 2 5 3 2" xfId="14977" xr:uid="{86B042FA-8762-4CA3-B9FB-725903C467CA}"/>
    <cellStyle name="Normal 9 2 2 3 2 5 3 3" xfId="23414" xr:uid="{A3C5B0E0-4A26-41A1-9BFB-3AC1F21BF56E}"/>
    <cellStyle name="Normal 9 2 2 3 2 5 4" xfId="10759" xr:uid="{8F083CC6-0255-4EB1-A5BE-2A352E51724E}"/>
    <cellStyle name="Normal 9 2 2 3 2 5 5" xfId="19197" xr:uid="{8DA82FCC-48BD-478B-AB66-8B0C77B380B0}"/>
    <cellStyle name="Normal 9 2 2 3 2 6" xfId="2664" xr:uid="{00000000-0005-0000-0000-0000D01E0000}"/>
    <cellStyle name="Normal 9 2 2 3 2 6 2" xfId="6948" xr:uid="{00000000-0005-0000-0000-0000D11E0000}"/>
    <cellStyle name="Normal 9 2 2 3 2 6 2 2" xfId="15390" xr:uid="{0B54AD4F-6660-4ACB-ACEC-FF4BF740023E}"/>
    <cellStyle name="Normal 9 2 2 3 2 6 2 3" xfId="23827" xr:uid="{CF3AAD65-CE2D-418D-AE35-E7C8094EA98D}"/>
    <cellStyle name="Normal 9 2 2 3 2 6 3" xfId="11172" xr:uid="{1BE6EB3E-769D-4D7F-8077-FE1E82F123D2}"/>
    <cellStyle name="Normal 9 2 2 3 2 6 4" xfId="19610" xr:uid="{CE8476D9-1284-4FF5-80B9-80024773F69A}"/>
    <cellStyle name="Normal 9 2 2 3 2 7" xfId="4883" xr:uid="{00000000-0005-0000-0000-0000D21E0000}"/>
    <cellStyle name="Normal 9 2 2 3 2 7 2" xfId="13325" xr:uid="{BD82023D-F89D-4ECD-ABB7-81698CC1AD9C}"/>
    <cellStyle name="Normal 9 2 2 3 2 7 3" xfId="21762" xr:uid="{15486E77-E378-4523-93CF-34987D69844E}"/>
    <cellStyle name="Normal 9 2 2 3 2 8" xfId="9107" xr:uid="{6F33AE01-DF2C-42F1-AC46-837F6DCC4828}"/>
    <cellStyle name="Normal 9 2 2 3 2 9" xfId="17545" xr:uid="{542BA4AE-6732-4333-B377-9BABE654DB37}"/>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9E5DD2E9-D6C7-43A8-95CC-D96F2DD264D2}"/>
    <cellStyle name="Normal 9 2 2 3 3 2 2 3" xfId="24319" xr:uid="{E43E224E-F3EB-4AD0-8962-F296E8E4644B}"/>
    <cellStyle name="Normal 9 2 2 3 3 2 3" xfId="11664" xr:uid="{8BBA8B33-D802-4186-A598-D5DDBB9A82CD}"/>
    <cellStyle name="Normal 9 2 2 3 3 2 4" xfId="20102" xr:uid="{DB27BB36-458F-42E8-A973-54D400FB16A1}"/>
    <cellStyle name="Normal 9 2 2 3 3 3" xfId="5295" xr:uid="{00000000-0005-0000-0000-0000D61E0000}"/>
    <cellStyle name="Normal 9 2 2 3 3 3 2" xfId="13737" xr:uid="{6C819CB1-A698-4D17-A133-51907AF6FAD5}"/>
    <cellStyle name="Normal 9 2 2 3 3 3 3" xfId="22174" xr:uid="{AF774E8C-3FE7-4CB9-886F-E907C1ABB9C2}"/>
    <cellStyle name="Normal 9 2 2 3 3 4" xfId="9519" xr:uid="{6967F898-8F26-4622-AE48-9F85DBF2170A}"/>
    <cellStyle name="Normal 9 2 2 3 3 5" xfId="17957" xr:uid="{791DDD5F-4F7A-4F41-A866-687DDFC79523}"/>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B32A7C63-30FE-4935-9350-B7F2FE797D06}"/>
    <cellStyle name="Normal 9 2 2 3 4 2 2 3" xfId="24732" xr:uid="{443AB9CB-C240-4FA7-A9D4-61DF629294AA}"/>
    <cellStyle name="Normal 9 2 2 3 4 2 3" xfId="12077" xr:uid="{D8EDEB8B-5831-47A2-9518-187FD0365370}"/>
    <cellStyle name="Normal 9 2 2 3 4 2 4" xfId="20515" xr:uid="{5BCC6B60-C941-43D3-A1BA-FA8375F47E9D}"/>
    <cellStyle name="Normal 9 2 2 3 4 3" xfId="5708" xr:uid="{00000000-0005-0000-0000-0000DA1E0000}"/>
    <cellStyle name="Normal 9 2 2 3 4 3 2" xfId="14150" xr:uid="{331AAE34-0E59-481A-8030-6D3EEACEE6AB}"/>
    <cellStyle name="Normal 9 2 2 3 4 3 3" xfId="22587" xr:uid="{5717BDC8-8D85-46E7-9F3D-1A3FDC317B32}"/>
    <cellStyle name="Normal 9 2 2 3 4 4" xfId="9932" xr:uid="{118464B3-C751-4DBE-AE14-D68DE854691E}"/>
    <cellStyle name="Normal 9 2 2 3 4 5" xfId="18370" xr:uid="{4F554677-65A3-40C4-B3C8-FC46C43D37B2}"/>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12BEEFC1-4671-4C05-ABF5-7271FB1CA5A1}"/>
    <cellStyle name="Normal 9 2 2 3 5 2 2 3" xfId="25145" xr:uid="{9F9F60E3-8508-4641-8CF4-DDD60EB405CA}"/>
    <cellStyle name="Normal 9 2 2 3 5 2 3" xfId="12490" xr:uid="{9C3F70E8-9AB0-49FE-86CD-1F839F63B235}"/>
    <cellStyle name="Normal 9 2 2 3 5 2 4" xfId="20928" xr:uid="{E31C341A-CF8C-48DB-9804-9E4280E926A4}"/>
    <cellStyle name="Normal 9 2 2 3 5 3" xfId="6121" xr:uid="{00000000-0005-0000-0000-0000DE1E0000}"/>
    <cellStyle name="Normal 9 2 2 3 5 3 2" xfId="14563" xr:uid="{57FF6F2E-E451-4456-BFD1-21C5DBFFAD97}"/>
    <cellStyle name="Normal 9 2 2 3 5 3 3" xfId="23000" xr:uid="{ACFEEF7F-327D-48A0-8621-9014F53384E6}"/>
    <cellStyle name="Normal 9 2 2 3 5 4" xfId="10345" xr:uid="{EDD312D0-1838-4C40-978D-60AD6C9F3865}"/>
    <cellStyle name="Normal 9 2 2 3 5 5" xfId="18783" xr:uid="{3E1484CB-6290-400D-8AEF-2B6976E06EE1}"/>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4019F4CB-9978-4599-A2CA-0987EEBD1554}"/>
    <cellStyle name="Normal 9 2 2 3 6 2 2 3" xfId="25558" xr:uid="{63FA9D86-1125-4EF3-8CA0-FE89DDE514E2}"/>
    <cellStyle name="Normal 9 2 2 3 6 2 3" xfId="12903" xr:uid="{245A9BE3-063C-4E14-94C0-4D7D69FE5181}"/>
    <cellStyle name="Normal 9 2 2 3 6 2 4" xfId="21341" xr:uid="{9DDD5E86-1D05-4F46-8862-8663E9BAB3DB}"/>
    <cellStyle name="Normal 9 2 2 3 6 3" xfId="6534" xr:uid="{00000000-0005-0000-0000-0000E21E0000}"/>
    <cellStyle name="Normal 9 2 2 3 6 3 2" xfId="14976" xr:uid="{741AF3FB-5DE7-4F30-BBF8-F1DDE04DF2D6}"/>
    <cellStyle name="Normal 9 2 2 3 6 3 3" xfId="23413" xr:uid="{F709661A-8712-479B-9378-C88B903D553B}"/>
    <cellStyle name="Normal 9 2 2 3 6 4" xfId="10758" xr:uid="{BB35174B-8AFC-450C-89EC-6E76A4C31EDF}"/>
    <cellStyle name="Normal 9 2 2 3 6 5" xfId="19196" xr:uid="{DEDADB09-BE95-42F2-B5C6-7F4842B6EC01}"/>
    <cellStyle name="Normal 9 2 2 3 7" xfId="2663" xr:uid="{00000000-0005-0000-0000-0000E31E0000}"/>
    <cellStyle name="Normal 9 2 2 3 7 2" xfId="6947" xr:uid="{00000000-0005-0000-0000-0000E41E0000}"/>
    <cellStyle name="Normal 9 2 2 3 7 2 2" xfId="15389" xr:uid="{AA457B1F-2D6E-4C40-9410-DD0956401BBD}"/>
    <cellStyle name="Normal 9 2 2 3 7 2 3" xfId="23826" xr:uid="{8213BD9D-C64D-464A-B8B5-89F5239A8ACB}"/>
    <cellStyle name="Normal 9 2 2 3 7 3" xfId="11171" xr:uid="{268A3FCE-18C8-4B0A-A4C7-F01CD94436CB}"/>
    <cellStyle name="Normal 9 2 2 3 7 4" xfId="19609" xr:uid="{9C0F1E80-A0B1-494D-AC96-C6AA562502F4}"/>
    <cellStyle name="Normal 9 2 2 3 8" xfId="4882" xr:uid="{00000000-0005-0000-0000-0000E51E0000}"/>
    <cellStyle name="Normal 9 2 2 3 8 2" xfId="13324" xr:uid="{3EFA4210-F5FB-4103-9AB2-8D344A3EA216}"/>
    <cellStyle name="Normal 9 2 2 3 8 3" xfId="21761" xr:uid="{2DF697E5-4B19-4AF1-A26B-9886C8FC0EE3}"/>
    <cellStyle name="Normal 9 2 2 3 9" xfId="9106" xr:uid="{FCC85BA3-E2F8-4887-9028-A9A563DCACE3}"/>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D1E5EB9D-34A4-4ED6-ACDD-23FEAD9723E2}"/>
    <cellStyle name="Normal 9 2 2 4 2 2 2 3" xfId="24321" xr:uid="{01815EB4-777C-4EB8-BD20-8FD6E1755C93}"/>
    <cellStyle name="Normal 9 2 2 4 2 2 3" xfId="11666" xr:uid="{3E315069-A9E6-4FDC-BED1-E2D9A21A1894}"/>
    <cellStyle name="Normal 9 2 2 4 2 2 4" xfId="20104" xr:uid="{F5424391-7466-43D1-9230-739E3A4D021F}"/>
    <cellStyle name="Normal 9 2 2 4 2 3" xfId="5297" xr:uid="{00000000-0005-0000-0000-0000EA1E0000}"/>
    <cellStyle name="Normal 9 2 2 4 2 3 2" xfId="13739" xr:uid="{CC3CBE63-E42E-4DFC-86EA-E79E437B936F}"/>
    <cellStyle name="Normal 9 2 2 4 2 3 3" xfId="22176" xr:uid="{487AF934-5EC4-4EF6-AE02-97586086C316}"/>
    <cellStyle name="Normal 9 2 2 4 2 4" xfId="9521" xr:uid="{4736FBA1-7B48-4430-B09E-3A7B08F6CE60}"/>
    <cellStyle name="Normal 9 2 2 4 2 5" xfId="17959" xr:uid="{595A84F5-2E5C-4E32-8D48-1A7D17E2A23C}"/>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EDE241DB-F507-492F-B396-AD4BB2E27FD1}"/>
    <cellStyle name="Normal 9 2 2 4 3 2 2 3" xfId="24734" xr:uid="{E610710E-DC3B-4C4E-A784-3EF3FE38AF45}"/>
    <cellStyle name="Normal 9 2 2 4 3 2 3" xfId="12079" xr:uid="{E40A5737-4F01-4EB9-840B-239A3B27867A}"/>
    <cellStyle name="Normal 9 2 2 4 3 2 4" xfId="20517" xr:uid="{A7447E4C-2857-47BB-BBDB-EAF75960E4B6}"/>
    <cellStyle name="Normal 9 2 2 4 3 3" xfId="5710" xr:uid="{00000000-0005-0000-0000-0000EE1E0000}"/>
    <cellStyle name="Normal 9 2 2 4 3 3 2" xfId="14152" xr:uid="{13655EDF-E8AD-4B48-AC2B-FAECACAE2516}"/>
    <cellStyle name="Normal 9 2 2 4 3 3 3" xfId="22589" xr:uid="{2DEEAC6E-C8F2-4684-9107-4DEAAB189167}"/>
    <cellStyle name="Normal 9 2 2 4 3 4" xfId="9934" xr:uid="{79DAA015-0C81-4FAA-A1BE-427764E60412}"/>
    <cellStyle name="Normal 9 2 2 4 3 5" xfId="18372" xr:uid="{86F52BF6-249F-4E76-B14A-F29E19D37A8B}"/>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B535F77C-185A-4E63-84A4-C2A734650503}"/>
    <cellStyle name="Normal 9 2 2 4 4 2 2 3" xfId="25147" xr:uid="{3FFC65B0-94A2-4C72-995C-9C6F7AF3D3B4}"/>
    <cellStyle name="Normal 9 2 2 4 4 2 3" xfId="12492" xr:uid="{CC6BA7E4-6CBF-4CAE-A9A1-22347029D682}"/>
    <cellStyle name="Normal 9 2 2 4 4 2 4" xfId="20930" xr:uid="{A7ECFB36-B678-4F9F-BB26-32F1EE3F6B15}"/>
    <cellStyle name="Normal 9 2 2 4 4 3" xfId="6123" xr:uid="{00000000-0005-0000-0000-0000F21E0000}"/>
    <cellStyle name="Normal 9 2 2 4 4 3 2" xfId="14565" xr:uid="{6700122E-51EB-4B16-B62F-AF7AFDC12508}"/>
    <cellStyle name="Normal 9 2 2 4 4 3 3" xfId="23002" xr:uid="{7D9E8582-FF7A-44B6-ABBA-6CC776353FCC}"/>
    <cellStyle name="Normal 9 2 2 4 4 4" xfId="10347" xr:uid="{46EF9C97-28C9-494B-9FD1-DC76D54FED71}"/>
    <cellStyle name="Normal 9 2 2 4 4 5" xfId="18785" xr:uid="{18F83DE9-AAFF-4684-8EE6-E07BA41EAF94}"/>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738E2367-3160-4661-B89C-893E953ACC30}"/>
    <cellStyle name="Normal 9 2 2 4 5 2 2 3" xfId="25560" xr:uid="{8E8BCCDB-D408-42A1-B0F0-F1AB5FE68F65}"/>
    <cellStyle name="Normal 9 2 2 4 5 2 3" xfId="12905" xr:uid="{632A68A7-BEDC-4689-9AC0-4BC381D10A9D}"/>
    <cellStyle name="Normal 9 2 2 4 5 2 4" xfId="21343" xr:uid="{2B1735AB-1A17-437C-AA42-9543183EBD54}"/>
    <cellStyle name="Normal 9 2 2 4 5 3" xfId="6536" xr:uid="{00000000-0005-0000-0000-0000F61E0000}"/>
    <cellStyle name="Normal 9 2 2 4 5 3 2" xfId="14978" xr:uid="{FD1BAAD1-D25E-4117-BC74-3B649816FD83}"/>
    <cellStyle name="Normal 9 2 2 4 5 3 3" xfId="23415" xr:uid="{98DE8CDB-B5C5-4B2D-A77A-32F41F01A6C9}"/>
    <cellStyle name="Normal 9 2 2 4 5 4" xfId="10760" xr:uid="{45F4FF02-ADDA-4539-95F1-4A311EDE334C}"/>
    <cellStyle name="Normal 9 2 2 4 5 5" xfId="19198" xr:uid="{D1FEDA71-CC99-4153-8098-5D58088D8D0C}"/>
    <cellStyle name="Normal 9 2 2 4 6" xfId="2665" xr:uid="{00000000-0005-0000-0000-0000F71E0000}"/>
    <cellStyle name="Normal 9 2 2 4 6 2" xfId="6949" xr:uid="{00000000-0005-0000-0000-0000F81E0000}"/>
    <cellStyle name="Normal 9 2 2 4 6 2 2" xfId="15391" xr:uid="{60B8DF0A-4658-4FF1-91D9-2D6B4E76126B}"/>
    <cellStyle name="Normal 9 2 2 4 6 2 3" xfId="23828" xr:uid="{BFE51926-30A6-4744-B964-BEF4F4ED6289}"/>
    <cellStyle name="Normal 9 2 2 4 6 3" xfId="11173" xr:uid="{8BDA7DE0-EFEA-43F9-BC5F-8995B0E8A5EB}"/>
    <cellStyle name="Normal 9 2 2 4 6 4" xfId="19611" xr:uid="{2349C329-E64E-41A7-83ED-7F486CFB1D31}"/>
    <cellStyle name="Normal 9 2 2 4 7" xfId="4884" xr:uid="{00000000-0005-0000-0000-0000F91E0000}"/>
    <cellStyle name="Normal 9 2 2 4 7 2" xfId="13326" xr:uid="{E87095D7-2353-4DA8-8F35-D7CDD8D4CC05}"/>
    <cellStyle name="Normal 9 2 2 4 7 3" xfId="21763" xr:uid="{C40FF10E-6FD2-4A88-BF81-D539B55A8FDE}"/>
    <cellStyle name="Normal 9 2 2 4 8" xfId="9108" xr:uid="{BC5630D7-FA77-4C79-B268-C07602B98EAE}"/>
    <cellStyle name="Normal 9 2 2 4 9" xfId="17546" xr:uid="{8A10481C-D6B2-4D9D-8493-ED7CCAD1D0D1}"/>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4296DF2E-0F9B-4889-B684-77563A10C2E4}"/>
    <cellStyle name="Normal 9 2 2 5 2 2 3" xfId="24314" xr:uid="{D9DBA142-4000-4040-A165-611E35730336}"/>
    <cellStyle name="Normal 9 2 2 5 2 3" xfId="11659" xr:uid="{69DE1AD3-1705-4463-8FA7-E535947C33CA}"/>
    <cellStyle name="Normal 9 2 2 5 2 4" xfId="20097" xr:uid="{7BA3EBBD-BFBD-49B8-8F75-CB1340D8835A}"/>
    <cellStyle name="Normal 9 2 2 5 3" xfId="5290" xr:uid="{00000000-0005-0000-0000-0000FD1E0000}"/>
    <cellStyle name="Normal 9 2 2 5 3 2" xfId="13732" xr:uid="{F6CC29EB-14F2-4310-9605-122E307C246C}"/>
    <cellStyle name="Normal 9 2 2 5 3 3" xfId="22169" xr:uid="{8FD67DFC-A5B7-4281-A832-CAFFC042FE02}"/>
    <cellStyle name="Normal 9 2 2 5 4" xfId="9514" xr:uid="{F4E32426-D674-41ED-9653-C81EA3861D4C}"/>
    <cellStyle name="Normal 9 2 2 5 5" xfId="17952" xr:uid="{84ED7EFC-CFE4-45EA-8D3F-8BE61371C886}"/>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7A306D5E-83E2-477E-8C8D-024AF495EF78}"/>
    <cellStyle name="Normal 9 2 2 6 2 2 3" xfId="24727" xr:uid="{0540B395-3223-4071-B58A-B686FADAD6D9}"/>
    <cellStyle name="Normal 9 2 2 6 2 3" xfId="12072" xr:uid="{50BCC4D0-471A-40BF-8221-0402E35119C7}"/>
    <cellStyle name="Normal 9 2 2 6 2 4" xfId="20510" xr:uid="{7FEC964A-FFAE-4DF9-9BE0-12378B7B8557}"/>
    <cellStyle name="Normal 9 2 2 6 3" xfId="5703" xr:uid="{00000000-0005-0000-0000-0000011F0000}"/>
    <cellStyle name="Normal 9 2 2 6 3 2" xfId="14145" xr:uid="{FAA8D030-4E9F-4D8A-A853-5853C4A7F699}"/>
    <cellStyle name="Normal 9 2 2 6 3 3" xfId="22582" xr:uid="{8C412A27-2289-47A7-9BED-5B7B42D2D8E1}"/>
    <cellStyle name="Normal 9 2 2 6 4" xfId="9927" xr:uid="{D395C529-66EC-47A0-AB9F-0B9CFA2E23EB}"/>
    <cellStyle name="Normal 9 2 2 6 5" xfId="18365" xr:uid="{3BCF31F2-006F-46EE-AFBB-A2DD0D9FF26C}"/>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AAD952E3-EDB4-4FF4-9B73-C11A83C15153}"/>
    <cellStyle name="Normal 9 2 2 7 2 2 3" xfId="25140" xr:uid="{49A813A4-C798-4FE1-98BC-FEAAB86480DC}"/>
    <cellStyle name="Normal 9 2 2 7 2 3" xfId="12485" xr:uid="{5ECD90A6-D21D-4921-AC86-F47A14714D78}"/>
    <cellStyle name="Normal 9 2 2 7 2 4" xfId="20923" xr:uid="{9FAFAF67-0C3A-4335-B10A-B2A62CDCE005}"/>
    <cellStyle name="Normal 9 2 2 7 3" xfId="6116" xr:uid="{00000000-0005-0000-0000-0000051F0000}"/>
    <cellStyle name="Normal 9 2 2 7 3 2" xfId="14558" xr:uid="{FA613EDB-9710-4C8C-B88C-023A86911B27}"/>
    <cellStyle name="Normal 9 2 2 7 3 3" xfId="22995" xr:uid="{BFB8301B-0FFE-4B38-8A3C-8491EE57761E}"/>
    <cellStyle name="Normal 9 2 2 7 4" xfId="10340" xr:uid="{71415E83-02A5-485F-853D-EFD52CBB4D5E}"/>
    <cellStyle name="Normal 9 2 2 7 5" xfId="18778" xr:uid="{35A85F98-EFE1-4A3B-A74F-CC2982C2C760}"/>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558D15E0-062A-4E59-A6CD-D360CDC07C6F}"/>
    <cellStyle name="Normal 9 2 2 8 2 2 3" xfId="25553" xr:uid="{CCA470AE-291C-41F0-A3FE-D3AB059541A9}"/>
    <cellStyle name="Normal 9 2 2 8 2 3" xfId="12898" xr:uid="{7BA28D6B-BFB3-468C-930B-83E329A1FC24}"/>
    <cellStyle name="Normal 9 2 2 8 2 4" xfId="21336" xr:uid="{ECAE7181-EB05-4AF3-A22E-04E7DB530F90}"/>
    <cellStyle name="Normal 9 2 2 8 3" xfId="6529" xr:uid="{00000000-0005-0000-0000-0000091F0000}"/>
    <cellStyle name="Normal 9 2 2 8 3 2" xfId="14971" xr:uid="{D4054B97-EFB5-4E74-9784-D07C44D4ADCB}"/>
    <cellStyle name="Normal 9 2 2 8 3 3" xfId="23408" xr:uid="{42E52889-F596-4FA7-B65B-ABEA4FC680D3}"/>
    <cellStyle name="Normal 9 2 2 8 4" xfId="10753" xr:uid="{9E6EA69B-D98B-4CD2-9CFA-67B94B23E440}"/>
    <cellStyle name="Normal 9 2 2 8 5" xfId="19191" xr:uid="{A5F61A26-8FFE-42B3-A815-9D97A79242D0}"/>
    <cellStyle name="Normal 9 2 2 9" xfId="2658" xr:uid="{00000000-0005-0000-0000-00000A1F0000}"/>
    <cellStyle name="Normal 9 2 2 9 2" xfId="6942" xr:uid="{00000000-0005-0000-0000-00000B1F0000}"/>
    <cellStyle name="Normal 9 2 2 9 2 2" xfId="15384" xr:uid="{28C3DAF6-226F-44B2-8492-80EAB8F60EBB}"/>
    <cellStyle name="Normal 9 2 2 9 2 3" xfId="23821" xr:uid="{89647C54-C281-4BC8-B82D-C48D9168A302}"/>
    <cellStyle name="Normal 9 2 2 9 3" xfId="11166" xr:uid="{28A7FDF1-251D-492D-82FF-15745CF8EA2E}"/>
    <cellStyle name="Normal 9 2 2 9 4" xfId="19604" xr:uid="{63765143-0977-444C-80E1-CF75296A96A5}"/>
    <cellStyle name="Normal 9 2 3" xfId="520" xr:uid="{00000000-0005-0000-0000-00000C1F0000}"/>
    <cellStyle name="Normal 9 2 3 10" xfId="9109" xr:uid="{486274A8-7382-477F-8ECB-77A0545CBA8E}"/>
    <cellStyle name="Normal 9 2 3 11" xfId="17547" xr:uid="{52EC7915-4850-4744-97A9-CB149C754633}"/>
    <cellStyle name="Normal 9 2 3 2" xfId="521" xr:uid="{00000000-0005-0000-0000-00000D1F0000}"/>
    <cellStyle name="Normal 9 2 3 2 10" xfId="17548" xr:uid="{FFAE03FF-BD73-40A7-AD3D-705458BB8993}"/>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A18CA1B8-A257-4AC2-B553-E757511B02E6}"/>
    <cellStyle name="Normal 9 2 3 2 2 2 2 2 3" xfId="24324" xr:uid="{E07AF72D-CD6D-4F54-85E0-DC1BE3880B21}"/>
    <cellStyle name="Normal 9 2 3 2 2 2 2 3" xfId="11669" xr:uid="{9B5C3C55-7051-4EDB-A08B-F24B99AA2F31}"/>
    <cellStyle name="Normal 9 2 3 2 2 2 2 4" xfId="20107" xr:uid="{19B35312-6FA0-4F27-9DBF-1D2427A2B966}"/>
    <cellStyle name="Normal 9 2 3 2 2 2 3" xfId="5300" xr:uid="{00000000-0005-0000-0000-0000121F0000}"/>
    <cellStyle name="Normal 9 2 3 2 2 2 3 2" xfId="13742" xr:uid="{7FFCA029-EAFC-4CCE-A6ED-E6F5E760D7FB}"/>
    <cellStyle name="Normal 9 2 3 2 2 2 3 3" xfId="22179" xr:uid="{DF7B841F-0680-406D-90F9-1766F634E1D3}"/>
    <cellStyle name="Normal 9 2 3 2 2 2 4" xfId="9524" xr:uid="{E38C6F56-2EB7-471F-A32F-209118D41A0E}"/>
    <cellStyle name="Normal 9 2 3 2 2 2 5" xfId="17962" xr:uid="{686B5BA5-3929-4622-AA54-691F6B0FD91C}"/>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317C7FEA-A807-4C83-9DD7-2D9FF01441CD}"/>
    <cellStyle name="Normal 9 2 3 2 2 3 2 2 3" xfId="24737" xr:uid="{52A5EC54-8D85-4A7E-963E-E45C8C86FE6F}"/>
    <cellStyle name="Normal 9 2 3 2 2 3 2 3" xfId="12082" xr:uid="{72A49346-E8ED-461B-890D-31AF1DD70FE5}"/>
    <cellStyle name="Normal 9 2 3 2 2 3 2 4" xfId="20520" xr:uid="{C0CD895C-5C3A-48C6-B3F2-F44D4C3B3406}"/>
    <cellStyle name="Normal 9 2 3 2 2 3 3" xfId="5713" xr:uid="{00000000-0005-0000-0000-0000161F0000}"/>
    <cellStyle name="Normal 9 2 3 2 2 3 3 2" xfId="14155" xr:uid="{AC243BA9-6138-4192-AD02-BBA4C5349086}"/>
    <cellStyle name="Normal 9 2 3 2 2 3 3 3" xfId="22592" xr:uid="{5B76BAEC-7FC4-4D4A-92F0-7916F9AB943B}"/>
    <cellStyle name="Normal 9 2 3 2 2 3 4" xfId="9937" xr:uid="{B4B4B77F-379F-4B63-8CED-E3757C1BF2FC}"/>
    <cellStyle name="Normal 9 2 3 2 2 3 5" xfId="18375" xr:uid="{A4C0A7F5-6EE5-4CED-A05E-EE12A8FD1163}"/>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2521ECEB-E47F-4704-AF41-C743CCF330D7}"/>
    <cellStyle name="Normal 9 2 3 2 2 4 2 2 3" xfId="25150" xr:uid="{157BF52B-DFCE-4A6A-9551-4244846E2A6B}"/>
    <cellStyle name="Normal 9 2 3 2 2 4 2 3" xfId="12495" xr:uid="{89012E37-A441-4B16-9DB7-BE941FF86364}"/>
    <cellStyle name="Normal 9 2 3 2 2 4 2 4" xfId="20933" xr:uid="{17979C31-DF17-4ECC-A3D1-5B8F01E6B8E8}"/>
    <cellStyle name="Normal 9 2 3 2 2 4 3" xfId="6126" xr:uid="{00000000-0005-0000-0000-00001A1F0000}"/>
    <cellStyle name="Normal 9 2 3 2 2 4 3 2" xfId="14568" xr:uid="{33068BEA-2DB5-47CA-B6B9-D25FCE161E5C}"/>
    <cellStyle name="Normal 9 2 3 2 2 4 3 3" xfId="23005" xr:uid="{722CC993-350A-4BC4-9F81-33A13849D970}"/>
    <cellStyle name="Normal 9 2 3 2 2 4 4" xfId="10350" xr:uid="{AE04EF45-24E6-4703-9E26-FFA7E0958E55}"/>
    <cellStyle name="Normal 9 2 3 2 2 4 5" xfId="18788" xr:uid="{1BC6C4D0-6D73-4AF8-AE4D-61BB479B9EE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0ECB0C3B-7BE3-43C2-AD74-67503225B20B}"/>
    <cellStyle name="Normal 9 2 3 2 2 5 2 2 3" xfId="25563" xr:uid="{00D6819C-0009-4E85-BE33-90294BC8AB3D}"/>
    <cellStyle name="Normal 9 2 3 2 2 5 2 3" xfId="12908" xr:uid="{4A9416D8-9307-4396-811B-03923222961B}"/>
    <cellStyle name="Normal 9 2 3 2 2 5 2 4" xfId="21346" xr:uid="{84A4E424-914C-4818-87E5-E083FEF6BC8F}"/>
    <cellStyle name="Normal 9 2 3 2 2 5 3" xfId="6539" xr:uid="{00000000-0005-0000-0000-00001E1F0000}"/>
    <cellStyle name="Normal 9 2 3 2 2 5 3 2" xfId="14981" xr:uid="{445C70FA-B38D-4447-B895-8AB54BE0D7A3}"/>
    <cellStyle name="Normal 9 2 3 2 2 5 3 3" xfId="23418" xr:uid="{71A3C794-5A99-48D7-A184-7C9374474846}"/>
    <cellStyle name="Normal 9 2 3 2 2 5 4" xfId="10763" xr:uid="{F4701571-9E23-405A-AD2D-26FF772E3E01}"/>
    <cellStyle name="Normal 9 2 3 2 2 5 5" xfId="19201" xr:uid="{A6518C99-9C20-4B71-9252-47E2051B44DB}"/>
    <cellStyle name="Normal 9 2 3 2 2 6" xfId="2668" xr:uid="{00000000-0005-0000-0000-00001F1F0000}"/>
    <cellStyle name="Normal 9 2 3 2 2 6 2" xfId="6952" xr:uid="{00000000-0005-0000-0000-0000201F0000}"/>
    <cellStyle name="Normal 9 2 3 2 2 6 2 2" xfId="15394" xr:uid="{8EAE857F-A866-4EB3-97BF-0670DCA1203A}"/>
    <cellStyle name="Normal 9 2 3 2 2 6 2 3" xfId="23831" xr:uid="{660EE547-C15F-4AA4-8DC7-0C1B3A4B199D}"/>
    <cellStyle name="Normal 9 2 3 2 2 6 3" xfId="11176" xr:uid="{460A80F9-03D0-4FDB-ADE1-8BE9E95584FE}"/>
    <cellStyle name="Normal 9 2 3 2 2 6 4" xfId="19614" xr:uid="{856F7902-6852-43AF-BB00-33405C498BA6}"/>
    <cellStyle name="Normal 9 2 3 2 2 7" xfId="4887" xr:uid="{00000000-0005-0000-0000-0000211F0000}"/>
    <cellStyle name="Normal 9 2 3 2 2 7 2" xfId="13329" xr:uid="{AFC45C50-7820-4933-A405-528F562C03B9}"/>
    <cellStyle name="Normal 9 2 3 2 2 7 3" xfId="21766" xr:uid="{026875AB-E93F-4B34-ACC6-3D3F354914E8}"/>
    <cellStyle name="Normal 9 2 3 2 2 8" xfId="9111" xr:uid="{7ECFA48D-9C05-4C72-9DC7-A65FDDA4FC7C}"/>
    <cellStyle name="Normal 9 2 3 2 2 9" xfId="17549" xr:uid="{4D01DCC9-15E6-473B-A352-BCB85A897091}"/>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F79BE04D-8C22-4E8A-9F15-887B3FD09F5A}"/>
    <cellStyle name="Normal 9 2 3 2 3 2 2 3" xfId="24323" xr:uid="{B783C580-07A5-4A5F-8657-75928289DF68}"/>
    <cellStyle name="Normal 9 2 3 2 3 2 3" xfId="11668" xr:uid="{B2FADF5E-702B-420A-9F93-5494D2996693}"/>
    <cellStyle name="Normal 9 2 3 2 3 2 4" xfId="20106" xr:uid="{53B162F5-E57D-4E38-8192-D8A1DD9F2FC1}"/>
    <cellStyle name="Normal 9 2 3 2 3 3" xfId="5299" xr:uid="{00000000-0005-0000-0000-0000251F0000}"/>
    <cellStyle name="Normal 9 2 3 2 3 3 2" xfId="13741" xr:uid="{1FB92E8A-E18F-48D7-8059-E70D6C89AC87}"/>
    <cellStyle name="Normal 9 2 3 2 3 3 3" xfId="22178" xr:uid="{BA64DF14-CE24-498F-BB02-2BA07CDA0481}"/>
    <cellStyle name="Normal 9 2 3 2 3 4" xfId="9523" xr:uid="{6A0486EF-9B36-402E-B1CD-5C550F853BB6}"/>
    <cellStyle name="Normal 9 2 3 2 3 5" xfId="17961" xr:uid="{A7618BCD-8734-4373-9373-3087713EC26B}"/>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140FC77C-6380-4326-A5BB-E4352BE98439}"/>
    <cellStyle name="Normal 9 2 3 2 4 2 2 3" xfId="24736" xr:uid="{21738506-2F9B-45B6-87B3-5C2E4918B28C}"/>
    <cellStyle name="Normal 9 2 3 2 4 2 3" xfId="12081" xr:uid="{25851FA5-9ADB-4D20-B79E-25B1675B1431}"/>
    <cellStyle name="Normal 9 2 3 2 4 2 4" xfId="20519" xr:uid="{14F96EB3-613D-43B6-9E5A-D5B37372E0F0}"/>
    <cellStyle name="Normal 9 2 3 2 4 3" xfId="5712" xr:uid="{00000000-0005-0000-0000-0000291F0000}"/>
    <cellStyle name="Normal 9 2 3 2 4 3 2" xfId="14154" xr:uid="{439AC05D-97BB-4BD6-9C8D-127722459F91}"/>
    <cellStyle name="Normal 9 2 3 2 4 3 3" xfId="22591" xr:uid="{EE48E89C-29E5-4763-BAC8-24E5148F940A}"/>
    <cellStyle name="Normal 9 2 3 2 4 4" xfId="9936" xr:uid="{DBCB3245-82FE-4D82-B535-B97E5B121D9D}"/>
    <cellStyle name="Normal 9 2 3 2 4 5" xfId="18374" xr:uid="{E1DF8633-EF3F-46A1-B122-0D7B0615CE06}"/>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CBA8495E-CDF1-409E-A313-875EC5B1C068}"/>
    <cellStyle name="Normal 9 2 3 2 5 2 2 3" xfId="25149" xr:uid="{F81D5C16-A892-4E02-A05C-D35E1F0EE77E}"/>
    <cellStyle name="Normal 9 2 3 2 5 2 3" xfId="12494" xr:uid="{F7A96E8A-220C-4204-BF9E-D22FC25F6F3B}"/>
    <cellStyle name="Normal 9 2 3 2 5 2 4" xfId="20932" xr:uid="{66904572-AC7C-41C8-98C0-03CA1AE32749}"/>
    <cellStyle name="Normal 9 2 3 2 5 3" xfId="6125" xr:uid="{00000000-0005-0000-0000-00002D1F0000}"/>
    <cellStyle name="Normal 9 2 3 2 5 3 2" xfId="14567" xr:uid="{F42361C7-6D59-4C6B-B517-B00F780D5E08}"/>
    <cellStyle name="Normal 9 2 3 2 5 3 3" xfId="23004" xr:uid="{07A97254-7B4B-462D-8B80-E5EE54AB3324}"/>
    <cellStyle name="Normal 9 2 3 2 5 4" xfId="10349" xr:uid="{D9D832FF-41D6-4E85-BE46-EA4E9EF9F206}"/>
    <cellStyle name="Normal 9 2 3 2 5 5" xfId="18787" xr:uid="{F65274DC-4269-48DE-BA89-128A6E853AF8}"/>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1C529F99-902C-4AAB-BB79-C7574576545C}"/>
    <cellStyle name="Normal 9 2 3 2 6 2 2 3" xfId="25562" xr:uid="{B105D485-9380-40AE-A6DD-6AEC085202D7}"/>
    <cellStyle name="Normal 9 2 3 2 6 2 3" xfId="12907" xr:uid="{4D48777A-06A3-4DD5-981E-81F51E9A3D14}"/>
    <cellStyle name="Normal 9 2 3 2 6 2 4" xfId="21345" xr:uid="{5051A158-66D5-44B2-883A-D26A9068AA06}"/>
    <cellStyle name="Normal 9 2 3 2 6 3" xfId="6538" xr:uid="{00000000-0005-0000-0000-0000311F0000}"/>
    <cellStyle name="Normal 9 2 3 2 6 3 2" xfId="14980" xr:uid="{37115920-B051-458D-B6E4-2E8A52F6290C}"/>
    <cellStyle name="Normal 9 2 3 2 6 3 3" xfId="23417" xr:uid="{4B955044-7C72-4294-85C7-0E7EAAFF787F}"/>
    <cellStyle name="Normal 9 2 3 2 6 4" xfId="10762" xr:uid="{F942B7EC-24E1-4541-A860-3B3E02D94D9A}"/>
    <cellStyle name="Normal 9 2 3 2 6 5" xfId="19200" xr:uid="{0CC11DB0-782D-4347-B288-E38E50D561C2}"/>
    <cellStyle name="Normal 9 2 3 2 7" xfId="2667" xr:uid="{00000000-0005-0000-0000-0000321F0000}"/>
    <cellStyle name="Normal 9 2 3 2 7 2" xfId="6951" xr:uid="{00000000-0005-0000-0000-0000331F0000}"/>
    <cellStyle name="Normal 9 2 3 2 7 2 2" xfId="15393" xr:uid="{2A71EBA5-1367-455E-B3DF-C721D294C84B}"/>
    <cellStyle name="Normal 9 2 3 2 7 2 3" xfId="23830" xr:uid="{F5A1BCEC-BA20-47E4-84A5-97538DAA25D4}"/>
    <cellStyle name="Normal 9 2 3 2 7 3" xfId="11175" xr:uid="{B4BBC21A-7906-4415-A90C-322721392108}"/>
    <cellStyle name="Normal 9 2 3 2 7 4" xfId="19613" xr:uid="{170EAD11-319B-4762-9DDA-599AC34744D1}"/>
    <cellStyle name="Normal 9 2 3 2 8" xfId="4886" xr:uid="{00000000-0005-0000-0000-0000341F0000}"/>
    <cellStyle name="Normal 9 2 3 2 8 2" xfId="13328" xr:uid="{C0A18403-271A-456E-A198-E1F6F48D9DD9}"/>
    <cellStyle name="Normal 9 2 3 2 8 3" xfId="21765" xr:uid="{F3827A32-6821-4E40-BFA7-01209D0C83C7}"/>
    <cellStyle name="Normal 9 2 3 2 9" xfId="9110" xr:uid="{9C99539D-6CD4-4564-AB12-5096D9EB5B76}"/>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8B5719A4-4B55-4157-AA8E-E1D152138B11}"/>
    <cellStyle name="Normal 9 2 3 3 2 2 2 3" xfId="24325" xr:uid="{D63F7F29-BCAD-494F-BD9F-8840C00B121C}"/>
    <cellStyle name="Normal 9 2 3 3 2 2 3" xfId="11670" xr:uid="{B888DB5F-58A4-49EB-9AB7-DDC6562BA45F}"/>
    <cellStyle name="Normal 9 2 3 3 2 2 4" xfId="20108" xr:uid="{600C2803-59D1-42E9-9494-ADA9D92BD968}"/>
    <cellStyle name="Normal 9 2 3 3 2 3" xfId="5301" xr:uid="{00000000-0005-0000-0000-0000391F0000}"/>
    <cellStyle name="Normal 9 2 3 3 2 3 2" xfId="13743" xr:uid="{8326D1C3-835E-459D-8093-A11E1471A106}"/>
    <cellStyle name="Normal 9 2 3 3 2 3 3" xfId="22180" xr:uid="{39CB4C0B-F0E6-4C99-8AE2-CB71AB5F2819}"/>
    <cellStyle name="Normal 9 2 3 3 2 4" xfId="9525" xr:uid="{88E9FD65-D8F2-4F04-8E82-4DAECA247400}"/>
    <cellStyle name="Normal 9 2 3 3 2 5" xfId="17963" xr:uid="{4BFE764B-8B4E-41FC-98AB-B56312B2AA3E}"/>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F3ECA20F-80E7-4357-AC75-6AC95B817FEB}"/>
    <cellStyle name="Normal 9 2 3 3 3 2 2 3" xfId="24738" xr:uid="{BB653BAA-9CEE-42D5-8720-B78EE2D5AF7A}"/>
    <cellStyle name="Normal 9 2 3 3 3 2 3" xfId="12083" xr:uid="{23E51A81-6D3F-4A90-B3C7-CA700E7501D5}"/>
    <cellStyle name="Normal 9 2 3 3 3 2 4" xfId="20521" xr:uid="{6041813A-7A61-4251-AFEB-5F97BFAFEFD9}"/>
    <cellStyle name="Normal 9 2 3 3 3 3" xfId="5714" xr:uid="{00000000-0005-0000-0000-00003D1F0000}"/>
    <cellStyle name="Normal 9 2 3 3 3 3 2" xfId="14156" xr:uid="{B5992335-B06D-451B-B477-91E6DC9C80B9}"/>
    <cellStyle name="Normal 9 2 3 3 3 3 3" xfId="22593" xr:uid="{2AC2C270-72DF-4C9B-A8BD-1744D4456EC0}"/>
    <cellStyle name="Normal 9 2 3 3 3 4" xfId="9938" xr:uid="{40655D93-0A9E-4770-B785-FC3BFD9F7208}"/>
    <cellStyle name="Normal 9 2 3 3 3 5" xfId="18376" xr:uid="{E68BED23-E754-4806-B27A-6E38869809BC}"/>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4D2580DA-FCE5-4AB5-B7FF-DB15C3525CEF}"/>
    <cellStyle name="Normal 9 2 3 3 4 2 2 3" xfId="25151" xr:uid="{2AFA85E0-5B4E-4744-B24F-100DCD8949D9}"/>
    <cellStyle name="Normal 9 2 3 3 4 2 3" xfId="12496" xr:uid="{DED7B6C0-EDFA-4434-88D8-F7AE3177BD7D}"/>
    <cellStyle name="Normal 9 2 3 3 4 2 4" xfId="20934" xr:uid="{BC5F820A-CFA7-41A6-9953-F4032BF7BA91}"/>
    <cellStyle name="Normal 9 2 3 3 4 3" xfId="6127" xr:uid="{00000000-0005-0000-0000-0000411F0000}"/>
    <cellStyle name="Normal 9 2 3 3 4 3 2" xfId="14569" xr:uid="{A31513D4-CD14-41EF-8A60-8EE9EF6DFBE5}"/>
    <cellStyle name="Normal 9 2 3 3 4 3 3" xfId="23006" xr:uid="{3E05C747-C80E-4AC4-B160-6CA5D8AE991D}"/>
    <cellStyle name="Normal 9 2 3 3 4 4" xfId="10351" xr:uid="{B69E0973-3DF8-43C5-A841-0368F5C86B87}"/>
    <cellStyle name="Normal 9 2 3 3 4 5" xfId="18789" xr:uid="{D2FA2087-5730-424A-89D0-021B304E5593}"/>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42E33630-7DBB-42B2-84E0-2CEDA562142F}"/>
    <cellStyle name="Normal 9 2 3 3 5 2 2 3" xfId="25564" xr:uid="{ACAC5A70-6B80-48CD-B5DA-863A26F6BA63}"/>
    <cellStyle name="Normal 9 2 3 3 5 2 3" xfId="12909" xr:uid="{F6560384-F968-4E7D-8F93-8F7691852447}"/>
    <cellStyle name="Normal 9 2 3 3 5 2 4" xfId="21347" xr:uid="{CCD105A3-24AF-4E01-BE8B-F438EF644D1C}"/>
    <cellStyle name="Normal 9 2 3 3 5 3" xfId="6540" xr:uid="{00000000-0005-0000-0000-0000451F0000}"/>
    <cellStyle name="Normal 9 2 3 3 5 3 2" xfId="14982" xr:uid="{0728B3AD-6371-404E-9B2F-1C249BB441A6}"/>
    <cellStyle name="Normal 9 2 3 3 5 3 3" xfId="23419" xr:uid="{2FD2E722-647B-4998-BD14-D35A997356CC}"/>
    <cellStyle name="Normal 9 2 3 3 5 4" xfId="10764" xr:uid="{E2D2C62C-FE2A-419A-9D99-E2C63CDBA054}"/>
    <cellStyle name="Normal 9 2 3 3 5 5" xfId="19202" xr:uid="{5418C9B4-A909-4F47-84DD-F5FE33590129}"/>
    <cellStyle name="Normal 9 2 3 3 6" xfId="2669" xr:uid="{00000000-0005-0000-0000-0000461F0000}"/>
    <cellStyle name="Normal 9 2 3 3 6 2" xfId="6953" xr:uid="{00000000-0005-0000-0000-0000471F0000}"/>
    <cellStyle name="Normal 9 2 3 3 6 2 2" xfId="15395" xr:uid="{383BFD23-5765-40F2-A235-67F11FE3E47D}"/>
    <cellStyle name="Normal 9 2 3 3 6 2 3" xfId="23832" xr:uid="{4D64D356-355E-4FCA-BA92-A0EFEBA5429B}"/>
    <cellStyle name="Normal 9 2 3 3 6 3" xfId="11177" xr:uid="{405C1B27-810C-481D-92BD-8082A4D3EF3B}"/>
    <cellStyle name="Normal 9 2 3 3 6 4" xfId="19615" xr:uid="{28D4F229-8EF8-40A2-A4FB-5D3BF072563B}"/>
    <cellStyle name="Normal 9 2 3 3 7" xfId="4888" xr:uid="{00000000-0005-0000-0000-0000481F0000}"/>
    <cellStyle name="Normal 9 2 3 3 7 2" xfId="13330" xr:uid="{028EA898-9023-45AD-A4C1-3951F6415025}"/>
    <cellStyle name="Normal 9 2 3 3 7 3" xfId="21767" xr:uid="{188929C0-2F96-4544-8FAB-FD91C7CB5A71}"/>
    <cellStyle name="Normal 9 2 3 3 8" xfId="9112" xr:uid="{12D266C4-A920-41C6-A42C-5F7A5B512F77}"/>
    <cellStyle name="Normal 9 2 3 3 9" xfId="17550" xr:uid="{8968B517-8D06-4209-8150-3F62290075E3}"/>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F2326575-2931-4FA2-B5B6-8C9ECBB488C9}"/>
    <cellStyle name="Normal 9 2 3 4 2 2 3" xfId="24322" xr:uid="{3ED584C0-6078-4102-BC7E-EBC598C8A48E}"/>
    <cellStyle name="Normal 9 2 3 4 2 3" xfId="11667" xr:uid="{7E41A9FA-2C4D-4395-AEF0-79DA50DFAFBC}"/>
    <cellStyle name="Normal 9 2 3 4 2 4" xfId="20105" xr:uid="{7F034A90-DACB-4F3D-8B30-8ADB18A1F4E7}"/>
    <cellStyle name="Normal 9 2 3 4 3" xfId="5298" xr:uid="{00000000-0005-0000-0000-00004C1F0000}"/>
    <cellStyle name="Normal 9 2 3 4 3 2" xfId="13740" xr:uid="{44373B16-4A6A-418F-B7E5-75859BF05BBF}"/>
    <cellStyle name="Normal 9 2 3 4 3 3" xfId="22177" xr:uid="{3C545F09-1CCE-40C0-AA7D-61FEF0495628}"/>
    <cellStyle name="Normal 9 2 3 4 4" xfId="9522" xr:uid="{F3E6DE63-A7A5-409D-BC08-938A6082A9C7}"/>
    <cellStyle name="Normal 9 2 3 4 5" xfId="17960" xr:uid="{23D5296C-C5C2-4B8C-87E5-A4374B39C21A}"/>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2D2F033B-4737-4FF3-B9B0-B67D73D9CF3F}"/>
    <cellStyle name="Normal 9 2 3 5 2 2 3" xfId="24735" xr:uid="{6E115BEC-62CE-41A9-A620-1217AA4AA16D}"/>
    <cellStyle name="Normal 9 2 3 5 2 3" xfId="12080" xr:uid="{8B5C30F6-2D57-4728-ADB9-0B4C768F6407}"/>
    <cellStyle name="Normal 9 2 3 5 2 4" xfId="20518" xr:uid="{8974E9A2-C997-4BB9-BD01-38BC50D064D7}"/>
    <cellStyle name="Normal 9 2 3 5 3" xfId="5711" xr:uid="{00000000-0005-0000-0000-0000501F0000}"/>
    <cellStyle name="Normal 9 2 3 5 3 2" xfId="14153" xr:uid="{8DBAE7C1-E41F-4445-82B0-AC44AEB92893}"/>
    <cellStyle name="Normal 9 2 3 5 3 3" xfId="22590" xr:uid="{2E0E8354-31C1-4FAB-9A0B-373D251075D6}"/>
    <cellStyle name="Normal 9 2 3 5 4" xfId="9935" xr:uid="{73EBA4C5-728B-45B7-95E6-476A65B40CFE}"/>
    <cellStyle name="Normal 9 2 3 5 5" xfId="18373" xr:uid="{24F2DF98-9BA8-4D02-A01D-7B08B400CAD9}"/>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D44D1B4F-F512-4CFF-8771-CEA6EB7C47FE}"/>
    <cellStyle name="Normal 9 2 3 6 2 2 3" xfId="25148" xr:uid="{5854E286-4022-46B8-8B0F-26222D72EE2F}"/>
    <cellStyle name="Normal 9 2 3 6 2 3" xfId="12493" xr:uid="{6594A665-7562-4247-8A68-D3F0E7B52625}"/>
    <cellStyle name="Normal 9 2 3 6 2 4" xfId="20931" xr:uid="{9B0E5DC9-E497-4762-A5D5-9C712B93BFB3}"/>
    <cellStyle name="Normal 9 2 3 6 3" xfId="6124" xr:uid="{00000000-0005-0000-0000-0000541F0000}"/>
    <cellStyle name="Normal 9 2 3 6 3 2" xfId="14566" xr:uid="{F9646B9D-6CD3-4484-9FD0-D7C65AB48D5C}"/>
    <cellStyle name="Normal 9 2 3 6 3 3" xfId="23003" xr:uid="{236A0424-BC2D-42E1-B583-0817C01B4336}"/>
    <cellStyle name="Normal 9 2 3 6 4" xfId="10348" xr:uid="{C485409C-68F6-4DC8-8A8B-E2BBEEA29E8C}"/>
    <cellStyle name="Normal 9 2 3 6 5" xfId="18786" xr:uid="{C6CF5401-CD1B-455C-A000-7C74F4F53F70}"/>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C5B0C8B3-60C3-4E69-9FB4-03847DE9C3B9}"/>
    <cellStyle name="Normal 9 2 3 7 2 2 3" xfId="25561" xr:uid="{96591AD8-764C-4AB9-95BE-5173ABD445C5}"/>
    <cellStyle name="Normal 9 2 3 7 2 3" xfId="12906" xr:uid="{71EA6BAD-C16A-4F96-A995-74F9DE5933F5}"/>
    <cellStyle name="Normal 9 2 3 7 2 4" xfId="21344" xr:uid="{BFA7F1A5-4DD2-42C3-AF0D-0394C06A9023}"/>
    <cellStyle name="Normal 9 2 3 7 3" xfId="6537" xr:uid="{00000000-0005-0000-0000-0000581F0000}"/>
    <cellStyle name="Normal 9 2 3 7 3 2" xfId="14979" xr:uid="{6B4CEA51-A153-4E33-A4BC-7360C5E28527}"/>
    <cellStyle name="Normal 9 2 3 7 3 3" xfId="23416" xr:uid="{50B0E5A4-10EF-47C5-8194-F03F007D0AA1}"/>
    <cellStyle name="Normal 9 2 3 7 4" xfId="10761" xr:uid="{9B3DD4E2-2A79-486B-B973-93228682DF45}"/>
    <cellStyle name="Normal 9 2 3 7 5" xfId="19199" xr:uid="{1835A234-1691-4099-B1D5-0E2DAA2FF762}"/>
    <cellStyle name="Normal 9 2 3 8" xfId="2666" xr:uid="{00000000-0005-0000-0000-0000591F0000}"/>
    <cellStyle name="Normal 9 2 3 8 2" xfId="6950" xr:uid="{00000000-0005-0000-0000-00005A1F0000}"/>
    <cellStyle name="Normal 9 2 3 8 2 2" xfId="15392" xr:uid="{C66B4CA5-C1A9-4F7B-94DF-447787B55E8E}"/>
    <cellStyle name="Normal 9 2 3 8 2 3" xfId="23829" xr:uid="{188C41DE-2245-4F17-8EB8-5627C4BF65E1}"/>
    <cellStyle name="Normal 9 2 3 8 3" xfId="11174" xr:uid="{9F926E4D-90AE-4E3F-AF22-79C318897DE8}"/>
    <cellStyle name="Normal 9 2 3 8 4" xfId="19612" xr:uid="{EA6D8CEF-CEA6-458A-9E3D-DF086D01A398}"/>
    <cellStyle name="Normal 9 2 3 9" xfId="4885" xr:uid="{00000000-0005-0000-0000-00005B1F0000}"/>
    <cellStyle name="Normal 9 2 3 9 2" xfId="13327" xr:uid="{5E53ABFD-13F2-463F-B654-486F9000C1E5}"/>
    <cellStyle name="Normal 9 2 3 9 3" xfId="21764" xr:uid="{930D2112-1C48-40E8-9E37-1176FA10CC53}"/>
    <cellStyle name="Normal 9 2 4" xfId="524" xr:uid="{00000000-0005-0000-0000-00005C1F0000}"/>
    <cellStyle name="Normal 9 2 4 10" xfId="17551" xr:uid="{755220FA-E612-4518-BB64-F50507472F5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EB883C61-B005-4DA3-9257-22E28AD57D34}"/>
    <cellStyle name="Normal 9 2 4 2 2 2 2 3" xfId="24327" xr:uid="{D8A1282C-D256-4833-96EF-23CEA93BC298}"/>
    <cellStyle name="Normal 9 2 4 2 2 2 3" xfId="11672" xr:uid="{85086553-1697-4CC6-AC87-488CF6E465C3}"/>
    <cellStyle name="Normal 9 2 4 2 2 2 4" xfId="20110" xr:uid="{7A32ABB2-3912-4D3D-80CC-B9C77A3DC916}"/>
    <cellStyle name="Normal 9 2 4 2 2 3" xfId="5303" xr:uid="{00000000-0005-0000-0000-0000611F0000}"/>
    <cellStyle name="Normal 9 2 4 2 2 3 2" xfId="13745" xr:uid="{8427F8AA-70A7-44DB-9572-C7FCCD197718}"/>
    <cellStyle name="Normal 9 2 4 2 2 3 3" xfId="22182" xr:uid="{5798F4DA-7119-4F4F-915D-3A4CAEB5AA7F}"/>
    <cellStyle name="Normal 9 2 4 2 2 4" xfId="9527" xr:uid="{D9A8C3D2-6B05-41A5-B518-7CC9E65AC28B}"/>
    <cellStyle name="Normal 9 2 4 2 2 5" xfId="17965" xr:uid="{858940AF-BB69-42CC-9053-77E2C4D56600}"/>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0561BDEC-7D59-4567-8DB7-BB4E83114DAC}"/>
    <cellStyle name="Normal 9 2 4 2 3 2 2 3" xfId="24740" xr:uid="{515FEE33-66E3-49D2-A1D1-C039AFB931F8}"/>
    <cellStyle name="Normal 9 2 4 2 3 2 3" xfId="12085" xr:uid="{5253D7D7-5DD1-496D-9196-0CEC0FBB0BD6}"/>
    <cellStyle name="Normal 9 2 4 2 3 2 4" xfId="20523" xr:uid="{012250ED-0D5B-45BB-BED0-6F23CD397F6C}"/>
    <cellStyle name="Normal 9 2 4 2 3 3" xfId="5716" xr:uid="{00000000-0005-0000-0000-0000651F0000}"/>
    <cellStyle name="Normal 9 2 4 2 3 3 2" xfId="14158" xr:uid="{12363111-8FBA-406C-8638-460E6ED7424B}"/>
    <cellStyle name="Normal 9 2 4 2 3 3 3" xfId="22595" xr:uid="{89219690-B6CC-489E-B39F-7AE2C48BA181}"/>
    <cellStyle name="Normal 9 2 4 2 3 4" xfId="9940" xr:uid="{D57917F4-3DB7-4E67-83DA-5239A226C826}"/>
    <cellStyle name="Normal 9 2 4 2 3 5" xfId="18378" xr:uid="{6CF3387D-5A20-4132-BE59-7DFC2868416A}"/>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4EE4FC65-7DD8-48B2-A4BC-9EF6097065B6}"/>
    <cellStyle name="Normal 9 2 4 2 4 2 2 3" xfId="25153" xr:uid="{CE29C27F-0FFF-41FB-9E77-3793046900E5}"/>
    <cellStyle name="Normal 9 2 4 2 4 2 3" xfId="12498" xr:uid="{9F3C07C4-ADC0-4121-9FA0-C69B946A09F8}"/>
    <cellStyle name="Normal 9 2 4 2 4 2 4" xfId="20936" xr:uid="{B3633E1E-27AA-461B-BBE1-18E3373C14BF}"/>
    <cellStyle name="Normal 9 2 4 2 4 3" xfId="6129" xr:uid="{00000000-0005-0000-0000-0000691F0000}"/>
    <cellStyle name="Normal 9 2 4 2 4 3 2" xfId="14571" xr:uid="{3131661E-84AD-4FDA-A4D2-B4DF9C4AB2E9}"/>
    <cellStyle name="Normal 9 2 4 2 4 3 3" xfId="23008" xr:uid="{68DF7396-4817-45F4-95C0-DDDA82F91384}"/>
    <cellStyle name="Normal 9 2 4 2 4 4" xfId="10353" xr:uid="{DA12B4C6-55EE-4BD1-AED1-DB1EEE34FD60}"/>
    <cellStyle name="Normal 9 2 4 2 4 5" xfId="18791" xr:uid="{F2ECF3A2-B687-4C67-A451-F73F1654615E}"/>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D22C60BD-E7E5-40C7-A0A7-B40F10DBE1BC}"/>
    <cellStyle name="Normal 9 2 4 2 5 2 2 3" xfId="25566" xr:uid="{BD32610E-490C-41D7-87BD-E48F9299DF58}"/>
    <cellStyle name="Normal 9 2 4 2 5 2 3" xfId="12911" xr:uid="{CD001F39-F291-4463-8D6F-F0633C09FB2F}"/>
    <cellStyle name="Normal 9 2 4 2 5 2 4" xfId="21349" xr:uid="{9ECDF351-E3BE-422B-B202-6D459021A766}"/>
    <cellStyle name="Normal 9 2 4 2 5 3" xfId="6542" xr:uid="{00000000-0005-0000-0000-00006D1F0000}"/>
    <cellStyle name="Normal 9 2 4 2 5 3 2" xfId="14984" xr:uid="{F96250ED-AA55-49C5-B7CB-C178CDA9ED1A}"/>
    <cellStyle name="Normal 9 2 4 2 5 3 3" xfId="23421" xr:uid="{BACC3A8D-54BF-4170-B03C-8D9B94E4528B}"/>
    <cellStyle name="Normal 9 2 4 2 5 4" xfId="10766" xr:uid="{A12FDF07-A880-417F-9166-9E3464491134}"/>
    <cellStyle name="Normal 9 2 4 2 5 5" xfId="19204" xr:uid="{74F58C12-89CA-4DD5-8E43-EAE9C53576F6}"/>
    <cellStyle name="Normal 9 2 4 2 6" xfId="2671" xr:uid="{00000000-0005-0000-0000-00006E1F0000}"/>
    <cellStyle name="Normal 9 2 4 2 6 2" xfId="6955" xr:uid="{00000000-0005-0000-0000-00006F1F0000}"/>
    <cellStyle name="Normal 9 2 4 2 6 2 2" xfId="15397" xr:uid="{41F58391-F9FC-4B24-B215-10CD95155154}"/>
    <cellStyle name="Normal 9 2 4 2 6 2 3" xfId="23834" xr:uid="{E2ECE752-7CE2-4F21-AEA7-B68BD41323D1}"/>
    <cellStyle name="Normal 9 2 4 2 6 3" xfId="11179" xr:uid="{E59E597D-9B03-4F15-823A-248548DB5E42}"/>
    <cellStyle name="Normal 9 2 4 2 6 4" xfId="19617" xr:uid="{AA40615C-DECB-4F2A-B19F-F4CC5C002CE3}"/>
    <cellStyle name="Normal 9 2 4 2 7" xfId="4890" xr:uid="{00000000-0005-0000-0000-0000701F0000}"/>
    <cellStyle name="Normal 9 2 4 2 7 2" xfId="13332" xr:uid="{9A9A4AF6-D113-42F0-BF10-0FB428C1D5F7}"/>
    <cellStyle name="Normal 9 2 4 2 7 3" xfId="21769" xr:uid="{FE69F2F5-6D62-4094-B259-59713F476E92}"/>
    <cellStyle name="Normal 9 2 4 2 8" xfId="9114" xr:uid="{DB3B43DC-B02C-4FAF-93DF-02D69AA89653}"/>
    <cellStyle name="Normal 9 2 4 2 9" xfId="17552" xr:uid="{397946F6-270E-4E91-845B-9C9F20ECA7A8}"/>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09275513-4404-4193-AA16-844774E68414}"/>
    <cellStyle name="Normal 9 2 4 3 2 2 3" xfId="24326" xr:uid="{34025B15-4F28-46D4-AE26-8A8636AF27C9}"/>
    <cellStyle name="Normal 9 2 4 3 2 3" xfId="11671" xr:uid="{A7FF3ED0-7253-4C48-A4F3-55DB13447AED}"/>
    <cellStyle name="Normal 9 2 4 3 2 4" xfId="20109" xr:uid="{3B4926F3-FF82-4BE4-AF87-AEA568DF0E92}"/>
    <cellStyle name="Normal 9 2 4 3 3" xfId="5302" xr:uid="{00000000-0005-0000-0000-0000741F0000}"/>
    <cellStyle name="Normal 9 2 4 3 3 2" xfId="13744" xr:uid="{3232492E-D40F-4820-8D8D-F0C2AA416DE5}"/>
    <cellStyle name="Normal 9 2 4 3 3 3" xfId="22181" xr:uid="{C511BD72-F6A6-4DE5-9E9B-59DDB266770A}"/>
    <cellStyle name="Normal 9 2 4 3 4" xfId="9526" xr:uid="{48272912-ADA8-4070-ABF8-845670246B5A}"/>
    <cellStyle name="Normal 9 2 4 3 5" xfId="17964" xr:uid="{80C780AC-E7CE-49BB-9D5F-A592281B29FA}"/>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388D57A3-7055-4E82-84D8-5002DEFDDF2A}"/>
    <cellStyle name="Normal 9 2 4 4 2 2 3" xfId="24739" xr:uid="{9F7A84B3-858A-40EF-8A7E-EEE7CD9F47E6}"/>
    <cellStyle name="Normal 9 2 4 4 2 3" xfId="12084" xr:uid="{8DA6CCC1-F747-4141-9698-A8DD65DC50CE}"/>
    <cellStyle name="Normal 9 2 4 4 2 4" xfId="20522" xr:uid="{F7D3BF2B-D426-47DC-B297-D7D92FDD4AD4}"/>
    <cellStyle name="Normal 9 2 4 4 3" xfId="5715" xr:uid="{00000000-0005-0000-0000-0000781F0000}"/>
    <cellStyle name="Normal 9 2 4 4 3 2" xfId="14157" xr:uid="{C02B91C8-69BC-4727-BE2E-992C0F8D6EC4}"/>
    <cellStyle name="Normal 9 2 4 4 3 3" xfId="22594" xr:uid="{42A869EB-84D0-4641-9764-52D69CD5BB77}"/>
    <cellStyle name="Normal 9 2 4 4 4" xfId="9939" xr:uid="{BC77315F-785E-40FF-9BC2-426476DB2DC5}"/>
    <cellStyle name="Normal 9 2 4 4 5" xfId="18377" xr:uid="{B1543227-A3FC-4B8A-B480-BDC14ACF5B3C}"/>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A16D69F7-EFA0-4BE0-90F3-D5504A4ABDC8}"/>
    <cellStyle name="Normal 9 2 4 5 2 2 3" xfId="25152" xr:uid="{7751C02C-5FD9-415D-B2C5-3FC43F927A9E}"/>
    <cellStyle name="Normal 9 2 4 5 2 3" xfId="12497" xr:uid="{4FB50C7D-7FA0-473E-9666-8715C6A0E47D}"/>
    <cellStyle name="Normal 9 2 4 5 2 4" xfId="20935" xr:uid="{7DC7C05D-AD1E-4CE1-82D4-C330E5306767}"/>
    <cellStyle name="Normal 9 2 4 5 3" xfId="6128" xr:uid="{00000000-0005-0000-0000-00007C1F0000}"/>
    <cellStyle name="Normal 9 2 4 5 3 2" xfId="14570" xr:uid="{A0D4FD99-2AA8-40B6-BF97-F4267302F200}"/>
    <cellStyle name="Normal 9 2 4 5 3 3" xfId="23007" xr:uid="{49E3D41C-4E5E-4F3A-B686-39751FB06E45}"/>
    <cellStyle name="Normal 9 2 4 5 4" xfId="10352" xr:uid="{B9E657EE-881F-485F-B749-28219462AB96}"/>
    <cellStyle name="Normal 9 2 4 5 5" xfId="18790" xr:uid="{B3C6436F-3BED-4F6A-A0D7-D401D678260F}"/>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FB516B93-26E8-4297-BC40-5FDFEE998C4E}"/>
    <cellStyle name="Normal 9 2 4 6 2 2 3" xfId="25565" xr:uid="{620F7161-D06A-4012-870A-9C4D2B8EEAD2}"/>
    <cellStyle name="Normal 9 2 4 6 2 3" xfId="12910" xr:uid="{5FBFF93A-EA71-42DD-B55B-187EF91EBA65}"/>
    <cellStyle name="Normal 9 2 4 6 2 4" xfId="21348" xr:uid="{273F9337-377C-4D21-837B-895C4FB7F369}"/>
    <cellStyle name="Normal 9 2 4 6 3" xfId="6541" xr:uid="{00000000-0005-0000-0000-0000801F0000}"/>
    <cellStyle name="Normal 9 2 4 6 3 2" xfId="14983" xr:uid="{9FA350DD-3D86-4274-BC11-CF6058C3B643}"/>
    <cellStyle name="Normal 9 2 4 6 3 3" xfId="23420" xr:uid="{F15057C8-5ABE-4393-95F3-161486BFF15F}"/>
    <cellStyle name="Normal 9 2 4 6 4" xfId="10765" xr:uid="{EBB9DA82-418D-474F-B86B-AB41CAC0524D}"/>
    <cellStyle name="Normal 9 2 4 6 5" xfId="19203" xr:uid="{87C5B394-6C2B-4D64-86CC-F413C341DD8E}"/>
    <cellStyle name="Normal 9 2 4 7" xfId="2670" xr:uid="{00000000-0005-0000-0000-0000811F0000}"/>
    <cellStyle name="Normal 9 2 4 7 2" xfId="6954" xr:uid="{00000000-0005-0000-0000-0000821F0000}"/>
    <cellStyle name="Normal 9 2 4 7 2 2" xfId="15396" xr:uid="{9B77FC9D-84C5-47F5-BDD0-7DB09AE8B4CD}"/>
    <cellStyle name="Normal 9 2 4 7 2 3" xfId="23833" xr:uid="{44DFC524-CF4C-4432-A445-8D244B63573B}"/>
    <cellStyle name="Normal 9 2 4 7 3" xfId="11178" xr:uid="{BA1B54DD-4C35-4E52-8982-BDDA557CD4C2}"/>
    <cellStyle name="Normal 9 2 4 7 4" xfId="19616" xr:uid="{49F3C4A0-D1D7-4E66-81E9-104EF06695B9}"/>
    <cellStyle name="Normal 9 2 4 8" xfId="4889" xr:uid="{00000000-0005-0000-0000-0000831F0000}"/>
    <cellStyle name="Normal 9 2 4 8 2" xfId="13331" xr:uid="{F46508C6-6038-4BD0-A87C-008A7C8119DA}"/>
    <cellStyle name="Normal 9 2 4 8 3" xfId="21768" xr:uid="{144B1E04-D95A-4FC9-9FEC-F430ECE672F7}"/>
    <cellStyle name="Normal 9 2 4 9" xfId="9113" xr:uid="{80C97C1B-16ED-4F72-97A9-88C3E5CC7A2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1EAEA081-6000-4004-BD23-6BF4B0E33CBC}"/>
    <cellStyle name="Normal 9 2 5 2 2 2 3" xfId="24328" xr:uid="{CB9FEA39-DBAE-4592-A306-E4CE674FFF87}"/>
    <cellStyle name="Normal 9 2 5 2 2 3" xfId="11673" xr:uid="{9C9BA4AC-BB51-4743-A70C-A8C1BD184121}"/>
    <cellStyle name="Normal 9 2 5 2 2 4" xfId="20111" xr:uid="{2004A7C4-97DF-42B2-8C93-F3F93CCF2BB6}"/>
    <cellStyle name="Normal 9 2 5 2 3" xfId="5304" xr:uid="{00000000-0005-0000-0000-0000881F0000}"/>
    <cellStyle name="Normal 9 2 5 2 3 2" xfId="13746" xr:uid="{808EF3C1-7CE2-4EEC-AAFF-7B90E54D3CB4}"/>
    <cellStyle name="Normal 9 2 5 2 3 3" xfId="22183" xr:uid="{0D29E856-BE6E-4BE6-AA82-1777FC4B101D}"/>
    <cellStyle name="Normal 9 2 5 2 4" xfId="9528" xr:uid="{86BCA51A-9C3B-427B-B4EC-8C0F0FE8F900}"/>
    <cellStyle name="Normal 9 2 5 2 5" xfId="17966" xr:uid="{C9FD5801-7CBF-4C22-BA79-8E0264D8D116}"/>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4349908B-4574-4C2E-BC29-70074E539174}"/>
    <cellStyle name="Normal 9 2 5 3 2 2 3" xfId="24741" xr:uid="{36D299D6-4E2B-4317-95C2-F09FE2100221}"/>
    <cellStyle name="Normal 9 2 5 3 2 3" xfId="12086" xr:uid="{66E6A32E-51C8-48E2-8685-107E2E11625B}"/>
    <cellStyle name="Normal 9 2 5 3 2 4" xfId="20524" xr:uid="{BC520CC2-B763-4B90-B12F-9D7365E96A26}"/>
    <cellStyle name="Normal 9 2 5 3 3" xfId="5717" xr:uid="{00000000-0005-0000-0000-00008C1F0000}"/>
    <cellStyle name="Normal 9 2 5 3 3 2" xfId="14159" xr:uid="{25F0D9A9-B54D-49F1-BCCD-A752AE742394}"/>
    <cellStyle name="Normal 9 2 5 3 3 3" xfId="22596" xr:uid="{A1011820-7FCF-45BB-83A2-91CDBFAA18A8}"/>
    <cellStyle name="Normal 9 2 5 3 4" xfId="9941" xr:uid="{A83B55D6-AD24-457C-A8BA-654FE7B0D1E7}"/>
    <cellStyle name="Normal 9 2 5 3 5" xfId="18379" xr:uid="{6E4B0BE9-7473-4AE1-B994-CAE01511A99F}"/>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9DFFFEE7-897C-4305-9129-DEFD4209C359}"/>
    <cellStyle name="Normal 9 2 5 4 2 2 3" xfId="25154" xr:uid="{83BF12DD-5412-4B55-B5B6-39B608D34330}"/>
    <cellStyle name="Normal 9 2 5 4 2 3" xfId="12499" xr:uid="{33AC1B85-42C4-40E5-AABE-1671B9468FC6}"/>
    <cellStyle name="Normal 9 2 5 4 2 4" xfId="20937" xr:uid="{70F04050-1582-42F0-8053-942121C0324E}"/>
    <cellStyle name="Normal 9 2 5 4 3" xfId="6130" xr:uid="{00000000-0005-0000-0000-0000901F0000}"/>
    <cellStyle name="Normal 9 2 5 4 3 2" xfId="14572" xr:uid="{CA4AEC62-D7CD-4DFC-8F41-460CB6C44ACA}"/>
    <cellStyle name="Normal 9 2 5 4 3 3" xfId="23009" xr:uid="{4E4CEE26-649A-418D-AEA1-7F94FA8F0EBF}"/>
    <cellStyle name="Normal 9 2 5 4 4" xfId="10354" xr:uid="{127ED59D-863C-4628-BB69-9F725B9EBEF7}"/>
    <cellStyle name="Normal 9 2 5 4 5" xfId="18792" xr:uid="{CD1C335D-BD3A-48AD-859C-C123D3F59CD8}"/>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A23F69CA-F846-4112-A7C1-21D9D5CD44F0}"/>
    <cellStyle name="Normal 9 2 5 5 2 2 3" xfId="25567" xr:uid="{DA70A524-F80F-4E54-9A99-BFD50A6D818B}"/>
    <cellStyle name="Normal 9 2 5 5 2 3" xfId="12912" xr:uid="{FD7C4694-811D-407C-88C5-D9750F3F7C35}"/>
    <cellStyle name="Normal 9 2 5 5 2 4" xfId="21350" xr:uid="{C43EEDE6-4680-4559-B2D7-F8FDF768EAA2}"/>
    <cellStyle name="Normal 9 2 5 5 3" xfId="6543" xr:uid="{00000000-0005-0000-0000-0000941F0000}"/>
    <cellStyle name="Normal 9 2 5 5 3 2" xfId="14985" xr:uid="{AD3317F8-AB67-4ABD-892B-1C85D76D3495}"/>
    <cellStyle name="Normal 9 2 5 5 3 3" xfId="23422" xr:uid="{49FBA3BC-DB26-4974-A5B5-9CA9EC551665}"/>
    <cellStyle name="Normal 9 2 5 5 4" xfId="10767" xr:uid="{AE272E6A-B863-40A6-9BA6-2DB9427D4B6E}"/>
    <cellStyle name="Normal 9 2 5 5 5" xfId="19205" xr:uid="{B5258EC3-EBFC-4A98-ADF0-52B67E8AF04F}"/>
    <cellStyle name="Normal 9 2 5 6" xfId="2672" xr:uid="{00000000-0005-0000-0000-0000951F0000}"/>
    <cellStyle name="Normal 9 2 5 6 2" xfId="6956" xr:uid="{00000000-0005-0000-0000-0000961F0000}"/>
    <cellStyle name="Normal 9 2 5 6 2 2" xfId="15398" xr:uid="{8B99C6D6-41AF-49AA-A28A-7097133C3421}"/>
    <cellStyle name="Normal 9 2 5 6 2 3" xfId="23835" xr:uid="{7764FC95-B78F-4B10-86E8-2A83400644F9}"/>
    <cellStyle name="Normal 9 2 5 6 3" xfId="11180" xr:uid="{2A26B1F1-3485-40DA-9CD1-8BA6E4EAB73D}"/>
    <cellStyle name="Normal 9 2 5 6 4" xfId="19618" xr:uid="{1F73E076-CD4E-4054-A555-456E96808B06}"/>
    <cellStyle name="Normal 9 2 5 7" xfId="4891" xr:uid="{00000000-0005-0000-0000-0000971F0000}"/>
    <cellStyle name="Normal 9 2 5 7 2" xfId="13333" xr:uid="{FDB187DF-1AF6-4955-B6A3-293D8EC5686A}"/>
    <cellStyle name="Normal 9 2 5 7 3" xfId="21770" xr:uid="{8771C5EF-3F53-477D-89F8-34BC9E34E701}"/>
    <cellStyle name="Normal 9 2 5 8" xfId="9115" xr:uid="{5EB20DB7-53B7-4460-8A74-EBD07C593BED}"/>
    <cellStyle name="Normal 9 2 5 9" xfId="17553" xr:uid="{AF302871-7748-4727-ACB1-4D14478582A5}"/>
    <cellStyle name="Normal 9 2 6" xfId="978" xr:uid="{00000000-0005-0000-0000-0000981F0000}"/>
    <cellStyle name="Normal 9 2 6 2" xfId="3211" xr:uid="{00000000-0005-0000-0000-0000991F0000}"/>
    <cellStyle name="Normal 9 2 6 2 2" xfId="7434" xr:uid="{00000000-0005-0000-0000-00009A1F0000}"/>
    <cellStyle name="Normal 9 2 6 2 2 2" xfId="15876" xr:uid="{64C791BE-A41A-4765-83ED-FF626D1A6C16}"/>
    <cellStyle name="Normal 9 2 6 2 2 3" xfId="24313" xr:uid="{91C84C9F-B7A4-4EF5-A44D-83597651EEF3}"/>
    <cellStyle name="Normal 9 2 6 2 3" xfId="11658" xr:uid="{E1048E3E-63E2-46C8-8748-D8EEC0197154}"/>
    <cellStyle name="Normal 9 2 6 2 4" xfId="20096" xr:uid="{ECE5747D-8A5A-4C62-8ED8-4157E2DF342A}"/>
    <cellStyle name="Normal 9 2 6 3" xfId="5289" xr:uid="{00000000-0005-0000-0000-00009B1F0000}"/>
    <cellStyle name="Normal 9 2 6 3 2" xfId="13731" xr:uid="{8734883A-0612-4C62-93AD-038EE686226A}"/>
    <cellStyle name="Normal 9 2 6 3 3" xfId="22168" xr:uid="{52C06291-05BE-4E01-B8AC-42ED74414216}"/>
    <cellStyle name="Normal 9 2 6 4" xfId="9513" xr:uid="{BFB11946-A006-4AF3-9038-F91CD3ABD9B9}"/>
    <cellStyle name="Normal 9 2 6 5" xfId="17951" xr:uid="{0355B6E4-5680-42E7-8858-243A21C0E26A}"/>
    <cellStyle name="Normal 9 2 7" xfId="1394" xr:uid="{00000000-0005-0000-0000-00009C1F0000}"/>
    <cellStyle name="Normal 9 2 7 2" xfId="3624" xr:uid="{00000000-0005-0000-0000-00009D1F0000}"/>
    <cellStyle name="Normal 9 2 7 2 2" xfId="7847" xr:uid="{00000000-0005-0000-0000-00009E1F0000}"/>
    <cellStyle name="Normal 9 2 7 2 2 2" xfId="16289" xr:uid="{BA1A05EA-75CC-44B7-BDD9-95C71E249FE2}"/>
    <cellStyle name="Normal 9 2 7 2 2 3" xfId="24726" xr:uid="{AA5A8330-CA32-4A74-8929-A24D0C8CF72C}"/>
    <cellStyle name="Normal 9 2 7 2 3" xfId="12071" xr:uid="{F5CDCD73-6C1F-4D81-91AD-50855BD0A3D0}"/>
    <cellStyle name="Normal 9 2 7 2 4" xfId="20509" xr:uid="{32722BEE-E05D-4275-ABF9-AEDB8ABBF0B0}"/>
    <cellStyle name="Normal 9 2 7 3" xfId="5702" xr:uid="{00000000-0005-0000-0000-00009F1F0000}"/>
    <cellStyle name="Normal 9 2 7 3 2" xfId="14144" xr:uid="{DE89400C-4773-4B5E-9F26-3C723349E9AD}"/>
    <cellStyle name="Normal 9 2 7 3 3" xfId="22581" xr:uid="{8E257A51-E2FC-4446-98B6-15A5A12EDCAE}"/>
    <cellStyle name="Normal 9 2 7 4" xfId="9926" xr:uid="{B3327B77-1228-4251-A1EF-C4607E4FA7B8}"/>
    <cellStyle name="Normal 9 2 7 5" xfId="18364" xr:uid="{3B272428-5103-4B4B-ACB9-3CA81551BBFE}"/>
    <cellStyle name="Normal 9 2 8" xfId="1807" xr:uid="{00000000-0005-0000-0000-0000A01F0000}"/>
    <cellStyle name="Normal 9 2 8 2" xfId="4037" xr:uid="{00000000-0005-0000-0000-0000A11F0000}"/>
    <cellStyle name="Normal 9 2 8 2 2" xfId="8260" xr:uid="{00000000-0005-0000-0000-0000A21F0000}"/>
    <cellStyle name="Normal 9 2 8 2 2 2" xfId="16702" xr:uid="{89AE144E-D68C-4D36-9A26-84C445886F39}"/>
    <cellStyle name="Normal 9 2 8 2 2 3" xfId="25139" xr:uid="{1B732A04-22DE-445E-AE43-0C603C28DDCF}"/>
    <cellStyle name="Normal 9 2 8 2 3" xfId="12484" xr:uid="{A356FEB2-DFB2-4E80-9428-B3E4B9902A0A}"/>
    <cellStyle name="Normal 9 2 8 2 4" xfId="20922" xr:uid="{2109AE79-D328-4EA8-9B31-E4DE0568EABA}"/>
    <cellStyle name="Normal 9 2 8 3" xfId="6115" xr:uid="{00000000-0005-0000-0000-0000A31F0000}"/>
    <cellStyle name="Normal 9 2 8 3 2" xfId="14557" xr:uid="{22DBA145-63A6-4A1B-80FA-89809884A741}"/>
    <cellStyle name="Normal 9 2 8 3 3" xfId="22994" xr:uid="{7577D891-DADC-48BE-9CF8-92589729074F}"/>
    <cellStyle name="Normal 9 2 8 4" xfId="10339" xr:uid="{1FDFEB13-4E9B-4EA8-B8EF-F0F2CB491655}"/>
    <cellStyle name="Normal 9 2 8 5" xfId="18777" xr:uid="{90EE506E-121E-4D1E-823A-F23542E6C255}"/>
    <cellStyle name="Normal 9 2 9" xfId="2221" xr:uid="{00000000-0005-0000-0000-0000A41F0000}"/>
    <cellStyle name="Normal 9 2 9 2" xfId="4450" xr:uid="{00000000-0005-0000-0000-0000A51F0000}"/>
    <cellStyle name="Normal 9 2 9 2 2" xfId="8673" xr:uid="{00000000-0005-0000-0000-0000A61F0000}"/>
    <cellStyle name="Normal 9 2 9 2 2 2" xfId="17115" xr:uid="{4EF008D1-4868-43D8-9232-4E076D2F285F}"/>
    <cellStyle name="Normal 9 2 9 2 2 3" xfId="25552" xr:uid="{4454388E-6FCF-4566-9E68-66CFA503F73B}"/>
    <cellStyle name="Normal 9 2 9 2 3" xfId="12897" xr:uid="{422FA8CE-F1C4-4A7C-AFEF-69BBCC112142}"/>
    <cellStyle name="Normal 9 2 9 2 4" xfId="21335" xr:uid="{BFAC9F04-B206-4CE2-9169-8ADECD2EA8AE}"/>
    <cellStyle name="Normal 9 2 9 3" xfId="6528" xr:uid="{00000000-0005-0000-0000-0000A71F0000}"/>
    <cellStyle name="Normal 9 2 9 3 2" xfId="14970" xr:uid="{313530EB-303C-4C8F-938E-76F4E9CD8C8C}"/>
    <cellStyle name="Normal 9 2 9 3 3" xfId="23407" xr:uid="{06CB5532-9D04-446C-ABCF-377715374F97}"/>
    <cellStyle name="Normal 9 2 9 4" xfId="10752" xr:uid="{687925E9-05F7-4AAF-A565-1B9242B37084}"/>
    <cellStyle name="Normal 9 2 9 5" xfId="19190" xr:uid="{22098BB2-8151-47F1-BB1E-8DFE1261885D}"/>
    <cellStyle name="Normal 9 3" xfId="527" xr:uid="{00000000-0005-0000-0000-0000A81F0000}"/>
    <cellStyle name="Normal 9 3 10" xfId="4892" xr:uid="{00000000-0005-0000-0000-0000A91F0000}"/>
    <cellStyle name="Normal 9 3 10 2" xfId="13334" xr:uid="{F4E77EBD-A4F2-42FD-B3E4-39879CBD4D4B}"/>
    <cellStyle name="Normal 9 3 10 3" xfId="21771" xr:uid="{F4AAD72E-382B-4B56-9459-780E93549A2A}"/>
    <cellStyle name="Normal 9 3 11" xfId="9116" xr:uid="{BC455784-A579-4BD7-BC4A-D37A0EEF5748}"/>
    <cellStyle name="Normal 9 3 12" xfId="17554" xr:uid="{67FC9923-D09F-4EE7-B539-C4755A953108}"/>
    <cellStyle name="Normal 9 3 2" xfId="528" xr:uid="{00000000-0005-0000-0000-0000AA1F0000}"/>
    <cellStyle name="Normal 9 3 2 10" xfId="9117" xr:uid="{A904CF5D-B01F-4FF1-AEB1-081E52DD4FD3}"/>
    <cellStyle name="Normal 9 3 2 11" xfId="17555" xr:uid="{108D97FA-20C4-4BE9-A26B-E525A5AAC65E}"/>
    <cellStyle name="Normal 9 3 2 2" xfId="529" xr:uid="{00000000-0005-0000-0000-0000AB1F0000}"/>
    <cellStyle name="Normal 9 3 2 2 10" xfId="17556" xr:uid="{88D24096-8DED-4F7E-A560-25C5ABEED298}"/>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8AD994EB-FB57-47CF-8EE5-CFF1923BD9A1}"/>
    <cellStyle name="Normal 9 3 2 2 2 2 2 2 3" xfId="24332" xr:uid="{A16252E6-E41A-4B1B-B1A5-72C01B96B3E8}"/>
    <cellStyle name="Normal 9 3 2 2 2 2 2 3" xfId="11677" xr:uid="{D1A9D30A-F36E-439C-8365-C703FA3E5A21}"/>
    <cellStyle name="Normal 9 3 2 2 2 2 2 4" xfId="20115" xr:uid="{5A9CA29E-BAA4-4303-A302-DF0E8328787E}"/>
    <cellStyle name="Normal 9 3 2 2 2 2 3" xfId="5308" xr:uid="{00000000-0005-0000-0000-0000B01F0000}"/>
    <cellStyle name="Normal 9 3 2 2 2 2 3 2" xfId="13750" xr:uid="{56388D97-A0A0-4B09-AF96-31187EA35922}"/>
    <cellStyle name="Normal 9 3 2 2 2 2 3 3" xfId="22187" xr:uid="{F857B093-E089-42DE-BC85-434354EB0B79}"/>
    <cellStyle name="Normal 9 3 2 2 2 2 4" xfId="9532" xr:uid="{F8BFB315-82AD-4F8E-8430-634FF231B9D2}"/>
    <cellStyle name="Normal 9 3 2 2 2 2 5" xfId="17970" xr:uid="{3B40304D-DEFE-448D-8EB5-E1EA94821437}"/>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9E4CF318-351C-40A0-8E8A-230BD2E81011}"/>
    <cellStyle name="Normal 9 3 2 2 2 3 2 2 3" xfId="24745" xr:uid="{FDE1BC08-ABA3-40F5-B0A4-6745ECC3FB57}"/>
    <cellStyle name="Normal 9 3 2 2 2 3 2 3" xfId="12090" xr:uid="{A55CD9E7-8FB6-4124-9B16-E2504FD3D4CD}"/>
    <cellStyle name="Normal 9 3 2 2 2 3 2 4" xfId="20528" xr:uid="{9D77EC79-25D3-446C-BDD6-42BB0EB71DDB}"/>
    <cellStyle name="Normal 9 3 2 2 2 3 3" xfId="5721" xr:uid="{00000000-0005-0000-0000-0000B41F0000}"/>
    <cellStyle name="Normal 9 3 2 2 2 3 3 2" xfId="14163" xr:uid="{45B405D1-9ABF-47C2-8535-B4B6B976FEE2}"/>
    <cellStyle name="Normal 9 3 2 2 2 3 3 3" xfId="22600" xr:uid="{62432B21-4269-40FE-A491-231E6BFEDE1A}"/>
    <cellStyle name="Normal 9 3 2 2 2 3 4" xfId="9945" xr:uid="{B04EE00B-736E-4010-B883-9C06797D07E0}"/>
    <cellStyle name="Normal 9 3 2 2 2 3 5" xfId="18383" xr:uid="{1C181DFC-5346-4C61-AF5A-C65777711062}"/>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05A2C137-8814-4FFB-8288-1E7E67BEEF27}"/>
    <cellStyle name="Normal 9 3 2 2 2 4 2 2 3" xfId="25158" xr:uid="{3F130883-5380-4CCB-877B-017678ADD5EB}"/>
    <cellStyle name="Normal 9 3 2 2 2 4 2 3" xfId="12503" xr:uid="{B823810C-7F08-4DF7-95D0-B5AED43F61FA}"/>
    <cellStyle name="Normal 9 3 2 2 2 4 2 4" xfId="20941" xr:uid="{1FFC46AE-A48F-4BDC-9C21-89D164474378}"/>
    <cellStyle name="Normal 9 3 2 2 2 4 3" xfId="6134" xr:uid="{00000000-0005-0000-0000-0000B81F0000}"/>
    <cellStyle name="Normal 9 3 2 2 2 4 3 2" xfId="14576" xr:uid="{FB30C85B-5AF1-4507-B4D5-0A86BE864EAF}"/>
    <cellStyle name="Normal 9 3 2 2 2 4 3 3" xfId="23013" xr:uid="{1C3058B4-A896-404E-9308-55F6041D20DD}"/>
    <cellStyle name="Normal 9 3 2 2 2 4 4" xfId="10358" xr:uid="{74E04D0B-DC9A-4DB3-BF31-C9A40AF31699}"/>
    <cellStyle name="Normal 9 3 2 2 2 4 5" xfId="18796" xr:uid="{5829421F-0508-428D-9D5C-164309342ADE}"/>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480ED8AC-CC7F-47C7-828D-A8EF710E1F15}"/>
    <cellStyle name="Normal 9 3 2 2 2 5 2 2 3" xfId="25571" xr:uid="{272DAAB7-88B5-4B55-B9FE-9FB4F7DC66F5}"/>
    <cellStyle name="Normal 9 3 2 2 2 5 2 3" xfId="12916" xr:uid="{0192EF54-597F-432F-9D72-23A51846DE55}"/>
    <cellStyle name="Normal 9 3 2 2 2 5 2 4" xfId="21354" xr:uid="{1E49ACA4-B2A7-4BFA-BAC5-9EE824438497}"/>
    <cellStyle name="Normal 9 3 2 2 2 5 3" xfId="6547" xr:uid="{00000000-0005-0000-0000-0000BC1F0000}"/>
    <cellStyle name="Normal 9 3 2 2 2 5 3 2" xfId="14989" xr:uid="{8FC7FB34-AA10-4474-881C-1B9781E0E8ED}"/>
    <cellStyle name="Normal 9 3 2 2 2 5 3 3" xfId="23426" xr:uid="{FDFB5E4F-520C-44D1-9A0F-F84FAFC47DC1}"/>
    <cellStyle name="Normal 9 3 2 2 2 5 4" xfId="10771" xr:uid="{25AF51A5-921B-4812-A4B9-A8AE4A1A5B68}"/>
    <cellStyle name="Normal 9 3 2 2 2 5 5" xfId="19209" xr:uid="{2A3280A8-0D8B-4B80-ACD4-9D744E806BE8}"/>
    <cellStyle name="Normal 9 3 2 2 2 6" xfId="2676" xr:uid="{00000000-0005-0000-0000-0000BD1F0000}"/>
    <cellStyle name="Normal 9 3 2 2 2 6 2" xfId="6960" xr:uid="{00000000-0005-0000-0000-0000BE1F0000}"/>
    <cellStyle name="Normal 9 3 2 2 2 6 2 2" xfId="15402" xr:uid="{D814C91B-8DCE-4A08-8573-EA415FBDEB03}"/>
    <cellStyle name="Normal 9 3 2 2 2 6 2 3" xfId="23839" xr:uid="{8AEF41E9-9971-4AAC-840E-86B01D0BDCE3}"/>
    <cellStyle name="Normal 9 3 2 2 2 6 3" xfId="11184" xr:uid="{E0ACF8A8-A192-435F-B48A-BB8E8DDF27DD}"/>
    <cellStyle name="Normal 9 3 2 2 2 6 4" xfId="19622" xr:uid="{CFC0DF3A-42E7-4036-827B-0E49B9190B79}"/>
    <cellStyle name="Normal 9 3 2 2 2 7" xfId="4895" xr:uid="{00000000-0005-0000-0000-0000BF1F0000}"/>
    <cellStyle name="Normal 9 3 2 2 2 7 2" xfId="13337" xr:uid="{84E9DE04-FF52-48FA-BED2-435D4CD2573F}"/>
    <cellStyle name="Normal 9 3 2 2 2 7 3" xfId="21774" xr:uid="{2BC31201-8BCB-4A60-BCC0-DA5450750FA5}"/>
    <cellStyle name="Normal 9 3 2 2 2 8" xfId="9119" xr:uid="{266FA02F-BA5B-428F-8982-6A62AE3A16C3}"/>
    <cellStyle name="Normal 9 3 2 2 2 9" xfId="17557" xr:uid="{1BA5F75A-FA98-4FF0-A95C-2F124F4D0F74}"/>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DC1A2307-3FC4-4AFA-BF58-C5E239F69627}"/>
    <cellStyle name="Normal 9 3 2 2 3 2 2 3" xfId="24331" xr:uid="{6E1C912C-567B-4C29-BECF-6C0C1E0E857C}"/>
    <cellStyle name="Normal 9 3 2 2 3 2 3" xfId="11676" xr:uid="{A54AF278-4BB1-41F5-A65D-845B54FD54BD}"/>
    <cellStyle name="Normal 9 3 2 2 3 2 4" xfId="20114" xr:uid="{50A623EB-19EE-41DD-A295-926B90DDF01B}"/>
    <cellStyle name="Normal 9 3 2 2 3 3" xfId="5307" xr:uid="{00000000-0005-0000-0000-0000C31F0000}"/>
    <cellStyle name="Normal 9 3 2 2 3 3 2" xfId="13749" xr:uid="{DCB4BB13-92F6-4301-89D2-AD4912DE68DF}"/>
    <cellStyle name="Normal 9 3 2 2 3 3 3" xfId="22186" xr:uid="{BE3B14D8-B9B6-41DC-AEDE-EB2CC27EB774}"/>
    <cellStyle name="Normal 9 3 2 2 3 4" xfId="9531" xr:uid="{CC82188B-9E18-4886-A27A-55114FBD4F24}"/>
    <cellStyle name="Normal 9 3 2 2 3 5" xfId="17969" xr:uid="{C10D3B01-CCE9-47AF-B7C6-048D681880E4}"/>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1E411066-A805-4531-928C-A868DF330938}"/>
    <cellStyle name="Normal 9 3 2 2 4 2 2 3" xfId="24744" xr:uid="{E5A79EC0-F32B-4FDF-9AFB-F46A95D151FE}"/>
    <cellStyle name="Normal 9 3 2 2 4 2 3" xfId="12089" xr:uid="{B43660B1-28C1-4682-BEC7-0962D1FBCD7C}"/>
    <cellStyle name="Normal 9 3 2 2 4 2 4" xfId="20527" xr:uid="{CF20A28B-0F69-4779-9913-DC80455DBEC7}"/>
    <cellStyle name="Normal 9 3 2 2 4 3" xfId="5720" xr:uid="{00000000-0005-0000-0000-0000C71F0000}"/>
    <cellStyle name="Normal 9 3 2 2 4 3 2" xfId="14162" xr:uid="{C7ED6D6F-38D0-40C3-B563-47C1637CBC0E}"/>
    <cellStyle name="Normal 9 3 2 2 4 3 3" xfId="22599" xr:uid="{74DBEA2E-639E-45AE-9D50-1915EBB54ACD}"/>
    <cellStyle name="Normal 9 3 2 2 4 4" xfId="9944" xr:uid="{5AED8150-0215-4ECF-9EBF-CDEE5B5212AC}"/>
    <cellStyle name="Normal 9 3 2 2 4 5" xfId="18382" xr:uid="{6C204F21-C0CF-4431-8A91-FD1F612D97BF}"/>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0D227BBE-7164-487D-804E-631285C7F201}"/>
    <cellStyle name="Normal 9 3 2 2 5 2 2 3" xfId="25157" xr:uid="{39611F10-B8CF-405D-B97D-65403F790B89}"/>
    <cellStyle name="Normal 9 3 2 2 5 2 3" xfId="12502" xr:uid="{1C68F8AB-2B19-46EA-B94E-8BE0EE4FF073}"/>
    <cellStyle name="Normal 9 3 2 2 5 2 4" xfId="20940" xr:uid="{D1672CCB-D209-472A-A7DF-C4C8DAA7FF72}"/>
    <cellStyle name="Normal 9 3 2 2 5 3" xfId="6133" xr:uid="{00000000-0005-0000-0000-0000CB1F0000}"/>
    <cellStyle name="Normal 9 3 2 2 5 3 2" xfId="14575" xr:uid="{F08FCD90-09C8-4A05-B0F6-AE258F389B0C}"/>
    <cellStyle name="Normal 9 3 2 2 5 3 3" xfId="23012" xr:uid="{DFCACAA9-F2CA-4D38-8E58-F7F9C7D2DDB6}"/>
    <cellStyle name="Normal 9 3 2 2 5 4" xfId="10357" xr:uid="{A90DB091-C868-4CE6-ADE6-3C40DE2482C5}"/>
    <cellStyle name="Normal 9 3 2 2 5 5" xfId="18795" xr:uid="{E42C9143-5996-4186-8539-FCFDAEC1EBE1}"/>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BF72ACE9-3F1E-470F-AB5E-603ACADA9E15}"/>
    <cellStyle name="Normal 9 3 2 2 6 2 2 3" xfId="25570" xr:uid="{230AC957-AC98-40FD-8246-00177EAD74E0}"/>
    <cellStyle name="Normal 9 3 2 2 6 2 3" xfId="12915" xr:uid="{F0432605-33B1-4C9F-B40A-738EB8EC32D6}"/>
    <cellStyle name="Normal 9 3 2 2 6 2 4" xfId="21353" xr:uid="{C69310BF-1CC0-468B-A876-5A4C22AAFC57}"/>
    <cellStyle name="Normal 9 3 2 2 6 3" xfId="6546" xr:uid="{00000000-0005-0000-0000-0000CF1F0000}"/>
    <cellStyle name="Normal 9 3 2 2 6 3 2" xfId="14988" xr:uid="{9773EF1B-A0E9-40C9-A11A-E8F0C8C49EEB}"/>
    <cellStyle name="Normal 9 3 2 2 6 3 3" xfId="23425" xr:uid="{ACD04A94-E0B2-4527-8425-D5BA6F269FDA}"/>
    <cellStyle name="Normal 9 3 2 2 6 4" xfId="10770" xr:uid="{D1A48FD0-AC3C-4DFD-912C-29FE2A6E47EF}"/>
    <cellStyle name="Normal 9 3 2 2 6 5" xfId="19208" xr:uid="{0B9C7F4B-88B0-4D83-9B3E-F36D09D1D52D}"/>
    <cellStyle name="Normal 9 3 2 2 7" xfId="2675" xr:uid="{00000000-0005-0000-0000-0000D01F0000}"/>
    <cellStyle name="Normal 9 3 2 2 7 2" xfId="6959" xr:uid="{00000000-0005-0000-0000-0000D11F0000}"/>
    <cellStyle name="Normal 9 3 2 2 7 2 2" xfId="15401" xr:uid="{EE0BC8BB-FC67-4162-8C32-F6393FF1510C}"/>
    <cellStyle name="Normal 9 3 2 2 7 2 3" xfId="23838" xr:uid="{FCE7D357-F62D-4390-8E68-D9AC98C1A032}"/>
    <cellStyle name="Normal 9 3 2 2 7 3" xfId="11183" xr:uid="{F1398DB4-A921-4CEF-8859-C6B8D307140E}"/>
    <cellStyle name="Normal 9 3 2 2 7 4" xfId="19621" xr:uid="{BA0EE1A6-4837-4F3E-A2CE-FF30B2325946}"/>
    <cellStyle name="Normal 9 3 2 2 8" xfId="4894" xr:uid="{00000000-0005-0000-0000-0000D21F0000}"/>
    <cellStyle name="Normal 9 3 2 2 8 2" xfId="13336" xr:uid="{C9293222-AC4F-4851-BB4F-D0B359AD5B39}"/>
    <cellStyle name="Normal 9 3 2 2 8 3" xfId="21773" xr:uid="{1B8169CD-867B-471F-9C36-CE2764DDB420}"/>
    <cellStyle name="Normal 9 3 2 2 9" xfId="9118" xr:uid="{43691DAA-CC59-4E43-96B3-AF9C6D863923}"/>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E0F081E8-0556-4A52-A149-E0F38CEDE710}"/>
    <cellStyle name="Normal 9 3 2 3 2 2 2 3" xfId="24333" xr:uid="{77972640-4456-4A63-9533-96540AAF46CB}"/>
    <cellStyle name="Normal 9 3 2 3 2 2 3" xfId="11678" xr:uid="{3770A2E0-29DD-4C49-B130-09A3A3A48788}"/>
    <cellStyle name="Normal 9 3 2 3 2 2 4" xfId="20116" xr:uid="{E85D408D-4BE5-4850-BE9B-9D4945F3DB2D}"/>
    <cellStyle name="Normal 9 3 2 3 2 3" xfId="5309" xr:uid="{00000000-0005-0000-0000-0000D71F0000}"/>
    <cellStyle name="Normal 9 3 2 3 2 3 2" xfId="13751" xr:uid="{7298518B-5F10-40C6-AB2E-6BA8CB696549}"/>
    <cellStyle name="Normal 9 3 2 3 2 3 3" xfId="22188" xr:uid="{8CD965F8-C38D-4AB0-9822-4707F209F90E}"/>
    <cellStyle name="Normal 9 3 2 3 2 4" xfId="9533" xr:uid="{322F51B7-B599-414F-AA2E-34CB6ED47C43}"/>
    <cellStyle name="Normal 9 3 2 3 2 5" xfId="17971" xr:uid="{C5928ABC-ADEE-4421-A971-136E81FCD738}"/>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30036A5B-3D52-4F80-8BDB-BD3DBD3F9DC7}"/>
    <cellStyle name="Normal 9 3 2 3 3 2 2 3" xfId="24746" xr:uid="{837ADE2F-2698-4C4D-B979-1C9EAFCA5172}"/>
    <cellStyle name="Normal 9 3 2 3 3 2 3" xfId="12091" xr:uid="{F8CC9285-5133-4F0B-A8A5-ABCF15554EA0}"/>
    <cellStyle name="Normal 9 3 2 3 3 2 4" xfId="20529" xr:uid="{ECF413F4-B92A-4EF8-81BC-B29810BBF567}"/>
    <cellStyle name="Normal 9 3 2 3 3 3" xfId="5722" xr:uid="{00000000-0005-0000-0000-0000DB1F0000}"/>
    <cellStyle name="Normal 9 3 2 3 3 3 2" xfId="14164" xr:uid="{74F884E5-B7BF-42B7-B0AE-7B6C483A8023}"/>
    <cellStyle name="Normal 9 3 2 3 3 3 3" xfId="22601" xr:uid="{4469BC4F-62F7-4620-A565-5235F48FB63C}"/>
    <cellStyle name="Normal 9 3 2 3 3 4" xfId="9946" xr:uid="{26BF401C-FE20-45A2-8D12-B1F282B2B257}"/>
    <cellStyle name="Normal 9 3 2 3 3 5" xfId="18384" xr:uid="{D7236F9B-2964-417E-B476-613813CA741E}"/>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3A3532FA-09E8-4C33-9B8C-1F14E836F536}"/>
    <cellStyle name="Normal 9 3 2 3 4 2 2 3" xfId="25159" xr:uid="{0FA70205-80AF-4C70-A883-AD70CB41DB9E}"/>
    <cellStyle name="Normal 9 3 2 3 4 2 3" xfId="12504" xr:uid="{800F988A-D910-485C-B5CC-A9971C4E855C}"/>
    <cellStyle name="Normal 9 3 2 3 4 2 4" xfId="20942" xr:uid="{FD296D1E-B114-4E8F-BCAD-0123F2882B67}"/>
    <cellStyle name="Normal 9 3 2 3 4 3" xfId="6135" xr:uid="{00000000-0005-0000-0000-0000DF1F0000}"/>
    <cellStyle name="Normal 9 3 2 3 4 3 2" xfId="14577" xr:uid="{AA23A0FE-5FD8-4649-919B-4FA70D59E6A1}"/>
    <cellStyle name="Normal 9 3 2 3 4 3 3" xfId="23014" xr:uid="{B27BD6F2-821A-4A3C-B809-5CA679A87DD6}"/>
    <cellStyle name="Normal 9 3 2 3 4 4" xfId="10359" xr:uid="{B523A8FD-3FBE-4243-99EB-FE5BDD43D006}"/>
    <cellStyle name="Normal 9 3 2 3 4 5" xfId="18797" xr:uid="{4A233EE4-F0FC-4DFD-B519-B59BC2E5D3DA}"/>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51831E33-AA1C-424A-8BD4-9E33DE4D9084}"/>
    <cellStyle name="Normal 9 3 2 3 5 2 2 3" xfId="25572" xr:uid="{6F401639-B8EF-4BBF-B82A-013ED1C0DA8C}"/>
    <cellStyle name="Normal 9 3 2 3 5 2 3" xfId="12917" xr:uid="{D0E4D2CB-1480-43A5-9B2E-6F8805CB03D6}"/>
    <cellStyle name="Normal 9 3 2 3 5 2 4" xfId="21355" xr:uid="{949CCDFD-3316-490F-94BB-2B8B7C788E05}"/>
    <cellStyle name="Normal 9 3 2 3 5 3" xfId="6548" xr:uid="{00000000-0005-0000-0000-0000E31F0000}"/>
    <cellStyle name="Normal 9 3 2 3 5 3 2" xfId="14990" xr:uid="{85F3931D-A07A-430C-8D7D-9F35AF652969}"/>
    <cellStyle name="Normal 9 3 2 3 5 3 3" xfId="23427" xr:uid="{1D415E3A-594D-4352-9B2D-BC6D5CBF4489}"/>
    <cellStyle name="Normal 9 3 2 3 5 4" xfId="10772" xr:uid="{24924D07-0BBD-4AD7-9F9B-AFE004B23E85}"/>
    <cellStyle name="Normal 9 3 2 3 5 5" xfId="19210" xr:uid="{C558FFA1-6392-4028-AEF7-6475F939D946}"/>
    <cellStyle name="Normal 9 3 2 3 6" xfId="2677" xr:uid="{00000000-0005-0000-0000-0000E41F0000}"/>
    <cellStyle name="Normal 9 3 2 3 6 2" xfId="6961" xr:uid="{00000000-0005-0000-0000-0000E51F0000}"/>
    <cellStyle name="Normal 9 3 2 3 6 2 2" xfId="15403" xr:uid="{76A307E2-E434-49CA-B309-43B318E89473}"/>
    <cellStyle name="Normal 9 3 2 3 6 2 3" xfId="23840" xr:uid="{F9726CE4-D2F9-4EF9-84BD-79CD134DC837}"/>
    <cellStyle name="Normal 9 3 2 3 6 3" xfId="11185" xr:uid="{41961DC9-F35B-4716-9BA5-724B857D8D21}"/>
    <cellStyle name="Normal 9 3 2 3 6 4" xfId="19623" xr:uid="{51D91B6B-754B-4E98-A9CE-368ECB794E0F}"/>
    <cellStyle name="Normal 9 3 2 3 7" xfId="4896" xr:uid="{00000000-0005-0000-0000-0000E61F0000}"/>
    <cellStyle name="Normal 9 3 2 3 7 2" xfId="13338" xr:uid="{0DF6796E-53D1-4A39-BC7F-9B0C9291978B}"/>
    <cellStyle name="Normal 9 3 2 3 7 3" xfId="21775" xr:uid="{61CDB9C4-C145-4E04-AB2B-9120B69339BD}"/>
    <cellStyle name="Normal 9 3 2 3 8" xfId="9120" xr:uid="{E0C74C91-33AC-4E79-8ABC-2563772A6888}"/>
    <cellStyle name="Normal 9 3 2 3 9" xfId="17558" xr:uid="{E4D91839-F0B9-4ACA-826D-1FC92013DFB9}"/>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7DC79444-53C8-495D-B320-F7C595CD345F}"/>
    <cellStyle name="Normal 9 3 2 4 2 2 3" xfId="24330" xr:uid="{E7C79541-04D9-42FA-A9A7-441805F6FE35}"/>
    <cellStyle name="Normal 9 3 2 4 2 3" xfId="11675" xr:uid="{5C856CD2-22C7-4612-9F05-0FA2DCEBF756}"/>
    <cellStyle name="Normal 9 3 2 4 2 4" xfId="20113" xr:uid="{94AACEC0-8E26-421D-B21A-111BD7AF70B8}"/>
    <cellStyle name="Normal 9 3 2 4 3" xfId="5306" xr:uid="{00000000-0005-0000-0000-0000EA1F0000}"/>
    <cellStyle name="Normal 9 3 2 4 3 2" xfId="13748" xr:uid="{FCC909E7-ADCE-441C-AD60-BC748B64C93C}"/>
    <cellStyle name="Normal 9 3 2 4 3 3" xfId="22185" xr:uid="{9BB21333-3FE2-4752-B915-306C79FF7E29}"/>
    <cellStyle name="Normal 9 3 2 4 4" xfId="9530" xr:uid="{ECC2C2E0-9921-4AE7-9938-FB744514DE18}"/>
    <cellStyle name="Normal 9 3 2 4 5" xfId="17968" xr:uid="{D1D5D748-24AD-4580-8DD2-3B1547A7906C}"/>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DB27DE31-DA68-4C0F-B2EC-E74D1D07318D}"/>
    <cellStyle name="Normal 9 3 2 5 2 2 3" xfId="24743" xr:uid="{C3ECD59C-CBDA-4637-A760-71CA694DB215}"/>
    <cellStyle name="Normal 9 3 2 5 2 3" xfId="12088" xr:uid="{F4FA37DD-EA3F-4FAC-AE42-5FD47AF0F01E}"/>
    <cellStyle name="Normal 9 3 2 5 2 4" xfId="20526" xr:uid="{24AEE259-082E-4CD8-B3C1-88C1AD1C163B}"/>
    <cellStyle name="Normal 9 3 2 5 3" xfId="5719" xr:uid="{00000000-0005-0000-0000-0000EE1F0000}"/>
    <cellStyle name="Normal 9 3 2 5 3 2" xfId="14161" xr:uid="{EE310667-79BE-4B33-8AC0-7078413633BC}"/>
    <cellStyle name="Normal 9 3 2 5 3 3" xfId="22598" xr:uid="{D16F0EDC-7C7C-48A8-8AB8-146C56B6D31B}"/>
    <cellStyle name="Normal 9 3 2 5 4" xfId="9943" xr:uid="{DF218628-B000-4551-AD09-B226B087DC79}"/>
    <cellStyle name="Normal 9 3 2 5 5" xfId="18381" xr:uid="{603771C9-061A-43ED-A662-4FA5D7F41E71}"/>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C9CC75AA-A3A3-4EF2-99FF-530E92F51BC3}"/>
    <cellStyle name="Normal 9 3 2 6 2 2 3" xfId="25156" xr:uid="{222EC9A2-BDFA-4757-8CB1-C7CE62B71C48}"/>
    <cellStyle name="Normal 9 3 2 6 2 3" xfId="12501" xr:uid="{BEEBA263-5D92-4914-AD9F-A5F7B1EE1181}"/>
    <cellStyle name="Normal 9 3 2 6 2 4" xfId="20939" xr:uid="{F50FE20C-3295-488A-97FA-BE6EF2182D7A}"/>
    <cellStyle name="Normal 9 3 2 6 3" xfId="6132" xr:uid="{00000000-0005-0000-0000-0000F21F0000}"/>
    <cellStyle name="Normal 9 3 2 6 3 2" xfId="14574" xr:uid="{EDE85D14-542B-4FA3-B78B-04570DCE39D7}"/>
    <cellStyle name="Normal 9 3 2 6 3 3" xfId="23011" xr:uid="{2CCAA986-1E1E-49DA-A0F0-6AB802BAF329}"/>
    <cellStyle name="Normal 9 3 2 6 4" xfId="10356" xr:uid="{91422938-AC38-4346-9344-7C3EE5BF4B34}"/>
    <cellStyle name="Normal 9 3 2 6 5" xfId="18794" xr:uid="{94D17B45-FE10-4CCD-BC79-9054ACB90BAB}"/>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51851ACF-3D32-4DFB-9851-F03EC804CC48}"/>
    <cellStyle name="Normal 9 3 2 7 2 2 3" xfId="25569" xr:uid="{E1B16306-C67B-4A9C-BB84-B7DE310B1AFA}"/>
    <cellStyle name="Normal 9 3 2 7 2 3" xfId="12914" xr:uid="{9FAE17D0-42EF-4269-890F-282BE7C733A1}"/>
    <cellStyle name="Normal 9 3 2 7 2 4" xfId="21352" xr:uid="{7AE2FC20-B324-4208-A4D6-4A8ED40793E5}"/>
    <cellStyle name="Normal 9 3 2 7 3" xfId="6545" xr:uid="{00000000-0005-0000-0000-0000F61F0000}"/>
    <cellStyle name="Normal 9 3 2 7 3 2" xfId="14987" xr:uid="{179D0BBA-EFCB-41F6-B0C0-58153A8FC400}"/>
    <cellStyle name="Normal 9 3 2 7 3 3" xfId="23424" xr:uid="{FD65A79F-1D0A-4062-91E9-13347D44B2D0}"/>
    <cellStyle name="Normal 9 3 2 7 4" xfId="10769" xr:uid="{40411AC4-A0F8-4250-A8C3-958BF80F7AAB}"/>
    <cellStyle name="Normal 9 3 2 7 5" xfId="19207" xr:uid="{B8BAE74C-9F48-46EA-93AD-98F99BD5D7A2}"/>
    <cellStyle name="Normal 9 3 2 8" xfId="2674" xr:uid="{00000000-0005-0000-0000-0000F71F0000}"/>
    <cellStyle name="Normal 9 3 2 8 2" xfId="6958" xr:uid="{00000000-0005-0000-0000-0000F81F0000}"/>
    <cellStyle name="Normal 9 3 2 8 2 2" xfId="15400" xr:uid="{D01954DC-4EE6-49AE-83C2-1B3305279591}"/>
    <cellStyle name="Normal 9 3 2 8 2 3" xfId="23837" xr:uid="{D10B189D-EE6C-4724-BA9B-532DFC972BC7}"/>
    <cellStyle name="Normal 9 3 2 8 3" xfId="11182" xr:uid="{7C8BBAE7-4B99-43DF-96F1-459906E6C520}"/>
    <cellStyle name="Normal 9 3 2 8 4" xfId="19620" xr:uid="{C7B0B773-CD63-4687-A684-FD2FAE4187DD}"/>
    <cellStyle name="Normal 9 3 2 9" xfId="4893" xr:uid="{00000000-0005-0000-0000-0000F91F0000}"/>
    <cellStyle name="Normal 9 3 2 9 2" xfId="13335" xr:uid="{FF1F0023-F590-4D6D-BBFB-77C92EAB26E6}"/>
    <cellStyle name="Normal 9 3 2 9 3" xfId="21772" xr:uid="{42FFBB26-6D69-4DC7-B474-4D08FB70F75B}"/>
    <cellStyle name="Normal 9 3 3" xfId="532" xr:uid="{00000000-0005-0000-0000-0000FA1F0000}"/>
    <cellStyle name="Normal 9 3 3 10" xfId="17559" xr:uid="{E0F1976E-F4AB-46C0-B94B-FBD5B00299E2}"/>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E0D766CE-2E26-4F64-AA83-6382F2FC890E}"/>
    <cellStyle name="Normal 9 3 3 2 2 2 2 3" xfId="24335" xr:uid="{1B48BE1F-659A-4732-812C-E9458B4E70D1}"/>
    <cellStyle name="Normal 9 3 3 2 2 2 3" xfId="11680" xr:uid="{50FC47A1-7203-4FF7-9C09-DD8E4DE60CE4}"/>
    <cellStyle name="Normal 9 3 3 2 2 2 4" xfId="20118" xr:uid="{07475B42-E8D2-49FC-AF7A-BA0DEA47156B}"/>
    <cellStyle name="Normal 9 3 3 2 2 3" xfId="5311" xr:uid="{00000000-0005-0000-0000-0000FF1F0000}"/>
    <cellStyle name="Normal 9 3 3 2 2 3 2" xfId="13753" xr:uid="{75D77DF6-8962-4BB2-B444-F6946486B07B}"/>
    <cellStyle name="Normal 9 3 3 2 2 3 3" xfId="22190" xr:uid="{5DAEEF09-5FFE-484F-BE20-AC9E9E0F3FE2}"/>
    <cellStyle name="Normal 9 3 3 2 2 4" xfId="9535" xr:uid="{10EF2B8E-EB18-4D18-BE97-AC7AC2E16B3E}"/>
    <cellStyle name="Normal 9 3 3 2 2 5" xfId="17973" xr:uid="{14E2512A-4987-42D1-8785-DB7A8D26F2B3}"/>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CEAE34B3-EB66-4E22-BB07-7A765F02905D}"/>
    <cellStyle name="Normal 9 3 3 2 3 2 2 3" xfId="24748" xr:uid="{412C5B48-345A-4557-901B-A66CEA5FB49E}"/>
    <cellStyle name="Normal 9 3 3 2 3 2 3" xfId="12093" xr:uid="{4FBD9064-B07C-49A1-88B5-1DEA20E9A354}"/>
    <cellStyle name="Normal 9 3 3 2 3 2 4" xfId="20531" xr:uid="{3D69A8B0-CCA1-43FC-BBD2-3A1C227B8C05}"/>
    <cellStyle name="Normal 9 3 3 2 3 3" xfId="5724" xr:uid="{00000000-0005-0000-0000-000003200000}"/>
    <cellStyle name="Normal 9 3 3 2 3 3 2" xfId="14166" xr:uid="{CE415D80-61A4-4ECF-901C-A468B15C3755}"/>
    <cellStyle name="Normal 9 3 3 2 3 3 3" xfId="22603" xr:uid="{1ECF0CFC-E757-4A25-BD2E-40B511815E16}"/>
    <cellStyle name="Normal 9 3 3 2 3 4" xfId="9948" xr:uid="{B5206C98-E29E-4EC7-8A32-2EE94D106FA6}"/>
    <cellStyle name="Normal 9 3 3 2 3 5" xfId="18386" xr:uid="{798B6ACA-5490-483B-802A-26F0600EB181}"/>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CA656446-A3AA-4C7E-B7CB-92C4CB742B44}"/>
    <cellStyle name="Normal 9 3 3 2 4 2 2 3" xfId="25161" xr:uid="{A23B82DE-0E34-4D5A-8EC0-E6923C2C5FAE}"/>
    <cellStyle name="Normal 9 3 3 2 4 2 3" xfId="12506" xr:uid="{612A7833-1A22-4AF8-8180-F409FBD11118}"/>
    <cellStyle name="Normal 9 3 3 2 4 2 4" xfId="20944" xr:uid="{1956FD0F-5B50-43B7-BE3D-3E5986A3C1AF}"/>
    <cellStyle name="Normal 9 3 3 2 4 3" xfId="6137" xr:uid="{00000000-0005-0000-0000-000007200000}"/>
    <cellStyle name="Normal 9 3 3 2 4 3 2" xfId="14579" xr:uid="{2F279F4C-358B-4D6C-AA98-86B02E59D9EB}"/>
    <cellStyle name="Normal 9 3 3 2 4 3 3" xfId="23016" xr:uid="{58EA2C56-F2A4-4E48-B632-5F56AF77583B}"/>
    <cellStyle name="Normal 9 3 3 2 4 4" xfId="10361" xr:uid="{C82FD267-58A3-4DB6-9C6E-294200480024}"/>
    <cellStyle name="Normal 9 3 3 2 4 5" xfId="18799" xr:uid="{0152CEE1-C61C-4171-AF76-C5B31DEC6D0A}"/>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67BB512C-4813-4135-B031-7D5ABA25A250}"/>
    <cellStyle name="Normal 9 3 3 2 5 2 2 3" xfId="25574" xr:uid="{549B5ED0-9A5C-4EF7-AEC5-94D506FFA762}"/>
    <cellStyle name="Normal 9 3 3 2 5 2 3" xfId="12919" xr:uid="{C3F1D9FB-78F7-4AB7-BB0F-D9B410CDB46B}"/>
    <cellStyle name="Normal 9 3 3 2 5 2 4" xfId="21357" xr:uid="{421DDA3A-F8B2-4F8A-A30A-A5D35BAB7867}"/>
    <cellStyle name="Normal 9 3 3 2 5 3" xfId="6550" xr:uid="{00000000-0005-0000-0000-00000B200000}"/>
    <cellStyle name="Normal 9 3 3 2 5 3 2" xfId="14992" xr:uid="{14F7E67D-0E8C-40D5-94D1-A2674E2AC2C9}"/>
    <cellStyle name="Normal 9 3 3 2 5 3 3" xfId="23429" xr:uid="{A1469176-0C6C-44EA-80F0-267816863288}"/>
    <cellStyle name="Normal 9 3 3 2 5 4" xfId="10774" xr:uid="{0BBDB1D0-CF0D-4367-BA48-856188152B1B}"/>
    <cellStyle name="Normal 9 3 3 2 5 5" xfId="19212" xr:uid="{ED49A560-107A-40EE-A64E-1ECB1E312E6B}"/>
    <cellStyle name="Normal 9 3 3 2 6" xfId="2679" xr:uid="{00000000-0005-0000-0000-00000C200000}"/>
    <cellStyle name="Normal 9 3 3 2 6 2" xfId="6963" xr:uid="{00000000-0005-0000-0000-00000D200000}"/>
    <cellStyle name="Normal 9 3 3 2 6 2 2" xfId="15405" xr:uid="{110DA8A5-B1F0-4902-8B5F-F295ABFF1779}"/>
    <cellStyle name="Normal 9 3 3 2 6 2 3" xfId="23842" xr:uid="{B5005E5C-0F87-411B-9DDD-022B46622D23}"/>
    <cellStyle name="Normal 9 3 3 2 6 3" xfId="11187" xr:uid="{74B8398F-DECC-45B6-B2FD-ED47027799F2}"/>
    <cellStyle name="Normal 9 3 3 2 6 4" xfId="19625" xr:uid="{8D486643-136A-4976-812F-E2A03A1ABED2}"/>
    <cellStyle name="Normal 9 3 3 2 7" xfId="4898" xr:uid="{00000000-0005-0000-0000-00000E200000}"/>
    <cellStyle name="Normal 9 3 3 2 7 2" xfId="13340" xr:uid="{5EFD91D5-0630-408F-8FC3-9A9921B79676}"/>
    <cellStyle name="Normal 9 3 3 2 7 3" xfId="21777" xr:uid="{C6AC59A3-04FC-44A5-BF98-DC678A52F6DC}"/>
    <cellStyle name="Normal 9 3 3 2 8" xfId="9122" xr:uid="{20CFAFC6-976F-4CCB-B1D2-ED3CFCE6BEDF}"/>
    <cellStyle name="Normal 9 3 3 2 9" xfId="17560" xr:uid="{84A1A91F-E45B-4F4F-9478-2C7FF6AC0F12}"/>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985CB608-0359-484E-9F88-9672A5446C37}"/>
    <cellStyle name="Normal 9 3 3 3 2 2 3" xfId="24334" xr:uid="{4E5C86E2-63D9-496D-BD89-68CB6586BEBC}"/>
    <cellStyle name="Normal 9 3 3 3 2 3" xfId="11679" xr:uid="{3A4C9951-4D48-4A92-84BA-FEBA356C8526}"/>
    <cellStyle name="Normal 9 3 3 3 2 4" xfId="20117" xr:uid="{DC2C6908-D5B2-4E54-A4D9-73B419DF2D95}"/>
    <cellStyle name="Normal 9 3 3 3 3" xfId="5310" xr:uid="{00000000-0005-0000-0000-000012200000}"/>
    <cellStyle name="Normal 9 3 3 3 3 2" xfId="13752" xr:uid="{7234B249-31C5-4435-8999-55B602618326}"/>
    <cellStyle name="Normal 9 3 3 3 3 3" xfId="22189" xr:uid="{B607297B-0649-4760-AA0F-D6F5714D2E9E}"/>
    <cellStyle name="Normal 9 3 3 3 4" xfId="9534" xr:uid="{B1E0F408-2D7C-4E5B-A66A-FE7AA6D2FA7D}"/>
    <cellStyle name="Normal 9 3 3 3 5" xfId="17972" xr:uid="{BB093A22-CA05-4FC3-81BD-29728993F0C1}"/>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23A9C5EA-C2B2-42DF-8486-CF1AF65AE98D}"/>
    <cellStyle name="Normal 9 3 3 4 2 2 3" xfId="24747" xr:uid="{2BF22CC4-5837-42D4-BA09-703F8FF9D98A}"/>
    <cellStyle name="Normal 9 3 3 4 2 3" xfId="12092" xr:uid="{D75486A5-A748-4B1F-9DD5-0B0FEB219F4B}"/>
    <cellStyle name="Normal 9 3 3 4 2 4" xfId="20530" xr:uid="{79C6C9B7-9A43-4802-B265-D0CE6BB1C443}"/>
    <cellStyle name="Normal 9 3 3 4 3" xfId="5723" xr:uid="{00000000-0005-0000-0000-000016200000}"/>
    <cellStyle name="Normal 9 3 3 4 3 2" xfId="14165" xr:uid="{E0AA9869-394A-4A74-BB15-E6DA35AF59EE}"/>
    <cellStyle name="Normal 9 3 3 4 3 3" xfId="22602" xr:uid="{690750AB-79B1-4469-8715-5D444B423D8B}"/>
    <cellStyle name="Normal 9 3 3 4 4" xfId="9947" xr:uid="{9364B564-8261-4251-8741-2B6800B16428}"/>
    <cellStyle name="Normal 9 3 3 4 5" xfId="18385" xr:uid="{127AC61C-EEEF-4D9F-A9F0-89A3F118A384}"/>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9C7D8D96-A8AD-49AA-8AB8-0AE310168FFC}"/>
    <cellStyle name="Normal 9 3 3 5 2 2 3" xfId="25160" xr:uid="{363155F7-9668-4DC9-BAA7-685CC24D47B1}"/>
    <cellStyle name="Normal 9 3 3 5 2 3" xfId="12505" xr:uid="{042E3B00-FC8F-44CE-9423-258EE9080EEB}"/>
    <cellStyle name="Normal 9 3 3 5 2 4" xfId="20943" xr:uid="{8F634A7E-FA4F-4147-8C8F-D85B61EAA040}"/>
    <cellStyle name="Normal 9 3 3 5 3" xfId="6136" xr:uid="{00000000-0005-0000-0000-00001A200000}"/>
    <cellStyle name="Normal 9 3 3 5 3 2" xfId="14578" xr:uid="{6E0CD984-1651-4B36-9044-9B005127A0A9}"/>
    <cellStyle name="Normal 9 3 3 5 3 3" xfId="23015" xr:uid="{45FA8120-49C2-4187-9915-250CA011E5CF}"/>
    <cellStyle name="Normal 9 3 3 5 4" xfId="10360" xr:uid="{DA2C36ED-CA9C-4265-8E36-B864FECDF50C}"/>
    <cellStyle name="Normal 9 3 3 5 5" xfId="18798" xr:uid="{9BF4C442-FCC1-4D34-B379-1D755B8EC7FA}"/>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094C765D-4CCE-4D3C-ABC1-DFAB2792A47B}"/>
    <cellStyle name="Normal 9 3 3 6 2 2 3" xfId="25573" xr:uid="{C7809893-499B-4A9A-B696-E1DE1CF9819B}"/>
    <cellStyle name="Normal 9 3 3 6 2 3" xfId="12918" xr:uid="{A385B2DC-13EF-421C-A1CE-E9C7533CA615}"/>
    <cellStyle name="Normal 9 3 3 6 2 4" xfId="21356" xr:uid="{6A26C8AD-07BC-4243-BE55-2C95B9A4BFA5}"/>
    <cellStyle name="Normal 9 3 3 6 3" xfId="6549" xr:uid="{00000000-0005-0000-0000-00001E200000}"/>
    <cellStyle name="Normal 9 3 3 6 3 2" xfId="14991" xr:uid="{03060ADC-0F57-4733-B8FD-D58C580599F9}"/>
    <cellStyle name="Normal 9 3 3 6 3 3" xfId="23428" xr:uid="{07C5A65E-9505-45F9-92A0-02BB2E31FECC}"/>
    <cellStyle name="Normal 9 3 3 6 4" xfId="10773" xr:uid="{785B2A91-5DF8-41EB-83B3-FE7D7DBC70CD}"/>
    <cellStyle name="Normal 9 3 3 6 5" xfId="19211" xr:uid="{B67A673E-EB75-4BE1-842D-4D6FD1D81681}"/>
    <cellStyle name="Normal 9 3 3 7" xfId="2678" xr:uid="{00000000-0005-0000-0000-00001F200000}"/>
    <cellStyle name="Normal 9 3 3 7 2" xfId="6962" xr:uid="{00000000-0005-0000-0000-000020200000}"/>
    <cellStyle name="Normal 9 3 3 7 2 2" xfId="15404" xr:uid="{F48455FE-7292-492D-B544-B2CF32FD2812}"/>
    <cellStyle name="Normal 9 3 3 7 2 3" xfId="23841" xr:uid="{58CE26CD-7B1B-4736-84DD-64364F78ADC6}"/>
    <cellStyle name="Normal 9 3 3 7 3" xfId="11186" xr:uid="{58EBB757-B133-4C1D-B2C7-60D63A870D98}"/>
    <cellStyle name="Normal 9 3 3 7 4" xfId="19624" xr:uid="{3BF423E3-BE12-48CA-94E8-2EB9FD928F0F}"/>
    <cellStyle name="Normal 9 3 3 8" xfId="4897" xr:uid="{00000000-0005-0000-0000-000021200000}"/>
    <cellStyle name="Normal 9 3 3 8 2" xfId="13339" xr:uid="{D4D2D635-EAC4-497D-B1E4-0686F16322EC}"/>
    <cellStyle name="Normal 9 3 3 8 3" xfId="21776" xr:uid="{FF43C3B8-E6FF-45F9-9022-896513D83C54}"/>
    <cellStyle name="Normal 9 3 3 9" xfId="9121" xr:uid="{FA46D4F4-6F6A-43EE-B68B-DD49D7E180A9}"/>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707B4FFC-A741-4D8D-8AE4-660509D32B00}"/>
    <cellStyle name="Normal 9 3 4 2 2 2 3" xfId="24336" xr:uid="{358ECBAA-6581-41EB-B88D-C2D83F07E621}"/>
    <cellStyle name="Normal 9 3 4 2 2 3" xfId="11681" xr:uid="{A22CFBC8-FD87-4381-8E9D-D303513A450C}"/>
    <cellStyle name="Normal 9 3 4 2 2 4" xfId="20119" xr:uid="{FBE9F478-A2DB-4BD3-B24C-D2B44004F41A}"/>
    <cellStyle name="Normal 9 3 4 2 3" xfId="5312" xr:uid="{00000000-0005-0000-0000-000026200000}"/>
    <cellStyle name="Normal 9 3 4 2 3 2" xfId="13754" xr:uid="{91DD2803-69DF-488A-A50D-CF76C4CE8498}"/>
    <cellStyle name="Normal 9 3 4 2 3 3" xfId="22191" xr:uid="{011B3FD1-D229-43D7-98CB-FE4A4CCFD633}"/>
    <cellStyle name="Normal 9 3 4 2 4" xfId="9536" xr:uid="{55ACE04A-0638-40D7-8DE4-EC5C6626A7E3}"/>
    <cellStyle name="Normal 9 3 4 2 5" xfId="17974" xr:uid="{EF6973FE-54AA-4FD6-8BD5-C4AA231C3D3B}"/>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9BB6DF1B-C3D6-4BAF-9DFC-A54D6689E366}"/>
    <cellStyle name="Normal 9 3 4 3 2 2 3" xfId="24749" xr:uid="{EA29D187-A469-4F11-B7C9-549091DC009D}"/>
    <cellStyle name="Normal 9 3 4 3 2 3" xfId="12094" xr:uid="{A4EA484C-D236-49D1-A33C-9D3FEC3511F5}"/>
    <cellStyle name="Normal 9 3 4 3 2 4" xfId="20532" xr:uid="{31C00A69-D530-4CFE-846D-5B474743F1DA}"/>
    <cellStyle name="Normal 9 3 4 3 3" xfId="5725" xr:uid="{00000000-0005-0000-0000-00002A200000}"/>
    <cellStyle name="Normal 9 3 4 3 3 2" xfId="14167" xr:uid="{0C597314-7527-44AF-ABD5-CF4F348C6615}"/>
    <cellStyle name="Normal 9 3 4 3 3 3" xfId="22604" xr:uid="{8230B625-B60F-4D78-94E7-E757C514EFE1}"/>
    <cellStyle name="Normal 9 3 4 3 4" xfId="9949" xr:uid="{5EE80435-4D88-48FF-901D-7789787EF9B2}"/>
    <cellStyle name="Normal 9 3 4 3 5" xfId="18387" xr:uid="{BA58FA81-DD43-4B1D-83FE-5F73D05231A2}"/>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67705281-A0C8-4E0E-8290-C8FC6B2CF286}"/>
    <cellStyle name="Normal 9 3 4 4 2 2 3" xfId="25162" xr:uid="{23AFD98C-E451-4778-B026-EACD5BF0FCF3}"/>
    <cellStyle name="Normal 9 3 4 4 2 3" xfId="12507" xr:uid="{C9A2D4DC-948A-43EB-B060-8017F6CCEFF1}"/>
    <cellStyle name="Normal 9 3 4 4 2 4" xfId="20945" xr:uid="{F03D28BD-AD4C-4F8F-92A2-FD0C154C67BB}"/>
    <cellStyle name="Normal 9 3 4 4 3" xfId="6138" xr:uid="{00000000-0005-0000-0000-00002E200000}"/>
    <cellStyle name="Normal 9 3 4 4 3 2" xfId="14580" xr:uid="{6010E2A4-4093-4AAA-8E15-420F9DF8A5BB}"/>
    <cellStyle name="Normal 9 3 4 4 3 3" xfId="23017" xr:uid="{7FC4AD38-5587-45B1-81AD-940995E1D5F9}"/>
    <cellStyle name="Normal 9 3 4 4 4" xfId="10362" xr:uid="{8B910AF2-6697-4271-BFC4-29B0483C914A}"/>
    <cellStyle name="Normal 9 3 4 4 5" xfId="18800" xr:uid="{9E220688-0E18-432C-8A9D-284A55329331}"/>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567AF8AD-9294-4B85-8D12-CFA8A795FCF5}"/>
    <cellStyle name="Normal 9 3 4 5 2 2 3" xfId="25575" xr:uid="{A505A1D0-62B7-4CCA-9FB7-DF47081EDE5B}"/>
    <cellStyle name="Normal 9 3 4 5 2 3" xfId="12920" xr:uid="{3174EC1D-9D14-4219-98AE-86C521657EA4}"/>
    <cellStyle name="Normal 9 3 4 5 2 4" xfId="21358" xr:uid="{F642D8E7-BDCB-48CC-81D2-5FF41F453ACF}"/>
    <cellStyle name="Normal 9 3 4 5 3" xfId="6551" xr:uid="{00000000-0005-0000-0000-000032200000}"/>
    <cellStyle name="Normal 9 3 4 5 3 2" xfId="14993" xr:uid="{CC94F275-E2B8-407E-B046-0798A6D93FB3}"/>
    <cellStyle name="Normal 9 3 4 5 3 3" xfId="23430" xr:uid="{D31E7E8B-1E4C-478E-86C7-DA48D004E45A}"/>
    <cellStyle name="Normal 9 3 4 5 4" xfId="10775" xr:uid="{83DFE751-FCEA-471A-AFC7-7B517726771F}"/>
    <cellStyle name="Normal 9 3 4 5 5" xfId="19213" xr:uid="{84378A9A-EAF9-4A41-AA4E-071691B85B85}"/>
    <cellStyle name="Normal 9 3 4 6" xfId="2680" xr:uid="{00000000-0005-0000-0000-000033200000}"/>
    <cellStyle name="Normal 9 3 4 6 2" xfId="6964" xr:uid="{00000000-0005-0000-0000-000034200000}"/>
    <cellStyle name="Normal 9 3 4 6 2 2" xfId="15406" xr:uid="{8257E930-F5BF-483F-8DD3-5A7243EAFBF8}"/>
    <cellStyle name="Normal 9 3 4 6 2 3" xfId="23843" xr:uid="{B0538EAC-E451-46D1-BD33-D1D1F0FD044B}"/>
    <cellStyle name="Normal 9 3 4 6 3" xfId="11188" xr:uid="{AF0DD30B-9E89-4D32-9CC2-063085860B86}"/>
    <cellStyle name="Normal 9 3 4 6 4" xfId="19626" xr:uid="{DBA5D1E6-2646-4021-8770-F68A0E4EEFAE}"/>
    <cellStyle name="Normal 9 3 4 7" xfId="4899" xr:uid="{00000000-0005-0000-0000-000035200000}"/>
    <cellStyle name="Normal 9 3 4 7 2" xfId="13341" xr:uid="{95A36CAC-C86F-448C-A5ED-85CAFE70F9CF}"/>
    <cellStyle name="Normal 9 3 4 7 3" xfId="21778" xr:uid="{2B2DB728-48E6-471D-8AE8-F6CBA5A3EAF1}"/>
    <cellStyle name="Normal 9 3 4 8" xfId="9123" xr:uid="{31A27411-B460-4C46-86FA-6BA468511CF5}"/>
    <cellStyle name="Normal 9 3 4 9" xfId="17561" xr:uid="{5DB87BFD-0B8C-4634-8F0C-8B67BD07BA1F}"/>
    <cellStyle name="Normal 9 3 5" xfId="994" xr:uid="{00000000-0005-0000-0000-000036200000}"/>
    <cellStyle name="Normal 9 3 5 2" xfId="3227" xr:uid="{00000000-0005-0000-0000-000037200000}"/>
    <cellStyle name="Normal 9 3 5 2 2" xfId="7450" xr:uid="{00000000-0005-0000-0000-000038200000}"/>
    <cellStyle name="Normal 9 3 5 2 2 2" xfId="15892" xr:uid="{82AF3881-6E73-4C02-8AA9-C2D731BDE717}"/>
    <cellStyle name="Normal 9 3 5 2 2 3" xfId="24329" xr:uid="{D44A5F25-096F-4F51-9DBC-B39F378A2864}"/>
    <cellStyle name="Normal 9 3 5 2 3" xfId="11674" xr:uid="{7AA86C99-4F20-4B19-A5DB-037E1162492B}"/>
    <cellStyle name="Normal 9 3 5 2 4" xfId="20112" xr:uid="{59EA0AA7-EBE2-4617-A9EF-5974175B09CF}"/>
    <cellStyle name="Normal 9 3 5 3" xfId="5305" xr:uid="{00000000-0005-0000-0000-000039200000}"/>
    <cellStyle name="Normal 9 3 5 3 2" xfId="13747" xr:uid="{7C2BDF8F-582C-42BD-9EFC-DBC6238AC4DF}"/>
    <cellStyle name="Normal 9 3 5 3 3" xfId="22184" xr:uid="{150F4DCC-1BEE-40AF-97DD-65CE03DBAD0F}"/>
    <cellStyle name="Normal 9 3 5 4" xfId="9529" xr:uid="{8DC668CA-846B-4C36-8C67-5EACF7D0C984}"/>
    <cellStyle name="Normal 9 3 5 5" xfId="17967" xr:uid="{D84A6FA7-BCBE-4224-ABB9-AB873FF7527D}"/>
    <cellStyle name="Normal 9 3 6" xfId="1410" xr:uid="{00000000-0005-0000-0000-00003A200000}"/>
    <cellStyle name="Normal 9 3 6 2" xfId="3640" xr:uid="{00000000-0005-0000-0000-00003B200000}"/>
    <cellStyle name="Normal 9 3 6 2 2" xfId="7863" xr:uid="{00000000-0005-0000-0000-00003C200000}"/>
    <cellStyle name="Normal 9 3 6 2 2 2" xfId="16305" xr:uid="{C1FC53B7-F417-4487-8226-A4D3215082CF}"/>
    <cellStyle name="Normal 9 3 6 2 2 3" xfId="24742" xr:uid="{8228C749-F061-4458-8069-468CC14802F4}"/>
    <cellStyle name="Normal 9 3 6 2 3" xfId="12087" xr:uid="{C935AF08-7BCF-4E87-8EAB-3686D3FC4186}"/>
    <cellStyle name="Normal 9 3 6 2 4" xfId="20525" xr:uid="{7702E423-B65F-4DB9-9711-430E70CF4EB1}"/>
    <cellStyle name="Normal 9 3 6 3" xfId="5718" xr:uid="{00000000-0005-0000-0000-00003D200000}"/>
    <cellStyle name="Normal 9 3 6 3 2" xfId="14160" xr:uid="{E24B4332-DDF4-46DE-AB1F-2F18E822CE7D}"/>
    <cellStyle name="Normal 9 3 6 3 3" xfId="22597" xr:uid="{9244B6AD-3C0A-4929-92A4-BC66F8AD9D25}"/>
    <cellStyle name="Normal 9 3 6 4" xfId="9942" xr:uid="{44F00441-6782-4AED-8A41-46E133343C17}"/>
    <cellStyle name="Normal 9 3 6 5" xfId="18380" xr:uid="{6DECE5CF-14F4-4E24-8D3C-00D6E513396F}"/>
    <cellStyle name="Normal 9 3 7" xfId="1823" xr:uid="{00000000-0005-0000-0000-00003E200000}"/>
    <cellStyle name="Normal 9 3 7 2" xfId="4053" xr:uid="{00000000-0005-0000-0000-00003F200000}"/>
    <cellStyle name="Normal 9 3 7 2 2" xfId="8276" xr:uid="{00000000-0005-0000-0000-000040200000}"/>
    <cellStyle name="Normal 9 3 7 2 2 2" xfId="16718" xr:uid="{BB3C7AB4-E954-4907-9F85-F1380EF518F1}"/>
    <cellStyle name="Normal 9 3 7 2 2 3" xfId="25155" xr:uid="{FD053D55-3FC3-49FA-96D4-DB318B9F38D3}"/>
    <cellStyle name="Normal 9 3 7 2 3" xfId="12500" xr:uid="{9AD19B0B-BB91-4391-9C66-98ED0FDC4F07}"/>
    <cellStyle name="Normal 9 3 7 2 4" xfId="20938" xr:uid="{45025B15-423D-4AAA-9A18-55B904D4F161}"/>
    <cellStyle name="Normal 9 3 7 3" xfId="6131" xr:uid="{00000000-0005-0000-0000-000041200000}"/>
    <cellStyle name="Normal 9 3 7 3 2" xfId="14573" xr:uid="{AE7FF141-8204-452F-A792-8BA7DB79A046}"/>
    <cellStyle name="Normal 9 3 7 3 3" xfId="23010" xr:uid="{54197126-BA07-44B1-930D-5788430ABCD0}"/>
    <cellStyle name="Normal 9 3 7 4" xfId="10355" xr:uid="{C119AE71-FFFE-49A3-9367-5F2052CF2C4D}"/>
    <cellStyle name="Normal 9 3 7 5" xfId="18793" xr:uid="{2998BEC1-24F1-4259-9D71-06792FAC14A9}"/>
    <cellStyle name="Normal 9 3 8" xfId="2237" xr:uid="{00000000-0005-0000-0000-000042200000}"/>
    <cellStyle name="Normal 9 3 8 2" xfId="4466" xr:uid="{00000000-0005-0000-0000-000043200000}"/>
    <cellStyle name="Normal 9 3 8 2 2" xfId="8689" xr:uid="{00000000-0005-0000-0000-000044200000}"/>
    <cellStyle name="Normal 9 3 8 2 2 2" xfId="17131" xr:uid="{E3DAF5D4-F71A-4496-AE5A-51FC267B7C42}"/>
    <cellStyle name="Normal 9 3 8 2 2 3" xfId="25568" xr:uid="{1703AA96-A723-4B03-95F5-04742A394DEA}"/>
    <cellStyle name="Normal 9 3 8 2 3" xfId="12913" xr:uid="{5A538101-55B1-43CE-8F35-71B742CB7ADA}"/>
    <cellStyle name="Normal 9 3 8 2 4" xfId="21351" xr:uid="{69341A22-DA55-493A-B5CD-19549DDA1B94}"/>
    <cellStyle name="Normal 9 3 8 3" xfId="6544" xr:uid="{00000000-0005-0000-0000-000045200000}"/>
    <cellStyle name="Normal 9 3 8 3 2" xfId="14986" xr:uid="{6F736659-8DC5-470F-A655-CE2550051564}"/>
    <cellStyle name="Normal 9 3 8 3 3" xfId="23423" xr:uid="{00757945-0C35-479A-BF98-02B5999CFE1A}"/>
    <cellStyle name="Normal 9 3 8 4" xfId="10768" xr:uid="{AAEB36FD-D948-415B-AA5E-92E206CF66FC}"/>
    <cellStyle name="Normal 9 3 8 5" xfId="19206" xr:uid="{E87C54E9-BD7C-44EE-AC91-1F7636642A2D}"/>
    <cellStyle name="Normal 9 3 9" xfId="2673" xr:uid="{00000000-0005-0000-0000-000046200000}"/>
    <cellStyle name="Normal 9 3 9 2" xfId="6957" xr:uid="{00000000-0005-0000-0000-000047200000}"/>
    <cellStyle name="Normal 9 3 9 2 2" xfId="15399" xr:uid="{9F1F5B48-2403-409C-B189-F6477EFF7866}"/>
    <cellStyle name="Normal 9 3 9 2 3" xfId="23836" xr:uid="{45C188CC-C57A-479F-9641-2AB44DF950C6}"/>
    <cellStyle name="Normal 9 3 9 3" xfId="11181" xr:uid="{8B54B946-3F76-4552-8BAB-69A1C5F330E7}"/>
    <cellStyle name="Normal 9 3 9 4" xfId="19619" xr:uid="{298071F5-909C-4816-9143-2A966B5D0E4B}"/>
    <cellStyle name="Normal 9 4" xfId="535" xr:uid="{00000000-0005-0000-0000-000048200000}"/>
    <cellStyle name="Normal 9 4 2" xfId="1002" xr:uid="{00000000-0005-0000-0000-000049200000}"/>
    <cellStyle name="Normal 9 5" xfId="536" xr:uid="{00000000-0005-0000-0000-00004A200000}"/>
    <cellStyle name="Normal 9 5 10" xfId="17562" xr:uid="{E866CAB5-6A3C-4AD2-8678-A6483CB17021}"/>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1A16DC27-433E-4E77-BE85-B11C30007AE6}"/>
    <cellStyle name="Normal 9 5 2 2 2 2 3" xfId="24338" xr:uid="{F0826D23-DBDF-4862-9CD2-3654CCA7396B}"/>
    <cellStyle name="Normal 9 5 2 2 2 3" xfId="11683" xr:uid="{EA2FCCE7-D41F-4C06-9F5B-E1DC9F909545}"/>
    <cellStyle name="Normal 9 5 2 2 2 4" xfId="20121" xr:uid="{AA71BA4F-6F25-43C8-AABC-703E6EB64ECE}"/>
    <cellStyle name="Normal 9 5 2 2 3" xfId="5314" xr:uid="{00000000-0005-0000-0000-00004F200000}"/>
    <cellStyle name="Normal 9 5 2 2 3 2" xfId="13756" xr:uid="{3FDEED77-CC0D-4926-88DA-A143C721D5E5}"/>
    <cellStyle name="Normal 9 5 2 2 3 3" xfId="22193" xr:uid="{BF418F51-0DAE-43D2-B8E4-697ADB60836E}"/>
    <cellStyle name="Normal 9 5 2 2 4" xfId="9538" xr:uid="{79894292-83E2-41A7-AC98-1D8740068CFD}"/>
    <cellStyle name="Normal 9 5 2 2 5" xfId="17976" xr:uid="{44D507EE-372B-4830-A180-AB36EE70A72B}"/>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EF463317-ABE1-41DC-8A82-CCE9BD3BFD5A}"/>
    <cellStyle name="Normal 9 5 2 3 2 2 3" xfId="24751" xr:uid="{17F3304F-7B1A-49FB-8720-7C7793F89C11}"/>
    <cellStyle name="Normal 9 5 2 3 2 3" xfId="12096" xr:uid="{4128F6E8-692D-4782-AC38-A22455270DDF}"/>
    <cellStyle name="Normal 9 5 2 3 2 4" xfId="20534" xr:uid="{409154B1-A3C4-42C0-B5AF-BA8D4FAC3C83}"/>
    <cellStyle name="Normal 9 5 2 3 3" xfId="5727" xr:uid="{00000000-0005-0000-0000-000053200000}"/>
    <cellStyle name="Normal 9 5 2 3 3 2" xfId="14169" xr:uid="{95661FC4-BD7F-4459-A646-02DAC0255A12}"/>
    <cellStyle name="Normal 9 5 2 3 3 3" xfId="22606" xr:uid="{F1093ACA-1AD0-42B7-AF55-B216265BC446}"/>
    <cellStyle name="Normal 9 5 2 3 4" xfId="9951" xr:uid="{3A58DC28-C4DB-40D0-8D57-E18A1CA82DD2}"/>
    <cellStyle name="Normal 9 5 2 3 5" xfId="18389" xr:uid="{41A9A577-F20C-45F4-83F5-1747500132CD}"/>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8F9BEC71-F88C-4255-9BE8-897643B85C49}"/>
    <cellStyle name="Normal 9 5 2 4 2 2 3" xfId="25164" xr:uid="{C12085BB-9D67-4AFD-82F2-35847B7DC49B}"/>
    <cellStyle name="Normal 9 5 2 4 2 3" xfId="12509" xr:uid="{9C774BF4-17B6-4DF5-9DCE-EF59D8BF4D61}"/>
    <cellStyle name="Normal 9 5 2 4 2 4" xfId="20947" xr:uid="{1A39F645-4410-4735-AB6E-0C2C61EC9B3C}"/>
    <cellStyle name="Normal 9 5 2 4 3" xfId="6140" xr:uid="{00000000-0005-0000-0000-000057200000}"/>
    <cellStyle name="Normal 9 5 2 4 3 2" xfId="14582" xr:uid="{C0E4EE90-61A0-4367-9964-524C7122C29A}"/>
    <cellStyle name="Normal 9 5 2 4 3 3" xfId="23019" xr:uid="{B4E7C69E-A514-4D84-B7B7-EA8E7F862BCC}"/>
    <cellStyle name="Normal 9 5 2 4 4" xfId="10364" xr:uid="{4436EA72-4D2A-4781-A654-6C112D9C0C47}"/>
    <cellStyle name="Normal 9 5 2 4 5" xfId="18802" xr:uid="{787B0B17-0A9A-45CD-BB23-4D083C82B49E}"/>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FB73F332-264B-4F17-999C-B46DE89BC696}"/>
    <cellStyle name="Normal 9 5 2 5 2 2 3" xfId="25577" xr:uid="{641A6667-8C7E-4E28-A122-BC132E750BA9}"/>
    <cellStyle name="Normal 9 5 2 5 2 3" xfId="12922" xr:uid="{0E6D79F0-329B-43B0-B9AA-6A611D4C42B6}"/>
    <cellStyle name="Normal 9 5 2 5 2 4" xfId="21360" xr:uid="{D756744B-CA97-457A-9240-3F18A51638B1}"/>
    <cellStyle name="Normal 9 5 2 5 3" xfId="6553" xr:uid="{00000000-0005-0000-0000-00005B200000}"/>
    <cellStyle name="Normal 9 5 2 5 3 2" xfId="14995" xr:uid="{B9AF8A88-B03A-4559-8294-83ECE394D0DC}"/>
    <cellStyle name="Normal 9 5 2 5 3 3" xfId="23432" xr:uid="{8354E0DF-CA01-4FAF-BAFE-165CDD0B12C5}"/>
    <cellStyle name="Normal 9 5 2 5 4" xfId="10777" xr:uid="{0D822953-9B24-40A2-8EF5-2CB93621F11F}"/>
    <cellStyle name="Normal 9 5 2 5 5" xfId="19215" xr:uid="{77E5FD61-06F3-4C2E-B674-CCF7C0AAFC1A}"/>
    <cellStyle name="Normal 9 5 2 6" xfId="2682" xr:uid="{00000000-0005-0000-0000-00005C200000}"/>
    <cellStyle name="Normal 9 5 2 6 2" xfId="6966" xr:uid="{00000000-0005-0000-0000-00005D200000}"/>
    <cellStyle name="Normal 9 5 2 6 2 2" xfId="15408" xr:uid="{80B84BE2-8EEB-4320-B13A-383E23584DF5}"/>
    <cellStyle name="Normal 9 5 2 6 2 3" xfId="23845" xr:uid="{FC4BB6E0-B364-46F4-AE85-6127C44AA6A7}"/>
    <cellStyle name="Normal 9 5 2 6 3" xfId="11190" xr:uid="{512978DD-E55C-4D58-80D1-7C06D71DC733}"/>
    <cellStyle name="Normal 9 5 2 6 4" xfId="19628" xr:uid="{2F89D55B-0B15-4F82-93D2-661DDC906048}"/>
    <cellStyle name="Normal 9 5 2 7" xfId="4901" xr:uid="{00000000-0005-0000-0000-00005E200000}"/>
    <cellStyle name="Normal 9 5 2 7 2" xfId="13343" xr:uid="{3A3942DD-6A1B-4B61-958B-D9A0EEAC9059}"/>
    <cellStyle name="Normal 9 5 2 7 3" xfId="21780" xr:uid="{FF6A0BD8-99F3-4CE8-88A3-D23A522D163C}"/>
    <cellStyle name="Normal 9 5 2 8" xfId="9125" xr:uid="{E4C6438C-5072-4FD5-932D-CD4017999107}"/>
    <cellStyle name="Normal 9 5 2 9" xfId="17563" xr:uid="{4F1E89AA-8A69-4730-9A90-419D02C38AA4}"/>
    <cellStyle name="Normal 9 5 3" xfId="1003" xr:uid="{00000000-0005-0000-0000-00005F200000}"/>
    <cellStyle name="Normal 9 5 3 2" xfId="3235" xr:uid="{00000000-0005-0000-0000-000060200000}"/>
    <cellStyle name="Normal 9 5 3 2 2" xfId="7458" xr:uid="{00000000-0005-0000-0000-000061200000}"/>
    <cellStyle name="Normal 9 5 3 2 2 2" xfId="15900" xr:uid="{177B50AC-B43B-490A-839C-0BE378F85D18}"/>
    <cellStyle name="Normal 9 5 3 2 2 3" xfId="24337" xr:uid="{B376ED40-8CCE-4761-B459-6EC157C56FFA}"/>
    <cellStyle name="Normal 9 5 3 2 3" xfId="11682" xr:uid="{455BCCD5-B2F2-4E8F-B34E-7097E5DB4B88}"/>
    <cellStyle name="Normal 9 5 3 2 4" xfId="20120" xr:uid="{DD96550C-8DF8-4C8F-86D2-8EAC1FEAC5B0}"/>
    <cellStyle name="Normal 9 5 3 3" xfId="5313" xr:uid="{00000000-0005-0000-0000-000062200000}"/>
    <cellStyle name="Normal 9 5 3 3 2" xfId="13755" xr:uid="{F0A74E07-1585-4AA8-8D3F-F61222DD17E0}"/>
    <cellStyle name="Normal 9 5 3 3 3" xfId="22192" xr:uid="{3427CAF6-D33F-4EC6-91DB-6582EB17D511}"/>
    <cellStyle name="Normal 9 5 3 4" xfId="9537" xr:uid="{EDF2C343-4913-4714-88A8-39DDC21CB8E2}"/>
    <cellStyle name="Normal 9 5 3 5" xfId="17975" xr:uid="{5B265EF8-AA11-476E-88DD-3741137221A3}"/>
    <cellStyle name="Normal 9 5 4" xfId="1418" xr:uid="{00000000-0005-0000-0000-000063200000}"/>
    <cellStyle name="Normal 9 5 4 2" xfId="3648" xr:uid="{00000000-0005-0000-0000-000064200000}"/>
    <cellStyle name="Normal 9 5 4 2 2" xfId="7871" xr:uid="{00000000-0005-0000-0000-000065200000}"/>
    <cellStyle name="Normal 9 5 4 2 2 2" xfId="16313" xr:uid="{80F97791-1424-4C18-AAC7-2FC846928762}"/>
    <cellStyle name="Normal 9 5 4 2 2 3" xfId="24750" xr:uid="{A365653A-C968-42C0-BF6F-19A2ABD8C28D}"/>
    <cellStyle name="Normal 9 5 4 2 3" xfId="12095" xr:uid="{E3F87941-A2ED-4355-942C-673678894EC6}"/>
    <cellStyle name="Normal 9 5 4 2 4" xfId="20533" xr:uid="{7F7B57F0-45D2-4F7E-B37B-109CAF190D3A}"/>
    <cellStyle name="Normal 9 5 4 3" xfId="5726" xr:uid="{00000000-0005-0000-0000-000066200000}"/>
    <cellStyle name="Normal 9 5 4 3 2" xfId="14168" xr:uid="{D27ED438-3D2C-428A-AE17-C4F654B7C239}"/>
    <cellStyle name="Normal 9 5 4 3 3" xfId="22605" xr:uid="{5E36FF7B-3D6B-4804-9C44-DA8888881378}"/>
    <cellStyle name="Normal 9 5 4 4" xfId="9950" xr:uid="{D8A0CC2C-4653-4D3B-9444-9DE18328E57A}"/>
    <cellStyle name="Normal 9 5 4 5" xfId="18388" xr:uid="{5F4E5781-0BF7-45A6-8947-9CD4728052D0}"/>
    <cellStyle name="Normal 9 5 5" xfId="1831" xr:uid="{00000000-0005-0000-0000-000067200000}"/>
    <cellStyle name="Normal 9 5 5 2" xfId="4061" xr:uid="{00000000-0005-0000-0000-000068200000}"/>
    <cellStyle name="Normal 9 5 5 2 2" xfId="8284" xr:uid="{00000000-0005-0000-0000-000069200000}"/>
    <cellStyle name="Normal 9 5 5 2 2 2" xfId="16726" xr:uid="{D3BCA692-4FB5-460E-AC0F-B2A37D340524}"/>
    <cellStyle name="Normal 9 5 5 2 2 3" xfId="25163" xr:uid="{98D95E2B-9A1F-4B57-8749-44B704E37A43}"/>
    <cellStyle name="Normal 9 5 5 2 3" xfId="12508" xr:uid="{5B12EAAB-01D9-42BF-A2A1-C3020FAD914A}"/>
    <cellStyle name="Normal 9 5 5 2 4" xfId="20946" xr:uid="{B51DAC0B-E4CE-4A26-A613-A5004522893D}"/>
    <cellStyle name="Normal 9 5 5 3" xfId="6139" xr:uid="{00000000-0005-0000-0000-00006A200000}"/>
    <cellStyle name="Normal 9 5 5 3 2" xfId="14581" xr:uid="{C3335660-76AC-452E-8BD9-E3D486EE8A7D}"/>
    <cellStyle name="Normal 9 5 5 3 3" xfId="23018" xr:uid="{2766AFC2-E322-4F04-A15B-031787E0CE85}"/>
    <cellStyle name="Normal 9 5 5 4" xfId="10363" xr:uid="{DF3835E1-F6F4-4D4A-9B3A-B858E4A93AEF}"/>
    <cellStyle name="Normal 9 5 5 5" xfId="18801" xr:uid="{AAD32733-7686-4892-896B-AA673A348EA8}"/>
    <cellStyle name="Normal 9 5 6" xfId="2245" xr:uid="{00000000-0005-0000-0000-00006B200000}"/>
    <cellStyle name="Normal 9 5 6 2" xfId="4474" xr:uid="{00000000-0005-0000-0000-00006C200000}"/>
    <cellStyle name="Normal 9 5 6 2 2" xfId="8697" xr:uid="{00000000-0005-0000-0000-00006D200000}"/>
    <cellStyle name="Normal 9 5 6 2 2 2" xfId="17139" xr:uid="{4125E4A4-85BC-4132-BD74-6FEE90D6DA59}"/>
    <cellStyle name="Normal 9 5 6 2 2 3" xfId="25576" xr:uid="{0AD33A38-1EEA-47E3-96B1-FBDC515DC61D}"/>
    <cellStyle name="Normal 9 5 6 2 3" xfId="12921" xr:uid="{6AA08128-D7F5-4BA4-A371-8F1B24A34839}"/>
    <cellStyle name="Normal 9 5 6 2 4" xfId="21359" xr:uid="{A8E25CAA-C0B5-4049-974C-71F787D09E8F}"/>
    <cellStyle name="Normal 9 5 6 3" xfId="6552" xr:uid="{00000000-0005-0000-0000-00006E200000}"/>
    <cellStyle name="Normal 9 5 6 3 2" xfId="14994" xr:uid="{8BD19BEB-C034-4C0C-9372-92F10E7C6C3C}"/>
    <cellStyle name="Normal 9 5 6 3 3" xfId="23431" xr:uid="{256D73BE-FC27-4E72-824A-CB297B969B64}"/>
    <cellStyle name="Normal 9 5 6 4" xfId="10776" xr:uid="{0794EB9E-B21B-4385-A4F8-19AC7C49D030}"/>
    <cellStyle name="Normal 9 5 6 5" xfId="19214" xr:uid="{1B512603-0697-46D5-9EBA-D759346E3096}"/>
    <cellStyle name="Normal 9 5 7" xfId="2681" xr:uid="{00000000-0005-0000-0000-00006F200000}"/>
    <cellStyle name="Normal 9 5 7 2" xfId="6965" xr:uid="{00000000-0005-0000-0000-000070200000}"/>
    <cellStyle name="Normal 9 5 7 2 2" xfId="15407" xr:uid="{AECF94B2-B311-4747-8DA1-A97EC9857BBF}"/>
    <cellStyle name="Normal 9 5 7 2 3" xfId="23844" xr:uid="{00C6B01F-B15E-4BEA-B023-ACE2A98C6792}"/>
    <cellStyle name="Normal 9 5 7 3" xfId="11189" xr:uid="{D6DB2853-5353-4AFC-9B70-11639979DA5A}"/>
    <cellStyle name="Normal 9 5 7 4" xfId="19627" xr:uid="{F74EAF37-D48B-4BC3-A31A-7164D2C7B616}"/>
    <cellStyle name="Normal 9 5 8" xfId="4900" xr:uid="{00000000-0005-0000-0000-000071200000}"/>
    <cellStyle name="Normal 9 5 8 2" xfId="13342" xr:uid="{D5C20F6B-86DF-4D08-937F-BEDC3EC39119}"/>
    <cellStyle name="Normal 9 5 8 3" xfId="21779" xr:uid="{9BA4593B-FF78-48A6-9FCE-EE1A4ECB44E6}"/>
    <cellStyle name="Normal 9 5 9" xfId="9124" xr:uid="{EA2F07DE-A1DD-49FA-81C9-EC0A8099EDF7}"/>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18DB42DC-7D31-41C1-A3D8-B2C803C8867D}"/>
    <cellStyle name="Normal 9 6 2 2 2 3" xfId="24339" xr:uid="{9211A357-B7EC-4C5C-B874-A6A6DF485DD4}"/>
    <cellStyle name="Normal 9 6 2 2 3" xfId="11684" xr:uid="{5E916A44-363E-4A26-B3A1-A9EFF667D7B1}"/>
    <cellStyle name="Normal 9 6 2 2 4" xfId="20122" xr:uid="{5BA49C0C-25C4-46D4-979B-8FDB7431202C}"/>
    <cellStyle name="Normal 9 6 2 3" xfId="5315" xr:uid="{00000000-0005-0000-0000-000076200000}"/>
    <cellStyle name="Normal 9 6 2 3 2" xfId="13757" xr:uid="{18A8F7C1-7C14-4ABD-8F39-E4187C9BE7FE}"/>
    <cellStyle name="Normal 9 6 2 3 3" xfId="22194" xr:uid="{E3074536-7562-4A52-A149-B03B57E32189}"/>
    <cellStyle name="Normal 9 6 2 4" xfId="9539" xr:uid="{312F0A79-A866-4CDB-85F4-70F0B43F604C}"/>
    <cellStyle name="Normal 9 6 2 5" xfId="17977" xr:uid="{8660992E-87CF-4DED-945C-12A2D5F6EFCF}"/>
    <cellStyle name="Normal 9 6 3" xfId="1420" xr:uid="{00000000-0005-0000-0000-000077200000}"/>
    <cellStyle name="Normal 9 6 3 2" xfId="3650" xr:uid="{00000000-0005-0000-0000-000078200000}"/>
    <cellStyle name="Normal 9 6 3 2 2" xfId="7873" xr:uid="{00000000-0005-0000-0000-000079200000}"/>
    <cellStyle name="Normal 9 6 3 2 2 2" xfId="16315" xr:uid="{070A424C-68E4-4E77-9BB8-0A211700CFE1}"/>
    <cellStyle name="Normal 9 6 3 2 2 3" xfId="24752" xr:uid="{6E376418-F4C9-4353-AAAC-852FE7A18AF7}"/>
    <cellStyle name="Normal 9 6 3 2 3" xfId="12097" xr:uid="{50611F7B-CADF-4DA3-9BE0-645B22100F33}"/>
    <cellStyle name="Normal 9 6 3 2 4" xfId="20535" xr:uid="{3169E1CD-5465-4ADA-B6A1-0A41B7642C9C}"/>
    <cellStyle name="Normal 9 6 3 3" xfId="5728" xr:uid="{00000000-0005-0000-0000-00007A200000}"/>
    <cellStyle name="Normal 9 6 3 3 2" xfId="14170" xr:uid="{748A7C8A-06AF-4C8E-9988-E1EEC73A19A9}"/>
    <cellStyle name="Normal 9 6 3 3 3" xfId="22607" xr:uid="{D00EC77C-D741-4B20-9C8C-3EAC4131ED33}"/>
    <cellStyle name="Normal 9 6 3 4" xfId="9952" xr:uid="{8DF87E8F-D77C-45EE-B0C6-D86DBA661BF5}"/>
    <cellStyle name="Normal 9 6 3 5" xfId="18390" xr:uid="{7B4A8EB6-D22E-42E6-88A4-ADD5244EFB25}"/>
    <cellStyle name="Normal 9 6 4" xfId="1833" xr:uid="{00000000-0005-0000-0000-00007B200000}"/>
    <cellStyle name="Normal 9 6 4 2" xfId="4063" xr:uid="{00000000-0005-0000-0000-00007C200000}"/>
    <cellStyle name="Normal 9 6 4 2 2" xfId="8286" xr:uid="{00000000-0005-0000-0000-00007D200000}"/>
    <cellStyle name="Normal 9 6 4 2 2 2" xfId="16728" xr:uid="{7FAED531-B4E0-43DF-9642-97BC5939EA81}"/>
    <cellStyle name="Normal 9 6 4 2 2 3" xfId="25165" xr:uid="{E9444841-5C2C-441B-926F-F0F4733A6B64}"/>
    <cellStyle name="Normal 9 6 4 2 3" xfId="12510" xr:uid="{068586E8-51F8-4672-957A-9A27A383B555}"/>
    <cellStyle name="Normal 9 6 4 2 4" xfId="20948" xr:uid="{03DEEDC2-4ACE-4490-95A3-A7D120EADF74}"/>
    <cellStyle name="Normal 9 6 4 3" xfId="6141" xr:uid="{00000000-0005-0000-0000-00007E200000}"/>
    <cellStyle name="Normal 9 6 4 3 2" xfId="14583" xr:uid="{1EDD224F-144F-4F7D-AD29-FD409B99F154}"/>
    <cellStyle name="Normal 9 6 4 3 3" xfId="23020" xr:uid="{C376F3D7-2DDA-42C3-AB6B-A3EA0E6A9BC7}"/>
    <cellStyle name="Normal 9 6 4 4" xfId="10365" xr:uid="{145141C0-5929-4370-B8CF-A10A0E20CB41}"/>
    <cellStyle name="Normal 9 6 4 5" xfId="18803" xr:uid="{0184CABB-DC04-4C9B-B120-BA20D9406776}"/>
    <cellStyle name="Normal 9 6 5" xfId="2247" xr:uid="{00000000-0005-0000-0000-00007F200000}"/>
    <cellStyle name="Normal 9 6 5 2" xfId="4476" xr:uid="{00000000-0005-0000-0000-000080200000}"/>
    <cellStyle name="Normal 9 6 5 2 2" xfId="8699" xr:uid="{00000000-0005-0000-0000-000081200000}"/>
    <cellStyle name="Normal 9 6 5 2 2 2" xfId="17141" xr:uid="{2E675DF0-4A19-4862-91E3-6E6006C1BDB1}"/>
    <cellStyle name="Normal 9 6 5 2 2 3" xfId="25578" xr:uid="{29266BB0-C792-4B29-B39F-BF872A041B93}"/>
    <cellStyle name="Normal 9 6 5 2 3" xfId="12923" xr:uid="{83A92286-2821-4838-BFA7-68A1678274CC}"/>
    <cellStyle name="Normal 9 6 5 2 4" xfId="21361" xr:uid="{54B0D05D-784A-493E-8B3E-81AFD8DE0371}"/>
    <cellStyle name="Normal 9 6 5 3" xfId="6554" xr:uid="{00000000-0005-0000-0000-000082200000}"/>
    <cellStyle name="Normal 9 6 5 3 2" xfId="14996" xr:uid="{E278B55D-B3B8-46CD-9FB3-741D4EA4B7DE}"/>
    <cellStyle name="Normal 9 6 5 3 3" xfId="23433" xr:uid="{377D002C-C128-4A7E-834C-98824E36674A}"/>
    <cellStyle name="Normal 9 6 5 4" xfId="10778" xr:uid="{019CE3A0-0EA9-4207-A6A8-834CECC34561}"/>
    <cellStyle name="Normal 9 6 5 5" xfId="19216" xr:uid="{77EAB920-86EF-4D65-BB61-1F7FEAF8E62A}"/>
    <cellStyle name="Normal 9 6 6" xfId="2683" xr:uid="{00000000-0005-0000-0000-000083200000}"/>
    <cellStyle name="Normal 9 6 6 2" xfId="6967" xr:uid="{00000000-0005-0000-0000-000084200000}"/>
    <cellStyle name="Normal 9 6 6 2 2" xfId="15409" xr:uid="{B34D9F21-58AC-4B3C-8AB2-25826A4E1AEE}"/>
    <cellStyle name="Normal 9 6 6 2 3" xfId="23846" xr:uid="{3A1F6360-59FE-425D-9557-C6873A769A21}"/>
    <cellStyle name="Normal 9 6 6 3" xfId="11191" xr:uid="{08714B9A-9C92-43F8-BF9F-2714FC375753}"/>
    <cellStyle name="Normal 9 6 6 4" xfId="19629" xr:uid="{E745FC39-5160-424D-B781-36C0E2CF332C}"/>
    <cellStyle name="Normal 9 6 7" xfId="4902" xr:uid="{00000000-0005-0000-0000-000085200000}"/>
    <cellStyle name="Normal 9 6 7 2" xfId="13344" xr:uid="{EF196C95-C852-48EE-8BC5-4496B9BDD5FD}"/>
    <cellStyle name="Normal 9 6 7 3" xfId="21781" xr:uid="{F3659933-FFF2-4F55-A2F5-54AC9ABA18ED}"/>
    <cellStyle name="Normal 9 6 8" xfId="9126" xr:uid="{FDF8D778-7A44-47AC-BE6F-B1C699BD33DB}"/>
    <cellStyle name="Normal 9 6 9" xfId="17564" xr:uid="{BB2A8DD8-7555-4258-A675-B7DBEF143215}"/>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6F9F86CD-69FE-4D04-976B-9EBA0FB87753}"/>
    <cellStyle name="Note 2 2 10 2 3" xfId="23927" xr:uid="{8CB91343-8970-4CA8-B710-F093FDA2117D}"/>
    <cellStyle name="Note 2 2 10 3" xfId="11272" xr:uid="{E5F51536-9971-490A-B101-18E3869097E4}"/>
    <cellStyle name="Note 2 2 10 4" xfId="19710" xr:uid="{73F7CE41-E2BD-45D2-87CA-9B669FF30FCB}"/>
    <cellStyle name="Note 2 2 11" xfId="4903" xr:uid="{00000000-0005-0000-0000-000094200000}"/>
    <cellStyle name="Note 2 2 11 2" xfId="13345" xr:uid="{D44AFFE7-E83D-4D22-973A-C720EBBB1770}"/>
    <cellStyle name="Note 2 2 11 3" xfId="21782" xr:uid="{D1172829-AB50-471C-A37E-5888678F36B4}"/>
    <cellStyle name="Note 2 2 12" xfId="9127" xr:uid="{BD7C54BF-C1BF-40BD-A034-61E143EF1A9F}"/>
    <cellStyle name="Note 2 2 13" xfId="17565" xr:uid="{E035AB60-80A9-45C5-B0C6-EAFEE4F0641D}"/>
    <cellStyle name="Note 2 2 2" xfId="546" xr:uid="{00000000-0005-0000-0000-000095200000}"/>
    <cellStyle name="Note 2 2 2 10" xfId="4904" xr:uid="{00000000-0005-0000-0000-000096200000}"/>
    <cellStyle name="Note 2 2 2 10 2" xfId="13346" xr:uid="{0CA087EA-EA3F-4216-BE58-A6435592B85B}"/>
    <cellStyle name="Note 2 2 2 10 3" xfId="21783" xr:uid="{460695C2-83F8-486A-909F-F75C93DEC945}"/>
    <cellStyle name="Note 2 2 2 11" xfId="9128" xr:uid="{F6CD5823-EFEB-4480-B067-FDBAD1A7C9CD}"/>
    <cellStyle name="Note 2 2 2 12" xfId="17566" xr:uid="{9274BBDA-F95B-4AD4-9C12-AD4AD8FF7631}"/>
    <cellStyle name="Note 2 2 2 2" xfId="547" xr:uid="{00000000-0005-0000-0000-000097200000}"/>
    <cellStyle name="Note 2 2 2 2 10" xfId="9129" xr:uid="{E2C12BD2-4C17-4084-909D-65F2740A7574}"/>
    <cellStyle name="Note 2 2 2 2 11" xfId="17567" xr:uid="{4775B0CB-3786-403D-B1B8-4D6E679882E6}"/>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7340C847-2144-49FD-8059-55EB27345ADA}"/>
    <cellStyle name="Note 2 2 2 2 2 2 2 3" xfId="24342" xr:uid="{B0B5C580-37DC-4563-AC2C-18765204D1A3}"/>
    <cellStyle name="Note 2 2 2 2 2 2 3" xfId="11687" xr:uid="{D22B4E45-6141-41EF-8A23-2F0314136C0C}"/>
    <cellStyle name="Note 2 2 2 2 2 2 4" xfId="20125" xr:uid="{9085D722-6822-4F90-A4BB-AF4FA61C6497}"/>
    <cellStyle name="Note 2 2 2 2 2 3" xfId="5318" xr:uid="{00000000-0005-0000-0000-00009B200000}"/>
    <cellStyle name="Note 2 2 2 2 2 3 2" xfId="13760" xr:uid="{ED2FF66C-C6DD-45AE-9D36-2814D57EF52A}"/>
    <cellStyle name="Note 2 2 2 2 2 3 3" xfId="22197" xr:uid="{FC28BA22-16EB-4990-8D62-A2E53D8109AE}"/>
    <cellStyle name="Note 2 2 2 2 2 4" xfId="9542" xr:uid="{58469516-E243-4B10-A22D-6DEE0B68C0B6}"/>
    <cellStyle name="Note 2 2 2 2 2 5" xfId="17980" xr:uid="{4FBEAD4A-B3DC-4B55-AC1B-C076F6DC72E0}"/>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803E122F-8B66-4965-BA02-1F8600A9C73B}"/>
    <cellStyle name="Note 2 2 2 2 3 2 2 3" xfId="24755" xr:uid="{286BD452-C9E1-4C02-ABE3-47CA04DD9162}"/>
    <cellStyle name="Note 2 2 2 2 3 2 3" xfId="12100" xr:uid="{42E75826-E264-4563-BE14-F84768A51C9F}"/>
    <cellStyle name="Note 2 2 2 2 3 2 4" xfId="20538" xr:uid="{2F0DF87C-340D-4EB7-AD25-D536AEA66C91}"/>
    <cellStyle name="Note 2 2 2 2 3 3" xfId="5731" xr:uid="{00000000-0005-0000-0000-00009F200000}"/>
    <cellStyle name="Note 2 2 2 2 3 3 2" xfId="14173" xr:uid="{CC842D8E-5C06-4CEA-95DB-19D45047ABFF}"/>
    <cellStyle name="Note 2 2 2 2 3 3 3" xfId="22610" xr:uid="{31F3EE41-30AB-447F-8BE3-A968AE0A3A00}"/>
    <cellStyle name="Note 2 2 2 2 3 4" xfId="9955" xr:uid="{1F55A33E-C4D8-430E-B25A-C406529BA7BE}"/>
    <cellStyle name="Note 2 2 2 2 3 5" xfId="18393" xr:uid="{C9B01207-5523-43D2-993C-7D76FB51500E}"/>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6ABFB467-6BE6-4F2C-9CB1-04227363DDF4}"/>
    <cellStyle name="Note 2 2 2 2 4 2 2 3" xfId="25168" xr:uid="{3E76188A-38E8-45B5-9A6A-8B78531D2119}"/>
    <cellStyle name="Note 2 2 2 2 4 2 3" xfId="12513" xr:uid="{D95539E4-07F4-401D-97E3-4708169A6189}"/>
    <cellStyle name="Note 2 2 2 2 4 2 4" xfId="20951" xr:uid="{D00716AC-2F94-4624-8557-7762C3115FA8}"/>
    <cellStyle name="Note 2 2 2 2 4 3" xfId="6144" xr:uid="{00000000-0005-0000-0000-0000A3200000}"/>
    <cellStyle name="Note 2 2 2 2 4 3 2" xfId="14586" xr:uid="{72DC13B2-E9C4-4180-B133-FA96CE814DD5}"/>
    <cellStyle name="Note 2 2 2 2 4 3 3" xfId="23023" xr:uid="{2E73477A-B6A3-475B-9DAF-A643AC572692}"/>
    <cellStyle name="Note 2 2 2 2 4 4" xfId="10368" xr:uid="{C23EC6BB-31D5-45E8-84B2-8E2DF8A161B8}"/>
    <cellStyle name="Note 2 2 2 2 4 5" xfId="18806" xr:uid="{C339FC55-189D-4F62-8DB1-69B0C80B85BE}"/>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E6CB6202-4B26-494C-9471-A59D3F740D00}"/>
    <cellStyle name="Note 2 2 2 2 5 2 2 3" xfId="25581" xr:uid="{C4AF210B-632E-4C48-9A01-527E67B94752}"/>
    <cellStyle name="Note 2 2 2 2 5 2 3" xfId="12926" xr:uid="{3373B191-485C-4259-B9D0-F428B77E48EB}"/>
    <cellStyle name="Note 2 2 2 2 5 2 4" xfId="21364" xr:uid="{51B0C38E-7AB0-4050-AEB7-D74EC67FDEAD}"/>
    <cellStyle name="Note 2 2 2 2 5 3" xfId="6557" xr:uid="{00000000-0005-0000-0000-0000A7200000}"/>
    <cellStyle name="Note 2 2 2 2 5 3 2" xfId="14999" xr:uid="{4537B96E-B426-4A64-AE76-5739E9596902}"/>
    <cellStyle name="Note 2 2 2 2 5 3 3" xfId="23436" xr:uid="{278A1E11-E59A-4E7F-B040-4B61DC35DB4E}"/>
    <cellStyle name="Note 2 2 2 2 5 4" xfId="10781" xr:uid="{F9CD3A6B-994C-4BD0-91BA-5CDC4E230CBF}"/>
    <cellStyle name="Note 2 2 2 2 5 5" xfId="19219" xr:uid="{4E0A87EC-5778-4383-A4AD-27159B142C9E}"/>
    <cellStyle name="Note 2 2 2 2 6" xfId="2686" xr:uid="{00000000-0005-0000-0000-0000A8200000}"/>
    <cellStyle name="Note 2 2 2 2 6 2" xfId="6970" xr:uid="{00000000-0005-0000-0000-0000A9200000}"/>
    <cellStyle name="Note 2 2 2 2 6 2 2" xfId="15412" xr:uid="{C4508414-314C-433A-9B68-2AFED2F80AFD}"/>
    <cellStyle name="Note 2 2 2 2 6 2 3" xfId="23849" xr:uid="{6A0E7400-DE96-4E4E-861D-722B50C1491A}"/>
    <cellStyle name="Note 2 2 2 2 6 3" xfId="11194" xr:uid="{5C72CE68-9BB8-4E2B-B453-A10380E9A25C}"/>
    <cellStyle name="Note 2 2 2 2 6 4" xfId="19632" xr:uid="{DCA41416-8746-479B-B357-B005BD14884E}"/>
    <cellStyle name="Note 2 2 2 2 7" xfId="2745" xr:uid="{00000000-0005-0000-0000-0000AA200000}"/>
    <cellStyle name="Note 2 2 2 2 8" xfId="2826" xr:uid="{00000000-0005-0000-0000-0000AB200000}"/>
    <cellStyle name="Note 2 2 2 2 8 2" xfId="7050" xr:uid="{00000000-0005-0000-0000-0000AC200000}"/>
    <cellStyle name="Note 2 2 2 2 8 2 2" xfId="15492" xr:uid="{9969ED56-CEC0-48F8-AF2B-316C5DFA1601}"/>
    <cellStyle name="Note 2 2 2 2 8 2 3" xfId="23929" xr:uid="{540A8D68-D454-4E6B-9926-82B114ADDE0B}"/>
    <cellStyle name="Note 2 2 2 2 8 3" xfId="11274" xr:uid="{56FFFC4D-CF19-46A7-A612-2A6A1B364224}"/>
    <cellStyle name="Note 2 2 2 2 8 4" xfId="19712" xr:uid="{15A9F885-1AFA-45EF-ACE6-120F7D2CA18D}"/>
    <cellStyle name="Note 2 2 2 2 9" xfId="4905" xr:uid="{00000000-0005-0000-0000-0000AD200000}"/>
    <cellStyle name="Note 2 2 2 2 9 2" xfId="13347" xr:uid="{F4AFF9A7-144C-412C-96EF-6FDBC434ACC7}"/>
    <cellStyle name="Note 2 2 2 2 9 3" xfId="21784" xr:uid="{A76983DA-D339-4A51-BC19-DCF20B5A6233}"/>
    <cellStyle name="Note 2 2 2 3" xfId="1007" xr:uid="{00000000-0005-0000-0000-0000AE200000}"/>
    <cellStyle name="Note 2 2 2 3 2" xfId="3239" xr:uid="{00000000-0005-0000-0000-0000AF200000}"/>
    <cellStyle name="Note 2 2 2 3 2 2" xfId="7462" xr:uid="{00000000-0005-0000-0000-0000B0200000}"/>
    <cellStyle name="Note 2 2 2 3 2 2 2" xfId="15904" xr:uid="{6F96B94E-CDCE-4ACD-AA7C-54C0EE32F278}"/>
    <cellStyle name="Note 2 2 2 3 2 2 3" xfId="24341" xr:uid="{3BDBF515-E89A-494B-A721-2FDBAB474CEB}"/>
    <cellStyle name="Note 2 2 2 3 2 3" xfId="11686" xr:uid="{FF747B05-E629-4F18-89B3-F889733D9036}"/>
    <cellStyle name="Note 2 2 2 3 2 4" xfId="20124" xr:uid="{6BE2B7D3-511B-487B-9575-3067AE540490}"/>
    <cellStyle name="Note 2 2 2 3 3" xfId="5317" xr:uid="{00000000-0005-0000-0000-0000B1200000}"/>
    <cellStyle name="Note 2 2 2 3 3 2" xfId="13759" xr:uid="{F9421D97-4921-4972-BF2C-40041DB41A50}"/>
    <cellStyle name="Note 2 2 2 3 3 3" xfId="22196" xr:uid="{0DA02C12-61E4-4A76-87F6-95076242CC0E}"/>
    <cellStyle name="Note 2 2 2 3 4" xfId="9541" xr:uid="{BB353424-D856-4067-A969-41C27E240EC8}"/>
    <cellStyle name="Note 2 2 2 3 5" xfId="17979" xr:uid="{DBE47C48-FF0B-434C-9879-AE7909E4D46A}"/>
    <cellStyle name="Note 2 2 2 4" xfId="1422" xr:uid="{00000000-0005-0000-0000-0000B2200000}"/>
    <cellStyle name="Note 2 2 2 4 2" xfId="3652" xr:uid="{00000000-0005-0000-0000-0000B3200000}"/>
    <cellStyle name="Note 2 2 2 4 2 2" xfId="7875" xr:uid="{00000000-0005-0000-0000-0000B4200000}"/>
    <cellStyle name="Note 2 2 2 4 2 2 2" xfId="16317" xr:uid="{A60EC6E2-2200-41AD-A662-523CE739885B}"/>
    <cellStyle name="Note 2 2 2 4 2 2 3" xfId="24754" xr:uid="{CC12327A-50FE-451D-B206-04001F6513BF}"/>
    <cellStyle name="Note 2 2 2 4 2 3" xfId="12099" xr:uid="{0E106E49-C7E2-4CAB-A0FB-7FB40D5B6775}"/>
    <cellStyle name="Note 2 2 2 4 2 4" xfId="20537" xr:uid="{643A1FED-18B3-44E2-A89C-E1B2FF278004}"/>
    <cellStyle name="Note 2 2 2 4 3" xfId="5730" xr:uid="{00000000-0005-0000-0000-0000B5200000}"/>
    <cellStyle name="Note 2 2 2 4 3 2" xfId="14172" xr:uid="{66172DCD-377D-489B-92F1-FB491D4E2A72}"/>
    <cellStyle name="Note 2 2 2 4 3 3" xfId="22609" xr:uid="{E39F1479-66F5-4C8D-8473-BDC3F83478E2}"/>
    <cellStyle name="Note 2 2 2 4 4" xfId="9954" xr:uid="{F057019A-8851-424A-B130-1ECACF1DBA59}"/>
    <cellStyle name="Note 2 2 2 4 5" xfId="18392" xr:uid="{28B8E816-1FFF-4331-8B81-173B60F22EA3}"/>
    <cellStyle name="Note 2 2 2 5" xfId="1836" xr:uid="{00000000-0005-0000-0000-0000B6200000}"/>
    <cellStyle name="Note 2 2 2 5 2" xfId="4065" xr:uid="{00000000-0005-0000-0000-0000B7200000}"/>
    <cellStyle name="Note 2 2 2 5 2 2" xfId="8288" xr:uid="{00000000-0005-0000-0000-0000B8200000}"/>
    <cellStyle name="Note 2 2 2 5 2 2 2" xfId="16730" xr:uid="{4D5B32B9-849F-4D69-9E29-43F822EA4AD4}"/>
    <cellStyle name="Note 2 2 2 5 2 2 3" xfId="25167" xr:uid="{C234A286-267C-4D8E-BCA5-E0F5A68266CC}"/>
    <cellStyle name="Note 2 2 2 5 2 3" xfId="12512" xr:uid="{20944B2E-6BD8-4818-AE88-53C1BA925DBB}"/>
    <cellStyle name="Note 2 2 2 5 2 4" xfId="20950" xr:uid="{EA71F282-9BFE-421E-BCDD-A514B24C1EB9}"/>
    <cellStyle name="Note 2 2 2 5 3" xfId="6143" xr:uid="{00000000-0005-0000-0000-0000B9200000}"/>
    <cellStyle name="Note 2 2 2 5 3 2" xfId="14585" xr:uid="{936482DF-82D5-4D64-B618-893B3DBCDAD0}"/>
    <cellStyle name="Note 2 2 2 5 3 3" xfId="23022" xr:uid="{8C6665B9-8CAE-4CAA-9F3A-D76F6C99B1CA}"/>
    <cellStyle name="Note 2 2 2 5 4" xfId="10367" xr:uid="{90A6A0F9-8C00-48B7-8456-75F440F5DA15}"/>
    <cellStyle name="Note 2 2 2 5 5" xfId="18805" xr:uid="{BB688A7D-1E0E-4759-8D67-7746D5565AC2}"/>
    <cellStyle name="Note 2 2 2 6" xfId="2249" xr:uid="{00000000-0005-0000-0000-0000BA200000}"/>
    <cellStyle name="Note 2 2 2 6 2" xfId="4478" xr:uid="{00000000-0005-0000-0000-0000BB200000}"/>
    <cellStyle name="Note 2 2 2 6 2 2" xfId="8701" xr:uid="{00000000-0005-0000-0000-0000BC200000}"/>
    <cellStyle name="Note 2 2 2 6 2 2 2" xfId="17143" xr:uid="{D42CE9FA-3D24-47B0-9785-97066895AE7A}"/>
    <cellStyle name="Note 2 2 2 6 2 2 3" xfId="25580" xr:uid="{3E805D7D-0529-441B-AF3A-812C3988CB8C}"/>
    <cellStyle name="Note 2 2 2 6 2 3" xfId="12925" xr:uid="{B13C2247-0BB9-4F7C-A880-AA04D46E66E5}"/>
    <cellStyle name="Note 2 2 2 6 2 4" xfId="21363" xr:uid="{CFAF8A70-E207-4D48-9EF0-21DFA1275AD0}"/>
    <cellStyle name="Note 2 2 2 6 3" xfId="6556" xr:uid="{00000000-0005-0000-0000-0000BD200000}"/>
    <cellStyle name="Note 2 2 2 6 3 2" xfId="14998" xr:uid="{28C7DC5D-7D80-4F77-A057-EEBC0B3B8928}"/>
    <cellStyle name="Note 2 2 2 6 3 3" xfId="23435" xr:uid="{1510EF10-7F53-47D1-B304-B8B9D0DEEA90}"/>
    <cellStyle name="Note 2 2 2 6 4" xfId="10780" xr:uid="{66A60C28-C9C6-49A8-B358-BE5E18B7F2A0}"/>
    <cellStyle name="Note 2 2 2 6 5" xfId="19218" xr:uid="{49BCE8AE-E8F3-4385-BABC-737F857AF6DE}"/>
    <cellStyle name="Note 2 2 2 7" xfId="2685" xr:uid="{00000000-0005-0000-0000-0000BE200000}"/>
    <cellStyle name="Note 2 2 2 7 2" xfId="6969" xr:uid="{00000000-0005-0000-0000-0000BF200000}"/>
    <cellStyle name="Note 2 2 2 7 2 2" xfId="15411" xr:uid="{5E649760-02C4-42FA-8951-385EB53C8DCF}"/>
    <cellStyle name="Note 2 2 2 7 2 3" xfId="23848" xr:uid="{B0BD285D-C4E2-470F-8D0C-A18ECD2DBEF6}"/>
    <cellStyle name="Note 2 2 2 7 3" xfId="11193" xr:uid="{526EA1A4-AD75-4D68-A782-AA028EEC3BC4}"/>
    <cellStyle name="Note 2 2 2 7 4" xfId="19631" xr:uid="{5F6D88C8-7FD2-4382-B3BB-1F27FD5A0DA4}"/>
    <cellStyle name="Note 2 2 2 8" xfId="2744" xr:uid="{00000000-0005-0000-0000-0000C0200000}"/>
    <cellStyle name="Note 2 2 2 9" xfId="2825" xr:uid="{00000000-0005-0000-0000-0000C1200000}"/>
    <cellStyle name="Note 2 2 2 9 2" xfId="7049" xr:uid="{00000000-0005-0000-0000-0000C2200000}"/>
    <cellStyle name="Note 2 2 2 9 2 2" xfId="15491" xr:uid="{929BE1D4-8CBF-4406-AB4B-175C6C1CC913}"/>
    <cellStyle name="Note 2 2 2 9 2 3" xfId="23928" xr:uid="{8D10E8F7-7C3C-42BD-857E-6D5690FAE23D}"/>
    <cellStyle name="Note 2 2 2 9 3" xfId="11273" xr:uid="{5A7F692F-29E2-4651-8D64-E4543B6B046A}"/>
    <cellStyle name="Note 2 2 2 9 4" xfId="19711" xr:uid="{B2682983-AC9C-46F0-AABC-EE8AE76FEC13}"/>
    <cellStyle name="Note 2 2 3" xfId="548" xr:uid="{00000000-0005-0000-0000-0000C3200000}"/>
    <cellStyle name="Note 2 2 3 10" xfId="9130" xr:uid="{E3A9C493-2806-4187-AFF5-BFF1985FFED0}"/>
    <cellStyle name="Note 2 2 3 11" xfId="17568" xr:uid="{840015BD-9AC8-4093-89FE-831874C18E69}"/>
    <cellStyle name="Note 2 2 3 2" xfId="1009" xr:uid="{00000000-0005-0000-0000-0000C4200000}"/>
    <cellStyle name="Note 2 2 3 2 2" xfId="3241" xr:uid="{00000000-0005-0000-0000-0000C5200000}"/>
    <cellStyle name="Note 2 2 3 2 2 2" xfId="7464" xr:uid="{00000000-0005-0000-0000-0000C6200000}"/>
    <cellStyle name="Note 2 2 3 2 2 2 2" xfId="15906" xr:uid="{B1ADA5E5-281D-46EE-97E8-F7D1FE8209BD}"/>
    <cellStyle name="Note 2 2 3 2 2 2 3" xfId="24343" xr:uid="{5369E2A3-5DB2-4F4D-BD2A-7941E411ED28}"/>
    <cellStyle name="Note 2 2 3 2 2 3" xfId="11688" xr:uid="{96325495-D852-40CA-A602-55127EC477E1}"/>
    <cellStyle name="Note 2 2 3 2 2 4" xfId="20126" xr:uid="{06B41D8D-B4ED-4675-BB73-5E3F31DCFAEE}"/>
    <cellStyle name="Note 2 2 3 2 3" xfId="5319" xr:uid="{00000000-0005-0000-0000-0000C7200000}"/>
    <cellStyle name="Note 2 2 3 2 3 2" xfId="13761" xr:uid="{18108F63-68C1-4340-926A-8E527D742151}"/>
    <cellStyle name="Note 2 2 3 2 3 3" xfId="22198" xr:uid="{6B21DB2E-AAC5-4D8F-9B5F-022E29FAADA7}"/>
    <cellStyle name="Note 2 2 3 2 4" xfId="9543" xr:uid="{29CFDE51-0B0F-44C2-89EB-9898C8FC2436}"/>
    <cellStyle name="Note 2 2 3 2 5" xfId="17981" xr:uid="{8B51B9E1-9C97-44A7-8D09-EA85D35BF547}"/>
    <cellStyle name="Note 2 2 3 3" xfId="1424" xr:uid="{00000000-0005-0000-0000-0000C8200000}"/>
    <cellStyle name="Note 2 2 3 3 2" xfId="3654" xr:uid="{00000000-0005-0000-0000-0000C9200000}"/>
    <cellStyle name="Note 2 2 3 3 2 2" xfId="7877" xr:uid="{00000000-0005-0000-0000-0000CA200000}"/>
    <cellStyle name="Note 2 2 3 3 2 2 2" xfId="16319" xr:uid="{43EA0DFE-A3B5-4F51-853B-6A831A569710}"/>
    <cellStyle name="Note 2 2 3 3 2 2 3" xfId="24756" xr:uid="{F487FDD1-D3E5-4D1E-9931-281DEBDD4F02}"/>
    <cellStyle name="Note 2 2 3 3 2 3" xfId="12101" xr:uid="{98C83DB4-FF2D-4E43-AE53-7533A8B613E1}"/>
    <cellStyle name="Note 2 2 3 3 2 4" xfId="20539" xr:uid="{304CED12-5434-44CD-9CF9-C6DDFCA995BE}"/>
    <cellStyle name="Note 2 2 3 3 3" xfId="5732" xr:uid="{00000000-0005-0000-0000-0000CB200000}"/>
    <cellStyle name="Note 2 2 3 3 3 2" xfId="14174" xr:uid="{87ED6735-C8DA-4EAD-95AE-32B0D3A8DB9A}"/>
    <cellStyle name="Note 2 2 3 3 3 3" xfId="22611" xr:uid="{0F2EA212-FDDA-4BC1-B849-00A86EF1F4F9}"/>
    <cellStyle name="Note 2 2 3 3 4" xfId="9956" xr:uid="{F52F54E9-7B94-4E3E-A1E3-EA34C259AC66}"/>
    <cellStyle name="Note 2 2 3 3 5" xfId="18394" xr:uid="{775D582B-A10F-407A-AB7B-3F0D75746451}"/>
    <cellStyle name="Note 2 2 3 4" xfId="1838" xr:uid="{00000000-0005-0000-0000-0000CC200000}"/>
    <cellStyle name="Note 2 2 3 4 2" xfId="4067" xr:uid="{00000000-0005-0000-0000-0000CD200000}"/>
    <cellStyle name="Note 2 2 3 4 2 2" xfId="8290" xr:uid="{00000000-0005-0000-0000-0000CE200000}"/>
    <cellStyle name="Note 2 2 3 4 2 2 2" xfId="16732" xr:uid="{3CD2D5CF-5253-4BDE-AFA4-0AB55C0C23D7}"/>
    <cellStyle name="Note 2 2 3 4 2 2 3" xfId="25169" xr:uid="{2EA65E6D-FDC7-4066-8C44-3044DB30A322}"/>
    <cellStyle name="Note 2 2 3 4 2 3" xfId="12514" xr:uid="{8BE32CBB-BB93-49FF-89CB-B8BC4883FE00}"/>
    <cellStyle name="Note 2 2 3 4 2 4" xfId="20952" xr:uid="{0F5563F3-32B8-43A4-8395-EC27EDFEC6E3}"/>
    <cellStyle name="Note 2 2 3 4 3" xfId="6145" xr:uid="{00000000-0005-0000-0000-0000CF200000}"/>
    <cellStyle name="Note 2 2 3 4 3 2" xfId="14587" xr:uid="{6000AF9C-4FF9-4583-B5B0-ACC394483334}"/>
    <cellStyle name="Note 2 2 3 4 3 3" xfId="23024" xr:uid="{9AD9C300-71A9-460D-A0E3-596EC491FADE}"/>
    <cellStyle name="Note 2 2 3 4 4" xfId="10369" xr:uid="{8364F922-F2FF-4461-9D24-CB5C7E4BB9BD}"/>
    <cellStyle name="Note 2 2 3 4 5" xfId="18807" xr:uid="{AAA20906-23F7-4352-A97C-BE5F6F2E949E}"/>
    <cellStyle name="Note 2 2 3 5" xfId="2251" xr:uid="{00000000-0005-0000-0000-0000D0200000}"/>
    <cellStyle name="Note 2 2 3 5 2" xfId="4480" xr:uid="{00000000-0005-0000-0000-0000D1200000}"/>
    <cellStyle name="Note 2 2 3 5 2 2" xfId="8703" xr:uid="{00000000-0005-0000-0000-0000D2200000}"/>
    <cellStyle name="Note 2 2 3 5 2 2 2" xfId="17145" xr:uid="{D761983D-7017-4E39-B9A5-A67924B36F54}"/>
    <cellStyle name="Note 2 2 3 5 2 2 3" xfId="25582" xr:uid="{33EFFC34-13F0-485F-9F38-8B562D07613B}"/>
    <cellStyle name="Note 2 2 3 5 2 3" xfId="12927" xr:uid="{BEF28D5D-2EFF-4E3E-8A3B-36368A446AF0}"/>
    <cellStyle name="Note 2 2 3 5 2 4" xfId="21365" xr:uid="{5CCC6DB0-0FBB-47CB-AE44-07A38BB689D5}"/>
    <cellStyle name="Note 2 2 3 5 3" xfId="6558" xr:uid="{00000000-0005-0000-0000-0000D3200000}"/>
    <cellStyle name="Note 2 2 3 5 3 2" xfId="15000" xr:uid="{C2ABF23B-683A-4D1C-88F0-D7EC22C0B141}"/>
    <cellStyle name="Note 2 2 3 5 3 3" xfId="23437" xr:uid="{203CCB4B-8F58-490E-818B-18092A6E9E51}"/>
    <cellStyle name="Note 2 2 3 5 4" xfId="10782" xr:uid="{A3567C7D-B9BD-4DE9-9C2C-7BED56D297B1}"/>
    <cellStyle name="Note 2 2 3 5 5" xfId="19220" xr:uid="{A6D27BD4-298E-441B-9878-D93FF59F6380}"/>
    <cellStyle name="Note 2 2 3 6" xfId="2687" xr:uid="{00000000-0005-0000-0000-0000D4200000}"/>
    <cellStyle name="Note 2 2 3 6 2" xfId="6971" xr:uid="{00000000-0005-0000-0000-0000D5200000}"/>
    <cellStyle name="Note 2 2 3 6 2 2" xfId="15413" xr:uid="{AE8A8AAB-F0EE-4280-BBE1-BB9D7623434B}"/>
    <cellStyle name="Note 2 2 3 6 2 3" xfId="23850" xr:uid="{ACDC71D3-7F2C-40ED-BBD4-72E3D345C324}"/>
    <cellStyle name="Note 2 2 3 6 3" xfId="11195" xr:uid="{1F161BEE-FC0D-4B42-9732-30CE9693170D}"/>
    <cellStyle name="Note 2 2 3 6 4" xfId="19633" xr:uid="{D32801F1-35DC-4383-9650-9E8C5EA183FF}"/>
    <cellStyle name="Note 2 2 3 7" xfId="2746" xr:uid="{00000000-0005-0000-0000-0000D6200000}"/>
    <cellStyle name="Note 2 2 3 8" xfId="2827" xr:uid="{00000000-0005-0000-0000-0000D7200000}"/>
    <cellStyle name="Note 2 2 3 8 2" xfId="7051" xr:uid="{00000000-0005-0000-0000-0000D8200000}"/>
    <cellStyle name="Note 2 2 3 8 2 2" xfId="15493" xr:uid="{50313422-662C-4CF9-B221-56C7AA7D4A58}"/>
    <cellStyle name="Note 2 2 3 8 2 3" xfId="23930" xr:uid="{2142D1F2-6C1E-487F-8155-F44CECCA1795}"/>
    <cellStyle name="Note 2 2 3 8 3" xfId="11275" xr:uid="{1AE7562C-CBC2-498B-B6C4-98D9C2DAC368}"/>
    <cellStyle name="Note 2 2 3 8 4" xfId="19713" xr:uid="{7400F961-9130-4BE2-BCE1-FD3AA2ACA821}"/>
    <cellStyle name="Note 2 2 3 9" xfId="4906" xr:uid="{00000000-0005-0000-0000-0000D9200000}"/>
    <cellStyle name="Note 2 2 3 9 2" xfId="13348" xr:uid="{DB64C01B-5E80-4818-A6AB-D58A223799B6}"/>
    <cellStyle name="Note 2 2 3 9 3" xfId="21785" xr:uid="{784F74D9-A22E-471C-9DEC-1ABF52F55CD9}"/>
    <cellStyle name="Note 2 2 4" xfId="1006" xr:uid="{00000000-0005-0000-0000-0000DA200000}"/>
    <cellStyle name="Note 2 2 4 2" xfId="3238" xr:uid="{00000000-0005-0000-0000-0000DB200000}"/>
    <cellStyle name="Note 2 2 4 2 2" xfId="7461" xr:uid="{00000000-0005-0000-0000-0000DC200000}"/>
    <cellStyle name="Note 2 2 4 2 2 2" xfId="15903" xr:uid="{96A0273D-0FB6-4937-A0B0-10BCF56D11E7}"/>
    <cellStyle name="Note 2 2 4 2 2 3" xfId="24340" xr:uid="{8C8105E0-EC8B-4562-A3B0-370F576952CE}"/>
    <cellStyle name="Note 2 2 4 2 3" xfId="11685" xr:uid="{A9F46B0A-E78A-4E3E-A2E1-E4129E6F25B0}"/>
    <cellStyle name="Note 2 2 4 2 4" xfId="20123" xr:uid="{142CE923-B611-438E-8C4F-7640A51EB760}"/>
    <cellStyle name="Note 2 2 4 3" xfId="5316" xr:uid="{00000000-0005-0000-0000-0000DD200000}"/>
    <cellStyle name="Note 2 2 4 3 2" xfId="13758" xr:uid="{E7EB13AD-D164-4191-A2FA-BBCDB0517B50}"/>
    <cellStyle name="Note 2 2 4 3 3" xfId="22195" xr:uid="{F27EA4DC-EB29-4A91-A193-577609BBAE8B}"/>
    <cellStyle name="Note 2 2 4 4" xfId="9540" xr:uid="{1D52E8EE-4272-4CB4-B0A1-AD538D1BEFE2}"/>
    <cellStyle name="Note 2 2 4 5" xfId="17978" xr:uid="{7D52C905-4892-4B22-BC52-CD3178CD421A}"/>
    <cellStyle name="Note 2 2 5" xfId="1421" xr:uid="{00000000-0005-0000-0000-0000DE200000}"/>
    <cellStyle name="Note 2 2 5 2" xfId="3651" xr:uid="{00000000-0005-0000-0000-0000DF200000}"/>
    <cellStyle name="Note 2 2 5 2 2" xfId="7874" xr:uid="{00000000-0005-0000-0000-0000E0200000}"/>
    <cellStyle name="Note 2 2 5 2 2 2" xfId="16316" xr:uid="{D43D5169-0201-41E2-B094-F98F3CDC56B0}"/>
    <cellStyle name="Note 2 2 5 2 2 3" xfId="24753" xr:uid="{68EDC4B6-3916-4F50-99DC-0875C9608E23}"/>
    <cellStyle name="Note 2 2 5 2 3" xfId="12098" xr:uid="{F0DFB6BC-9D0D-4D71-9B86-F20448384E64}"/>
    <cellStyle name="Note 2 2 5 2 4" xfId="20536" xr:uid="{19E1576F-94D6-4C39-AF67-04260AB2D2CA}"/>
    <cellStyle name="Note 2 2 5 3" xfId="5729" xr:uid="{00000000-0005-0000-0000-0000E1200000}"/>
    <cellStyle name="Note 2 2 5 3 2" xfId="14171" xr:uid="{4BE67CD8-B023-4D59-8D54-F18739C4684F}"/>
    <cellStyle name="Note 2 2 5 3 3" xfId="22608" xr:uid="{6D821748-08BD-4D47-A425-B8E96F4E8BA9}"/>
    <cellStyle name="Note 2 2 5 4" xfId="9953" xr:uid="{02ED94EF-61C3-4BFC-B566-F1ED11906C47}"/>
    <cellStyle name="Note 2 2 5 5" xfId="18391" xr:uid="{C5FBAB6C-5EC8-412F-8372-084D2A0CBA1A}"/>
    <cellStyle name="Note 2 2 6" xfId="1835" xr:uid="{00000000-0005-0000-0000-0000E2200000}"/>
    <cellStyle name="Note 2 2 6 2" xfId="4064" xr:uid="{00000000-0005-0000-0000-0000E3200000}"/>
    <cellStyle name="Note 2 2 6 2 2" xfId="8287" xr:uid="{00000000-0005-0000-0000-0000E4200000}"/>
    <cellStyle name="Note 2 2 6 2 2 2" xfId="16729" xr:uid="{2F1E3236-364D-45B1-A6EE-7B963E7CB911}"/>
    <cellStyle name="Note 2 2 6 2 2 3" xfId="25166" xr:uid="{902647E5-32C7-4099-A1BD-3C0205881DB6}"/>
    <cellStyle name="Note 2 2 6 2 3" xfId="12511" xr:uid="{70983475-940F-4AE9-9471-5E1A985A0C26}"/>
    <cellStyle name="Note 2 2 6 2 4" xfId="20949" xr:uid="{646CCC08-F454-427C-A199-8FCD64CD4A55}"/>
    <cellStyle name="Note 2 2 6 3" xfId="6142" xr:uid="{00000000-0005-0000-0000-0000E5200000}"/>
    <cellStyle name="Note 2 2 6 3 2" xfId="14584" xr:uid="{792BA2F9-0735-47EC-91D8-55233BF4F7D3}"/>
    <cellStyle name="Note 2 2 6 3 3" xfId="23021" xr:uid="{B4D77AD7-0C51-4175-96A5-CE9636B20765}"/>
    <cellStyle name="Note 2 2 6 4" xfId="10366" xr:uid="{4A4B97B7-633C-4C8A-B782-4BAA99F05F4F}"/>
    <cellStyle name="Note 2 2 6 5" xfId="18804" xr:uid="{1B3EA424-ADDD-4D88-A806-E7F007AE6DFF}"/>
    <cellStyle name="Note 2 2 7" xfId="2248" xr:uid="{00000000-0005-0000-0000-0000E6200000}"/>
    <cellStyle name="Note 2 2 7 2" xfId="4477" xr:uid="{00000000-0005-0000-0000-0000E7200000}"/>
    <cellStyle name="Note 2 2 7 2 2" xfId="8700" xr:uid="{00000000-0005-0000-0000-0000E8200000}"/>
    <cellStyle name="Note 2 2 7 2 2 2" xfId="17142" xr:uid="{E77448FD-6760-4BF0-B08B-181ACA49E738}"/>
    <cellStyle name="Note 2 2 7 2 2 3" xfId="25579" xr:uid="{A52C3EEF-42D2-4C1D-86D9-8CBA84820E90}"/>
    <cellStyle name="Note 2 2 7 2 3" xfId="12924" xr:uid="{B9957231-41FB-4F47-A1BC-3C59FDAC18E0}"/>
    <cellStyle name="Note 2 2 7 2 4" xfId="21362" xr:uid="{6E2B475F-2A71-44AA-998C-E114E7EC4D75}"/>
    <cellStyle name="Note 2 2 7 3" xfId="6555" xr:uid="{00000000-0005-0000-0000-0000E9200000}"/>
    <cellStyle name="Note 2 2 7 3 2" xfId="14997" xr:uid="{28C61BED-DE94-4022-B643-9EE5C6A89079}"/>
    <cellStyle name="Note 2 2 7 3 3" xfId="23434" xr:uid="{6D3C464E-E68F-4865-ABD4-DBDDD6FBD1D6}"/>
    <cellStyle name="Note 2 2 7 4" xfId="10779" xr:uid="{EF1B7630-F837-4573-92A8-2338B2B49043}"/>
    <cellStyle name="Note 2 2 7 5" xfId="19217" xr:uid="{EB737375-2F92-482F-871F-6D88506DF804}"/>
    <cellStyle name="Note 2 2 8" xfId="2684" xr:uid="{00000000-0005-0000-0000-0000EA200000}"/>
    <cellStyle name="Note 2 2 8 2" xfId="6968" xr:uid="{00000000-0005-0000-0000-0000EB200000}"/>
    <cellStyle name="Note 2 2 8 2 2" xfId="15410" xr:uid="{4B58C5F7-0848-4480-B01F-BBDDC259943D}"/>
    <cellStyle name="Note 2 2 8 2 3" xfId="23847" xr:uid="{8F4B6EAE-41E8-473D-8333-05133AA24C2D}"/>
    <cellStyle name="Note 2 2 8 3" xfId="11192" xr:uid="{1102EEBD-8E33-47C5-A160-3B9A0C5AF61C}"/>
    <cellStyle name="Note 2 2 8 4" xfId="19630" xr:uid="{8203DF3D-88C0-4EBF-8FFF-C7224A8BCD21}"/>
    <cellStyle name="Note 2 2 9" xfId="2743" xr:uid="{00000000-0005-0000-0000-0000EC200000}"/>
    <cellStyle name="Note 2 3" xfId="549" xr:uid="{00000000-0005-0000-0000-0000ED200000}"/>
    <cellStyle name="Note 2 3 10" xfId="4907" xr:uid="{00000000-0005-0000-0000-0000EE200000}"/>
    <cellStyle name="Note 2 3 10 2" xfId="13349" xr:uid="{ABB29403-3FE2-40D7-A3BB-B33A20ABC83C}"/>
    <cellStyle name="Note 2 3 10 3" xfId="21786" xr:uid="{4A36AB7E-0149-4CFB-99DC-98E3B2A928F6}"/>
    <cellStyle name="Note 2 3 11" xfId="9131" xr:uid="{64DB4667-E220-4B67-B280-A5D886DAF6AB}"/>
    <cellStyle name="Note 2 3 12" xfId="17569" xr:uid="{02B4F87B-B0F9-4756-ADA5-05137A2EE1EF}"/>
    <cellStyle name="Note 2 3 2" xfId="550" xr:uid="{00000000-0005-0000-0000-0000EF200000}"/>
    <cellStyle name="Note 2 3 2 10" xfId="9132" xr:uid="{79F9AC1F-EB24-416A-972D-79BFA5A1F044}"/>
    <cellStyle name="Note 2 3 2 11" xfId="17570" xr:uid="{A71F4F79-00E4-4DD3-B328-3276561D1744}"/>
    <cellStyle name="Note 2 3 2 2" xfId="1011" xr:uid="{00000000-0005-0000-0000-0000F0200000}"/>
    <cellStyle name="Note 2 3 2 2 2" xfId="3243" xr:uid="{00000000-0005-0000-0000-0000F1200000}"/>
    <cellStyle name="Note 2 3 2 2 2 2" xfId="7466" xr:uid="{00000000-0005-0000-0000-0000F2200000}"/>
    <cellStyle name="Note 2 3 2 2 2 2 2" xfId="15908" xr:uid="{83A0EC44-5C63-49E1-98AA-6D7292181E7F}"/>
    <cellStyle name="Note 2 3 2 2 2 2 3" xfId="24345" xr:uid="{7CFCDBC1-8677-4926-9AA3-34CCA924DFE4}"/>
    <cellStyle name="Note 2 3 2 2 2 3" xfId="11690" xr:uid="{39B5A367-7B82-47F3-992E-77D2D0D7C69C}"/>
    <cellStyle name="Note 2 3 2 2 2 4" xfId="20128" xr:uid="{B6D53C20-C96E-4954-87E1-07075B2B18E2}"/>
    <cellStyle name="Note 2 3 2 2 3" xfId="5321" xr:uid="{00000000-0005-0000-0000-0000F3200000}"/>
    <cellStyle name="Note 2 3 2 2 3 2" xfId="13763" xr:uid="{B499346F-1E4A-4697-99E5-4CA6C36D261A}"/>
    <cellStyle name="Note 2 3 2 2 3 3" xfId="22200" xr:uid="{77C37F33-8CA1-4F48-A829-E1B0984CDAA2}"/>
    <cellStyle name="Note 2 3 2 2 4" xfId="9545" xr:uid="{C7199BFA-AB48-49E1-AD3B-A5A7872784C3}"/>
    <cellStyle name="Note 2 3 2 2 5" xfId="17983" xr:uid="{A4B30733-D995-47E9-A204-5F456301362F}"/>
    <cellStyle name="Note 2 3 2 3" xfId="1426" xr:uid="{00000000-0005-0000-0000-0000F4200000}"/>
    <cellStyle name="Note 2 3 2 3 2" xfId="3656" xr:uid="{00000000-0005-0000-0000-0000F5200000}"/>
    <cellStyle name="Note 2 3 2 3 2 2" xfId="7879" xr:uid="{00000000-0005-0000-0000-0000F6200000}"/>
    <cellStyle name="Note 2 3 2 3 2 2 2" xfId="16321" xr:uid="{21AC7B4B-CBE1-41A4-B2CD-A520B96AF042}"/>
    <cellStyle name="Note 2 3 2 3 2 2 3" xfId="24758" xr:uid="{0474FC9D-D977-4CDB-8F3D-B73CF8A9B7BB}"/>
    <cellStyle name="Note 2 3 2 3 2 3" xfId="12103" xr:uid="{F546D42E-BF00-4ECE-8890-4871DA483277}"/>
    <cellStyle name="Note 2 3 2 3 2 4" xfId="20541" xr:uid="{4A97C8BF-DA65-4B5A-90D9-B50F81E7D465}"/>
    <cellStyle name="Note 2 3 2 3 3" xfId="5734" xr:uid="{00000000-0005-0000-0000-0000F7200000}"/>
    <cellStyle name="Note 2 3 2 3 3 2" xfId="14176" xr:uid="{70318C55-03C1-4F69-B8FF-5345EC2170FD}"/>
    <cellStyle name="Note 2 3 2 3 3 3" xfId="22613" xr:uid="{1C957E0C-EA14-480E-BD63-7AA971599CDC}"/>
    <cellStyle name="Note 2 3 2 3 4" xfId="9958" xr:uid="{B2928094-DFC9-4BA2-915C-042B0FCDD2A6}"/>
    <cellStyle name="Note 2 3 2 3 5" xfId="18396" xr:uid="{874FC66E-7AD7-4409-830C-E4716A0FCB6F}"/>
    <cellStyle name="Note 2 3 2 4" xfId="1840" xr:uid="{00000000-0005-0000-0000-0000F8200000}"/>
    <cellStyle name="Note 2 3 2 4 2" xfId="4069" xr:uid="{00000000-0005-0000-0000-0000F9200000}"/>
    <cellStyle name="Note 2 3 2 4 2 2" xfId="8292" xr:uid="{00000000-0005-0000-0000-0000FA200000}"/>
    <cellStyle name="Note 2 3 2 4 2 2 2" xfId="16734" xr:uid="{7E4E2AA9-31F4-4604-AC95-3B41231F12D5}"/>
    <cellStyle name="Note 2 3 2 4 2 2 3" xfId="25171" xr:uid="{672F1884-2758-41B5-AE69-4F7A6F26BD93}"/>
    <cellStyle name="Note 2 3 2 4 2 3" xfId="12516" xr:uid="{495D5882-315D-4FEF-BC64-3FB6E5844CD9}"/>
    <cellStyle name="Note 2 3 2 4 2 4" xfId="20954" xr:uid="{AF81A3C3-0FB4-4525-BE42-928F0FC4B39C}"/>
    <cellStyle name="Note 2 3 2 4 3" xfId="6147" xr:uid="{00000000-0005-0000-0000-0000FB200000}"/>
    <cellStyle name="Note 2 3 2 4 3 2" xfId="14589" xr:uid="{848C0625-56E1-494C-81F1-FF2EEB1DB195}"/>
    <cellStyle name="Note 2 3 2 4 3 3" xfId="23026" xr:uid="{2243FDB6-3AFF-4B62-BDD6-2AD28F1A965A}"/>
    <cellStyle name="Note 2 3 2 4 4" xfId="10371" xr:uid="{667C704C-20B4-43C0-AE13-4CD77C12E7B6}"/>
    <cellStyle name="Note 2 3 2 4 5" xfId="18809" xr:uid="{7FB797E4-D98E-496C-88C3-19F94A7F52AF}"/>
    <cellStyle name="Note 2 3 2 5" xfId="2253" xr:uid="{00000000-0005-0000-0000-0000FC200000}"/>
    <cellStyle name="Note 2 3 2 5 2" xfId="4482" xr:uid="{00000000-0005-0000-0000-0000FD200000}"/>
    <cellStyle name="Note 2 3 2 5 2 2" xfId="8705" xr:uid="{00000000-0005-0000-0000-0000FE200000}"/>
    <cellStyle name="Note 2 3 2 5 2 2 2" xfId="17147" xr:uid="{94FE04F6-67E7-48C6-9C60-18462FBD9B0C}"/>
    <cellStyle name="Note 2 3 2 5 2 2 3" xfId="25584" xr:uid="{88A78C6E-A6A8-4C87-ACF5-2887160934DE}"/>
    <cellStyle name="Note 2 3 2 5 2 3" xfId="12929" xr:uid="{227A1F54-57E3-4DE3-990F-B0AEF2E70165}"/>
    <cellStyle name="Note 2 3 2 5 2 4" xfId="21367" xr:uid="{347E4B4F-4D83-4561-8847-0754DB1032D4}"/>
    <cellStyle name="Note 2 3 2 5 3" xfId="6560" xr:uid="{00000000-0005-0000-0000-0000FF200000}"/>
    <cellStyle name="Note 2 3 2 5 3 2" xfId="15002" xr:uid="{F4EAEDE0-C702-4D8B-856D-D429A27EE49E}"/>
    <cellStyle name="Note 2 3 2 5 3 3" xfId="23439" xr:uid="{1D0931A0-1CC9-43C8-A258-A508717E3A97}"/>
    <cellStyle name="Note 2 3 2 5 4" xfId="10784" xr:uid="{0312DB51-CE57-41DE-93A8-0877C0E0D85D}"/>
    <cellStyle name="Note 2 3 2 5 5" xfId="19222" xr:uid="{ABFD4010-547A-49A1-92A7-7950C61BF71F}"/>
    <cellStyle name="Note 2 3 2 6" xfId="2689" xr:uid="{00000000-0005-0000-0000-000000210000}"/>
    <cellStyle name="Note 2 3 2 6 2" xfId="6973" xr:uid="{00000000-0005-0000-0000-000001210000}"/>
    <cellStyle name="Note 2 3 2 6 2 2" xfId="15415" xr:uid="{A6FDBDA5-B48E-4557-9A5C-472112E65DA6}"/>
    <cellStyle name="Note 2 3 2 6 2 3" xfId="23852" xr:uid="{983265DF-8D84-4A27-88CA-253490C9845F}"/>
    <cellStyle name="Note 2 3 2 6 3" xfId="11197" xr:uid="{5787DEFE-0DA6-4F87-A703-3DFB159B0583}"/>
    <cellStyle name="Note 2 3 2 6 4" xfId="19635" xr:uid="{0C50C20C-CE6B-40EF-8C40-5B98174128AD}"/>
    <cellStyle name="Note 2 3 2 7" xfId="2748" xr:uid="{00000000-0005-0000-0000-000002210000}"/>
    <cellStyle name="Note 2 3 2 8" xfId="2829" xr:uid="{00000000-0005-0000-0000-000003210000}"/>
    <cellStyle name="Note 2 3 2 8 2" xfId="7053" xr:uid="{00000000-0005-0000-0000-000004210000}"/>
    <cellStyle name="Note 2 3 2 8 2 2" xfId="15495" xr:uid="{F2257295-3CB9-4DE1-BDA8-A588E858796E}"/>
    <cellStyle name="Note 2 3 2 8 2 3" xfId="23932" xr:uid="{765B7464-BF46-4FF5-980E-C2D0B3425B29}"/>
    <cellStyle name="Note 2 3 2 8 3" xfId="11277" xr:uid="{EB5BE2DE-0976-44B2-BFD3-82FBFA6F8B2F}"/>
    <cellStyle name="Note 2 3 2 8 4" xfId="19715" xr:uid="{34598181-D5D1-4355-954A-3AE5A7B5A126}"/>
    <cellStyle name="Note 2 3 2 9" xfId="4908" xr:uid="{00000000-0005-0000-0000-000005210000}"/>
    <cellStyle name="Note 2 3 2 9 2" xfId="13350" xr:uid="{A0ED2114-1BB8-4D5B-8586-1A996B11DED8}"/>
    <cellStyle name="Note 2 3 2 9 3" xfId="21787" xr:uid="{F389E799-7D62-4829-9023-A0ACA609CA15}"/>
    <cellStyle name="Note 2 3 3" xfId="1010" xr:uid="{00000000-0005-0000-0000-000006210000}"/>
    <cellStyle name="Note 2 3 3 2" xfId="3242" xr:uid="{00000000-0005-0000-0000-000007210000}"/>
    <cellStyle name="Note 2 3 3 2 2" xfId="7465" xr:uid="{00000000-0005-0000-0000-000008210000}"/>
    <cellStyle name="Note 2 3 3 2 2 2" xfId="15907" xr:uid="{F892336B-AD6A-4CD1-BFA3-B18F9EFA9606}"/>
    <cellStyle name="Note 2 3 3 2 2 3" xfId="24344" xr:uid="{FA7FCC7C-8EEE-4728-9D22-417EE1ADF168}"/>
    <cellStyle name="Note 2 3 3 2 3" xfId="11689" xr:uid="{8FE6C8B7-9C20-4181-AF1F-039947CF1460}"/>
    <cellStyle name="Note 2 3 3 2 4" xfId="20127" xr:uid="{FDDC0271-8085-4487-9938-3CD79F3BE4BB}"/>
    <cellStyle name="Note 2 3 3 3" xfId="5320" xr:uid="{00000000-0005-0000-0000-000009210000}"/>
    <cellStyle name="Note 2 3 3 3 2" xfId="13762" xr:uid="{8AB710AB-BB21-4834-AF60-65D506B31B37}"/>
    <cellStyle name="Note 2 3 3 3 3" xfId="22199" xr:uid="{2F0F6EB8-8BC6-481B-BFE7-7A386188F4B8}"/>
    <cellStyle name="Note 2 3 3 4" xfId="9544" xr:uid="{6725159E-94BB-4080-B7BA-E94F6787A3A1}"/>
    <cellStyle name="Note 2 3 3 5" xfId="17982" xr:uid="{252F6153-C406-405E-99D8-CA782635D98F}"/>
    <cellStyle name="Note 2 3 4" xfId="1425" xr:uid="{00000000-0005-0000-0000-00000A210000}"/>
    <cellStyle name="Note 2 3 4 2" xfId="3655" xr:uid="{00000000-0005-0000-0000-00000B210000}"/>
    <cellStyle name="Note 2 3 4 2 2" xfId="7878" xr:uid="{00000000-0005-0000-0000-00000C210000}"/>
    <cellStyle name="Note 2 3 4 2 2 2" xfId="16320" xr:uid="{9E5003F8-8C95-47AC-A502-2E66C7822165}"/>
    <cellStyle name="Note 2 3 4 2 2 3" xfId="24757" xr:uid="{212CFEC9-0EED-4860-8785-0B4A933FBA7E}"/>
    <cellStyle name="Note 2 3 4 2 3" xfId="12102" xr:uid="{D8FA66AB-18D1-443D-9546-82030F3193F8}"/>
    <cellStyle name="Note 2 3 4 2 4" xfId="20540" xr:uid="{36E7F679-AA77-479F-B27A-F87C5C69A3CB}"/>
    <cellStyle name="Note 2 3 4 3" xfId="5733" xr:uid="{00000000-0005-0000-0000-00000D210000}"/>
    <cellStyle name="Note 2 3 4 3 2" xfId="14175" xr:uid="{1D2614AA-1CE6-4F2C-A20F-8046C466A689}"/>
    <cellStyle name="Note 2 3 4 3 3" xfId="22612" xr:uid="{79D89337-FF19-4D2B-BB4B-B05A7524BB85}"/>
    <cellStyle name="Note 2 3 4 4" xfId="9957" xr:uid="{04802CA1-7DF4-4358-AC8C-A7A1E643368B}"/>
    <cellStyle name="Note 2 3 4 5" xfId="18395" xr:uid="{71F56ABE-DF6B-40A8-A56E-44C234187B1B}"/>
    <cellStyle name="Note 2 3 5" xfId="1839" xr:uid="{00000000-0005-0000-0000-00000E210000}"/>
    <cellStyle name="Note 2 3 5 2" xfId="4068" xr:uid="{00000000-0005-0000-0000-00000F210000}"/>
    <cellStyle name="Note 2 3 5 2 2" xfId="8291" xr:uid="{00000000-0005-0000-0000-000010210000}"/>
    <cellStyle name="Note 2 3 5 2 2 2" xfId="16733" xr:uid="{2FEC00C6-4073-40A5-86E7-9015748FAE52}"/>
    <cellStyle name="Note 2 3 5 2 2 3" xfId="25170" xr:uid="{23AA713E-6AAB-4790-B840-39CD4BD5B7ED}"/>
    <cellStyle name="Note 2 3 5 2 3" xfId="12515" xr:uid="{83AC685F-F77B-4C0E-B993-F936BAAC0005}"/>
    <cellStyle name="Note 2 3 5 2 4" xfId="20953" xr:uid="{D45E977B-A9EA-4F58-AAD7-9596423760E2}"/>
    <cellStyle name="Note 2 3 5 3" xfId="6146" xr:uid="{00000000-0005-0000-0000-000011210000}"/>
    <cellStyle name="Note 2 3 5 3 2" xfId="14588" xr:uid="{085B657D-6B53-4CC8-BEF6-EAA438B626FA}"/>
    <cellStyle name="Note 2 3 5 3 3" xfId="23025" xr:uid="{7DFA881E-103C-4DE4-8F27-D1482A85EA6B}"/>
    <cellStyle name="Note 2 3 5 4" xfId="10370" xr:uid="{B080E22E-100D-435D-8C54-F669B1257151}"/>
    <cellStyle name="Note 2 3 5 5" xfId="18808" xr:uid="{090ABA25-326C-431D-96E3-CFC1C3B7BEDA}"/>
    <cellStyle name="Note 2 3 6" xfId="2252" xr:uid="{00000000-0005-0000-0000-000012210000}"/>
    <cellStyle name="Note 2 3 6 2" xfId="4481" xr:uid="{00000000-0005-0000-0000-000013210000}"/>
    <cellStyle name="Note 2 3 6 2 2" xfId="8704" xr:uid="{00000000-0005-0000-0000-000014210000}"/>
    <cellStyle name="Note 2 3 6 2 2 2" xfId="17146" xr:uid="{E9BC584D-9598-435E-B3E1-04B58E7D707E}"/>
    <cellStyle name="Note 2 3 6 2 2 3" xfId="25583" xr:uid="{A394643F-C1DB-4E36-AD63-8645451F0AB6}"/>
    <cellStyle name="Note 2 3 6 2 3" xfId="12928" xr:uid="{FE5F4E25-8CBA-4CF4-A881-DF17AEE64DA7}"/>
    <cellStyle name="Note 2 3 6 2 4" xfId="21366" xr:uid="{CB838710-45C2-4DCA-BD67-BF4B1FAEE774}"/>
    <cellStyle name="Note 2 3 6 3" xfId="6559" xr:uid="{00000000-0005-0000-0000-000015210000}"/>
    <cellStyle name="Note 2 3 6 3 2" xfId="15001" xr:uid="{437434EB-9FD4-4A16-9E6C-F8ED02D7F8D4}"/>
    <cellStyle name="Note 2 3 6 3 3" xfId="23438" xr:uid="{B0B4B731-D0D5-4918-ADCF-1DB3B9FC02DE}"/>
    <cellStyle name="Note 2 3 6 4" xfId="10783" xr:uid="{0815D3C4-B575-4908-B99A-17E6474999EA}"/>
    <cellStyle name="Note 2 3 6 5" xfId="19221" xr:uid="{60C7C566-C82D-4AED-B0A9-1F9677775690}"/>
    <cellStyle name="Note 2 3 7" xfId="2688" xr:uid="{00000000-0005-0000-0000-000016210000}"/>
    <cellStyle name="Note 2 3 7 2" xfId="6972" xr:uid="{00000000-0005-0000-0000-000017210000}"/>
    <cellStyle name="Note 2 3 7 2 2" xfId="15414" xr:uid="{6577A73C-812F-4E38-B691-C2CDB54E5CA1}"/>
    <cellStyle name="Note 2 3 7 2 3" xfId="23851" xr:uid="{908C5103-EE8B-4295-8815-9F73CEDBE8EE}"/>
    <cellStyle name="Note 2 3 7 3" xfId="11196" xr:uid="{380B41E9-BA85-4F7A-B923-AB4F61FFDFC0}"/>
    <cellStyle name="Note 2 3 7 4" xfId="19634" xr:uid="{04C1DE29-F7DC-4233-95A8-E3CD61E0380A}"/>
    <cellStyle name="Note 2 3 8" xfId="2747" xr:uid="{00000000-0005-0000-0000-000018210000}"/>
    <cellStyle name="Note 2 3 9" xfId="2828" xr:uid="{00000000-0005-0000-0000-000019210000}"/>
    <cellStyle name="Note 2 3 9 2" xfId="7052" xr:uid="{00000000-0005-0000-0000-00001A210000}"/>
    <cellStyle name="Note 2 3 9 2 2" xfId="15494" xr:uid="{DA697D52-06F2-4AF4-9CBA-8FCEDC99E11E}"/>
    <cellStyle name="Note 2 3 9 2 3" xfId="23931" xr:uid="{A4CDE891-82AE-4EA1-9DB3-A6AE79607845}"/>
    <cellStyle name="Note 2 3 9 3" xfId="11276" xr:uid="{8C3767B2-D66B-4B3A-8CDB-59DF13733DD5}"/>
    <cellStyle name="Note 2 3 9 4" xfId="19714" xr:uid="{490E46D1-641B-4E9B-AAA0-A8F11FE24E3B}"/>
    <cellStyle name="Note 2 4" xfId="551" xr:uid="{00000000-0005-0000-0000-00001B210000}"/>
    <cellStyle name="Note 2 4 10" xfId="9133" xr:uid="{276015D0-2ED7-4B2D-A74C-06B398BBA204}"/>
    <cellStyle name="Note 2 4 11" xfId="17571" xr:uid="{6B5F8905-D804-4920-AA96-0938C32F964F}"/>
    <cellStyle name="Note 2 4 2" xfId="1012" xr:uid="{00000000-0005-0000-0000-00001C210000}"/>
    <cellStyle name="Note 2 4 2 2" xfId="3244" xr:uid="{00000000-0005-0000-0000-00001D210000}"/>
    <cellStyle name="Note 2 4 2 2 2" xfId="7467" xr:uid="{00000000-0005-0000-0000-00001E210000}"/>
    <cellStyle name="Note 2 4 2 2 2 2" xfId="15909" xr:uid="{3C4C7B18-4DB9-4070-8F5A-ADBE86FB8B24}"/>
    <cellStyle name="Note 2 4 2 2 2 3" xfId="24346" xr:uid="{AC43A281-D540-4DAD-8C80-ED7234DF4097}"/>
    <cellStyle name="Note 2 4 2 2 3" xfId="11691" xr:uid="{A5AAF036-46EE-4243-9156-C84477FC0D89}"/>
    <cellStyle name="Note 2 4 2 2 4" xfId="20129" xr:uid="{81B94ED4-3894-4197-8BBF-3235BAA38EF3}"/>
    <cellStyle name="Note 2 4 2 3" xfId="5322" xr:uid="{00000000-0005-0000-0000-00001F210000}"/>
    <cellStyle name="Note 2 4 2 3 2" xfId="13764" xr:uid="{6DBC627B-DA26-4D5F-89DD-3BCF64BDCC29}"/>
    <cellStyle name="Note 2 4 2 3 3" xfId="22201" xr:uid="{2F59A1BC-24B6-4492-94A7-324E9ECC0A52}"/>
    <cellStyle name="Note 2 4 2 4" xfId="9546" xr:uid="{89DA37E1-8ABC-419D-8FAF-D7BEACFE28B0}"/>
    <cellStyle name="Note 2 4 2 5" xfId="17984" xr:uid="{FA315F3F-5186-475A-803D-E68817E89436}"/>
    <cellStyle name="Note 2 4 3" xfId="1427" xr:uid="{00000000-0005-0000-0000-000020210000}"/>
    <cellStyle name="Note 2 4 3 2" xfId="3657" xr:uid="{00000000-0005-0000-0000-000021210000}"/>
    <cellStyle name="Note 2 4 3 2 2" xfId="7880" xr:uid="{00000000-0005-0000-0000-000022210000}"/>
    <cellStyle name="Note 2 4 3 2 2 2" xfId="16322" xr:uid="{6A64BAFA-C9C3-4D59-AB19-B472B329363C}"/>
    <cellStyle name="Note 2 4 3 2 2 3" xfId="24759" xr:uid="{8D89537B-4A75-4A68-A8BA-4DEF0691C98F}"/>
    <cellStyle name="Note 2 4 3 2 3" xfId="12104" xr:uid="{FABC06EF-7935-4A07-8755-C71FE4D5BCE7}"/>
    <cellStyle name="Note 2 4 3 2 4" xfId="20542" xr:uid="{FBA1BC6A-2878-4F49-AA3D-578BCA1BBF8A}"/>
    <cellStyle name="Note 2 4 3 3" xfId="5735" xr:uid="{00000000-0005-0000-0000-000023210000}"/>
    <cellStyle name="Note 2 4 3 3 2" xfId="14177" xr:uid="{570755DF-4ED3-420C-94B2-A7773F4397BD}"/>
    <cellStyle name="Note 2 4 3 3 3" xfId="22614" xr:uid="{CBD693D9-A718-45A8-9FBA-33CADBD8388E}"/>
    <cellStyle name="Note 2 4 3 4" xfId="9959" xr:uid="{7B6CD984-64C3-4254-AEA7-30DF71A90482}"/>
    <cellStyle name="Note 2 4 3 5" xfId="18397" xr:uid="{AB9B3A31-2DD7-49D5-8796-6920FEC45CAB}"/>
    <cellStyle name="Note 2 4 4" xfId="1841" xr:uid="{00000000-0005-0000-0000-000024210000}"/>
    <cellStyle name="Note 2 4 4 2" xfId="4070" xr:uid="{00000000-0005-0000-0000-000025210000}"/>
    <cellStyle name="Note 2 4 4 2 2" xfId="8293" xr:uid="{00000000-0005-0000-0000-000026210000}"/>
    <cellStyle name="Note 2 4 4 2 2 2" xfId="16735" xr:uid="{2C2ACD9C-876C-453E-88FC-2E2D37E16A34}"/>
    <cellStyle name="Note 2 4 4 2 2 3" xfId="25172" xr:uid="{075C9BFC-0ECB-47A9-ACE9-FFE63C54D7D9}"/>
    <cellStyle name="Note 2 4 4 2 3" xfId="12517" xr:uid="{971EFEC7-838F-4000-9171-26A656383C0B}"/>
    <cellStyle name="Note 2 4 4 2 4" xfId="20955" xr:uid="{F93F8C69-24B7-4C91-88EF-3194B9F4E6DB}"/>
    <cellStyle name="Note 2 4 4 3" xfId="6148" xr:uid="{00000000-0005-0000-0000-000027210000}"/>
    <cellStyle name="Note 2 4 4 3 2" xfId="14590" xr:uid="{5F0E8371-E91A-40CE-925D-8792B119BCEF}"/>
    <cellStyle name="Note 2 4 4 3 3" xfId="23027" xr:uid="{887776F2-B849-4689-821A-7700699C7AA3}"/>
    <cellStyle name="Note 2 4 4 4" xfId="10372" xr:uid="{AEA77A81-9CF9-44B1-ACFD-348381EC5E83}"/>
    <cellStyle name="Note 2 4 4 5" xfId="18810" xr:uid="{00465BC8-5F81-44EC-BF6D-C654989B5621}"/>
    <cellStyle name="Note 2 4 5" xfId="2254" xr:uid="{00000000-0005-0000-0000-000028210000}"/>
    <cellStyle name="Note 2 4 5 2" xfId="4483" xr:uid="{00000000-0005-0000-0000-000029210000}"/>
    <cellStyle name="Note 2 4 5 2 2" xfId="8706" xr:uid="{00000000-0005-0000-0000-00002A210000}"/>
    <cellStyle name="Note 2 4 5 2 2 2" xfId="17148" xr:uid="{0FA9F8CC-A0C1-489D-8D33-1576C74520C8}"/>
    <cellStyle name="Note 2 4 5 2 2 3" xfId="25585" xr:uid="{290FCCE1-BE10-4935-BC76-066DC38C3CA0}"/>
    <cellStyle name="Note 2 4 5 2 3" xfId="12930" xr:uid="{D18479FC-27E4-469D-A4BD-14E644B47203}"/>
    <cellStyle name="Note 2 4 5 2 4" xfId="21368" xr:uid="{6FDF753C-0169-4C6F-ABF9-2897E3E49B72}"/>
    <cellStyle name="Note 2 4 5 3" xfId="6561" xr:uid="{00000000-0005-0000-0000-00002B210000}"/>
    <cellStyle name="Note 2 4 5 3 2" xfId="15003" xr:uid="{E4B2F030-A345-4078-9D52-8D40C3AA2F3C}"/>
    <cellStyle name="Note 2 4 5 3 3" xfId="23440" xr:uid="{17CB4C5D-5BE7-46C2-80C5-E2E53D3AA801}"/>
    <cellStyle name="Note 2 4 5 4" xfId="10785" xr:uid="{8692C1F3-EB37-4706-A0F7-1150A67CFB7D}"/>
    <cellStyle name="Note 2 4 5 5" xfId="19223" xr:uid="{ED51C058-5EA8-4D1A-8B1A-175B886645C8}"/>
    <cellStyle name="Note 2 4 6" xfId="2690" xr:uid="{00000000-0005-0000-0000-00002C210000}"/>
    <cellStyle name="Note 2 4 6 2" xfId="6974" xr:uid="{00000000-0005-0000-0000-00002D210000}"/>
    <cellStyle name="Note 2 4 6 2 2" xfId="15416" xr:uid="{BB35A6B1-0632-4F18-BCDC-C351FC8D7CCE}"/>
    <cellStyle name="Note 2 4 6 2 3" xfId="23853" xr:uid="{1F32DBED-6641-41C6-B8AB-0861D7330454}"/>
    <cellStyle name="Note 2 4 6 3" xfId="11198" xr:uid="{85036882-D434-49D0-9DCB-0B8583299048}"/>
    <cellStyle name="Note 2 4 6 4" xfId="19636" xr:uid="{0EE8FBAA-BA6C-4F3A-AF19-13B63BE43CBB}"/>
    <cellStyle name="Note 2 4 7" xfId="2749" xr:uid="{00000000-0005-0000-0000-00002E210000}"/>
    <cellStyle name="Note 2 4 8" xfId="2830" xr:uid="{00000000-0005-0000-0000-00002F210000}"/>
    <cellStyle name="Note 2 4 8 2" xfId="7054" xr:uid="{00000000-0005-0000-0000-000030210000}"/>
    <cellStyle name="Note 2 4 8 2 2" xfId="15496" xr:uid="{CB77C220-3DDB-499F-B93F-1C48A71B2C21}"/>
    <cellStyle name="Note 2 4 8 2 3" xfId="23933" xr:uid="{54116708-5F1B-4B72-9540-3E857A8821F4}"/>
    <cellStyle name="Note 2 4 8 3" xfId="11278" xr:uid="{79CB8329-4D11-4B3E-904F-895319E630AD}"/>
    <cellStyle name="Note 2 4 8 4" xfId="19716" xr:uid="{183D6DC2-3354-4344-A9B5-5F51908A332C}"/>
    <cellStyle name="Note 2 4 9" xfId="4909" xr:uid="{00000000-0005-0000-0000-000031210000}"/>
    <cellStyle name="Note 2 4 9 2" xfId="13351" xr:uid="{85D7013B-AC99-431C-9F44-7F91C96D20A9}"/>
    <cellStyle name="Note 2 4 9 3" xfId="21788" xr:uid="{F1FBF471-32B9-45B3-A57F-1831927C058D}"/>
    <cellStyle name="Note 2 5" xfId="552" xr:uid="{00000000-0005-0000-0000-000032210000}"/>
    <cellStyle name="Note 2 5 10" xfId="9134" xr:uid="{51A3BFF3-8213-4487-B99C-EB0A7438C751}"/>
    <cellStyle name="Note 2 5 11" xfId="17572" xr:uid="{88D3170B-D82D-4768-90D2-FCA1504929EA}"/>
    <cellStyle name="Note 2 5 2" xfId="1013" xr:uid="{00000000-0005-0000-0000-000033210000}"/>
    <cellStyle name="Note 2 5 2 2" xfId="3245" xr:uid="{00000000-0005-0000-0000-000034210000}"/>
    <cellStyle name="Note 2 5 2 2 2" xfId="7468" xr:uid="{00000000-0005-0000-0000-000035210000}"/>
    <cellStyle name="Note 2 5 2 2 2 2" xfId="15910" xr:uid="{FD6A88AF-B049-4D40-83FB-241303CAD8D1}"/>
    <cellStyle name="Note 2 5 2 2 2 3" xfId="24347" xr:uid="{52EAEC13-1C87-449F-A63A-3FBEA8E08D29}"/>
    <cellStyle name="Note 2 5 2 2 3" xfId="11692" xr:uid="{89691B5F-3365-4153-98DF-AD29CFAA3E78}"/>
    <cellStyle name="Note 2 5 2 2 4" xfId="20130" xr:uid="{1506FCC9-E872-44A5-9284-36E299EA2DEF}"/>
    <cellStyle name="Note 2 5 2 3" xfId="5323" xr:uid="{00000000-0005-0000-0000-000036210000}"/>
    <cellStyle name="Note 2 5 2 3 2" xfId="13765" xr:uid="{6457A393-86A6-4D0D-905E-EAE005668761}"/>
    <cellStyle name="Note 2 5 2 3 3" xfId="22202" xr:uid="{2B4A3D1F-8DE4-4DFB-8B1B-1FA73000D2FD}"/>
    <cellStyle name="Note 2 5 2 4" xfId="9547" xr:uid="{9DBD0792-FDBF-45AD-A278-1F0E3AC83D5C}"/>
    <cellStyle name="Note 2 5 2 5" xfId="17985" xr:uid="{91DBE91D-5101-487C-BC04-71D45EC1E704}"/>
    <cellStyle name="Note 2 5 3" xfId="1428" xr:uid="{00000000-0005-0000-0000-000037210000}"/>
    <cellStyle name="Note 2 5 3 2" xfId="3658" xr:uid="{00000000-0005-0000-0000-000038210000}"/>
    <cellStyle name="Note 2 5 3 2 2" xfId="7881" xr:uid="{00000000-0005-0000-0000-000039210000}"/>
    <cellStyle name="Note 2 5 3 2 2 2" xfId="16323" xr:uid="{99682619-824B-4C08-A3AE-B3B301A1CAD6}"/>
    <cellStyle name="Note 2 5 3 2 2 3" xfId="24760" xr:uid="{77BCEC1C-091E-49A5-93C6-861D28B6D0E0}"/>
    <cellStyle name="Note 2 5 3 2 3" xfId="12105" xr:uid="{0B72FA71-1D92-4F1D-AD41-24A98C7AE817}"/>
    <cellStyle name="Note 2 5 3 2 4" xfId="20543" xr:uid="{239D018E-01C7-4265-B3B8-09A1D2C111E8}"/>
    <cellStyle name="Note 2 5 3 3" xfId="5736" xr:uid="{00000000-0005-0000-0000-00003A210000}"/>
    <cellStyle name="Note 2 5 3 3 2" xfId="14178" xr:uid="{C88C7D3D-E9B6-4116-9E7D-84209AA86242}"/>
    <cellStyle name="Note 2 5 3 3 3" xfId="22615" xr:uid="{ACBD9CE2-4D39-4A89-9B51-00FDE3ABFBDD}"/>
    <cellStyle name="Note 2 5 3 4" xfId="9960" xr:uid="{0B09A1F4-E01F-4B5A-BA7F-9C6187EBDB64}"/>
    <cellStyle name="Note 2 5 3 5" xfId="18398" xr:uid="{59DC5173-8CDA-4EFE-90AD-DA33AA65B19E}"/>
    <cellStyle name="Note 2 5 4" xfId="1842" xr:uid="{00000000-0005-0000-0000-00003B210000}"/>
    <cellStyle name="Note 2 5 4 2" xfId="4071" xr:uid="{00000000-0005-0000-0000-00003C210000}"/>
    <cellStyle name="Note 2 5 4 2 2" xfId="8294" xr:uid="{00000000-0005-0000-0000-00003D210000}"/>
    <cellStyle name="Note 2 5 4 2 2 2" xfId="16736" xr:uid="{69A99322-AA21-4580-9EAC-A8911D7B1A7F}"/>
    <cellStyle name="Note 2 5 4 2 2 3" xfId="25173" xr:uid="{15E0F078-55DB-495E-9E1D-BE71E9B982E3}"/>
    <cellStyle name="Note 2 5 4 2 3" xfId="12518" xr:uid="{106E8D41-5687-4B0A-876E-1EC8A401D971}"/>
    <cellStyle name="Note 2 5 4 2 4" xfId="20956" xr:uid="{69573C5B-D580-4197-819C-72129F3CEC30}"/>
    <cellStyle name="Note 2 5 4 3" xfId="6149" xr:uid="{00000000-0005-0000-0000-00003E210000}"/>
    <cellStyle name="Note 2 5 4 3 2" xfId="14591" xr:uid="{073AB33A-B562-4323-926E-4AC16B35B525}"/>
    <cellStyle name="Note 2 5 4 3 3" xfId="23028" xr:uid="{40A9AB9B-31C6-49CF-A5DE-A1903C450363}"/>
    <cellStyle name="Note 2 5 4 4" xfId="10373" xr:uid="{C559F747-C3B2-4A34-A26B-220C47392515}"/>
    <cellStyle name="Note 2 5 4 5" xfId="18811" xr:uid="{9017320C-6AE0-4227-BA7C-8560CE70C0C7}"/>
    <cellStyle name="Note 2 5 5" xfId="2255" xr:uid="{00000000-0005-0000-0000-00003F210000}"/>
    <cellStyle name="Note 2 5 5 2" xfId="4484" xr:uid="{00000000-0005-0000-0000-000040210000}"/>
    <cellStyle name="Note 2 5 5 2 2" xfId="8707" xr:uid="{00000000-0005-0000-0000-000041210000}"/>
    <cellStyle name="Note 2 5 5 2 2 2" xfId="17149" xr:uid="{3E9E92D7-B286-4A83-88CD-888F9DB3A8F8}"/>
    <cellStyle name="Note 2 5 5 2 2 3" xfId="25586" xr:uid="{F6C98E54-E099-4B49-86A1-C1A08D86373A}"/>
    <cellStyle name="Note 2 5 5 2 3" xfId="12931" xr:uid="{051AB543-1ED5-47B5-A10C-D2BDB3E7941B}"/>
    <cellStyle name="Note 2 5 5 2 4" xfId="21369" xr:uid="{C643EE4E-1694-4043-BF20-E786380996AE}"/>
    <cellStyle name="Note 2 5 5 3" xfId="6562" xr:uid="{00000000-0005-0000-0000-000042210000}"/>
    <cellStyle name="Note 2 5 5 3 2" xfId="15004" xr:uid="{D28CE1A6-C1C8-4E59-B9E9-1B39C87A59D1}"/>
    <cellStyle name="Note 2 5 5 3 3" xfId="23441" xr:uid="{B0710A7F-BF66-4997-AE64-0FC6F6F1A8B5}"/>
    <cellStyle name="Note 2 5 5 4" xfId="10786" xr:uid="{3A347F0B-B448-454A-A409-CB12E6BB6021}"/>
    <cellStyle name="Note 2 5 5 5" xfId="19224" xr:uid="{61664765-906F-4BD0-B752-C5B48130D7AB}"/>
    <cellStyle name="Note 2 5 6" xfId="2691" xr:uid="{00000000-0005-0000-0000-000043210000}"/>
    <cellStyle name="Note 2 5 6 2" xfId="6975" xr:uid="{00000000-0005-0000-0000-000044210000}"/>
    <cellStyle name="Note 2 5 6 2 2" xfId="15417" xr:uid="{00A04AD0-16F5-43D9-A066-CF7E42EA5CDB}"/>
    <cellStyle name="Note 2 5 6 2 3" xfId="23854" xr:uid="{1393F810-4BD4-4F67-826D-01B3120A2F31}"/>
    <cellStyle name="Note 2 5 6 3" xfId="11199" xr:uid="{069E7132-F6F0-412F-AE68-C92641C278D0}"/>
    <cellStyle name="Note 2 5 6 4" xfId="19637" xr:uid="{1482C715-5BBB-4D97-9354-F4817141BBA7}"/>
    <cellStyle name="Note 2 5 7" xfId="2750" xr:uid="{00000000-0005-0000-0000-000045210000}"/>
    <cellStyle name="Note 2 5 8" xfId="2831" xr:uid="{00000000-0005-0000-0000-000046210000}"/>
    <cellStyle name="Note 2 5 8 2" xfId="7055" xr:uid="{00000000-0005-0000-0000-000047210000}"/>
    <cellStyle name="Note 2 5 8 2 2" xfId="15497" xr:uid="{8EF1DEE0-8B6F-4677-81F1-A726FE75713E}"/>
    <cellStyle name="Note 2 5 8 2 3" xfId="23934" xr:uid="{6000311C-A9F1-442D-AB54-E8B741C04B75}"/>
    <cellStyle name="Note 2 5 8 3" xfId="11279" xr:uid="{43A53160-35EF-433A-9C17-0BC9388A72FE}"/>
    <cellStyle name="Note 2 5 8 4" xfId="19717" xr:uid="{BC0D33A9-5168-4CCA-B6B0-2DF9F083C012}"/>
    <cellStyle name="Note 2 5 9" xfId="4910" xr:uid="{00000000-0005-0000-0000-000048210000}"/>
    <cellStyle name="Note 2 5 9 2" xfId="13352" xr:uid="{2895B03C-1749-442B-A387-268B27DE540B}"/>
    <cellStyle name="Note 2 5 9 3" xfId="21789" xr:uid="{4C898FB6-098A-4D88-99D0-FB251214FD14}"/>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E75D3AB4-2AFA-49B3-9F05-1024D8817329}"/>
    <cellStyle name="Note 3 2 10 2 3" xfId="23935" xr:uid="{E48ABC17-9378-449F-917B-86C769FC9704}"/>
    <cellStyle name="Note 3 2 10 3" xfId="11280" xr:uid="{23398DF2-0A97-4487-80D1-D45C7875CCA1}"/>
    <cellStyle name="Note 3 2 10 4" xfId="19718" xr:uid="{8EEE6656-1939-4BC6-BABE-31697EBAA7E8}"/>
    <cellStyle name="Note 3 2 11" xfId="4911" xr:uid="{00000000-0005-0000-0000-00004D210000}"/>
    <cellStyle name="Note 3 2 11 2" xfId="13353" xr:uid="{9294389C-FEA2-47C6-9BA3-A8734480B235}"/>
    <cellStyle name="Note 3 2 11 3" xfId="21790" xr:uid="{783DF5FC-6421-485C-AF07-3BB0EA1F641A}"/>
    <cellStyle name="Note 3 2 12" xfId="9135" xr:uid="{1EDB018A-A82C-4F90-83FF-CF19E8B445E5}"/>
    <cellStyle name="Note 3 2 13" xfId="17573" xr:uid="{3011602D-2B58-4614-8A9C-E611EBD016E2}"/>
    <cellStyle name="Note 3 2 2" xfId="555" xr:uid="{00000000-0005-0000-0000-00004E210000}"/>
    <cellStyle name="Note 3 2 2 10" xfId="4912" xr:uid="{00000000-0005-0000-0000-00004F210000}"/>
    <cellStyle name="Note 3 2 2 10 2" xfId="13354" xr:uid="{7E8D7F21-9C82-4F37-98B8-259CC34F8240}"/>
    <cellStyle name="Note 3 2 2 10 3" xfId="21791" xr:uid="{9132E77C-2E19-4ED0-AC96-A29BD3FC7AA7}"/>
    <cellStyle name="Note 3 2 2 11" xfId="9136" xr:uid="{8CBB3B03-7430-426B-A28E-719BFF71E2F6}"/>
    <cellStyle name="Note 3 2 2 12" xfId="17574" xr:uid="{2C70A393-472F-44FD-8D6E-9F5E00576D42}"/>
    <cellStyle name="Note 3 2 2 2" xfId="556" xr:uid="{00000000-0005-0000-0000-000050210000}"/>
    <cellStyle name="Note 3 2 2 2 10" xfId="9137" xr:uid="{8E0EBAD2-A69C-4F48-88AE-927F0C4DE903}"/>
    <cellStyle name="Note 3 2 2 2 11" xfId="17575" xr:uid="{8A9B21B8-6A7F-4D1F-BB1A-798E1A54230C}"/>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87DC892A-BA06-41B5-8E6C-1D2145CC85FB}"/>
    <cellStyle name="Note 3 2 2 2 2 2 2 3" xfId="24350" xr:uid="{C14E3404-6A25-4640-9F53-2EF9014ABC8D}"/>
    <cellStyle name="Note 3 2 2 2 2 2 3" xfId="11695" xr:uid="{DEF1C283-F13C-4687-9B74-DBD14BD8D911}"/>
    <cellStyle name="Note 3 2 2 2 2 2 4" xfId="20133" xr:uid="{0FB6B83F-C43B-4476-B0CD-FC7D77FA2AA8}"/>
    <cellStyle name="Note 3 2 2 2 2 3" xfId="5326" xr:uid="{00000000-0005-0000-0000-000054210000}"/>
    <cellStyle name="Note 3 2 2 2 2 3 2" xfId="13768" xr:uid="{68A351EF-BAA0-4F47-B9DD-E6849D85EC12}"/>
    <cellStyle name="Note 3 2 2 2 2 3 3" xfId="22205" xr:uid="{6C97FA95-4F20-46E6-B524-5F16AB3FEA43}"/>
    <cellStyle name="Note 3 2 2 2 2 4" xfId="9550" xr:uid="{6CECE856-4CB5-466D-AC2C-4E61963771ED}"/>
    <cellStyle name="Note 3 2 2 2 2 5" xfId="17988" xr:uid="{F6D846B2-FDD3-425D-B6E8-3CCF9D1F6B75}"/>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8461D98D-CCE9-4F3B-ACBB-67E26846105E}"/>
    <cellStyle name="Note 3 2 2 2 3 2 2 3" xfId="24763" xr:uid="{2D8A38D7-BA2E-40C6-8DA0-1BF568B8FE49}"/>
    <cellStyle name="Note 3 2 2 2 3 2 3" xfId="12108" xr:uid="{9655A34E-F6BA-4A4E-8399-FED667762842}"/>
    <cellStyle name="Note 3 2 2 2 3 2 4" xfId="20546" xr:uid="{64ECFE7C-D4CC-4FBF-8902-5DA5EDCFA5BC}"/>
    <cellStyle name="Note 3 2 2 2 3 3" xfId="5739" xr:uid="{00000000-0005-0000-0000-000058210000}"/>
    <cellStyle name="Note 3 2 2 2 3 3 2" xfId="14181" xr:uid="{4BCF1E36-6A21-4F1A-B01B-B257A552876C}"/>
    <cellStyle name="Note 3 2 2 2 3 3 3" xfId="22618" xr:uid="{C9468117-DD05-4DFC-B48F-121F916A9517}"/>
    <cellStyle name="Note 3 2 2 2 3 4" xfId="9963" xr:uid="{5A44392F-1B86-4406-8372-43A2483F40ED}"/>
    <cellStyle name="Note 3 2 2 2 3 5" xfId="18401" xr:uid="{140523F7-3DC9-4353-9964-D270980D7279}"/>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9CB8A00E-E174-4B22-9ED3-5EF9D364084C}"/>
    <cellStyle name="Note 3 2 2 2 4 2 2 3" xfId="25176" xr:uid="{75C99E40-476D-43E2-BFB7-9907848BFAF1}"/>
    <cellStyle name="Note 3 2 2 2 4 2 3" xfId="12521" xr:uid="{701EE00D-4EA8-4C82-B94E-21ADC0194055}"/>
    <cellStyle name="Note 3 2 2 2 4 2 4" xfId="20959" xr:uid="{91A5D229-F387-4BB5-9B17-22031AC57591}"/>
    <cellStyle name="Note 3 2 2 2 4 3" xfId="6152" xr:uid="{00000000-0005-0000-0000-00005C210000}"/>
    <cellStyle name="Note 3 2 2 2 4 3 2" xfId="14594" xr:uid="{FA09A7B3-DB7E-4AA0-83B8-DECDC22CC013}"/>
    <cellStyle name="Note 3 2 2 2 4 3 3" xfId="23031" xr:uid="{6351ED5A-495A-4D58-BAF8-5011205D3A8C}"/>
    <cellStyle name="Note 3 2 2 2 4 4" xfId="10376" xr:uid="{B18FCDA9-9FF0-4F07-9DF6-767138B9FD4D}"/>
    <cellStyle name="Note 3 2 2 2 4 5" xfId="18814" xr:uid="{16E1DA91-8232-4E10-B90D-4DD6D20037D2}"/>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5D68EE1C-D505-46FC-9096-73F16588A78A}"/>
    <cellStyle name="Note 3 2 2 2 5 2 2 3" xfId="25589" xr:uid="{FE4246B0-DDF7-4B8C-8450-BA61DA5404E7}"/>
    <cellStyle name="Note 3 2 2 2 5 2 3" xfId="12934" xr:uid="{DA468B2A-09EB-441A-8A36-827EF19EAF66}"/>
    <cellStyle name="Note 3 2 2 2 5 2 4" xfId="21372" xr:uid="{6B084D9E-3702-4693-B006-B3374B6477FB}"/>
    <cellStyle name="Note 3 2 2 2 5 3" xfId="6565" xr:uid="{00000000-0005-0000-0000-000060210000}"/>
    <cellStyle name="Note 3 2 2 2 5 3 2" xfId="15007" xr:uid="{C00D8EBD-16F7-40D2-8F7F-9EBAD4F78C82}"/>
    <cellStyle name="Note 3 2 2 2 5 3 3" xfId="23444" xr:uid="{90EA41C2-615E-4F63-AB75-187FACE9B832}"/>
    <cellStyle name="Note 3 2 2 2 5 4" xfId="10789" xr:uid="{E673225E-A0B6-44FB-AFE0-A47F0F3AFAC6}"/>
    <cellStyle name="Note 3 2 2 2 5 5" xfId="19227" xr:uid="{34370347-7590-47F5-B92C-651E236F5DC1}"/>
    <cellStyle name="Note 3 2 2 2 6" xfId="2694" xr:uid="{00000000-0005-0000-0000-000061210000}"/>
    <cellStyle name="Note 3 2 2 2 6 2" xfId="6978" xr:uid="{00000000-0005-0000-0000-000062210000}"/>
    <cellStyle name="Note 3 2 2 2 6 2 2" xfId="15420" xr:uid="{7F08FD20-1B07-4F50-A388-746D5C6EBBAD}"/>
    <cellStyle name="Note 3 2 2 2 6 2 3" xfId="23857" xr:uid="{C46AD542-5069-49CB-92C1-A6948C041367}"/>
    <cellStyle name="Note 3 2 2 2 6 3" xfId="11202" xr:uid="{DB976671-5618-4A5D-BCC7-525BE286C964}"/>
    <cellStyle name="Note 3 2 2 2 6 4" xfId="19640" xr:uid="{F4BB4B28-6755-47E9-A8A2-745C3A36A1EE}"/>
    <cellStyle name="Note 3 2 2 2 7" xfId="2753" xr:uid="{00000000-0005-0000-0000-000063210000}"/>
    <cellStyle name="Note 3 2 2 2 8" xfId="2834" xr:uid="{00000000-0005-0000-0000-000064210000}"/>
    <cellStyle name="Note 3 2 2 2 8 2" xfId="7058" xr:uid="{00000000-0005-0000-0000-000065210000}"/>
    <cellStyle name="Note 3 2 2 2 8 2 2" xfId="15500" xr:uid="{1A7393C0-F277-4DBD-8CE5-40646F808DCE}"/>
    <cellStyle name="Note 3 2 2 2 8 2 3" xfId="23937" xr:uid="{8F7A4C97-DD51-47C4-ABFD-A932640BB87A}"/>
    <cellStyle name="Note 3 2 2 2 8 3" xfId="11282" xr:uid="{17E8F606-C83E-4886-8FCD-3CE94586CA81}"/>
    <cellStyle name="Note 3 2 2 2 8 4" xfId="19720" xr:uid="{A3366946-C189-482F-8EFB-53B6FBA07446}"/>
    <cellStyle name="Note 3 2 2 2 9" xfId="4913" xr:uid="{00000000-0005-0000-0000-000066210000}"/>
    <cellStyle name="Note 3 2 2 2 9 2" xfId="13355" xr:uid="{6D4DE3AD-5AF2-4ED5-A932-B1DF83D776D6}"/>
    <cellStyle name="Note 3 2 2 2 9 3" xfId="21792" xr:uid="{0984082E-C353-4DEB-9359-4B3F58B88C59}"/>
    <cellStyle name="Note 3 2 2 3" xfId="1015" xr:uid="{00000000-0005-0000-0000-000067210000}"/>
    <cellStyle name="Note 3 2 2 3 2" xfId="3247" xr:uid="{00000000-0005-0000-0000-000068210000}"/>
    <cellStyle name="Note 3 2 2 3 2 2" xfId="7470" xr:uid="{00000000-0005-0000-0000-000069210000}"/>
    <cellStyle name="Note 3 2 2 3 2 2 2" xfId="15912" xr:uid="{D0EA1334-6524-4907-B972-9401E2A51B7E}"/>
    <cellStyle name="Note 3 2 2 3 2 2 3" xfId="24349" xr:uid="{25798D67-E802-4E09-87C4-C5A43ACC1B60}"/>
    <cellStyle name="Note 3 2 2 3 2 3" xfId="11694" xr:uid="{2029596E-787E-4990-9BF0-455C439AAB07}"/>
    <cellStyle name="Note 3 2 2 3 2 4" xfId="20132" xr:uid="{4FCC1D7A-0161-43D6-8A15-16ADA468EFF8}"/>
    <cellStyle name="Note 3 2 2 3 3" xfId="5325" xr:uid="{00000000-0005-0000-0000-00006A210000}"/>
    <cellStyle name="Note 3 2 2 3 3 2" xfId="13767" xr:uid="{5084D856-FEC6-4CB4-8063-92D7D60B743C}"/>
    <cellStyle name="Note 3 2 2 3 3 3" xfId="22204" xr:uid="{02030F7A-BFEF-47F7-BF55-3CA65393E632}"/>
    <cellStyle name="Note 3 2 2 3 4" xfId="9549" xr:uid="{EE1539FA-4284-4F68-81EB-6408877D9F4C}"/>
    <cellStyle name="Note 3 2 2 3 5" xfId="17987" xr:uid="{3DCAD249-D3DC-4261-BCF8-F4F29E9937F6}"/>
    <cellStyle name="Note 3 2 2 4" xfId="1430" xr:uid="{00000000-0005-0000-0000-00006B210000}"/>
    <cellStyle name="Note 3 2 2 4 2" xfId="3660" xr:uid="{00000000-0005-0000-0000-00006C210000}"/>
    <cellStyle name="Note 3 2 2 4 2 2" xfId="7883" xr:uid="{00000000-0005-0000-0000-00006D210000}"/>
    <cellStyle name="Note 3 2 2 4 2 2 2" xfId="16325" xr:uid="{D047545F-C3D8-4095-AE02-EADA2582A1EC}"/>
    <cellStyle name="Note 3 2 2 4 2 2 3" xfId="24762" xr:uid="{2ECE7827-E93A-4E88-B7A9-40ED51B087EF}"/>
    <cellStyle name="Note 3 2 2 4 2 3" xfId="12107" xr:uid="{4B1CFECD-DA21-4A23-9CF1-C26921CA4D7B}"/>
    <cellStyle name="Note 3 2 2 4 2 4" xfId="20545" xr:uid="{6CCFBF28-AF9E-4139-90C7-F648F6A1649E}"/>
    <cellStyle name="Note 3 2 2 4 3" xfId="5738" xr:uid="{00000000-0005-0000-0000-00006E210000}"/>
    <cellStyle name="Note 3 2 2 4 3 2" xfId="14180" xr:uid="{4B0B0E64-0455-4786-9F19-1ED42D1BC3F2}"/>
    <cellStyle name="Note 3 2 2 4 3 3" xfId="22617" xr:uid="{3434EAF6-13A8-4C45-883C-2AE5FF94089B}"/>
    <cellStyle name="Note 3 2 2 4 4" xfId="9962" xr:uid="{23A65B41-A74A-4FE7-A2EC-9D8C4976AA44}"/>
    <cellStyle name="Note 3 2 2 4 5" xfId="18400" xr:uid="{E4A63E3D-0E93-4A11-927C-380D4672FF2F}"/>
    <cellStyle name="Note 3 2 2 5" xfId="1844" xr:uid="{00000000-0005-0000-0000-00006F210000}"/>
    <cellStyle name="Note 3 2 2 5 2" xfId="4073" xr:uid="{00000000-0005-0000-0000-000070210000}"/>
    <cellStyle name="Note 3 2 2 5 2 2" xfId="8296" xr:uid="{00000000-0005-0000-0000-000071210000}"/>
    <cellStyle name="Note 3 2 2 5 2 2 2" xfId="16738" xr:uid="{2DDC45A4-B154-4DBD-AE50-5B3D56E549FC}"/>
    <cellStyle name="Note 3 2 2 5 2 2 3" xfId="25175" xr:uid="{DF04EA22-0843-4950-B4B2-68E7677CD5C3}"/>
    <cellStyle name="Note 3 2 2 5 2 3" xfId="12520" xr:uid="{71915D63-FEE0-41C2-B37A-C1D6012C891F}"/>
    <cellStyle name="Note 3 2 2 5 2 4" xfId="20958" xr:uid="{6EE9733F-BC1D-4095-86A2-1F03B84C9BD6}"/>
    <cellStyle name="Note 3 2 2 5 3" xfId="6151" xr:uid="{00000000-0005-0000-0000-000072210000}"/>
    <cellStyle name="Note 3 2 2 5 3 2" xfId="14593" xr:uid="{88C3BE5E-8AC4-4F1F-A521-5784484FA3BE}"/>
    <cellStyle name="Note 3 2 2 5 3 3" xfId="23030" xr:uid="{2FD2C605-C52A-455B-B61B-14D209598476}"/>
    <cellStyle name="Note 3 2 2 5 4" xfId="10375" xr:uid="{06F83CF7-A0D7-4752-9821-457D51623049}"/>
    <cellStyle name="Note 3 2 2 5 5" xfId="18813" xr:uid="{2DED048D-C998-4ADC-8777-FD78B1220ED0}"/>
    <cellStyle name="Note 3 2 2 6" xfId="2257" xr:uid="{00000000-0005-0000-0000-000073210000}"/>
    <cellStyle name="Note 3 2 2 6 2" xfId="4486" xr:uid="{00000000-0005-0000-0000-000074210000}"/>
    <cellStyle name="Note 3 2 2 6 2 2" xfId="8709" xr:uid="{00000000-0005-0000-0000-000075210000}"/>
    <cellStyle name="Note 3 2 2 6 2 2 2" xfId="17151" xr:uid="{F715E828-6AA3-46D5-B6A3-56126B1BACDD}"/>
    <cellStyle name="Note 3 2 2 6 2 2 3" xfId="25588" xr:uid="{3B91CB87-2B7A-4560-9F27-634158CE0C87}"/>
    <cellStyle name="Note 3 2 2 6 2 3" xfId="12933" xr:uid="{EEB3BDB1-E762-48E3-A992-5F9329C1B9BF}"/>
    <cellStyle name="Note 3 2 2 6 2 4" xfId="21371" xr:uid="{760CAFAF-5BF0-45AE-984B-439EC8DB9229}"/>
    <cellStyle name="Note 3 2 2 6 3" xfId="6564" xr:uid="{00000000-0005-0000-0000-000076210000}"/>
    <cellStyle name="Note 3 2 2 6 3 2" xfId="15006" xr:uid="{33690CCD-929E-40AB-967C-2C22DD61673C}"/>
    <cellStyle name="Note 3 2 2 6 3 3" xfId="23443" xr:uid="{9476B260-A9BE-421B-BA20-8685BE89DC03}"/>
    <cellStyle name="Note 3 2 2 6 4" xfId="10788" xr:uid="{5DFB5493-2CAA-42AA-BEBB-4FB60555D6F8}"/>
    <cellStyle name="Note 3 2 2 6 5" xfId="19226" xr:uid="{D22C8AE8-C17C-4775-91AA-12CC4EE9B1E4}"/>
    <cellStyle name="Note 3 2 2 7" xfId="2693" xr:uid="{00000000-0005-0000-0000-000077210000}"/>
    <cellStyle name="Note 3 2 2 7 2" xfId="6977" xr:uid="{00000000-0005-0000-0000-000078210000}"/>
    <cellStyle name="Note 3 2 2 7 2 2" xfId="15419" xr:uid="{23681A26-9FA7-4A6B-BE72-C7A6C5295C85}"/>
    <cellStyle name="Note 3 2 2 7 2 3" xfId="23856" xr:uid="{123CADD4-E3C8-428E-B083-57261D220D2D}"/>
    <cellStyle name="Note 3 2 2 7 3" xfId="11201" xr:uid="{EAF20876-2B43-40C6-AF27-B305409BEE68}"/>
    <cellStyle name="Note 3 2 2 7 4" xfId="19639" xr:uid="{8320C4B3-8E7C-4C37-A739-A1A14F268251}"/>
    <cellStyle name="Note 3 2 2 8" xfId="2752" xr:uid="{00000000-0005-0000-0000-000079210000}"/>
    <cellStyle name="Note 3 2 2 9" xfId="2833" xr:uid="{00000000-0005-0000-0000-00007A210000}"/>
    <cellStyle name="Note 3 2 2 9 2" xfId="7057" xr:uid="{00000000-0005-0000-0000-00007B210000}"/>
    <cellStyle name="Note 3 2 2 9 2 2" xfId="15499" xr:uid="{54454893-7308-46B3-A639-986DB54EEFB2}"/>
    <cellStyle name="Note 3 2 2 9 2 3" xfId="23936" xr:uid="{A29256F6-B9C9-44D1-96DE-8EF54DEB2B03}"/>
    <cellStyle name="Note 3 2 2 9 3" xfId="11281" xr:uid="{7AF2AA65-ED0E-430A-85CD-B7A2ABC5E0A9}"/>
    <cellStyle name="Note 3 2 2 9 4" xfId="19719" xr:uid="{CDCE1514-3C5A-4E83-8269-01476888FD02}"/>
    <cellStyle name="Note 3 2 3" xfId="557" xr:uid="{00000000-0005-0000-0000-00007C210000}"/>
    <cellStyle name="Note 3 2 3 10" xfId="9138" xr:uid="{0193B653-E6F0-4BE0-946F-472742400F70}"/>
    <cellStyle name="Note 3 2 3 11" xfId="17576" xr:uid="{C688ECC7-5054-46DD-8DD9-580B90413A78}"/>
    <cellStyle name="Note 3 2 3 2" xfId="1017" xr:uid="{00000000-0005-0000-0000-00007D210000}"/>
    <cellStyle name="Note 3 2 3 2 2" xfId="3249" xr:uid="{00000000-0005-0000-0000-00007E210000}"/>
    <cellStyle name="Note 3 2 3 2 2 2" xfId="7472" xr:uid="{00000000-0005-0000-0000-00007F210000}"/>
    <cellStyle name="Note 3 2 3 2 2 2 2" xfId="15914" xr:uid="{F4E56C77-B0FA-48A4-B736-C462F65E0FF8}"/>
    <cellStyle name="Note 3 2 3 2 2 2 3" xfId="24351" xr:uid="{232DE39C-E18B-48D3-B8CB-22E9727C97CA}"/>
    <cellStyle name="Note 3 2 3 2 2 3" xfId="11696" xr:uid="{E0D970B7-644D-4434-BF8E-2AC90D448CDE}"/>
    <cellStyle name="Note 3 2 3 2 2 4" xfId="20134" xr:uid="{FA1C6FB5-3E5C-4C22-826F-C639CDEB5ED3}"/>
    <cellStyle name="Note 3 2 3 2 3" xfId="5327" xr:uid="{00000000-0005-0000-0000-000080210000}"/>
    <cellStyle name="Note 3 2 3 2 3 2" xfId="13769" xr:uid="{5B2AA28C-B368-462D-8B88-B2A12E6185B0}"/>
    <cellStyle name="Note 3 2 3 2 3 3" xfId="22206" xr:uid="{66AC1038-BA66-4557-8605-2B9B0A07A9B0}"/>
    <cellStyle name="Note 3 2 3 2 4" xfId="9551" xr:uid="{46B55A09-379D-4B3D-A70F-A4FE5E83162F}"/>
    <cellStyle name="Note 3 2 3 2 5" xfId="17989" xr:uid="{8DB098DA-7511-47FB-BAA3-C4FFA3AAE3BF}"/>
    <cellStyle name="Note 3 2 3 3" xfId="1432" xr:uid="{00000000-0005-0000-0000-000081210000}"/>
    <cellStyle name="Note 3 2 3 3 2" xfId="3662" xr:uid="{00000000-0005-0000-0000-000082210000}"/>
    <cellStyle name="Note 3 2 3 3 2 2" xfId="7885" xr:uid="{00000000-0005-0000-0000-000083210000}"/>
    <cellStyle name="Note 3 2 3 3 2 2 2" xfId="16327" xr:uid="{11837798-F1F0-461A-B9CE-D0B5F7ADE2B1}"/>
    <cellStyle name="Note 3 2 3 3 2 2 3" xfId="24764" xr:uid="{77D715CB-4AFA-475E-9E2F-1211D59E6957}"/>
    <cellStyle name="Note 3 2 3 3 2 3" xfId="12109" xr:uid="{109A4651-183D-4895-A869-B8D3E77CD332}"/>
    <cellStyle name="Note 3 2 3 3 2 4" xfId="20547" xr:uid="{65D215FA-B9E9-4BB4-B96B-CDAE98C4586C}"/>
    <cellStyle name="Note 3 2 3 3 3" xfId="5740" xr:uid="{00000000-0005-0000-0000-000084210000}"/>
    <cellStyle name="Note 3 2 3 3 3 2" xfId="14182" xr:uid="{BD0BAEAE-F2B4-4357-AB20-1CED6F21B995}"/>
    <cellStyle name="Note 3 2 3 3 3 3" xfId="22619" xr:uid="{942BE517-3C16-4996-A42D-B36322BCE908}"/>
    <cellStyle name="Note 3 2 3 3 4" xfId="9964" xr:uid="{5547F6BC-A7BF-4774-85BE-91DF4FA5AFCD}"/>
    <cellStyle name="Note 3 2 3 3 5" xfId="18402" xr:uid="{0EEA78B4-1FC7-40A3-9A02-D928B7C26449}"/>
    <cellStyle name="Note 3 2 3 4" xfId="1846" xr:uid="{00000000-0005-0000-0000-000085210000}"/>
    <cellStyle name="Note 3 2 3 4 2" xfId="4075" xr:uid="{00000000-0005-0000-0000-000086210000}"/>
    <cellStyle name="Note 3 2 3 4 2 2" xfId="8298" xr:uid="{00000000-0005-0000-0000-000087210000}"/>
    <cellStyle name="Note 3 2 3 4 2 2 2" xfId="16740" xr:uid="{08D7A0E3-E944-43B2-9A1F-511AFCD0E9DB}"/>
    <cellStyle name="Note 3 2 3 4 2 2 3" xfId="25177" xr:uid="{EF20D200-1C48-4065-9437-B54EC2588C5E}"/>
    <cellStyle name="Note 3 2 3 4 2 3" xfId="12522" xr:uid="{E357E64F-397C-4D09-8F9C-BC4666DDDC16}"/>
    <cellStyle name="Note 3 2 3 4 2 4" xfId="20960" xr:uid="{53899CE7-701D-4D5B-ACD5-D147E490F4EF}"/>
    <cellStyle name="Note 3 2 3 4 3" xfId="6153" xr:uid="{00000000-0005-0000-0000-000088210000}"/>
    <cellStyle name="Note 3 2 3 4 3 2" xfId="14595" xr:uid="{65B0B56C-1797-4D86-B810-B5614BCB92DA}"/>
    <cellStyle name="Note 3 2 3 4 3 3" xfId="23032" xr:uid="{A6BD3A3E-A278-4BDB-ADEA-BA9D97166CF0}"/>
    <cellStyle name="Note 3 2 3 4 4" xfId="10377" xr:uid="{E27B317C-A775-4668-99F3-3DA643EC5862}"/>
    <cellStyle name="Note 3 2 3 4 5" xfId="18815" xr:uid="{E6595390-E669-40EB-9E5F-3184253F8E61}"/>
    <cellStyle name="Note 3 2 3 5" xfId="2259" xr:uid="{00000000-0005-0000-0000-000089210000}"/>
    <cellStyle name="Note 3 2 3 5 2" xfId="4488" xr:uid="{00000000-0005-0000-0000-00008A210000}"/>
    <cellStyle name="Note 3 2 3 5 2 2" xfId="8711" xr:uid="{00000000-0005-0000-0000-00008B210000}"/>
    <cellStyle name="Note 3 2 3 5 2 2 2" xfId="17153" xr:uid="{42AC6602-475C-46AE-99CB-C286CBABCFAF}"/>
    <cellStyle name="Note 3 2 3 5 2 2 3" xfId="25590" xr:uid="{D489135A-908C-45C5-B5EA-4B74F95A7356}"/>
    <cellStyle name="Note 3 2 3 5 2 3" xfId="12935" xr:uid="{8E83F59B-B3FD-4C84-BFE1-6C8A89312336}"/>
    <cellStyle name="Note 3 2 3 5 2 4" xfId="21373" xr:uid="{6B160685-7EBA-4DA8-B8F6-75A0075954CE}"/>
    <cellStyle name="Note 3 2 3 5 3" xfId="6566" xr:uid="{00000000-0005-0000-0000-00008C210000}"/>
    <cellStyle name="Note 3 2 3 5 3 2" xfId="15008" xr:uid="{9948E662-9B35-4AC9-87E8-9D77443F24A8}"/>
    <cellStyle name="Note 3 2 3 5 3 3" xfId="23445" xr:uid="{A89E8152-13F1-481B-AAD5-DFD9595C3655}"/>
    <cellStyle name="Note 3 2 3 5 4" xfId="10790" xr:uid="{FD91BF73-3E9D-46C9-A383-699A62A01E1D}"/>
    <cellStyle name="Note 3 2 3 5 5" xfId="19228" xr:uid="{46DA834D-5A7C-40CA-9D6E-FB7773C30D24}"/>
    <cellStyle name="Note 3 2 3 6" xfId="2695" xr:uid="{00000000-0005-0000-0000-00008D210000}"/>
    <cellStyle name="Note 3 2 3 6 2" xfId="6979" xr:uid="{00000000-0005-0000-0000-00008E210000}"/>
    <cellStyle name="Note 3 2 3 6 2 2" xfId="15421" xr:uid="{937BED00-C52C-4B4B-8C69-A5AD66DAA8E9}"/>
    <cellStyle name="Note 3 2 3 6 2 3" xfId="23858" xr:uid="{3D7998AE-F3A9-4F62-B9EC-D8D3981CDAE6}"/>
    <cellStyle name="Note 3 2 3 6 3" xfId="11203" xr:uid="{31675B53-E7DB-4819-A58C-638EA5129948}"/>
    <cellStyle name="Note 3 2 3 6 4" xfId="19641" xr:uid="{D0C2F1B2-369C-43DE-952B-91BFAC7D6611}"/>
    <cellStyle name="Note 3 2 3 7" xfId="2754" xr:uid="{00000000-0005-0000-0000-00008F210000}"/>
    <cellStyle name="Note 3 2 3 8" xfId="2835" xr:uid="{00000000-0005-0000-0000-000090210000}"/>
    <cellStyle name="Note 3 2 3 8 2" xfId="7059" xr:uid="{00000000-0005-0000-0000-000091210000}"/>
    <cellStyle name="Note 3 2 3 8 2 2" xfId="15501" xr:uid="{B41CED29-4C88-463A-B3B5-594049F8F5EE}"/>
    <cellStyle name="Note 3 2 3 8 2 3" xfId="23938" xr:uid="{BCB9BAD0-4B0C-4A5F-8DAF-0779F14FF900}"/>
    <cellStyle name="Note 3 2 3 8 3" xfId="11283" xr:uid="{6BA1087F-268F-4A49-B985-BA89ED06901C}"/>
    <cellStyle name="Note 3 2 3 8 4" xfId="19721" xr:uid="{88BE3D3C-83CD-4DC2-8818-0FC20722EDDE}"/>
    <cellStyle name="Note 3 2 3 9" xfId="4914" xr:uid="{00000000-0005-0000-0000-000092210000}"/>
    <cellStyle name="Note 3 2 3 9 2" xfId="13356" xr:uid="{A218DE25-5AE5-4792-A97A-7B74A69422AA}"/>
    <cellStyle name="Note 3 2 3 9 3" xfId="21793" xr:uid="{A0F1B559-BAAD-43A2-897E-9D39FCE18328}"/>
    <cellStyle name="Note 3 2 4" xfId="1014" xr:uid="{00000000-0005-0000-0000-000093210000}"/>
    <cellStyle name="Note 3 2 4 2" xfId="3246" xr:uid="{00000000-0005-0000-0000-000094210000}"/>
    <cellStyle name="Note 3 2 4 2 2" xfId="7469" xr:uid="{00000000-0005-0000-0000-000095210000}"/>
    <cellStyle name="Note 3 2 4 2 2 2" xfId="15911" xr:uid="{6170C240-EE85-4296-B484-0746DED006A9}"/>
    <cellStyle name="Note 3 2 4 2 2 3" xfId="24348" xr:uid="{4B1E67B0-55F2-46A5-81D3-5B8F1F7B5B7B}"/>
    <cellStyle name="Note 3 2 4 2 3" xfId="11693" xr:uid="{29D13961-B3D9-490F-A87D-CA9D493DB1FF}"/>
    <cellStyle name="Note 3 2 4 2 4" xfId="20131" xr:uid="{9559BF33-F97F-492C-A6D6-CC15346A09CB}"/>
    <cellStyle name="Note 3 2 4 3" xfId="5324" xr:uid="{00000000-0005-0000-0000-000096210000}"/>
    <cellStyle name="Note 3 2 4 3 2" xfId="13766" xr:uid="{A1D16089-1C5C-4A1F-8C0F-6CEE6A89B402}"/>
    <cellStyle name="Note 3 2 4 3 3" xfId="22203" xr:uid="{C39EC419-CF69-4050-9ACE-6C29CB5A4C7F}"/>
    <cellStyle name="Note 3 2 4 4" xfId="9548" xr:uid="{F80DF705-A782-4055-A1D7-6ED69C0FFD3D}"/>
    <cellStyle name="Note 3 2 4 5" xfId="17986" xr:uid="{ECE773E9-BD2A-4FC6-A912-64C18580465B}"/>
    <cellStyle name="Note 3 2 5" xfId="1429" xr:uid="{00000000-0005-0000-0000-000097210000}"/>
    <cellStyle name="Note 3 2 5 2" xfId="3659" xr:uid="{00000000-0005-0000-0000-000098210000}"/>
    <cellStyle name="Note 3 2 5 2 2" xfId="7882" xr:uid="{00000000-0005-0000-0000-000099210000}"/>
    <cellStyle name="Note 3 2 5 2 2 2" xfId="16324" xr:uid="{AE50E7AA-86E5-4E21-97D7-1B9DF849E19D}"/>
    <cellStyle name="Note 3 2 5 2 2 3" xfId="24761" xr:uid="{BF91BB8E-CD11-4452-A2C6-E5D8E443C03C}"/>
    <cellStyle name="Note 3 2 5 2 3" xfId="12106" xr:uid="{BC408C97-CE27-455A-9605-0DCB058E6314}"/>
    <cellStyle name="Note 3 2 5 2 4" xfId="20544" xr:uid="{A4A704B5-F179-4D25-86C7-A2E47C1E2122}"/>
    <cellStyle name="Note 3 2 5 3" xfId="5737" xr:uid="{00000000-0005-0000-0000-00009A210000}"/>
    <cellStyle name="Note 3 2 5 3 2" xfId="14179" xr:uid="{072766F9-9A41-4564-80F2-874D4D5DCC18}"/>
    <cellStyle name="Note 3 2 5 3 3" xfId="22616" xr:uid="{E592F1E0-0563-46BE-A2AB-009CF3E1E4B6}"/>
    <cellStyle name="Note 3 2 5 4" xfId="9961" xr:uid="{A727B37E-08E9-4E6D-B48E-0A487F317593}"/>
    <cellStyle name="Note 3 2 5 5" xfId="18399" xr:uid="{1CE9D7D0-B729-4700-A266-EF744CA797E8}"/>
    <cellStyle name="Note 3 2 6" xfId="1843" xr:uid="{00000000-0005-0000-0000-00009B210000}"/>
    <cellStyle name="Note 3 2 6 2" xfId="4072" xr:uid="{00000000-0005-0000-0000-00009C210000}"/>
    <cellStyle name="Note 3 2 6 2 2" xfId="8295" xr:uid="{00000000-0005-0000-0000-00009D210000}"/>
    <cellStyle name="Note 3 2 6 2 2 2" xfId="16737" xr:uid="{34A01869-A742-4AAA-803D-1E5C2CF6107C}"/>
    <cellStyle name="Note 3 2 6 2 2 3" xfId="25174" xr:uid="{216EC20E-7270-4D2A-A65A-3D971C12C533}"/>
    <cellStyle name="Note 3 2 6 2 3" xfId="12519" xr:uid="{D369CD9E-2793-41A4-A080-E1F22A5AD09B}"/>
    <cellStyle name="Note 3 2 6 2 4" xfId="20957" xr:uid="{F083CA29-EC41-4756-ABFA-F1F7162F32A9}"/>
    <cellStyle name="Note 3 2 6 3" xfId="6150" xr:uid="{00000000-0005-0000-0000-00009E210000}"/>
    <cellStyle name="Note 3 2 6 3 2" xfId="14592" xr:uid="{A6DFB839-7923-49E6-A0A7-999C6AE7E7B4}"/>
    <cellStyle name="Note 3 2 6 3 3" xfId="23029" xr:uid="{8873D1AB-E4C8-452C-8430-1AF7EA2B1A9D}"/>
    <cellStyle name="Note 3 2 6 4" xfId="10374" xr:uid="{A7716403-6DD1-44F9-81CD-059CA46BAA8B}"/>
    <cellStyle name="Note 3 2 6 5" xfId="18812" xr:uid="{074D1F3C-6A37-4FD1-8AFE-9581BAF7BE63}"/>
    <cellStyle name="Note 3 2 7" xfId="2256" xr:uid="{00000000-0005-0000-0000-00009F210000}"/>
    <cellStyle name="Note 3 2 7 2" xfId="4485" xr:uid="{00000000-0005-0000-0000-0000A0210000}"/>
    <cellStyle name="Note 3 2 7 2 2" xfId="8708" xr:uid="{00000000-0005-0000-0000-0000A1210000}"/>
    <cellStyle name="Note 3 2 7 2 2 2" xfId="17150" xr:uid="{78C15B07-B89E-4392-90BB-B3CA474D7E33}"/>
    <cellStyle name="Note 3 2 7 2 2 3" xfId="25587" xr:uid="{9E11EE2E-17D8-45CF-BE9D-2A7EC23E752B}"/>
    <cellStyle name="Note 3 2 7 2 3" xfId="12932" xr:uid="{08987AF9-257A-4261-80FC-D57E23456CC9}"/>
    <cellStyle name="Note 3 2 7 2 4" xfId="21370" xr:uid="{80488D9A-029A-403F-9416-DF00FBE01B0F}"/>
    <cellStyle name="Note 3 2 7 3" xfId="6563" xr:uid="{00000000-0005-0000-0000-0000A2210000}"/>
    <cellStyle name="Note 3 2 7 3 2" xfId="15005" xr:uid="{1CC5A0B0-7E19-4F84-8FC8-FAD79DAD078E}"/>
    <cellStyle name="Note 3 2 7 3 3" xfId="23442" xr:uid="{5473DD17-8C9B-4213-B183-76D053D7C883}"/>
    <cellStyle name="Note 3 2 7 4" xfId="10787" xr:uid="{14FD3F46-2274-48A2-9100-210524D26B80}"/>
    <cellStyle name="Note 3 2 7 5" xfId="19225" xr:uid="{10F3F1AB-F79E-41DE-9C62-4A4BFC8FE7CA}"/>
    <cellStyle name="Note 3 2 8" xfId="2692" xr:uid="{00000000-0005-0000-0000-0000A3210000}"/>
    <cellStyle name="Note 3 2 8 2" xfId="6976" xr:uid="{00000000-0005-0000-0000-0000A4210000}"/>
    <cellStyle name="Note 3 2 8 2 2" xfId="15418" xr:uid="{429EBD43-1B2B-4A0C-8755-711268FF334B}"/>
    <cellStyle name="Note 3 2 8 2 3" xfId="23855" xr:uid="{5F6B751B-FA9D-45A1-B8CA-ACC5E06DFC29}"/>
    <cellStyle name="Note 3 2 8 3" xfId="11200" xr:uid="{73A19430-CBF8-4E39-BA5A-99332FD6753F}"/>
    <cellStyle name="Note 3 2 8 4" xfId="19638" xr:uid="{014DC1D3-9A18-44DA-8714-37ACB4593826}"/>
    <cellStyle name="Note 3 2 9" xfId="2751" xr:uid="{00000000-0005-0000-0000-0000A5210000}"/>
    <cellStyle name="Note 3 3" xfId="558" xr:uid="{00000000-0005-0000-0000-0000A6210000}"/>
    <cellStyle name="Note 3 3 10" xfId="4915" xr:uid="{00000000-0005-0000-0000-0000A7210000}"/>
    <cellStyle name="Note 3 3 10 2" xfId="13357" xr:uid="{F3A91BD5-B075-4989-B9BC-6F2663083EE3}"/>
    <cellStyle name="Note 3 3 10 3" xfId="21794" xr:uid="{A2274000-4829-4B69-94D3-BE29BD387BC4}"/>
    <cellStyle name="Note 3 3 11" xfId="9139" xr:uid="{B67EB679-216B-43E0-B299-B5EB73F5FEBF}"/>
    <cellStyle name="Note 3 3 12" xfId="17577" xr:uid="{E24BA652-F0FB-4F6B-868D-B6843ED648A8}"/>
    <cellStyle name="Note 3 3 2" xfId="559" xr:uid="{00000000-0005-0000-0000-0000A8210000}"/>
    <cellStyle name="Note 3 3 2 10" xfId="9140" xr:uid="{1EE7719C-694D-4F9E-A210-3F3F70B5BE42}"/>
    <cellStyle name="Note 3 3 2 11" xfId="17578" xr:uid="{24092AE0-7D21-4B7A-BF58-F121AA73067C}"/>
    <cellStyle name="Note 3 3 2 2" xfId="1019" xr:uid="{00000000-0005-0000-0000-0000A9210000}"/>
    <cellStyle name="Note 3 3 2 2 2" xfId="3251" xr:uid="{00000000-0005-0000-0000-0000AA210000}"/>
    <cellStyle name="Note 3 3 2 2 2 2" xfId="7474" xr:uid="{00000000-0005-0000-0000-0000AB210000}"/>
    <cellStyle name="Note 3 3 2 2 2 2 2" xfId="15916" xr:uid="{CB74DF41-AF3D-44FE-BF78-C912036D9DA5}"/>
    <cellStyle name="Note 3 3 2 2 2 2 3" xfId="24353" xr:uid="{455D36A7-27AE-41E7-A3A4-FA4349BCA40D}"/>
    <cellStyle name="Note 3 3 2 2 2 3" xfId="11698" xr:uid="{6881933A-ACBD-46F6-89C1-12B38643AF45}"/>
    <cellStyle name="Note 3 3 2 2 2 4" xfId="20136" xr:uid="{360AD6C9-102B-411A-9AA6-6F4DB347466E}"/>
    <cellStyle name="Note 3 3 2 2 3" xfId="5329" xr:uid="{00000000-0005-0000-0000-0000AC210000}"/>
    <cellStyle name="Note 3 3 2 2 3 2" xfId="13771" xr:uid="{76FD2F7B-4037-4B53-929F-645F187AA9EC}"/>
    <cellStyle name="Note 3 3 2 2 3 3" xfId="22208" xr:uid="{3580ACA6-29EB-4ED3-B37A-AA2BB018F785}"/>
    <cellStyle name="Note 3 3 2 2 4" xfId="9553" xr:uid="{962BFF8D-DA67-4A85-B16E-B93BC0DFE32E}"/>
    <cellStyle name="Note 3 3 2 2 5" xfId="17991" xr:uid="{10AA6987-4438-4AE8-98B5-CCFCF9D12DDF}"/>
    <cellStyle name="Note 3 3 2 3" xfId="1434" xr:uid="{00000000-0005-0000-0000-0000AD210000}"/>
    <cellStyle name="Note 3 3 2 3 2" xfId="3664" xr:uid="{00000000-0005-0000-0000-0000AE210000}"/>
    <cellStyle name="Note 3 3 2 3 2 2" xfId="7887" xr:uid="{00000000-0005-0000-0000-0000AF210000}"/>
    <cellStyle name="Note 3 3 2 3 2 2 2" xfId="16329" xr:uid="{D4CFBA37-FA05-424B-AAAE-D37F5E737C26}"/>
    <cellStyle name="Note 3 3 2 3 2 2 3" xfId="24766" xr:uid="{61BCB04D-57BF-4657-8276-C72871070729}"/>
    <cellStyle name="Note 3 3 2 3 2 3" xfId="12111" xr:uid="{71E116B6-19BB-4598-8BA7-5D6F5FEEF29F}"/>
    <cellStyle name="Note 3 3 2 3 2 4" xfId="20549" xr:uid="{FD371186-830C-4E24-AEC4-504C39D1A965}"/>
    <cellStyle name="Note 3 3 2 3 3" xfId="5742" xr:uid="{00000000-0005-0000-0000-0000B0210000}"/>
    <cellStyle name="Note 3 3 2 3 3 2" xfId="14184" xr:uid="{3BEAEECD-31CD-400F-B058-4B7A31F72F8C}"/>
    <cellStyle name="Note 3 3 2 3 3 3" xfId="22621" xr:uid="{0DA56C72-BDFB-465C-921C-90DE10A2904D}"/>
    <cellStyle name="Note 3 3 2 3 4" xfId="9966" xr:uid="{82B1D75A-D241-46C0-BDCF-D6D821E69831}"/>
    <cellStyle name="Note 3 3 2 3 5" xfId="18404" xr:uid="{4EB718C1-613A-4188-A0EA-232004C965BA}"/>
    <cellStyle name="Note 3 3 2 4" xfId="1848" xr:uid="{00000000-0005-0000-0000-0000B1210000}"/>
    <cellStyle name="Note 3 3 2 4 2" xfId="4077" xr:uid="{00000000-0005-0000-0000-0000B2210000}"/>
    <cellStyle name="Note 3 3 2 4 2 2" xfId="8300" xr:uid="{00000000-0005-0000-0000-0000B3210000}"/>
    <cellStyle name="Note 3 3 2 4 2 2 2" xfId="16742" xr:uid="{FF6868D5-79BC-4D39-BE07-7D94156FA0D1}"/>
    <cellStyle name="Note 3 3 2 4 2 2 3" xfId="25179" xr:uid="{51D2C9F9-650A-4280-8BC0-A2EA8C3F4D00}"/>
    <cellStyle name="Note 3 3 2 4 2 3" xfId="12524" xr:uid="{FBA35A22-638D-447E-971B-FA57E411E59F}"/>
    <cellStyle name="Note 3 3 2 4 2 4" xfId="20962" xr:uid="{90C91E47-0366-4201-AE8F-16FF97C73BBB}"/>
    <cellStyle name="Note 3 3 2 4 3" xfId="6155" xr:uid="{00000000-0005-0000-0000-0000B4210000}"/>
    <cellStyle name="Note 3 3 2 4 3 2" xfId="14597" xr:uid="{E01310BA-A72A-43CC-BBA9-5872D248EA17}"/>
    <cellStyle name="Note 3 3 2 4 3 3" xfId="23034" xr:uid="{C47415CF-3F91-49E1-9E0B-A0DE6CA233E5}"/>
    <cellStyle name="Note 3 3 2 4 4" xfId="10379" xr:uid="{4C0B145C-93DA-4DC4-9E9F-409101D8457D}"/>
    <cellStyle name="Note 3 3 2 4 5" xfId="18817" xr:uid="{E389BF7F-6173-426E-88E2-F99BAC72E764}"/>
    <cellStyle name="Note 3 3 2 5" xfId="2261" xr:uid="{00000000-0005-0000-0000-0000B5210000}"/>
    <cellStyle name="Note 3 3 2 5 2" xfId="4490" xr:uid="{00000000-0005-0000-0000-0000B6210000}"/>
    <cellStyle name="Note 3 3 2 5 2 2" xfId="8713" xr:uid="{00000000-0005-0000-0000-0000B7210000}"/>
    <cellStyle name="Note 3 3 2 5 2 2 2" xfId="17155" xr:uid="{0C7B2177-19A5-434D-A837-A9EAF96007DD}"/>
    <cellStyle name="Note 3 3 2 5 2 2 3" xfId="25592" xr:uid="{EB9450DD-77CF-431B-835C-35849D3422F4}"/>
    <cellStyle name="Note 3 3 2 5 2 3" xfId="12937" xr:uid="{8B2E434F-93DA-4D23-82C1-1E56BFCBCCFD}"/>
    <cellStyle name="Note 3 3 2 5 2 4" xfId="21375" xr:uid="{D64ADFB5-CC6C-4732-9639-234111783DC6}"/>
    <cellStyle name="Note 3 3 2 5 3" xfId="6568" xr:uid="{00000000-0005-0000-0000-0000B8210000}"/>
    <cellStyle name="Note 3 3 2 5 3 2" xfId="15010" xr:uid="{8CDFD310-EFEB-4D81-A831-3B0A5EE7F98A}"/>
    <cellStyle name="Note 3 3 2 5 3 3" xfId="23447" xr:uid="{FD60E7F9-E281-4DD8-94D9-1E6B73BE9B6D}"/>
    <cellStyle name="Note 3 3 2 5 4" xfId="10792" xr:uid="{AA3C72BF-AF93-4B3A-A0E4-51D4910C4A44}"/>
    <cellStyle name="Note 3 3 2 5 5" xfId="19230" xr:uid="{4BBFA764-7E9D-4015-A1AE-2A35C1DA7B9A}"/>
    <cellStyle name="Note 3 3 2 6" xfId="2697" xr:uid="{00000000-0005-0000-0000-0000B9210000}"/>
    <cellStyle name="Note 3 3 2 6 2" xfId="6981" xr:uid="{00000000-0005-0000-0000-0000BA210000}"/>
    <cellStyle name="Note 3 3 2 6 2 2" xfId="15423" xr:uid="{8F686626-58E8-4433-85DA-D338A7CF45B0}"/>
    <cellStyle name="Note 3 3 2 6 2 3" xfId="23860" xr:uid="{766BF1BA-CBDA-4471-9A8C-15A6F8437CCB}"/>
    <cellStyle name="Note 3 3 2 6 3" xfId="11205" xr:uid="{C3FD0995-9E87-4B14-A0B7-3DF38954C027}"/>
    <cellStyle name="Note 3 3 2 6 4" xfId="19643" xr:uid="{B930CB3D-D9B7-4EF1-AFBB-F5B4CE909887}"/>
    <cellStyle name="Note 3 3 2 7" xfId="2756" xr:uid="{00000000-0005-0000-0000-0000BB210000}"/>
    <cellStyle name="Note 3 3 2 8" xfId="2837" xr:uid="{00000000-0005-0000-0000-0000BC210000}"/>
    <cellStyle name="Note 3 3 2 8 2" xfId="7061" xr:uid="{00000000-0005-0000-0000-0000BD210000}"/>
    <cellStyle name="Note 3 3 2 8 2 2" xfId="15503" xr:uid="{1C379721-5746-4DA8-8084-E0B05F94B78A}"/>
    <cellStyle name="Note 3 3 2 8 2 3" xfId="23940" xr:uid="{4322A93A-43F1-4B93-812D-D542091F1C7A}"/>
    <cellStyle name="Note 3 3 2 8 3" xfId="11285" xr:uid="{A4684FC3-B421-4EE2-9326-D3B7C2312831}"/>
    <cellStyle name="Note 3 3 2 8 4" xfId="19723" xr:uid="{5907EAE4-F0D0-482C-9563-57883098DC65}"/>
    <cellStyle name="Note 3 3 2 9" xfId="4916" xr:uid="{00000000-0005-0000-0000-0000BE210000}"/>
    <cellStyle name="Note 3 3 2 9 2" xfId="13358" xr:uid="{94BFB87B-4BE6-440A-9A7A-EE2E95945D64}"/>
    <cellStyle name="Note 3 3 2 9 3" xfId="21795" xr:uid="{3F15DD86-90F0-47F6-B765-B62EBEFDCABA}"/>
    <cellStyle name="Note 3 3 3" xfId="1018" xr:uid="{00000000-0005-0000-0000-0000BF210000}"/>
    <cellStyle name="Note 3 3 3 2" xfId="3250" xr:uid="{00000000-0005-0000-0000-0000C0210000}"/>
    <cellStyle name="Note 3 3 3 2 2" xfId="7473" xr:uid="{00000000-0005-0000-0000-0000C1210000}"/>
    <cellStyle name="Note 3 3 3 2 2 2" xfId="15915" xr:uid="{A826A539-BF4E-4AFE-8E0F-C6F5FAAB3FE7}"/>
    <cellStyle name="Note 3 3 3 2 2 3" xfId="24352" xr:uid="{E181BCFD-6EFB-418D-80C5-81C463F13FFD}"/>
    <cellStyle name="Note 3 3 3 2 3" xfId="11697" xr:uid="{BABEE1E4-7456-4729-904B-C7C2487F6B80}"/>
    <cellStyle name="Note 3 3 3 2 4" xfId="20135" xr:uid="{68347241-F3E1-4E83-BB2C-FB6F13416665}"/>
    <cellStyle name="Note 3 3 3 3" xfId="5328" xr:uid="{00000000-0005-0000-0000-0000C2210000}"/>
    <cellStyle name="Note 3 3 3 3 2" xfId="13770" xr:uid="{F6CA634F-D141-4404-87CE-5F1EB6E38320}"/>
    <cellStyle name="Note 3 3 3 3 3" xfId="22207" xr:uid="{1138A1CE-3200-4435-A92A-53AC73953CB4}"/>
    <cellStyle name="Note 3 3 3 4" xfId="9552" xr:uid="{9AABDE04-A4DB-49EF-A552-707C7C9F2B71}"/>
    <cellStyle name="Note 3 3 3 5" xfId="17990" xr:uid="{F8BD345E-0804-4A63-AA80-0B21A8E068A6}"/>
    <cellStyle name="Note 3 3 4" xfId="1433" xr:uid="{00000000-0005-0000-0000-0000C3210000}"/>
    <cellStyle name="Note 3 3 4 2" xfId="3663" xr:uid="{00000000-0005-0000-0000-0000C4210000}"/>
    <cellStyle name="Note 3 3 4 2 2" xfId="7886" xr:uid="{00000000-0005-0000-0000-0000C5210000}"/>
    <cellStyle name="Note 3 3 4 2 2 2" xfId="16328" xr:uid="{E5AAFE88-EC70-4396-BDDE-63194671F3F4}"/>
    <cellStyle name="Note 3 3 4 2 2 3" xfId="24765" xr:uid="{E17B886C-1674-42D3-AAC9-3975599C3B82}"/>
    <cellStyle name="Note 3 3 4 2 3" xfId="12110" xr:uid="{34CA81C5-AE89-4013-81B4-ACF42AD20933}"/>
    <cellStyle name="Note 3 3 4 2 4" xfId="20548" xr:uid="{2A961736-258C-42B7-9DC7-A2E7B86D4A04}"/>
    <cellStyle name="Note 3 3 4 3" xfId="5741" xr:uid="{00000000-0005-0000-0000-0000C6210000}"/>
    <cellStyle name="Note 3 3 4 3 2" xfId="14183" xr:uid="{3A647638-5174-4A99-8D54-16A29A6FCA07}"/>
    <cellStyle name="Note 3 3 4 3 3" xfId="22620" xr:uid="{2B6AA64A-0115-48B5-9180-0E94CAD76D84}"/>
    <cellStyle name="Note 3 3 4 4" xfId="9965" xr:uid="{3F246E0A-AF2D-4F70-845D-7D6FD1972F93}"/>
    <cellStyle name="Note 3 3 4 5" xfId="18403" xr:uid="{DDC3153B-BEAB-47E1-94F5-A21A712B0FF0}"/>
    <cellStyle name="Note 3 3 5" xfId="1847" xr:uid="{00000000-0005-0000-0000-0000C7210000}"/>
    <cellStyle name="Note 3 3 5 2" xfId="4076" xr:uid="{00000000-0005-0000-0000-0000C8210000}"/>
    <cellStyle name="Note 3 3 5 2 2" xfId="8299" xr:uid="{00000000-0005-0000-0000-0000C9210000}"/>
    <cellStyle name="Note 3 3 5 2 2 2" xfId="16741" xr:uid="{B02FD520-1A68-43C0-877A-0EBD608BE174}"/>
    <cellStyle name="Note 3 3 5 2 2 3" xfId="25178" xr:uid="{44F011F9-21AF-408D-B7B0-2B6189F5C2A2}"/>
    <cellStyle name="Note 3 3 5 2 3" xfId="12523" xr:uid="{B9AC8E95-265D-45A0-A8A3-145749CE9E70}"/>
    <cellStyle name="Note 3 3 5 2 4" xfId="20961" xr:uid="{95982729-C5C6-48E3-8D64-4D5FB7A2B851}"/>
    <cellStyle name="Note 3 3 5 3" xfId="6154" xr:uid="{00000000-0005-0000-0000-0000CA210000}"/>
    <cellStyle name="Note 3 3 5 3 2" xfId="14596" xr:uid="{D71DD829-4515-46EC-A0FC-9E24BE1AFB7B}"/>
    <cellStyle name="Note 3 3 5 3 3" xfId="23033" xr:uid="{88EA0718-B436-4CFC-8A4F-6323FC04D209}"/>
    <cellStyle name="Note 3 3 5 4" xfId="10378" xr:uid="{1D3E70A0-264B-4CFD-8F30-DBF10409DF7A}"/>
    <cellStyle name="Note 3 3 5 5" xfId="18816" xr:uid="{B562E780-83DF-412E-B22B-3F6DC12BD0FC}"/>
    <cellStyle name="Note 3 3 6" xfId="2260" xr:uid="{00000000-0005-0000-0000-0000CB210000}"/>
    <cellStyle name="Note 3 3 6 2" xfId="4489" xr:uid="{00000000-0005-0000-0000-0000CC210000}"/>
    <cellStyle name="Note 3 3 6 2 2" xfId="8712" xr:uid="{00000000-0005-0000-0000-0000CD210000}"/>
    <cellStyle name="Note 3 3 6 2 2 2" xfId="17154" xr:uid="{C0C1E81D-7214-4DD0-BD5C-3A1352121F07}"/>
    <cellStyle name="Note 3 3 6 2 2 3" xfId="25591" xr:uid="{7AFAD0E4-9D77-4B5E-95B7-7B895804A1DF}"/>
    <cellStyle name="Note 3 3 6 2 3" xfId="12936" xr:uid="{CB88FF06-670F-41A8-8349-11C791AEAB89}"/>
    <cellStyle name="Note 3 3 6 2 4" xfId="21374" xr:uid="{49BC5005-93E5-41AD-8A99-A1DF113C97AC}"/>
    <cellStyle name="Note 3 3 6 3" xfId="6567" xr:uid="{00000000-0005-0000-0000-0000CE210000}"/>
    <cellStyle name="Note 3 3 6 3 2" xfId="15009" xr:uid="{FFAACA41-3E06-4F01-B4C1-F6BFA0242CA8}"/>
    <cellStyle name="Note 3 3 6 3 3" xfId="23446" xr:uid="{69C6A3B5-8C0A-401F-AFA6-E7BCDA39FC98}"/>
    <cellStyle name="Note 3 3 6 4" xfId="10791" xr:uid="{97D8389D-153D-4BEA-A111-15944EAF4A65}"/>
    <cellStyle name="Note 3 3 6 5" xfId="19229" xr:uid="{227FD51A-4334-4CC3-9557-3F52E4D7F1F6}"/>
    <cellStyle name="Note 3 3 7" xfId="2696" xr:uid="{00000000-0005-0000-0000-0000CF210000}"/>
    <cellStyle name="Note 3 3 7 2" xfId="6980" xr:uid="{00000000-0005-0000-0000-0000D0210000}"/>
    <cellStyle name="Note 3 3 7 2 2" xfId="15422" xr:uid="{E1684549-CFE7-499B-B29C-47066977A977}"/>
    <cellStyle name="Note 3 3 7 2 3" xfId="23859" xr:uid="{E308F35B-89E8-41B1-8E42-5C473945A6A4}"/>
    <cellStyle name="Note 3 3 7 3" xfId="11204" xr:uid="{F1704979-4693-4D21-9B08-55E7B8487BA0}"/>
    <cellStyle name="Note 3 3 7 4" xfId="19642" xr:uid="{A29CA46F-6A71-4DC0-A365-596F09DD5B32}"/>
    <cellStyle name="Note 3 3 8" xfId="2755" xr:uid="{00000000-0005-0000-0000-0000D1210000}"/>
    <cellStyle name="Note 3 3 9" xfId="2836" xr:uid="{00000000-0005-0000-0000-0000D2210000}"/>
    <cellStyle name="Note 3 3 9 2" xfId="7060" xr:uid="{00000000-0005-0000-0000-0000D3210000}"/>
    <cellStyle name="Note 3 3 9 2 2" xfId="15502" xr:uid="{C6E592D5-9112-4281-A346-D1222ADB5F7D}"/>
    <cellStyle name="Note 3 3 9 2 3" xfId="23939" xr:uid="{D94C7090-8C5F-4437-8411-FA367767FE03}"/>
    <cellStyle name="Note 3 3 9 3" xfId="11284" xr:uid="{03E6039D-3901-445F-A83A-E39C019A2BCB}"/>
    <cellStyle name="Note 3 3 9 4" xfId="19722" xr:uid="{863F24FA-C68F-4954-8764-286D80B8AA1E}"/>
    <cellStyle name="Note 3 4" xfId="560" xr:uid="{00000000-0005-0000-0000-0000D4210000}"/>
    <cellStyle name="Note 3 4 10" xfId="9141" xr:uid="{17845CEC-6756-479E-94FE-2F3C1750A15F}"/>
    <cellStyle name="Note 3 4 11" xfId="17579" xr:uid="{005FA74D-47AC-47E2-AC20-F067BA1DF270}"/>
    <cellStyle name="Note 3 4 2" xfId="1020" xr:uid="{00000000-0005-0000-0000-0000D5210000}"/>
    <cellStyle name="Note 3 4 2 2" xfId="3252" xr:uid="{00000000-0005-0000-0000-0000D6210000}"/>
    <cellStyle name="Note 3 4 2 2 2" xfId="7475" xr:uid="{00000000-0005-0000-0000-0000D7210000}"/>
    <cellStyle name="Note 3 4 2 2 2 2" xfId="15917" xr:uid="{5CB3BE55-9D58-441A-96B6-F0102809A9F5}"/>
    <cellStyle name="Note 3 4 2 2 2 3" xfId="24354" xr:uid="{53483B31-7AB5-4FF5-9D5D-CF4A123221BE}"/>
    <cellStyle name="Note 3 4 2 2 3" xfId="11699" xr:uid="{5F2658C1-4E41-47E1-9336-DC9EEF679539}"/>
    <cellStyle name="Note 3 4 2 2 4" xfId="20137" xr:uid="{41A75E83-5E02-43B6-A46A-59E547D2F92F}"/>
    <cellStyle name="Note 3 4 2 3" xfId="5330" xr:uid="{00000000-0005-0000-0000-0000D8210000}"/>
    <cellStyle name="Note 3 4 2 3 2" xfId="13772" xr:uid="{88A331FF-C901-4FE2-A044-EBBFAB2D8466}"/>
    <cellStyle name="Note 3 4 2 3 3" xfId="22209" xr:uid="{AA63A481-EC20-4E68-AA74-E7A315DF39A9}"/>
    <cellStyle name="Note 3 4 2 4" xfId="9554" xr:uid="{0A4E6829-AECA-4A31-9321-CFF6963865DD}"/>
    <cellStyle name="Note 3 4 2 5" xfId="17992" xr:uid="{6E38420D-E033-4CBB-82D5-8AD5D6336C96}"/>
    <cellStyle name="Note 3 4 3" xfId="1435" xr:uid="{00000000-0005-0000-0000-0000D9210000}"/>
    <cellStyle name="Note 3 4 3 2" xfId="3665" xr:uid="{00000000-0005-0000-0000-0000DA210000}"/>
    <cellStyle name="Note 3 4 3 2 2" xfId="7888" xr:uid="{00000000-0005-0000-0000-0000DB210000}"/>
    <cellStyle name="Note 3 4 3 2 2 2" xfId="16330" xr:uid="{780C0297-994E-4E30-8684-98F0FCBE76A0}"/>
    <cellStyle name="Note 3 4 3 2 2 3" xfId="24767" xr:uid="{AC0FEEE9-CE7D-4291-AA2A-58D9E5B26B77}"/>
    <cellStyle name="Note 3 4 3 2 3" xfId="12112" xr:uid="{3F82963E-7B1E-4479-9AE4-624C78333DC6}"/>
    <cellStyle name="Note 3 4 3 2 4" xfId="20550" xr:uid="{46722D72-75CE-40BB-8486-A98EFD3AF52E}"/>
    <cellStyle name="Note 3 4 3 3" xfId="5743" xr:uid="{00000000-0005-0000-0000-0000DC210000}"/>
    <cellStyle name="Note 3 4 3 3 2" xfId="14185" xr:uid="{EAF00229-2B83-45C2-B28B-AA1C0BDEC92B}"/>
    <cellStyle name="Note 3 4 3 3 3" xfId="22622" xr:uid="{2BF0F911-B38D-4C7C-A013-AF7C187C0B2E}"/>
    <cellStyle name="Note 3 4 3 4" xfId="9967" xr:uid="{B98ABE69-6613-426E-BFEB-7A7991CC74FB}"/>
    <cellStyle name="Note 3 4 3 5" xfId="18405" xr:uid="{113FEA11-7D7D-4A48-A821-A1FD69A43F9D}"/>
    <cellStyle name="Note 3 4 4" xfId="1849" xr:uid="{00000000-0005-0000-0000-0000DD210000}"/>
    <cellStyle name="Note 3 4 4 2" xfId="4078" xr:uid="{00000000-0005-0000-0000-0000DE210000}"/>
    <cellStyle name="Note 3 4 4 2 2" xfId="8301" xr:uid="{00000000-0005-0000-0000-0000DF210000}"/>
    <cellStyle name="Note 3 4 4 2 2 2" xfId="16743" xr:uid="{5387DAF3-19B8-4A66-832E-FBDC0B7DE996}"/>
    <cellStyle name="Note 3 4 4 2 2 3" xfId="25180" xr:uid="{81666448-9114-410A-9C9D-D1A027D9B74F}"/>
    <cellStyle name="Note 3 4 4 2 3" xfId="12525" xr:uid="{5D5D3035-CF20-44E1-A468-07AA45363D25}"/>
    <cellStyle name="Note 3 4 4 2 4" xfId="20963" xr:uid="{027EDF85-2CA6-4270-9DC8-10DC605C356A}"/>
    <cellStyle name="Note 3 4 4 3" xfId="6156" xr:uid="{00000000-0005-0000-0000-0000E0210000}"/>
    <cellStyle name="Note 3 4 4 3 2" xfId="14598" xr:uid="{C64DBB3D-6B5C-4500-AF8B-67B8F447ED06}"/>
    <cellStyle name="Note 3 4 4 3 3" xfId="23035" xr:uid="{DF78DDEF-1E61-4C9F-A5D7-3ADB16FD9BB8}"/>
    <cellStyle name="Note 3 4 4 4" xfId="10380" xr:uid="{74ABB4FB-BD28-41AC-BF3D-12C0B4D76C1C}"/>
    <cellStyle name="Note 3 4 4 5" xfId="18818" xr:uid="{04E8E383-5891-473A-8B8B-B9CBAFCE3ED3}"/>
    <cellStyle name="Note 3 4 5" xfId="2262" xr:uid="{00000000-0005-0000-0000-0000E1210000}"/>
    <cellStyle name="Note 3 4 5 2" xfId="4491" xr:uid="{00000000-0005-0000-0000-0000E2210000}"/>
    <cellStyle name="Note 3 4 5 2 2" xfId="8714" xr:uid="{00000000-0005-0000-0000-0000E3210000}"/>
    <cellStyle name="Note 3 4 5 2 2 2" xfId="17156" xr:uid="{201B3FEC-5868-443C-9343-3E1D7965FA72}"/>
    <cellStyle name="Note 3 4 5 2 2 3" xfId="25593" xr:uid="{1A994020-672E-4C9F-A8E7-93F9E6349A51}"/>
    <cellStyle name="Note 3 4 5 2 3" xfId="12938" xr:uid="{57D117FA-4190-4069-98ED-6BD8691794C4}"/>
    <cellStyle name="Note 3 4 5 2 4" xfId="21376" xr:uid="{5EC7D367-D639-4FC6-9544-F0786542A715}"/>
    <cellStyle name="Note 3 4 5 3" xfId="6569" xr:uid="{00000000-0005-0000-0000-0000E4210000}"/>
    <cellStyle name="Note 3 4 5 3 2" xfId="15011" xr:uid="{153E5F2F-0E4D-4B13-8A29-49684F47256D}"/>
    <cellStyle name="Note 3 4 5 3 3" xfId="23448" xr:uid="{45CB6818-AC33-42A5-BCB9-99DFA012BF97}"/>
    <cellStyle name="Note 3 4 5 4" xfId="10793" xr:uid="{1D631607-86E6-4909-AF10-88F444F964B5}"/>
    <cellStyle name="Note 3 4 5 5" xfId="19231" xr:uid="{46169781-1F63-4953-8570-42D89A53E6AF}"/>
    <cellStyle name="Note 3 4 6" xfId="2698" xr:uid="{00000000-0005-0000-0000-0000E5210000}"/>
    <cellStyle name="Note 3 4 6 2" xfId="6982" xr:uid="{00000000-0005-0000-0000-0000E6210000}"/>
    <cellStyle name="Note 3 4 6 2 2" xfId="15424" xr:uid="{55D3DE65-DAB4-4622-8F17-B459E377C647}"/>
    <cellStyle name="Note 3 4 6 2 3" xfId="23861" xr:uid="{24F94AF3-920E-4FB3-A8A7-80F260EFEFC9}"/>
    <cellStyle name="Note 3 4 6 3" xfId="11206" xr:uid="{32D1ECBE-724A-4472-ABF7-310494E42BE4}"/>
    <cellStyle name="Note 3 4 6 4" xfId="19644" xr:uid="{85BC4867-A121-4C68-B6BA-E4DBBA5328B2}"/>
    <cellStyle name="Note 3 4 7" xfId="2757" xr:uid="{00000000-0005-0000-0000-0000E7210000}"/>
    <cellStyle name="Note 3 4 8" xfId="2838" xr:uid="{00000000-0005-0000-0000-0000E8210000}"/>
    <cellStyle name="Note 3 4 8 2" xfId="7062" xr:uid="{00000000-0005-0000-0000-0000E9210000}"/>
    <cellStyle name="Note 3 4 8 2 2" xfId="15504" xr:uid="{5A1B0F8A-157F-4663-B08C-0EAD998CE6D9}"/>
    <cellStyle name="Note 3 4 8 2 3" xfId="23941" xr:uid="{D0C658B8-8521-43A7-93CA-00ABEDB6F897}"/>
    <cellStyle name="Note 3 4 8 3" xfId="11286" xr:uid="{B4712DC5-4A5C-4BE1-A580-1A16CBC6FDCF}"/>
    <cellStyle name="Note 3 4 8 4" xfId="19724" xr:uid="{634EBA68-3ABD-423D-8D99-797A4BF0BD28}"/>
    <cellStyle name="Note 3 4 9" xfId="4917" xr:uid="{00000000-0005-0000-0000-0000EA210000}"/>
    <cellStyle name="Note 3 4 9 2" xfId="13359" xr:uid="{63D0D8FE-3FE7-4CA1-BCF8-85E98A987483}"/>
    <cellStyle name="Note 3 4 9 3" xfId="21796" xr:uid="{CB797DEE-343F-4688-A0DE-B4824F381671}"/>
    <cellStyle name="Note 3 5" xfId="561" xr:uid="{00000000-0005-0000-0000-0000EB210000}"/>
    <cellStyle name="Note 3 5 10" xfId="9142" xr:uid="{8DBAB70B-FF62-4DAB-9DD6-2407EF32CB9E}"/>
    <cellStyle name="Note 3 5 11" xfId="17580" xr:uid="{27CAD3F4-8615-4AA1-8FF8-779155ADD6E4}"/>
    <cellStyle name="Note 3 5 2" xfId="1021" xr:uid="{00000000-0005-0000-0000-0000EC210000}"/>
    <cellStyle name="Note 3 5 2 2" xfId="3253" xr:uid="{00000000-0005-0000-0000-0000ED210000}"/>
    <cellStyle name="Note 3 5 2 2 2" xfId="7476" xr:uid="{00000000-0005-0000-0000-0000EE210000}"/>
    <cellStyle name="Note 3 5 2 2 2 2" xfId="15918" xr:uid="{B2E0DD49-2C85-4FB3-A0B8-94FBB451F0E1}"/>
    <cellStyle name="Note 3 5 2 2 2 3" xfId="24355" xr:uid="{55F4DE1D-10E9-4028-B471-335096E6C6AB}"/>
    <cellStyle name="Note 3 5 2 2 3" xfId="11700" xr:uid="{51217C9C-3710-4478-923C-AE59DD2582B6}"/>
    <cellStyle name="Note 3 5 2 2 4" xfId="20138" xr:uid="{EE3095CB-0F5E-4321-935D-8A1500EA2949}"/>
    <cellStyle name="Note 3 5 2 3" xfId="5331" xr:uid="{00000000-0005-0000-0000-0000EF210000}"/>
    <cellStyle name="Note 3 5 2 3 2" xfId="13773" xr:uid="{9A0905E4-6018-4230-8AF8-49CA965D324C}"/>
    <cellStyle name="Note 3 5 2 3 3" xfId="22210" xr:uid="{07E7E3A4-2535-4963-A096-23B946D949F9}"/>
    <cellStyle name="Note 3 5 2 4" xfId="9555" xr:uid="{E0AA292D-2D0B-4968-9468-2F4E16875CE7}"/>
    <cellStyle name="Note 3 5 2 5" xfId="17993" xr:uid="{EE7F92CC-E17F-4A27-96F0-613256700B7D}"/>
    <cellStyle name="Note 3 5 3" xfId="1436" xr:uid="{00000000-0005-0000-0000-0000F0210000}"/>
    <cellStyle name="Note 3 5 3 2" xfId="3666" xr:uid="{00000000-0005-0000-0000-0000F1210000}"/>
    <cellStyle name="Note 3 5 3 2 2" xfId="7889" xr:uid="{00000000-0005-0000-0000-0000F2210000}"/>
    <cellStyle name="Note 3 5 3 2 2 2" xfId="16331" xr:uid="{A6F79B44-697C-4628-A3B9-A897AFCEEBA9}"/>
    <cellStyle name="Note 3 5 3 2 2 3" xfId="24768" xr:uid="{A0CF7F1E-4D48-4353-A0EA-92D1E042D9C5}"/>
    <cellStyle name="Note 3 5 3 2 3" xfId="12113" xr:uid="{ED56874E-DED0-4821-9594-FC2F8FA3B2DA}"/>
    <cellStyle name="Note 3 5 3 2 4" xfId="20551" xr:uid="{35092C1C-338D-4822-81D6-4AFDBAC23F60}"/>
    <cellStyle name="Note 3 5 3 3" xfId="5744" xr:uid="{00000000-0005-0000-0000-0000F3210000}"/>
    <cellStyle name="Note 3 5 3 3 2" xfId="14186" xr:uid="{59C4877D-A2AB-471D-A175-78DF1C9039F5}"/>
    <cellStyle name="Note 3 5 3 3 3" xfId="22623" xr:uid="{2064ADC0-23EB-42DA-B8DB-DE48BE5EC571}"/>
    <cellStyle name="Note 3 5 3 4" xfId="9968" xr:uid="{1642EBC2-830C-44D0-8170-F79D8F4C8479}"/>
    <cellStyle name="Note 3 5 3 5" xfId="18406" xr:uid="{4897DD95-DEB9-4227-A3EB-7A92C7D61C72}"/>
    <cellStyle name="Note 3 5 4" xfId="1850" xr:uid="{00000000-0005-0000-0000-0000F4210000}"/>
    <cellStyle name="Note 3 5 4 2" xfId="4079" xr:uid="{00000000-0005-0000-0000-0000F5210000}"/>
    <cellStyle name="Note 3 5 4 2 2" xfId="8302" xr:uid="{00000000-0005-0000-0000-0000F6210000}"/>
    <cellStyle name="Note 3 5 4 2 2 2" xfId="16744" xr:uid="{8C9071A6-C078-4187-9996-052C0F0C49C0}"/>
    <cellStyle name="Note 3 5 4 2 2 3" xfId="25181" xr:uid="{7B57C2CA-A2A9-455D-A226-2DA8072E95C3}"/>
    <cellStyle name="Note 3 5 4 2 3" xfId="12526" xr:uid="{D7059446-F17B-487F-8A05-6FEC5C67C3FC}"/>
    <cellStyle name="Note 3 5 4 2 4" xfId="20964" xr:uid="{0B01D108-D149-4646-9F16-35308645729E}"/>
    <cellStyle name="Note 3 5 4 3" xfId="6157" xr:uid="{00000000-0005-0000-0000-0000F7210000}"/>
    <cellStyle name="Note 3 5 4 3 2" xfId="14599" xr:uid="{08AF9C33-F330-4362-9C33-EB8C53D19BC7}"/>
    <cellStyle name="Note 3 5 4 3 3" xfId="23036" xr:uid="{C5762488-8923-45B8-AD20-D038682DEF02}"/>
    <cellStyle name="Note 3 5 4 4" xfId="10381" xr:uid="{1D4FA9A1-C038-4C85-9E19-635B69AA63E1}"/>
    <cellStyle name="Note 3 5 4 5" xfId="18819" xr:uid="{1A933BCF-9E5F-46CD-8171-276467125930}"/>
    <cellStyle name="Note 3 5 5" xfId="2263" xr:uid="{00000000-0005-0000-0000-0000F8210000}"/>
    <cellStyle name="Note 3 5 5 2" xfId="4492" xr:uid="{00000000-0005-0000-0000-0000F9210000}"/>
    <cellStyle name="Note 3 5 5 2 2" xfId="8715" xr:uid="{00000000-0005-0000-0000-0000FA210000}"/>
    <cellStyle name="Note 3 5 5 2 2 2" xfId="17157" xr:uid="{334DBC77-70C8-42CC-B58F-8C6431A0BE49}"/>
    <cellStyle name="Note 3 5 5 2 2 3" xfId="25594" xr:uid="{4B35C483-16C1-4F5E-A628-0456ADC939E5}"/>
    <cellStyle name="Note 3 5 5 2 3" xfId="12939" xr:uid="{ECC2446E-44E5-409A-A58E-316D75776258}"/>
    <cellStyle name="Note 3 5 5 2 4" xfId="21377" xr:uid="{73424F60-B664-4B92-A8D3-D31D7367A635}"/>
    <cellStyle name="Note 3 5 5 3" xfId="6570" xr:uid="{00000000-0005-0000-0000-0000FB210000}"/>
    <cellStyle name="Note 3 5 5 3 2" xfId="15012" xr:uid="{BF6BBA36-389E-4DCC-84F5-EFEF820E6E9D}"/>
    <cellStyle name="Note 3 5 5 3 3" xfId="23449" xr:uid="{DEB71384-CAE6-4846-9F69-ADF85A383541}"/>
    <cellStyle name="Note 3 5 5 4" xfId="10794" xr:uid="{3239EC91-39FD-4CED-8275-DDCA3BBA9175}"/>
    <cellStyle name="Note 3 5 5 5" xfId="19232" xr:uid="{AA955E97-D676-42AA-9B33-72C22C6B73EA}"/>
    <cellStyle name="Note 3 5 6" xfId="2699" xr:uid="{00000000-0005-0000-0000-0000FC210000}"/>
    <cellStyle name="Note 3 5 6 2" xfId="6983" xr:uid="{00000000-0005-0000-0000-0000FD210000}"/>
    <cellStyle name="Note 3 5 6 2 2" xfId="15425" xr:uid="{4FD2F758-2A34-4C59-9660-BF08586EC089}"/>
    <cellStyle name="Note 3 5 6 2 3" xfId="23862" xr:uid="{397F753C-8E7A-47BD-9BAE-D09BBF2C17AD}"/>
    <cellStyle name="Note 3 5 6 3" xfId="11207" xr:uid="{FB0F9114-CA39-4D70-A4DD-C733818D4563}"/>
    <cellStyle name="Note 3 5 6 4" xfId="19645" xr:uid="{8039E86C-19D2-4178-A498-3940D24760C5}"/>
    <cellStyle name="Note 3 5 7" xfId="2758" xr:uid="{00000000-0005-0000-0000-0000FE210000}"/>
    <cellStyle name="Note 3 5 8" xfId="2839" xr:uid="{00000000-0005-0000-0000-0000FF210000}"/>
    <cellStyle name="Note 3 5 8 2" xfId="7063" xr:uid="{00000000-0005-0000-0000-000000220000}"/>
    <cellStyle name="Note 3 5 8 2 2" xfId="15505" xr:uid="{2132E96E-09AF-485F-98FC-1291F9DDB18C}"/>
    <cellStyle name="Note 3 5 8 2 3" xfId="23942" xr:uid="{802E49F0-54FF-4265-875D-F9584A1CB0FB}"/>
    <cellStyle name="Note 3 5 8 3" xfId="11287" xr:uid="{10CB1638-E198-4F56-8699-ED2D990B2F09}"/>
    <cellStyle name="Note 3 5 8 4" xfId="19725" xr:uid="{EE9DA126-6BD7-4799-8DBA-229F2632FFB7}"/>
    <cellStyle name="Note 3 5 9" xfId="4918" xr:uid="{00000000-0005-0000-0000-000001220000}"/>
    <cellStyle name="Note 3 5 9 2" xfId="13360" xr:uid="{698F30AE-B55D-4E61-9C42-B6819C69CAE1}"/>
    <cellStyle name="Note 3 5 9 3" xfId="21797" xr:uid="{33E90231-65D1-49C7-8482-D83CDEB35021}"/>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276798E2-3A4A-442F-B5B9-E415B0FF2940}"/>
    <cellStyle name="Percent 3 3" xfId="21380" xr:uid="{6EE6105B-3ADF-450C-B925-3B21D312D7CC}"/>
    <cellStyle name="Percent 4" xfId="4502" xr:uid="{00000000-0005-0000-0000-000007220000}"/>
    <cellStyle name="Percent 4 2" xfId="8718" xr:uid="{00000000-0005-0000-0000-000008220000}"/>
    <cellStyle name="Percent 4 2 2" xfId="17160" xr:uid="{E429A029-2D27-4A2F-88C5-D419E1BBB242}"/>
    <cellStyle name="Percent 4 2 3" xfId="25597" xr:uid="{E2BEE56C-D981-47E1-8ADD-D39A1A48FF40}"/>
    <cellStyle name="Percent 4 3" xfId="8721" xr:uid="{D09CD3FC-D632-4B66-A68A-5CC92F993799}"/>
    <cellStyle name="Percent 4 3 2" xfId="8725" xr:uid="{D57AE941-8E59-43F0-AB73-09B3BCCFA234}"/>
    <cellStyle name="Percent 4 3 2 2" xfId="8728" xr:uid="{D24D76A7-D076-4554-9944-551B122393DE}"/>
    <cellStyle name="Percent 4 3 2 3" xfId="17166" xr:uid="{F3130076-BD77-4FF7-8F6B-0110F07075E7}"/>
    <cellStyle name="Percent 4 3 2 4" xfId="25603" xr:uid="{4604C9F9-FF36-4D1F-AD42-0BD7284FA3EA}"/>
    <cellStyle name="Percent 4 3 3" xfId="17163" xr:uid="{18E98F73-6CA8-4FF3-9CAD-421B0F7D4417}"/>
    <cellStyle name="Percent 4 3 4" xfId="25600" xr:uid="{D2B0349C-E290-413A-B16F-278D5860C83E}"/>
    <cellStyle name="Percent 4 4" xfId="12946" xr:uid="{AFCCAADF-322A-4B06-8464-AD8895C3F133}"/>
    <cellStyle name="Percent 4 5" xfId="21383" xr:uid="{447C0D3B-0524-465B-82B1-05A4D7523E86}"/>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activeCell="E28" sqref="E28:AK30"/>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 thickTop="1"/>
    <row r="4" spans="1:38" s="5" customFormat="1" ht="13">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2349</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ht="13">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ht="13">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4" t="s">
        <v>2350</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ht="13">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ht="13">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2577</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ht="13">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2351</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ht="13">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ht="13">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ht="13">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ht="13">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ht="13">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ht="13">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ht="13">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2506</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t="13"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2352</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ht="13">
      <c r="A33" s="218"/>
      <c r="B33" s="218"/>
      <c r="C33" s="219"/>
      <c r="D33" s="489"/>
      <c r="E33" s="1265" t="s">
        <v>2583</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ht="13">
      <c r="A34" s="4"/>
      <c r="C34" s="2"/>
    </row>
    <row r="35" spans="1:38">
      <c r="A35" s="4"/>
      <c r="D35" s="1276" t="s">
        <v>2501</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ht="13">
      <c r="A37" s="4"/>
      <c r="D37" s="120"/>
      <c r="E37" s="1271" t="s">
        <v>2359</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ht="13">
      <c r="A38" s="4"/>
      <c r="D38" s="120"/>
      <c r="E38" s="1271" t="s">
        <v>2360</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662</v>
      </c>
      <c r="F42" s="1264" t="s">
        <v>1271</v>
      </c>
    </row>
    <row r="43" spans="1:38" s="1264" customFormat="1" ht="13.15" customHeight="1">
      <c r="A43" s="4"/>
      <c r="B43"/>
      <c r="C43" s="2"/>
      <c r="D43" s="4"/>
      <c r="E43" s="4"/>
    </row>
    <row r="44" spans="1:38" ht="13">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
      <c r="A48" s="4"/>
      <c r="C48" s="2"/>
      <c r="D48" s="4"/>
      <c r="E48" s="4"/>
      <c r="F48" s="118" t="s">
        <v>697</v>
      </c>
      <c r="G48" s="3" t="s">
        <v>2353</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
      <c r="A50" s="4"/>
      <c r="C50" s="2"/>
      <c r="D50" s="4"/>
      <c r="E50" s="3" t="s">
        <v>350</v>
      </c>
      <c r="F50" s="1264" t="s">
        <v>2354</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ht="13">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ht="13">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9" t="s">
        <v>2355</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ht="13">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ht="13">
      <c r="A61" s="218"/>
      <c r="B61" s="218"/>
      <c r="C61" s="219"/>
      <c r="D61" s="219"/>
      <c r="E61" s="218"/>
      <c r="F61" s="220"/>
      <c r="G61" s="513" t="s">
        <v>1389</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ht="13">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ht="13">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ht="13">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ht="13">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ht="13">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ht="13">
      <c r="A76" s="4"/>
      <c r="C76" s="2"/>
      <c r="D76" s="4"/>
      <c r="E76" s="4"/>
      <c r="F76" s="8"/>
      <c r="G76" s="120" t="s">
        <v>760</v>
      </c>
      <c r="H76" s="4"/>
      <c r="J76" s="120"/>
      <c r="K76" s="120"/>
      <c r="L76" s="120"/>
      <c r="P76" s="4"/>
      <c r="Q76" s="4"/>
      <c r="R76" s="4"/>
      <c r="S76" s="4"/>
      <c r="T76" s="4"/>
      <c r="U76" s="4"/>
      <c r="V76" s="4"/>
      <c r="W76" s="4"/>
      <c r="X76" s="4"/>
      <c r="Y76" s="4"/>
      <c r="Z76" s="4"/>
      <c r="AA76" s="4"/>
      <c r="AB76" s="4"/>
    </row>
    <row r="77" spans="1:37" ht="13">
      <c r="A77" s="4"/>
      <c r="C77" s="2"/>
      <c r="D77" s="4"/>
      <c r="E77" s="4"/>
      <c r="F77" s="8"/>
      <c r="G77" s="120" t="s">
        <v>876</v>
      </c>
      <c r="J77" s="120"/>
      <c r="K77" s="120"/>
      <c r="L77" s="120"/>
      <c r="P77" s="4"/>
      <c r="Q77" s="4"/>
      <c r="R77" s="4"/>
      <c r="S77" s="4"/>
      <c r="T77" s="4"/>
      <c r="U77" s="4"/>
      <c r="V77" s="4"/>
      <c r="W77" s="4"/>
      <c r="X77" s="4"/>
      <c r="Y77" s="4"/>
      <c r="Z77" s="4"/>
      <c r="AA77" s="4"/>
      <c r="AB77" s="4"/>
    </row>
    <row r="78" spans="1:37" ht="13">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ht="13">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ht="13">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ht="13">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ht="13">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ht="13">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ht="13">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ht="13">
      <c r="A89" s="4"/>
      <c r="C89" s="2"/>
      <c r="D89" s="4"/>
      <c r="E89" s="4" t="s">
        <v>263</v>
      </c>
      <c r="F89" t="s">
        <v>878</v>
      </c>
      <c r="G89" s="4"/>
      <c r="L89" s="4"/>
      <c r="M89" s="4"/>
      <c r="P89" s="4"/>
      <c r="Q89" s="4"/>
      <c r="R89" s="4"/>
      <c r="S89" s="4"/>
      <c r="T89" s="4"/>
      <c r="U89" s="4"/>
      <c r="V89" s="4"/>
      <c r="W89" s="4"/>
      <c r="X89" s="4"/>
      <c r="Y89" s="4"/>
      <c r="Z89" s="4"/>
      <c r="AA89" s="4"/>
      <c r="AB89" s="4"/>
    </row>
    <row r="90" spans="1:37" ht="13">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ht="13">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ht="13">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ht="13">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ht="13">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ht="13">
      <c r="A96" s="4"/>
      <c r="C96" s="2"/>
      <c r="D96" s="4"/>
      <c r="E96" s="4" t="s">
        <v>920</v>
      </c>
      <c r="F96" s="218" t="s">
        <v>921</v>
      </c>
      <c r="G96" s="218"/>
      <c r="L96" s="4"/>
      <c r="M96" s="4"/>
      <c r="P96" s="4"/>
      <c r="Q96" s="4"/>
      <c r="R96" s="4"/>
      <c r="S96" s="4"/>
      <c r="T96" s="4"/>
      <c r="U96" s="4"/>
      <c r="V96" s="4"/>
      <c r="W96" s="4"/>
      <c r="X96" s="4"/>
      <c r="Y96" s="4"/>
      <c r="Z96" s="4"/>
      <c r="AA96" s="4"/>
      <c r="AB96" s="4"/>
    </row>
    <row r="97" spans="1:38" ht="13">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ht="13">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3">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3">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1293</v>
      </c>
      <c r="H105" s="2"/>
      <c r="I105" s="2"/>
      <c r="K105" s="2"/>
    </row>
    <row r="106" spans="1:38" ht="13">
      <c r="B106" s="2"/>
      <c r="C106" s="2"/>
      <c r="D106" s="2" t="s">
        <v>208</v>
      </c>
      <c r="E106" s="2" t="s">
        <v>1295</v>
      </c>
      <c r="F106" s="2"/>
      <c r="G106" s="2"/>
      <c r="H106" s="2"/>
      <c r="I106" s="2"/>
      <c r="J106" s="2"/>
      <c r="K106" s="2"/>
      <c r="L106" s="2"/>
      <c r="M106" s="2"/>
    </row>
    <row r="107" spans="1:38" ht="13">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
      <c r="E111" s="4" t="s">
        <v>113</v>
      </c>
      <c r="F111" s="98" t="s">
        <v>665</v>
      </c>
      <c r="G111" s="2"/>
      <c r="H111" s="2"/>
      <c r="I111" s="2"/>
      <c r="J111" s="2"/>
    </row>
    <row r="112" spans="1:38">
      <c r="E112" s="4"/>
      <c r="F112" t="s">
        <v>666</v>
      </c>
    </row>
    <row r="113" spans="2:16">
      <c r="E113" s="4"/>
    </row>
    <row r="114" spans="2:16" ht="13">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
      <c r="F119" s="4" t="s">
        <v>1040</v>
      </c>
      <c r="G119" s="4"/>
    </row>
    <row r="120" spans="2:16" ht="13">
      <c r="F120" s="99" t="s">
        <v>1294</v>
      </c>
      <c r="G120" s="99"/>
    </row>
    <row r="121" spans="2:16" ht="13">
      <c r="G121" s="99"/>
    </row>
    <row r="122" spans="2:16">
      <c r="E122" s="4" t="s">
        <v>773</v>
      </c>
      <c r="F122" s="98" t="s">
        <v>379</v>
      </c>
    </row>
    <row r="123" spans="2:16">
      <c r="E123" s="4"/>
      <c r="F123" s="4" t="s">
        <v>1032</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943</v>
      </c>
      <c r="F127" s="4"/>
    </row>
    <row r="128" spans="2:16"/>
    <row r="129" spans="4:37" ht="13">
      <c r="D129" s="2" t="s">
        <v>342</v>
      </c>
      <c r="E129" s="2" t="s">
        <v>586</v>
      </c>
    </row>
    <row r="130" spans="4:37">
      <c r="E130" s="4" t="s">
        <v>943</v>
      </c>
      <c r="F130" s="4"/>
    </row>
    <row r="131" spans="4:37"/>
    <row r="132" spans="4:37" ht="13">
      <c r="D132" s="2" t="s">
        <v>583</v>
      </c>
      <c r="E132" s="2" t="s">
        <v>734</v>
      </c>
      <c r="G132" s="2"/>
      <c r="H132" s="2"/>
      <c r="I132" s="2"/>
      <c r="J132" s="2"/>
      <c r="K132" s="2"/>
      <c r="L132" s="2"/>
      <c r="M132" s="2"/>
      <c r="N132" s="2"/>
    </row>
    <row r="133" spans="4:37" ht="13">
      <c r="D133" s="2"/>
      <c r="E133" s="119" t="s">
        <v>1367</v>
      </c>
      <c r="G133" s="2"/>
      <c r="H133" s="2"/>
      <c r="I133" s="2"/>
      <c r="J133" s="2"/>
      <c r="K133" s="2"/>
      <c r="L133" s="2"/>
      <c r="M133" s="2"/>
      <c r="N133" s="2"/>
    </row>
    <row r="134" spans="4:37" ht="12.75" customHeight="1">
      <c r="E134" s="119" t="s">
        <v>1365</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1366</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523</v>
      </c>
      <c r="E137" s="2" t="s">
        <v>526</v>
      </c>
      <c r="F137" s="2"/>
    </row>
    <row r="138" spans="4:37">
      <c r="E138" s="3" t="s">
        <v>1320</v>
      </c>
      <c r="F138" s="4"/>
    </row>
    <row r="139" spans="4:37">
      <c r="F139" s="4"/>
    </row>
    <row r="140" spans="4:37" ht="13">
      <c r="D140" s="2" t="s">
        <v>304</v>
      </c>
      <c r="E140" s="2" t="s">
        <v>2356</v>
      </c>
      <c r="F140" s="2"/>
      <c r="G140" s="2"/>
      <c r="H140" s="2"/>
    </row>
    <row r="141" spans="4:37">
      <c r="E141" t="s">
        <v>112</v>
      </c>
      <c r="F141" t="s">
        <v>52</v>
      </c>
    </row>
    <row r="142" spans="4:37">
      <c r="E142" t="s">
        <v>113</v>
      </c>
      <c r="F142" t="s">
        <v>475</v>
      </c>
    </row>
    <row r="143" spans="4:37"/>
    <row r="144" spans="4:37" ht="13">
      <c r="D144" s="2" t="s">
        <v>430</v>
      </c>
      <c r="E144" s="2" t="s">
        <v>2357</v>
      </c>
    </row>
    <row r="145" spans="3:7">
      <c r="E145" s="218" t="s">
        <v>2358</v>
      </c>
      <c r="F145" s="218"/>
    </row>
    <row r="146" spans="3:7"/>
    <row r="147" spans="3:7" ht="13">
      <c r="C147" s="2" t="s">
        <v>6</v>
      </c>
      <c r="G147" s="2" t="s">
        <v>381</v>
      </c>
    </row>
    <row r="148" spans="3:7" ht="13">
      <c r="D148" s="2" t="s">
        <v>208</v>
      </c>
      <c r="E148" s="2" t="s">
        <v>135</v>
      </c>
    </row>
    <row r="149" spans="3:7">
      <c r="E149" t="s">
        <v>807</v>
      </c>
    </row>
    <row r="150" spans="3:7"/>
    <row r="151" spans="3:7" ht="13">
      <c r="D151" s="2" t="s">
        <v>342</v>
      </c>
      <c r="E151" s="2" t="s">
        <v>533</v>
      </c>
      <c r="F151" s="2"/>
    </row>
    <row r="152" spans="3:7">
      <c r="E152" s="4" t="s">
        <v>945</v>
      </c>
      <c r="F152" s="4"/>
    </row>
    <row r="153" spans="3:7"/>
    <row r="154" spans="3:7" ht="13">
      <c r="D154" s="2" t="s">
        <v>583</v>
      </c>
      <c r="E154" s="2" t="s">
        <v>562</v>
      </c>
    </row>
    <row r="155" spans="3:7">
      <c r="E155" s="4" t="s">
        <v>946</v>
      </c>
    </row>
    <row r="156" spans="3:7">
      <c r="E156" s="4" t="s">
        <v>944</v>
      </c>
      <c r="G156" s="4"/>
    </row>
    <row r="157" spans="3:7"/>
    <row r="158" spans="3:7" ht="13">
      <c r="D158" s="2" t="s">
        <v>523</v>
      </c>
      <c r="E158" s="2" t="s">
        <v>542</v>
      </c>
    </row>
    <row r="159" spans="3:7">
      <c r="E159" t="s">
        <v>112</v>
      </c>
      <c r="F159" s="4" t="s">
        <v>947</v>
      </c>
    </row>
    <row r="160" spans="3:7">
      <c r="E160" s="4" t="s">
        <v>113</v>
      </c>
      <c r="F160" s="4" t="s">
        <v>948</v>
      </c>
    </row>
    <row r="161" spans="3:20">
      <c r="E161" s="4" t="s">
        <v>119</v>
      </c>
      <c r="F161" t="s">
        <v>735</v>
      </c>
    </row>
    <row r="162" spans="3:20"/>
    <row r="163" spans="3:20" ht="13">
      <c r="D163" s="2" t="s">
        <v>304</v>
      </c>
      <c r="E163" s="2" t="s">
        <v>382</v>
      </c>
    </row>
    <row r="164" spans="3:20">
      <c r="E164" s="4" t="s">
        <v>949</v>
      </c>
      <c r="F164" s="4"/>
    </row>
    <row r="165" spans="3:20"/>
    <row r="166" spans="3:20" ht="13">
      <c r="D166" s="2" t="s">
        <v>430</v>
      </c>
      <c r="E166" s="2" t="s">
        <v>172</v>
      </c>
    </row>
    <row r="167" spans="3:20">
      <c r="E167" s="4" t="s">
        <v>951</v>
      </c>
    </row>
    <row r="168" spans="3:20">
      <c r="E168" s="4" t="s">
        <v>950</v>
      </c>
    </row>
    <row r="169" spans="3:20"/>
    <row r="170" spans="3:20" ht="13">
      <c r="D170" s="2" t="s">
        <v>566</v>
      </c>
      <c r="E170" s="2" t="s">
        <v>631</v>
      </c>
    </row>
    <row r="171" spans="3:20">
      <c r="E171" t="s">
        <v>112</v>
      </c>
      <c r="F171" t="s">
        <v>736</v>
      </c>
    </row>
    <row r="172" spans="3:20">
      <c r="E172" t="s">
        <v>113</v>
      </c>
      <c r="F172" t="s">
        <v>298</v>
      </c>
    </row>
    <row r="173" spans="3:20">
      <c r="F173" s="4"/>
    </row>
    <row r="174" spans="3:20" ht="13">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586</v>
      </c>
    </row>
    <row r="178" spans="2:19" ht="13">
      <c r="D178" s="2" t="s">
        <v>208</v>
      </c>
      <c r="E178" s="2" t="s">
        <v>299</v>
      </c>
      <c r="G178" s="4"/>
      <c r="H178" s="4"/>
      <c r="I178" s="4"/>
      <c r="J178" s="4"/>
      <c r="K178" s="4"/>
      <c r="L178" s="4"/>
      <c r="M178" s="4"/>
      <c r="N178" s="4"/>
    </row>
    <row r="179" spans="2:19">
      <c r="E179" t="s">
        <v>112</v>
      </c>
      <c r="F179" s="4" t="s">
        <v>952</v>
      </c>
    </row>
    <row r="180" spans="2:19" ht="13">
      <c r="F180" s="120" t="s">
        <v>1251</v>
      </c>
      <c r="I180" s="120"/>
    </row>
    <row r="181" spans="2:19" ht="13">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
      <c r="D185" s="2" t="s">
        <v>342</v>
      </c>
      <c r="E185" s="2" t="s">
        <v>1033</v>
      </c>
    </row>
    <row r="186" spans="2:19">
      <c r="B186" s="4"/>
      <c r="C186" s="4"/>
      <c r="E186" s="4" t="s">
        <v>719</v>
      </c>
      <c r="F186" s="4"/>
      <c r="I186" s="4"/>
    </row>
    <row r="187" spans="2:19" ht="13">
      <c r="B187" s="4"/>
      <c r="C187" s="4"/>
      <c r="E187" s="4" t="s">
        <v>1031</v>
      </c>
      <c r="F187" s="120"/>
      <c r="G187" s="4"/>
      <c r="I187" s="120"/>
    </row>
    <row r="188" spans="2:19" ht="13">
      <c r="B188" s="4"/>
      <c r="C188" s="4"/>
      <c r="F188" s="120"/>
      <c r="G188" s="4"/>
      <c r="I188" s="120"/>
    </row>
    <row r="189" spans="2:19" ht="13">
      <c r="B189" s="4"/>
      <c r="C189" s="4"/>
      <c r="D189" s="2" t="s">
        <v>583</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523</v>
      </c>
      <c r="E192" s="2" t="s">
        <v>111</v>
      </c>
    </row>
    <row r="193" spans="2:37" ht="13">
      <c r="B193" s="4"/>
      <c r="C193" s="2"/>
      <c r="E193" t="s">
        <v>112</v>
      </c>
      <c r="F193" s="4" t="s">
        <v>1041</v>
      </c>
      <c r="G193" s="4"/>
      <c r="H193" s="4"/>
      <c r="I193" s="4"/>
    </row>
    <row r="194" spans="2:37" ht="13">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955</v>
      </c>
      <c r="M202" s="4"/>
      <c r="N202" s="4"/>
      <c r="O202" s="4"/>
      <c r="P202" s="4"/>
      <c r="Q202" s="4"/>
      <c r="R202" s="4"/>
      <c r="S202" s="4"/>
    </row>
    <row r="203" spans="2:37" ht="13">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
      <c r="B206" s="4"/>
      <c r="C206" s="4"/>
      <c r="D206" s="2"/>
      <c r="E206" s="4" t="s">
        <v>590</v>
      </c>
      <c r="F206" s="4" t="s">
        <v>957</v>
      </c>
      <c r="M206" s="4"/>
      <c r="N206" s="4"/>
      <c r="O206" s="4"/>
      <c r="P206" s="4"/>
      <c r="Q206" s="4"/>
      <c r="R206" s="4"/>
      <c r="S206" s="4"/>
    </row>
    <row r="207" spans="2:37" ht="13">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ht="13">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ht="13">
      <c r="B209" s="4"/>
      <c r="C209" s="4"/>
      <c r="D209" s="2"/>
      <c r="M209" s="4"/>
      <c r="N209" s="4"/>
      <c r="O209" s="4"/>
      <c r="P209" s="4"/>
      <c r="Q209" s="4"/>
      <c r="R209" s="4"/>
      <c r="S209" s="4"/>
    </row>
    <row r="210" spans="1:38" ht="13">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564</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461</v>
      </c>
      <c r="I225" s="4"/>
      <c r="J225" s="4"/>
      <c r="K225" s="4"/>
      <c r="M225" s="4"/>
      <c r="N225" s="4"/>
      <c r="O225" s="4"/>
      <c r="P225" s="4"/>
      <c r="Q225" s="4"/>
      <c r="R225" s="4"/>
      <c r="S225" s="4"/>
    </row>
    <row r="226" spans="2:19" ht="13">
      <c r="B226" s="2"/>
      <c r="E226" s="4" t="s">
        <v>112</v>
      </c>
      <c r="F226" s="4" t="s">
        <v>726</v>
      </c>
      <c r="G226" s="4"/>
      <c r="I226" s="4"/>
      <c r="J226" s="4"/>
      <c r="K226" s="4"/>
      <c r="L226" s="4"/>
      <c r="M226" s="4"/>
      <c r="N226" s="4"/>
      <c r="O226" s="4"/>
      <c r="P226" s="4"/>
      <c r="Q226" s="4"/>
      <c r="R226" s="4"/>
      <c r="S226" s="4"/>
    </row>
    <row r="227" spans="2:19" ht="13">
      <c r="B227" s="2"/>
      <c r="E227" s="4" t="s">
        <v>113</v>
      </c>
      <c r="F227" s="4" t="s">
        <v>689</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727</v>
      </c>
      <c r="G230" s="4"/>
      <c r="I230" s="4"/>
      <c r="J230" s="4"/>
      <c r="K230" s="4"/>
      <c r="L230" s="4"/>
      <c r="M230" s="4"/>
      <c r="N230" s="4"/>
      <c r="O230" s="4"/>
      <c r="P230" s="4"/>
      <c r="Q230" s="4"/>
      <c r="R230" s="4"/>
      <c r="S230" s="4"/>
    </row>
    <row r="231" spans="2:19" ht="13">
      <c r="B231" s="2"/>
      <c r="E231" s="4"/>
      <c r="F231" s="4" t="s">
        <v>728</v>
      </c>
      <c r="G231" s="4"/>
      <c r="H231" s="4"/>
      <c r="I231" s="4"/>
      <c r="J231" s="4"/>
      <c r="K231" s="4"/>
      <c r="L231" s="4"/>
      <c r="M231" s="4"/>
      <c r="N231" s="4"/>
      <c r="O231" s="4"/>
      <c r="P231" s="4"/>
      <c r="Q231" s="4"/>
      <c r="R231" s="4"/>
      <c r="S231" s="4"/>
    </row>
    <row r="232" spans="2:19" ht="13">
      <c r="B232" s="2"/>
      <c r="D232" s="4"/>
      <c r="E232" s="4" t="s">
        <v>113</v>
      </c>
      <c r="F232" s="4" t="s">
        <v>689</v>
      </c>
      <c r="G232" s="4"/>
      <c r="I232" s="4"/>
      <c r="J232" s="4"/>
      <c r="K232" s="4"/>
      <c r="L232" s="4"/>
      <c r="M232" s="4"/>
      <c r="N232" s="4"/>
      <c r="O232" s="4"/>
      <c r="P232" s="4"/>
      <c r="Q232" s="4"/>
      <c r="R232" s="4"/>
      <c r="S232" s="4"/>
    </row>
    <row r="233" spans="2:19" ht="13">
      <c r="B233" s="2"/>
      <c r="E233" s="4" t="s">
        <v>119</v>
      </c>
      <c r="F233" s="98" t="s">
        <v>972</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662</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1252</v>
      </c>
      <c r="G253" s="4"/>
      <c r="I253" s="120"/>
      <c r="J253" s="4"/>
      <c r="K253" s="4"/>
      <c r="L253" s="4"/>
      <c r="M253" s="4"/>
      <c r="N253" s="4"/>
      <c r="O253" s="4"/>
      <c r="P253" s="4"/>
      <c r="Q253" s="4"/>
      <c r="R253" s="4"/>
      <c r="S253" s="4"/>
      <c r="T253" s="4"/>
      <c r="U253" s="4"/>
    </row>
    <row r="254" spans="2:21" ht="13">
      <c r="B254" s="2"/>
      <c r="C254" s="2"/>
      <c r="E254" s="4" t="s">
        <v>113</v>
      </c>
      <c r="F254" s="4" t="s">
        <v>958</v>
      </c>
      <c r="I254" s="4"/>
      <c r="J254" s="4"/>
      <c r="K254" s="4"/>
      <c r="L254" s="4"/>
      <c r="M254" s="4"/>
      <c r="N254" s="4"/>
      <c r="O254" s="4"/>
      <c r="P254" s="4"/>
      <c r="Q254" s="4"/>
      <c r="R254" s="4"/>
      <c r="S254" s="4"/>
      <c r="T254" s="4"/>
      <c r="U254" s="4"/>
    </row>
    <row r="255" spans="2:21" ht="13">
      <c r="B255" s="2"/>
      <c r="C255" s="2"/>
      <c r="E255" s="4"/>
      <c r="F255" s="218" t="s">
        <v>662</v>
      </c>
      <c r="G255" s="218" t="s">
        <v>821</v>
      </c>
      <c r="I255" s="3"/>
      <c r="K255" s="3"/>
      <c r="L255" s="3"/>
      <c r="M255" s="3"/>
      <c r="N255" s="3"/>
      <c r="O255" s="3"/>
      <c r="Q255" s="4"/>
      <c r="R255" s="4"/>
      <c r="S255" s="4"/>
      <c r="T255" s="4"/>
      <c r="U255" s="4"/>
    </row>
    <row r="256" spans="2:21" ht="13">
      <c r="B256" s="2"/>
      <c r="C256" s="2"/>
      <c r="E256" s="4"/>
      <c r="F256" s="218"/>
      <c r="G256" s="218" t="s">
        <v>822</v>
      </c>
      <c r="I256" s="3"/>
      <c r="K256" s="3"/>
      <c r="L256" s="3"/>
      <c r="M256" s="3"/>
      <c r="N256" s="3"/>
      <c r="O256" s="3"/>
      <c r="P256" s="3"/>
    </row>
    <row r="257" spans="2:21" ht="13">
      <c r="B257" s="2"/>
      <c r="C257" s="2"/>
      <c r="E257" s="4"/>
      <c r="F257" s="218" t="s">
        <v>349</v>
      </c>
      <c r="G257" s="218" t="s">
        <v>964</v>
      </c>
      <c r="I257" s="4"/>
      <c r="K257" s="4"/>
      <c r="L257" s="4"/>
      <c r="M257" s="4"/>
      <c r="N257" s="4"/>
      <c r="O257" s="4"/>
      <c r="P257" s="3"/>
    </row>
    <row r="258" spans="2:21" ht="13">
      <c r="B258" s="2"/>
      <c r="C258" s="2"/>
      <c r="E258" s="4"/>
      <c r="F258" s="218"/>
      <c r="G258" s="218" t="s">
        <v>882</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813</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814</v>
      </c>
      <c r="I264" s="4"/>
      <c r="J264" s="4"/>
      <c r="K264" s="4"/>
      <c r="L264" s="4"/>
      <c r="M264" s="4"/>
      <c r="N264" s="4"/>
      <c r="O264" s="4"/>
      <c r="P264" s="4"/>
      <c r="Q264" s="4"/>
      <c r="R264" s="4"/>
      <c r="S264" s="4"/>
    </row>
    <row r="265" spans="2:21" ht="13">
      <c r="B265" s="2"/>
      <c r="C265" s="2"/>
      <c r="E265" s="4" t="s">
        <v>590</v>
      </c>
      <c r="F265" s="218" t="s">
        <v>823</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1043</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583</v>
      </c>
      <c r="E270" s="2" t="s">
        <v>288</v>
      </c>
      <c r="G270" s="4"/>
    </row>
    <row r="271" spans="2:21" ht="13">
      <c r="B271" s="2"/>
      <c r="C271" s="2"/>
      <c r="E271" s="4" t="s">
        <v>256</v>
      </c>
      <c r="F271" s="4"/>
      <c r="G271" s="4"/>
      <c r="J271" s="4"/>
      <c r="K271" s="4"/>
      <c r="L271" s="4"/>
      <c r="M271" s="4"/>
      <c r="N271" s="4"/>
    </row>
    <row r="272" spans="2:21" ht="13">
      <c r="B272" s="2"/>
      <c r="C272" s="2"/>
      <c r="E272" s="4" t="s">
        <v>965</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523</v>
      </c>
      <c r="E274" s="2" t="s">
        <v>621</v>
      </c>
      <c r="G274" s="4"/>
      <c r="H274" s="4"/>
      <c r="J274" s="4"/>
      <c r="K274" s="4"/>
      <c r="L274" s="4"/>
      <c r="M274" s="4"/>
      <c r="N274" s="4"/>
      <c r="O274" s="4"/>
      <c r="P274" s="4"/>
      <c r="Q274" s="4"/>
      <c r="R274" s="4"/>
      <c r="S274" s="4"/>
      <c r="T274" s="4"/>
      <c r="U274" s="4"/>
    </row>
    <row r="275" spans="2:21" ht="13">
      <c r="B275" s="2"/>
      <c r="D275" s="4"/>
      <c r="E275" s="4" t="s">
        <v>1036</v>
      </c>
      <c r="J275" s="4"/>
      <c r="K275" s="4"/>
      <c r="L275" s="4"/>
      <c r="M275" s="4"/>
      <c r="N275" s="4"/>
      <c r="O275" s="4"/>
      <c r="P275" s="4"/>
      <c r="Q275" s="4"/>
      <c r="R275" s="4"/>
      <c r="S275" s="4"/>
      <c r="T275" s="4"/>
      <c r="U275" s="4"/>
    </row>
    <row r="276" spans="2:21" ht="13">
      <c r="B276" s="2"/>
      <c r="D276" s="4"/>
      <c r="E276" s="4" t="s">
        <v>959</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966</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967</v>
      </c>
      <c r="F285" s="120"/>
      <c r="G285" s="4"/>
      <c r="H285" s="120"/>
      <c r="I285" s="120"/>
      <c r="J285" s="4"/>
      <c r="K285" s="4"/>
      <c r="L285" s="4"/>
      <c r="M285" s="4"/>
      <c r="P285" s="4"/>
      <c r="Q285" s="4"/>
      <c r="R285" s="4"/>
      <c r="S285" s="4"/>
    </row>
    <row r="286" spans="2:21" ht="13">
      <c r="B286" s="2"/>
      <c r="D286" s="2"/>
      <c r="E286" s="483" t="s">
        <v>881</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566</v>
      </c>
      <c r="E288" s="2" t="s">
        <v>567</v>
      </c>
      <c r="K288" s="4"/>
      <c r="L288" s="4"/>
      <c r="M288" s="4"/>
      <c r="N288" s="4"/>
    </row>
    <row r="289" spans="2:23" ht="13">
      <c r="B289" s="2"/>
      <c r="D289" s="4"/>
      <c r="E289" s="4" t="s">
        <v>112</v>
      </c>
      <c r="F289" s="4" t="s">
        <v>568</v>
      </c>
      <c r="G289" s="4"/>
      <c r="O289" s="4"/>
      <c r="P289" s="4"/>
      <c r="Q289" s="4"/>
      <c r="R289" s="4"/>
      <c r="S289" s="4"/>
      <c r="T289" s="4"/>
      <c r="U289" s="4"/>
      <c r="V289" s="4"/>
      <c r="W289" s="4"/>
    </row>
    <row r="290" spans="2:23" ht="1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569</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662</v>
      </c>
      <c r="G293" s="4" t="s">
        <v>261</v>
      </c>
      <c r="K293" s="4"/>
      <c r="L293" s="4"/>
      <c r="M293" s="4"/>
      <c r="N293" s="4"/>
      <c r="O293" s="4"/>
      <c r="P293" s="4"/>
      <c r="Q293" s="4"/>
      <c r="R293" s="4"/>
      <c r="S293" s="4"/>
      <c r="T293" s="4"/>
      <c r="U293" s="4"/>
      <c r="V293" s="4"/>
      <c r="W293" s="4"/>
    </row>
    <row r="294" spans="2:23" ht="13">
      <c r="B294" s="2"/>
      <c r="D294" s="4"/>
      <c r="E294" s="4"/>
      <c r="F294" s="4" t="s">
        <v>349</v>
      </c>
      <c r="G294" s="4" t="s">
        <v>960</v>
      </c>
      <c r="H294" s="4"/>
      <c r="K294" s="4"/>
      <c r="L294" s="4"/>
      <c r="M294" s="4"/>
      <c r="N294" s="4"/>
      <c r="O294" s="4"/>
      <c r="P294" s="4"/>
      <c r="Q294" s="4"/>
      <c r="R294" s="4"/>
      <c r="S294" s="4"/>
      <c r="T294" s="4"/>
      <c r="U294" s="4"/>
      <c r="V294" s="4"/>
      <c r="W294" s="4"/>
    </row>
    <row r="295" spans="2:23" ht="13">
      <c r="B295" s="2"/>
      <c r="D295" s="4"/>
      <c r="E295" s="4"/>
      <c r="F295" s="4" t="s">
        <v>350</v>
      </c>
      <c r="G295" s="4" t="s">
        <v>570</v>
      </c>
      <c r="K295" s="4"/>
      <c r="L295" s="4"/>
      <c r="M295" s="4"/>
      <c r="N295" s="4"/>
      <c r="O295" s="4"/>
      <c r="P295" s="4"/>
      <c r="Q295" s="4"/>
      <c r="R295" s="4"/>
      <c r="S295" s="4"/>
      <c r="T295" s="4"/>
      <c r="U295" s="4"/>
      <c r="V295" s="4"/>
      <c r="W295" s="4"/>
    </row>
    <row r="296" spans="2:23" ht="13">
      <c r="B296" s="2"/>
      <c r="D296" s="4"/>
      <c r="E296" s="4"/>
      <c r="F296" s="4" t="s">
        <v>447</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590</v>
      </c>
      <c r="F299" s="4" t="s">
        <v>752</v>
      </c>
      <c r="G299" s="4"/>
      <c r="K299" s="4"/>
      <c r="L299" s="4"/>
      <c r="M299" s="4"/>
      <c r="N299" s="4"/>
      <c r="O299" s="4"/>
      <c r="P299" s="4"/>
      <c r="Q299" s="4"/>
      <c r="R299" s="4"/>
      <c r="S299" s="4"/>
      <c r="T299" s="4"/>
      <c r="U299" s="4"/>
      <c r="V299" s="4"/>
      <c r="W299" s="4"/>
    </row>
    <row r="300" spans="2:23" ht="13">
      <c r="B300" s="2"/>
      <c r="D300" s="4"/>
      <c r="E300" s="4" t="s">
        <v>773</v>
      </c>
      <c r="F300" s="4" t="s">
        <v>759</v>
      </c>
      <c r="G300" s="4"/>
      <c r="K300" s="4"/>
      <c r="L300" s="4"/>
      <c r="M300" s="4"/>
      <c r="N300" s="4"/>
      <c r="O300" s="4"/>
      <c r="P300" s="4"/>
      <c r="Q300" s="4"/>
      <c r="R300" s="4"/>
      <c r="S300" s="4"/>
      <c r="T300" s="4"/>
      <c r="U300" s="4"/>
      <c r="V300" s="4"/>
      <c r="W300" s="4"/>
    </row>
    <row r="301" spans="2:23" ht="1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564</v>
      </c>
      <c r="E305" s="2" t="s">
        <v>290</v>
      </c>
      <c r="G305" s="4"/>
      <c r="H305" s="4"/>
      <c r="I305" s="4"/>
      <c r="J305" s="4"/>
      <c r="K305" s="4"/>
      <c r="L305" s="4"/>
      <c r="M305" s="4"/>
      <c r="N305" s="4"/>
      <c r="O305" s="4"/>
      <c r="P305" s="4"/>
      <c r="Q305" s="4"/>
      <c r="R305" s="4"/>
      <c r="S305" s="4"/>
      <c r="T305" s="4"/>
      <c r="U305" s="4"/>
      <c r="V305" s="4"/>
      <c r="W305" s="4"/>
    </row>
    <row r="306" spans="2:23" ht="13">
      <c r="B306" s="2"/>
      <c r="D306" s="2"/>
      <c r="E306" s="4" t="s">
        <v>968</v>
      </c>
      <c r="F306" s="4"/>
      <c r="K306" s="4"/>
      <c r="L306" s="4"/>
      <c r="M306" s="4"/>
      <c r="N306" s="4"/>
      <c r="O306" s="4"/>
      <c r="P306" s="4"/>
      <c r="Q306" s="4"/>
      <c r="R306" s="4"/>
      <c r="S306" s="4"/>
      <c r="T306" s="4"/>
      <c r="U306" s="4"/>
      <c r="V306" s="4"/>
      <c r="W306" s="4"/>
    </row>
    <row r="307" spans="2:23" ht="13">
      <c r="B307" s="2"/>
      <c r="D307" s="2"/>
      <c r="E307" s="4" t="s">
        <v>966</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623</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809</v>
      </c>
      <c r="F312" s="4"/>
      <c r="G312" s="4"/>
      <c r="I312" s="4"/>
      <c r="K312" s="4"/>
    </row>
    <row r="313" spans="2:23" ht="13">
      <c r="B313" s="2"/>
      <c r="D313" s="2"/>
      <c r="E313" s="4" t="s">
        <v>969</v>
      </c>
      <c r="F313" s="4"/>
      <c r="G313" s="4"/>
      <c r="I313" s="4"/>
      <c r="K313" s="4"/>
    </row>
    <row r="314" spans="2:23" ht="13">
      <c r="B314" s="2"/>
      <c r="D314" s="2"/>
      <c r="E314" s="4" t="s">
        <v>810</v>
      </c>
      <c r="F314" s="4"/>
      <c r="G314" s="4"/>
      <c r="I314" s="4"/>
      <c r="K314" s="4"/>
    </row>
    <row r="315" spans="2:23" ht="13">
      <c r="B315" s="2"/>
      <c r="D315" s="2"/>
      <c r="G315" s="4"/>
      <c r="I315" s="4"/>
      <c r="K315" s="4"/>
    </row>
    <row r="316" spans="2:23" ht="13">
      <c r="B316" s="2"/>
      <c r="D316" s="2" t="s">
        <v>342</v>
      </c>
      <c r="E316" s="2" t="s">
        <v>761</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583</v>
      </c>
      <c r="E319" s="170" t="s">
        <v>745</v>
      </c>
      <c r="F319" s="3"/>
      <c r="G319" s="4"/>
      <c r="H319" s="4"/>
      <c r="I319" s="4"/>
      <c r="J319" s="4"/>
      <c r="K319" s="4"/>
      <c r="L319" s="4"/>
      <c r="M319" s="4"/>
      <c r="N319" s="4"/>
      <c r="O319" s="4"/>
      <c r="P319" s="4"/>
      <c r="Q319" s="4"/>
      <c r="R319" s="4"/>
      <c r="S319" s="4"/>
    </row>
    <row r="320" spans="2:23" ht="13">
      <c r="B320" s="2"/>
      <c r="E320" t="s">
        <v>742</v>
      </c>
      <c r="I320" s="4"/>
      <c r="J320" s="4"/>
      <c r="K320" s="4"/>
      <c r="L320" s="4"/>
      <c r="M320" s="4"/>
      <c r="N320" s="4"/>
      <c r="O320" s="4"/>
      <c r="P320" s="4"/>
      <c r="Q320" s="4"/>
      <c r="R320" s="4"/>
      <c r="S320" s="4"/>
    </row>
    <row r="321" spans="1:38" ht="13">
      <c r="B321" s="2"/>
      <c r="E321" t="s">
        <v>743</v>
      </c>
      <c r="I321" s="4"/>
      <c r="J321" s="4"/>
      <c r="K321" s="4"/>
      <c r="L321" s="4"/>
      <c r="M321" s="4"/>
      <c r="N321" s="4"/>
      <c r="O321" s="4"/>
      <c r="P321" s="4"/>
      <c r="Q321" s="4"/>
      <c r="R321" s="4"/>
      <c r="S321" s="4"/>
    </row>
    <row r="322" spans="1:38" ht="13">
      <c r="B322" s="2"/>
      <c r="E322" t="s">
        <v>744</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624</v>
      </c>
      <c r="I324" s="4"/>
      <c r="J324" s="4"/>
      <c r="K324" s="4"/>
      <c r="L324" s="4"/>
      <c r="M324" s="4"/>
      <c r="N324" s="4"/>
      <c r="O324" s="4"/>
      <c r="P324" s="4"/>
      <c r="Q324" s="4"/>
      <c r="R324" s="4"/>
      <c r="S324" s="4"/>
    </row>
    <row r="325" spans="1:38" ht="13">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
      <c r="F328" s="120" t="s">
        <v>1254</v>
      </c>
      <c r="I328" s="120"/>
      <c r="J328" s="4"/>
      <c r="K328" s="4"/>
      <c r="L328" s="4"/>
      <c r="M328" s="4"/>
      <c r="N328" s="4"/>
      <c r="O328" s="4"/>
      <c r="P328" s="4"/>
      <c r="Q328" s="4"/>
      <c r="R328" s="4"/>
      <c r="S328" s="4"/>
    </row>
    <row r="329" spans="1:38" ht="13">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749</v>
      </c>
      <c r="J335" s="4"/>
      <c r="K335" s="4"/>
      <c r="L335" s="4"/>
      <c r="M335" s="4"/>
      <c r="N335" s="4"/>
      <c r="O335" s="4"/>
      <c r="P335" s="4"/>
      <c r="Q335" s="4"/>
      <c r="R335" s="4"/>
      <c r="S335" s="4"/>
    </row>
    <row r="336" spans="1:38" ht="13">
      <c r="B336" s="2"/>
      <c r="E336" s="4"/>
      <c r="F336" s="4" t="s">
        <v>750</v>
      </c>
      <c r="J336" s="4"/>
      <c r="K336" s="4"/>
      <c r="L336" s="4"/>
      <c r="M336" s="4"/>
      <c r="N336" s="4"/>
      <c r="O336" s="4"/>
      <c r="P336" s="4"/>
      <c r="Q336" s="4"/>
      <c r="R336" s="4"/>
      <c r="S336" s="4"/>
    </row>
    <row r="337" spans="2:37" ht="13">
      <c r="B337" s="2"/>
      <c r="E337" s="4"/>
      <c r="F337" s="4" t="s">
        <v>751</v>
      </c>
      <c r="I337" s="4"/>
      <c r="J337" s="4"/>
      <c r="K337" s="4"/>
      <c r="L337" s="4"/>
      <c r="M337" s="4"/>
      <c r="N337" s="4"/>
      <c r="O337" s="4"/>
      <c r="P337" s="4"/>
      <c r="Q337" s="4"/>
      <c r="R337" s="4"/>
      <c r="S337" s="4"/>
    </row>
    <row r="338" spans="2:37" ht="13">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ht="13">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ht="13">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ht="13">
      <c r="B341" s="2"/>
      <c r="F341" s="4"/>
      <c r="H341" s="4"/>
      <c r="I341" s="4"/>
      <c r="J341" s="4"/>
      <c r="K341" s="4"/>
      <c r="L341" s="4"/>
      <c r="M341" s="4"/>
      <c r="N341" s="4"/>
      <c r="O341" s="4"/>
      <c r="P341" s="4"/>
      <c r="Q341" s="4"/>
      <c r="R341" s="4"/>
      <c r="S341" s="4"/>
    </row>
    <row r="342" spans="2:37" ht="13">
      <c r="B342" s="2"/>
      <c r="C342" s="2" t="s">
        <v>432</v>
      </c>
      <c r="G342" s="2" t="s">
        <v>1336</v>
      </c>
      <c r="I342" s="2"/>
      <c r="J342" s="4"/>
      <c r="K342" s="4"/>
      <c r="L342" s="4"/>
      <c r="M342" s="4"/>
      <c r="N342" s="4"/>
      <c r="O342" s="4"/>
      <c r="P342" s="4"/>
      <c r="Q342" s="4"/>
      <c r="R342" s="4"/>
      <c r="S342" s="4"/>
    </row>
    <row r="343" spans="2:37" ht="13.1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ht="13">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ht="13">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ht="13">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ht="13">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ht="13">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ht="13">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ht="13">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ht="13">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ht="13">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ht="13">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ht="13">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ht="13">
      <c r="B355" s="2"/>
      <c r="F355" s="4"/>
      <c r="H355" s="4"/>
      <c r="I355" s="4"/>
      <c r="J355" s="4"/>
      <c r="K355" s="4"/>
      <c r="L355" s="4"/>
      <c r="M355" s="4"/>
      <c r="N355" s="4"/>
      <c r="O355" s="4"/>
      <c r="P355" s="4"/>
      <c r="Q355" s="4"/>
      <c r="R355" s="4"/>
      <c r="S355" s="4"/>
    </row>
    <row r="356" spans="1:38" ht="13">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753</v>
      </c>
      <c r="I361" s="4"/>
      <c r="J361" s="4"/>
      <c r="K361" s="4"/>
      <c r="L361" s="4"/>
      <c r="M361" s="4"/>
      <c r="N361" s="4"/>
      <c r="O361" s="4"/>
      <c r="P361" s="4"/>
      <c r="Q361" s="4"/>
      <c r="R361" s="4"/>
      <c r="S361" s="4"/>
    </row>
    <row r="362" spans="1:38" ht="13">
      <c r="B362" s="2"/>
      <c r="F362" s="4" t="s">
        <v>754</v>
      </c>
      <c r="I362" s="4"/>
      <c r="J362" s="4"/>
      <c r="K362" s="4"/>
      <c r="L362" s="4"/>
      <c r="M362" s="4"/>
      <c r="N362" s="4"/>
      <c r="O362" s="4"/>
      <c r="P362" s="4"/>
      <c r="Q362" s="4"/>
      <c r="R362" s="4"/>
      <c r="S362" s="4"/>
    </row>
    <row r="363" spans="1:38" ht="13">
      <c r="B363" s="2"/>
      <c r="F363" s="4" t="s">
        <v>884</v>
      </c>
      <c r="G363" s="4"/>
      <c r="K363" s="4"/>
      <c r="L363" s="4"/>
      <c r="M363" s="4"/>
      <c r="N363" s="4"/>
      <c r="O363" s="4"/>
      <c r="P363" s="4"/>
      <c r="Q363" s="4"/>
      <c r="R363" s="4"/>
      <c r="S363" s="4"/>
    </row>
    <row r="364" spans="1:38" ht="13">
      <c r="B364" s="2"/>
      <c r="E364" t="s">
        <v>113</v>
      </c>
      <c r="F364" s="4" t="s">
        <v>883</v>
      </c>
      <c r="I364" s="4"/>
      <c r="J364" s="4"/>
      <c r="K364" s="4"/>
      <c r="L364" s="4"/>
      <c r="M364" s="4"/>
      <c r="N364" s="4"/>
      <c r="O364" s="4"/>
      <c r="P364" s="4"/>
      <c r="Q364" s="4"/>
      <c r="R364" s="4"/>
      <c r="S364" s="4"/>
    </row>
    <row r="365" spans="1:38" ht="13">
      <c r="B365" s="2"/>
      <c r="E365" t="s">
        <v>119</v>
      </c>
      <c r="F365" s="4" t="s">
        <v>755</v>
      </c>
      <c r="I365" s="4"/>
      <c r="J365" s="4"/>
      <c r="K365" s="4"/>
      <c r="L365" s="4"/>
      <c r="M365" s="4"/>
      <c r="N365" s="4"/>
      <c r="O365" s="4"/>
      <c r="P365" s="4"/>
      <c r="Q365" s="4"/>
      <c r="R365" s="4"/>
      <c r="S365" s="4"/>
    </row>
    <row r="366" spans="1:38" ht="13">
      <c r="B366" s="2"/>
      <c r="F366" s="4" t="s">
        <v>756</v>
      </c>
      <c r="J366" s="4"/>
      <c r="K366" s="4"/>
      <c r="L366" s="4"/>
      <c r="M366" s="4"/>
      <c r="N366" s="4"/>
      <c r="O366" s="4"/>
      <c r="P366" s="4"/>
      <c r="Q366" s="4"/>
      <c r="R366" s="4"/>
      <c r="S366" s="4"/>
    </row>
    <row r="367" spans="1:38" ht="13">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ht="13">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ht="13">
      <c r="A369"/>
      <c r="B369" s="2"/>
      <c r="C369"/>
      <c r="D369"/>
      <c r="E369" s="1270" t="s">
        <v>1368</v>
      </c>
    </row>
    <row r="370" spans="1:37" s="1273"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577</v>
      </c>
      <c r="J372" s="4"/>
      <c r="K372" s="4"/>
      <c r="L372" s="4"/>
      <c r="M372" s="4"/>
      <c r="N372" s="4"/>
      <c r="O372" s="4"/>
      <c r="P372" s="4"/>
      <c r="Q372" s="4"/>
      <c r="R372" s="4"/>
      <c r="S372" s="4"/>
    </row>
    <row r="373" spans="1:37" ht="13">
      <c r="B373" s="2"/>
      <c r="E373" s="4" t="s">
        <v>757</v>
      </c>
      <c r="F373" s="4"/>
      <c r="G373" s="4"/>
      <c r="H373" s="4"/>
      <c r="I373" s="4"/>
      <c r="J373" s="4"/>
      <c r="K373" s="4"/>
      <c r="L373" s="4"/>
      <c r="M373" s="4"/>
      <c r="N373" s="4"/>
      <c r="O373" s="4"/>
      <c r="P373" s="4"/>
      <c r="Q373" s="4"/>
      <c r="R373" s="4"/>
      <c r="S373" s="4"/>
    </row>
    <row r="374" spans="1:37" ht="13">
      <c r="B374" s="2"/>
      <c r="E374" s="4" t="s">
        <v>758</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583</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1256</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523</v>
      </c>
      <c r="E381" s="2" t="s">
        <v>1369</v>
      </c>
      <c r="J381" s="3"/>
      <c r="K381" s="3"/>
      <c r="L381" s="3"/>
      <c r="M381" s="3"/>
      <c r="N381" s="3"/>
      <c r="O381" s="3"/>
      <c r="P381" s="3"/>
      <c r="Q381" s="3"/>
      <c r="R381" s="3"/>
      <c r="S381" s="3"/>
    </row>
    <row r="382" spans="1:37" ht="13">
      <c r="B382" s="2"/>
      <c r="D382" s="2"/>
      <c r="E382" s="3" t="s">
        <v>757</v>
      </c>
      <c r="F382" s="3"/>
      <c r="G382" s="3"/>
      <c r="J382" s="3"/>
      <c r="K382" s="3"/>
      <c r="L382" s="3"/>
      <c r="M382" s="3"/>
      <c r="N382" s="3"/>
      <c r="O382" s="3"/>
      <c r="P382" s="3"/>
      <c r="Q382" s="3"/>
      <c r="R382" s="3"/>
      <c r="S382" s="3"/>
    </row>
    <row r="383" spans="1:37" ht="13">
      <c r="B383" s="2"/>
      <c r="D383" s="2"/>
      <c r="E383" s="3" t="s">
        <v>1259</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4" t="s">
        <v>1379</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ht="13">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ht="13">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1385</v>
      </c>
      <c r="F392" s="3"/>
      <c r="G392" s="2"/>
      <c r="I392" s="120"/>
      <c r="J392" s="3"/>
      <c r="K392" s="3"/>
      <c r="L392" s="3"/>
      <c r="M392" s="3"/>
      <c r="N392" s="3"/>
      <c r="O392" s="3"/>
      <c r="P392" s="3"/>
      <c r="Q392" s="3"/>
      <c r="R392" s="3"/>
      <c r="S392" s="3"/>
    </row>
    <row r="393" spans="1:38" ht="13.15" customHeight="1">
      <c r="B393" s="2"/>
      <c r="D393" s="2"/>
      <c r="E393" s="3" t="s">
        <v>1384</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B8" sqref="B8"/>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75" customHeight="1">
      <c r="A1" s="2565" t="s">
        <v>2413</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7"/>
    </row>
    <row r="2" spans="1:65" ht="15.75" customHeight="1">
      <c r="A2" s="2568" t="s">
        <v>2460</v>
      </c>
      <c r="B2" s="2569"/>
      <c r="C2" s="2569"/>
      <c r="D2" s="2569"/>
      <c r="E2" s="2569"/>
      <c r="F2" s="2569"/>
      <c r="G2" s="2569"/>
      <c r="H2" s="2569"/>
      <c r="I2" s="2569"/>
      <c r="J2" s="2569"/>
      <c r="K2" s="2569"/>
      <c r="L2" s="2569"/>
      <c r="M2" s="2569"/>
      <c r="N2" s="2569"/>
      <c r="O2" s="2569"/>
      <c r="P2" s="2569"/>
      <c r="Q2" s="2569"/>
      <c r="R2" s="2569"/>
      <c r="S2" s="2569"/>
      <c r="T2" s="2569"/>
      <c r="U2" s="2569"/>
      <c r="V2" s="2569"/>
      <c r="W2" s="2569"/>
      <c r="X2" s="2569"/>
      <c r="Y2" s="2569"/>
      <c r="Z2" s="2569"/>
      <c r="AA2" s="2569"/>
      <c r="AB2" s="2569"/>
      <c r="AC2" s="2569"/>
      <c r="AD2" s="2569"/>
      <c r="AE2" s="2569"/>
      <c r="AF2" s="2569"/>
      <c r="AG2" s="2569"/>
      <c r="AH2" s="2569"/>
      <c r="AI2" s="2569"/>
      <c r="AJ2" s="2569"/>
      <c r="AK2" s="2569"/>
      <c r="AL2" s="2569"/>
      <c r="AM2" s="2569"/>
      <c r="AN2" s="2569"/>
      <c r="AO2" s="2569"/>
      <c r="AP2" s="2569"/>
      <c r="AQ2" s="2569"/>
      <c r="AR2" s="2569"/>
      <c r="AS2" s="2569"/>
      <c r="AT2" s="2569"/>
      <c r="AU2" s="2569"/>
      <c r="AV2" s="2569"/>
      <c r="AW2" s="2569"/>
      <c r="AX2" s="2569"/>
      <c r="AY2" s="2569"/>
      <c r="AZ2" s="2569"/>
      <c r="BA2" s="2569"/>
      <c r="BB2" s="2569"/>
      <c r="BC2" s="2569"/>
      <c r="BD2" s="2569"/>
      <c r="BE2" s="257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1" t="str">
        <f>IF(Application!H18="","",Application!H18)</f>
        <v>CSH MacArthur Housing</v>
      </c>
      <c r="M4" s="2572"/>
      <c r="N4" s="2572"/>
      <c r="O4" s="2572"/>
      <c r="P4" s="2572"/>
      <c r="Q4" s="2572"/>
      <c r="R4" s="2572"/>
      <c r="S4" s="2572"/>
      <c r="T4" s="2572"/>
      <c r="U4" s="2572"/>
      <c r="V4" s="2572"/>
      <c r="W4" s="2572"/>
      <c r="X4" s="2572"/>
      <c r="Y4" s="2572"/>
      <c r="Z4" s="2572"/>
      <c r="AA4" s="2572"/>
      <c r="AB4" s="2572"/>
      <c r="AC4" s="2573"/>
      <c r="AD4" s="1206"/>
      <c r="AE4" s="1206"/>
      <c r="AF4" s="2218" t="s">
        <v>2461</v>
      </c>
      <c r="AG4" s="2218"/>
      <c r="AH4" s="2218"/>
      <c r="AI4" s="2218"/>
      <c r="AJ4" s="2218"/>
      <c r="AK4" s="2218"/>
      <c r="AL4" s="2218"/>
      <c r="AM4" s="2218"/>
      <c r="AN4" s="2218"/>
      <c r="AO4" s="2218"/>
      <c r="AP4" s="2219"/>
      <c r="AQ4" s="2220"/>
      <c r="AR4" s="2220"/>
      <c r="AS4" s="2220"/>
      <c r="AT4" s="2220"/>
      <c r="AU4" s="222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8" t="s">
        <v>2462</v>
      </c>
      <c r="AG5" s="2218"/>
      <c r="AH5" s="2218"/>
      <c r="AI5" s="2218"/>
      <c r="AJ5" s="2218"/>
      <c r="AK5" s="2218"/>
      <c r="AL5" s="2218"/>
      <c r="AM5" s="2218"/>
      <c r="AN5" s="2218"/>
      <c r="AO5" s="2218"/>
      <c r="AP5" s="2219"/>
      <c r="AQ5" s="2220"/>
      <c r="AR5" s="2220"/>
      <c r="AS5" s="2220"/>
      <c r="AT5" s="2220"/>
      <c r="AU5" s="2220"/>
      <c r="AV5" s="1206"/>
      <c r="AW5" s="1206"/>
      <c r="AX5" s="1206"/>
      <c r="AY5" s="1206"/>
      <c r="AZ5" s="1206"/>
      <c r="BA5" s="1206"/>
      <c r="BB5" s="1206"/>
      <c r="BC5" s="1206"/>
      <c r="BD5" s="1206"/>
      <c r="BE5" s="1216"/>
    </row>
    <row r="6" spans="1:65" ht="15.75" customHeight="1" thickBot="1">
      <c r="A6" s="1212"/>
      <c r="B6" s="1214" t="s">
        <v>1790</v>
      </c>
      <c r="C6" s="1206"/>
      <c r="D6" s="1206"/>
      <c r="E6" s="1206"/>
      <c r="F6" s="1206"/>
      <c r="G6" s="1206"/>
      <c r="H6" s="1206"/>
      <c r="I6" s="1206"/>
      <c r="J6" s="1206"/>
      <c r="K6" s="1206"/>
      <c r="L6" s="2571" t="str">
        <f>IF(Application!H16="","",Application!H16)</f>
        <v>California Supportive Housing</v>
      </c>
      <c r="M6" s="2572"/>
      <c r="N6" s="2572"/>
      <c r="O6" s="2572"/>
      <c r="P6" s="2572"/>
      <c r="Q6" s="2572"/>
      <c r="R6" s="2572"/>
      <c r="S6" s="2572"/>
      <c r="T6" s="2572"/>
      <c r="U6" s="2572"/>
      <c r="V6" s="2572"/>
      <c r="W6" s="2572"/>
      <c r="X6" s="2572"/>
      <c r="Y6" s="2572"/>
      <c r="Z6" s="2572"/>
      <c r="AA6" s="2572"/>
      <c r="AB6" s="2572"/>
      <c r="AC6" s="2573"/>
      <c r="AD6" s="1206"/>
      <c r="AE6" s="1206"/>
      <c r="AF6" s="2574" t="s">
        <v>2463</v>
      </c>
      <c r="AG6" s="2574"/>
      <c r="AH6" s="2574"/>
      <c r="AI6" s="2574"/>
      <c r="AJ6" s="2574"/>
      <c r="AK6" s="2574"/>
      <c r="AL6" s="2574"/>
      <c r="AM6" s="2574"/>
      <c r="AN6" s="2574"/>
      <c r="AO6" s="2574"/>
      <c r="AP6" s="2564">
        <v>0</v>
      </c>
      <c r="AQ6" s="2564"/>
      <c r="AR6" s="2564"/>
      <c r="AS6" s="2564"/>
      <c r="AT6" s="2564"/>
      <c r="AU6" s="2564"/>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4" t="s">
        <v>2464</v>
      </c>
      <c r="AG7" s="2574"/>
      <c r="AH7" s="2574"/>
      <c r="AI7" s="2574"/>
      <c r="AJ7" s="2574"/>
      <c r="AK7" s="2574"/>
      <c r="AL7" s="2574"/>
      <c r="AM7" s="2574"/>
      <c r="AN7" s="2574"/>
      <c r="AO7" s="2574"/>
      <c r="AP7" s="2564">
        <v>0</v>
      </c>
      <c r="AQ7" s="2564"/>
      <c r="AR7" s="2564"/>
      <c r="AS7" s="2564"/>
      <c r="AT7" s="2564"/>
      <c r="AU7" s="2564"/>
      <c r="AV7" s="1206"/>
      <c r="AW7" s="1206"/>
      <c r="AX7" s="1206"/>
      <c r="AY7" s="1206"/>
      <c r="AZ7" s="1206"/>
      <c r="BA7" s="1206"/>
      <c r="BB7" s="1206"/>
      <c r="BC7" s="1206"/>
      <c r="BD7" s="1206"/>
      <c r="BE7" s="1216"/>
    </row>
    <row r="8" spans="1:65" ht="15" thickBot="1">
      <c r="A8" s="1212"/>
      <c r="B8" s="1214" t="s">
        <v>1791</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5" t="str">
        <f>Application!T197</f>
        <v>No</v>
      </c>
      <c r="AC8" s="2576"/>
      <c r="AD8" s="2577"/>
      <c r="AE8" s="1206"/>
      <c r="AF8" s="2574" t="s">
        <v>2465</v>
      </c>
      <c r="AG8" s="2574"/>
      <c r="AH8" s="2574"/>
      <c r="AI8" s="2574"/>
      <c r="AJ8" s="2574"/>
      <c r="AK8" s="2574"/>
      <c r="AL8" s="2574"/>
      <c r="AM8" s="2574"/>
      <c r="AN8" s="2574"/>
      <c r="AO8" s="2574"/>
      <c r="AP8" s="2564" t="s">
        <v>2417</v>
      </c>
      <c r="AQ8" s="2564"/>
      <c r="AR8" s="2564"/>
      <c r="AS8" s="2564"/>
      <c r="AT8" s="2564"/>
      <c r="AU8" s="2564"/>
      <c r="AV8" s="1206"/>
      <c r="AW8" s="1206"/>
      <c r="AX8" s="1206"/>
      <c r="AY8" s="1206"/>
      <c r="AZ8" s="1206"/>
      <c r="BA8" s="1206"/>
      <c r="BB8" s="1206"/>
      <c r="BC8" s="1206"/>
      <c r="BD8" s="1206"/>
      <c r="BE8" s="1216"/>
      <c r="BM8" s="1197" t="s">
        <v>2293</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8" t="s">
        <v>2623</v>
      </c>
      <c r="AG9" s="2218"/>
      <c r="AH9" s="2218"/>
      <c r="AI9" s="2218"/>
      <c r="AJ9" s="2218"/>
      <c r="AK9" s="2218"/>
      <c r="AL9" s="2218"/>
      <c r="AM9" s="2218"/>
      <c r="AN9" s="2218"/>
      <c r="AO9" s="2218"/>
      <c r="AP9" s="2219"/>
      <c r="AQ9" s="2220"/>
      <c r="AR9" s="2220"/>
      <c r="AS9" s="2220"/>
      <c r="AT9" s="2220"/>
      <c r="AU9" s="2220"/>
      <c r="AV9" s="1206"/>
      <c r="AW9" s="1206"/>
      <c r="AX9" s="1206"/>
      <c r="AY9" s="1206"/>
      <c r="AZ9" s="1206"/>
      <c r="BA9" s="1206"/>
      <c r="BB9" s="1206"/>
      <c r="BC9" s="1206"/>
      <c r="BD9" s="1206"/>
      <c r="BE9" s="1216"/>
      <c r="BM9" s="1197" t="s">
        <v>2466</v>
      </c>
    </row>
    <row r="10" spans="1:65" ht="14.5">
      <c r="A10" s="1212"/>
      <c r="B10" s="1214" t="s">
        <v>1792</v>
      </c>
      <c r="C10" s="1214"/>
      <c r="D10" s="1214"/>
      <c r="E10" s="1214"/>
      <c r="F10" s="1214"/>
      <c r="G10" s="1214"/>
      <c r="H10" s="1214"/>
      <c r="I10" s="1214"/>
      <c r="J10" s="1214"/>
      <c r="K10" s="1214"/>
      <c r="L10" s="1214"/>
      <c r="M10" s="1206"/>
      <c r="N10" s="2546">
        <f>Application!AO627</f>
        <v>11963000</v>
      </c>
      <c r="O10" s="2546"/>
      <c r="P10" s="2546"/>
      <c r="Q10" s="2546"/>
      <c r="R10" s="2546"/>
      <c r="S10" s="2546"/>
      <c r="T10" s="2546"/>
      <c r="U10" s="1206"/>
      <c r="V10" s="1206"/>
      <c r="W10" s="1206"/>
      <c r="X10" s="1255"/>
      <c r="Y10" s="1255"/>
      <c r="Z10" s="1255"/>
      <c r="AA10" s="1255"/>
      <c r="AB10" s="1255"/>
      <c r="AC10" s="1255"/>
      <c r="AD10" s="1255"/>
      <c r="AE10" s="1255"/>
      <c r="AF10" s="2218" t="s">
        <v>2622</v>
      </c>
      <c r="AG10" s="2218"/>
      <c r="AH10" s="2218"/>
      <c r="AI10" s="2218"/>
      <c r="AJ10" s="2218"/>
      <c r="AK10" s="2218"/>
      <c r="AL10" s="2218"/>
      <c r="AM10" s="2218"/>
      <c r="AN10" s="2218"/>
      <c r="AO10" s="2218"/>
      <c r="AP10" s="2219"/>
      <c r="AQ10" s="2220"/>
      <c r="AR10" s="2220"/>
      <c r="AS10" s="2220"/>
      <c r="AT10" s="2220"/>
      <c r="AU10" s="2220"/>
      <c r="AV10" s="1255"/>
      <c r="AW10" s="1255"/>
      <c r="AX10" s="1206"/>
      <c r="AY10" s="1206"/>
      <c r="AZ10" s="1206"/>
      <c r="BA10" s="1206"/>
      <c r="BB10" s="1206"/>
      <c r="BC10" s="1206"/>
      <c r="BD10" s="1206"/>
      <c r="BE10" s="1216"/>
      <c r="BM10" s="1197" t="s">
        <v>2468</v>
      </c>
    </row>
    <row r="11" spans="1:65" ht="14.5">
      <c r="A11" s="1212"/>
      <c r="B11" s="1214" t="s">
        <v>1793</v>
      </c>
      <c r="C11" s="1214"/>
      <c r="D11" s="1214"/>
      <c r="E11" s="1214"/>
      <c r="F11" s="1214"/>
      <c r="G11" s="1214"/>
      <c r="H11" s="1214"/>
      <c r="I11" s="1214"/>
      <c r="J11" s="1214"/>
      <c r="K11" s="1214"/>
      <c r="L11" s="1214"/>
      <c r="M11" s="1206"/>
      <c r="N11" s="2546">
        <f>Application!AA933</f>
        <v>0</v>
      </c>
      <c r="O11" s="2546"/>
      <c r="P11" s="2546"/>
      <c r="Q11" s="2546"/>
      <c r="R11" s="2546"/>
      <c r="S11" s="2546"/>
      <c r="T11" s="2546"/>
      <c r="U11" s="1206"/>
      <c r="V11" s="1206"/>
      <c r="W11" s="1206"/>
      <c r="X11" s="1255"/>
      <c r="Y11" s="1255"/>
      <c r="Z11" s="1255"/>
      <c r="AA11" s="1255"/>
      <c r="AB11" s="1255"/>
      <c r="AC11" s="1255"/>
      <c r="AD11" s="1255"/>
      <c r="AE11" s="1255"/>
      <c r="AF11" s="2218" t="s">
        <v>2621</v>
      </c>
      <c r="AG11" s="2218"/>
      <c r="AH11" s="2218"/>
      <c r="AI11" s="2218"/>
      <c r="AJ11" s="2218"/>
      <c r="AK11" s="2218"/>
      <c r="AL11" s="2218"/>
      <c r="AM11" s="2218"/>
      <c r="AN11" s="2218"/>
      <c r="AO11" s="2218"/>
      <c r="AP11" s="2219"/>
      <c r="AQ11" s="2220"/>
      <c r="AR11" s="2220"/>
      <c r="AS11" s="2220"/>
      <c r="AT11" s="2220"/>
      <c r="AU11" s="2220"/>
      <c r="AV11" s="1255"/>
      <c r="AW11" s="1255"/>
      <c r="AX11" s="1206"/>
      <c r="AY11" s="1206"/>
      <c r="AZ11" s="1206"/>
      <c r="BA11" s="1206"/>
      <c r="BB11" s="1206"/>
      <c r="BC11" s="1206"/>
      <c r="BD11" s="1206"/>
      <c r="BE11" s="1216"/>
      <c r="BM11" s="1197" t="s">
        <v>2417</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2471</v>
      </c>
    </row>
    <row r="13" spans="1:65" ht="15" thickBot="1">
      <c r="A13" s="1206"/>
      <c r="B13" s="2553" t="s">
        <v>1794</v>
      </c>
      <c r="C13" s="2554"/>
      <c r="D13" s="2554"/>
      <c r="E13" s="2554"/>
      <c r="F13" s="2554"/>
      <c r="G13" s="2554"/>
      <c r="H13" s="2554"/>
      <c r="I13" s="2554"/>
      <c r="J13" s="2554"/>
      <c r="K13" s="2554"/>
      <c r="L13" s="2554"/>
      <c r="M13" s="2554"/>
      <c r="N13" s="2554"/>
      <c r="O13" s="2554"/>
      <c r="P13" s="2555"/>
      <c r="Q13" s="2556" t="s">
        <v>678</v>
      </c>
      <c r="R13" s="2557"/>
      <c r="S13" s="2557"/>
      <c r="T13" s="2558"/>
      <c r="U13" s="1255"/>
      <c r="V13" s="1206"/>
      <c r="W13" s="1206"/>
      <c r="X13" s="1206"/>
      <c r="Y13" s="1206"/>
      <c r="Z13" s="1206"/>
      <c r="AA13" s="2547" t="s">
        <v>2467</v>
      </c>
      <c r="AB13" s="2547"/>
      <c r="AC13" s="2547"/>
      <c r="AD13" s="2547"/>
      <c r="AE13" s="2547"/>
      <c r="AF13" s="2547"/>
      <c r="AG13" s="2547"/>
      <c r="AH13" s="2547"/>
      <c r="AI13" s="2547"/>
      <c r="AJ13" s="2547"/>
      <c r="AK13" s="2547"/>
      <c r="AL13" s="2547"/>
      <c r="AM13" s="2547"/>
      <c r="AN13" s="2547"/>
      <c r="AO13" s="2548">
        <f>Application!W473</f>
        <v>12</v>
      </c>
      <c r="AP13" s="2549"/>
      <c r="AQ13" s="2549"/>
      <c r="AR13" s="2549"/>
      <c r="AS13" s="2549"/>
      <c r="AT13" s="1255"/>
      <c r="AU13" s="1255"/>
      <c r="AV13" s="1255"/>
      <c r="AW13" s="1255"/>
      <c r="AX13" s="1255"/>
      <c r="AY13" s="1255"/>
      <c r="AZ13" s="1255"/>
      <c r="BA13" s="1255"/>
      <c r="BB13" s="1255"/>
      <c r="BC13" s="1255"/>
      <c r="BD13" s="1255"/>
      <c r="BE13" s="1202"/>
      <c r="BM13" s="1197" t="s">
        <v>2472</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0" t="s">
        <v>2469</v>
      </c>
      <c r="AB14" s="2550"/>
      <c r="AC14" s="2550"/>
      <c r="AD14" s="2550"/>
      <c r="AE14" s="2550"/>
      <c r="AF14" s="2550"/>
      <c r="AG14" s="2550"/>
      <c r="AH14" s="2550"/>
      <c r="AI14" s="2550"/>
      <c r="AJ14" s="2550"/>
      <c r="AK14" s="2550"/>
      <c r="AL14" s="2550"/>
      <c r="AM14" s="2550"/>
      <c r="AN14" s="2550"/>
      <c r="AO14" s="2551"/>
      <c r="AP14" s="2552"/>
      <c r="AQ14" s="2552"/>
      <c r="AR14" s="2552"/>
      <c r="AS14" s="2552"/>
      <c r="AT14" s="1255"/>
      <c r="AU14" s="1255"/>
      <c r="AV14" s="1255"/>
      <c r="AW14" s="1255"/>
      <c r="AX14" s="1255"/>
      <c r="AY14" s="1255"/>
      <c r="AZ14" s="1255"/>
      <c r="BA14" s="1255"/>
      <c r="BB14" s="1255"/>
      <c r="BC14" s="1255"/>
      <c r="BD14" s="1255"/>
      <c r="BE14" s="1202"/>
    </row>
    <row r="15" spans="1:65" ht="15" thickBot="1">
      <c r="A15" s="1206"/>
      <c r="B15" s="2559" t="s">
        <v>1795</v>
      </c>
      <c r="C15" s="2560"/>
      <c r="D15" s="2560"/>
      <c r="E15" s="2560"/>
      <c r="F15" s="2560"/>
      <c r="G15" s="2560"/>
      <c r="H15" s="2560"/>
      <c r="I15" s="2560"/>
      <c r="J15" s="2560"/>
      <c r="K15" s="2560"/>
      <c r="L15" s="2560"/>
      <c r="M15" s="2560"/>
      <c r="N15" s="2560"/>
      <c r="O15" s="2560"/>
      <c r="P15" s="2560"/>
      <c r="Q15" s="2560"/>
      <c r="R15" s="2561"/>
      <c r="S15" s="2562" t="str">
        <f>IF(Application!AB214="","",Application!AB214)</f>
        <v/>
      </c>
      <c r="T15" s="2562"/>
      <c r="U15" s="2562"/>
      <c r="V15" s="2562"/>
      <c r="W15" s="2563"/>
      <c r="X15" s="1255"/>
      <c r="Y15" s="1206"/>
      <c r="Z15" s="1206"/>
      <c r="AA15" s="2547" t="s">
        <v>2470</v>
      </c>
      <c r="AB15" s="2547"/>
      <c r="AC15" s="2547"/>
      <c r="AD15" s="2547"/>
      <c r="AE15" s="2547"/>
      <c r="AF15" s="2547"/>
      <c r="AG15" s="2547"/>
      <c r="AH15" s="2547"/>
      <c r="AI15" s="2547"/>
      <c r="AJ15" s="2547"/>
      <c r="AK15" s="2547"/>
      <c r="AL15" s="2547"/>
      <c r="AM15" s="2547"/>
      <c r="AN15" s="2547"/>
      <c r="AO15" s="2551"/>
      <c r="AP15" s="2552"/>
      <c r="AQ15" s="2552"/>
      <c r="AR15" s="2552"/>
      <c r="AS15" s="2552"/>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7" t="s">
        <v>1796</v>
      </c>
      <c r="C17" s="2428"/>
      <c r="D17" s="2428"/>
      <c r="E17" s="2428"/>
      <c r="F17" s="2428"/>
      <c r="G17" s="2428"/>
      <c r="H17" s="2428"/>
      <c r="I17" s="2428"/>
      <c r="J17" s="2428"/>
      <c r="K17" s="2428"/>
      <c r="L17" s="2428"/>
      <c r="M17" s="2428"/>
      <c r="N17" s="2428"/>
      <c r="O17" s="2428"/>
      <c r="P17" s="2428"/>
      <c r="Q17" s="2428"/>
      <c r="R17" s="2428"/>
      <c r="S17" s="2428"/>
      <c r="T17" s="2428"/>
      <c r="U17" s="2428"/>
      <c r="V17" s="2428"/>
      <c r="W17" s="2428"/>
      <c r="X17" s="2428"/>
      <c r="Y17" s="2428"/>
      <c r="Z17" s="2428"/>
      <c r="AA17" s="2428"/>
      <c r="AB17" s="2428"/>
      <c r="AC17" s="2428"/>
      <c r="AD17" s="2428"/>
      <c r="AE17" s="2428"/>
      <c r="AF17" s="2428"/>
      <c r="AG17" s="2428"/>
      <c r="AH17" s="2428"/>
      <c r="AI17" s="2428"/>
      <c r="AJ17" s="2428"/>
      <c r="AK17" s="2428"/>
      <c r="AL17" s="2428"/>
      <c r="AM17" s="2428"/>
      <c r="AN17" s="2428"/>
      <c r="AO17" s="2428"/>
      <c r="AP17" s="2428"/>
      <c r="AQ17" s="2428"/>
      <c r="AR17" s="2428"/>
      <c r="AS17" s="2428"/>
      <c r="AT17" s="2428"/>
      <c r="AU17" s="2428"/>
      <c r="AV17" s="2428"/>
      <c r="AW17" s="2428"/>
      <c r="AX17" s="2428"/>
      <c r="AY17" s="2429"/>
      <c r="AZ17" s="1206"/>
      <c r="BA17" s="1206"/>
      <c r="BB17" s="1206"/>
      <c r="BC17" s="1206"/>
      <c r="BD17" s="1206"/>
      <c r="BE17" s="1202"/>
      <c r="BF17" s="1198"/>
    </row>
    <row r="18" spans="1:58" ht="15.75" customHeight="1">
      <c r="A18" s="1206"/>
      <c r="B18" s="2539" t="s">
        <v>1797</v>
      </c>
      <c r="C18" s="2540"/>
      <c r="D18" s="2540"/>
      <c r="E18" s="2540"/>
      <c r="F18" s="2540"/>
      <c r="G18" s="2540"/>
      <c r="H18" s="2540"/>
      <c r="I18" s="2541"/>
      <c r="J18" s="2542" t="s">
        <v>1698</v>
      </c>
      <c r="K18" s="2543"/>
      <c r="L18" s="2543"/>
      <c r="M18" s="2543"/>
      <c r="N18" s="2543"/>
      <c r="O18" s="2544"/>
      <c r="P18" s="2542" t="s">
        <v>325</v>
      </c>
      <c r="Q18" s="2543"/>
      <c r="R18" s="2543"/>
      <c r="S18" s="2543"/>
      <c r="T18" s="2543"/>
      <c r="U18" s="2544"/>
      <c r="V18" s="2542" t="s">
        <v>326</v>
      </c>
      <c r="W18" s="2543"/>
      <c r="X18" s="2543"/>
      <c r="Y18" s="2543"/>
      <c r="Z18" s="2543"/>
      <c r="AA18" s="2544"/>
      <c r="AB18" s="2542" t="s">
        <v>163</v>
      </c>
      <c r="AC18" s="2543"/>
      <c r="AD18" s="2543"/>
      <c r="AE18" s="2543"/>
      <c r="AF18" s="2543"/>
      <c r="AG18" s="2544"/>
      <c r="AH18" s="2542" t="s">
        <v>164</v>
      </c>
      <c r="AI18" s="2543"/>
      <c r="AJ18" s="2543"/>
      <c r="AK18" s="2543"/>
      <c r="AL18" s="2543"/>
      <c r="AM18" s="2544"/>
      <c r="AN18" s="2542" t="s">
        <v>165</v>
      </c>
      <c r="AO18" s="2543"/>
      <c r="AP18" s="2543"/>
      <c r="AQ18" s="2543"/>
      <c r="AR18" s="2543"/>
      <c r="AS18" s="2544"/>
      <c r="AT18" s="2542" t="s">
        <v>1798</v>
      </c>
      <c r="AU18" s="2543"/>
      <c r="AV18" s="2543"/>
      <c r="AW18" s="2543"/>
      <c r="AX18" s="2543"/>
      <c r="AY18" s="2545"/>
      <c r="AZ18" s="1206"/>
      <c r="BA18" s="1206"/>
      <c r="BB18" s="1206"/>
      <c r="BC18" s="1206"/>
      <c r="BD18" s="1206"/>
      <c r="BE18" s="1202"/>
    </row>
    <row r="19" spans="1:58" ht="14.5">
      <c r="A19" s="1206"/>
      <c r="B19" s="2516">
        <v>0.3</v>
      </c>
      <c r="C19" s="2517"/>
      <c r="D19" s="2517"/>
      <c r="E19" s="2517"/>
      <c r="F19" s="2517"/>
      <c r="G19" s="2517"/>
      <c r="H19" s="2517"/>
      <c r="I19" s="2518"/>
      <c r="J19" s="2519">
        <f t="shared" ref="J19:J28" si="0">SUM(P19:AS19)</f>
        <v>9</v>
      </c>
      <c r="K19" s="2520"/>
      <c r="L19" s="2520"/>
      <c r="M19" s="2520"/>
      <c r="N19" s="2520"/>
      <c r="O19" s="2521"/>
      <c r="P19" s="2519" cm="1">
        <f t="array" ref="P19">SUMPRODUCT((Application!$B$718:$B$752 = 'CalHFA Addendum'!P$18)*(Application!$AC$718:$AC$752 = 'CalHFA Addendum'!$B19),Application!$G$718:$G$752)</f>
        <v>9</v>
      </c>
      <c r="Q19" s="2520"/>
      <c r="R19" s="2520"/>
      <c r="S19" s="2520"/>
      <c r="T19" s="2520"/>
      <c r="U19" s="2521"/>
      <c r="V19" s="2519" cm="1">
        <f t="array" ref="V19">SUMPRODUCT((Application!$B$714:$B$738 = 'CalHFA Addendum'!V$18)*(Application!$AC$714:$AC$738 = 'CalHFA Addendum'!$B19),Application!$G$714:$G$738)</f>
        <v>0</v>
      </c>
      <c r="W19" s="2520"/>
      <c r="X19" s="2520"/>
      <c r="Y19" s="2520"/>
      <c r="Z19" s="2520"/>
      <c r="AA19" s="2521"/>
      <c r="AB19" s="2519" cm="1">
        <f t="array" ref="AB19">SUMPRODUCT((Application!$B$714:$B$738 = 'CalHFA Addendum'!AB$18)*(Application!$AC$714:$AC$738 = 'CalHFA Addendum'!$B19),Application!$G$714:$G$738)</f>
        <v>0</v>
      </c>
      <c r="AC19" s="2520"/>
      <c r="AD19" s="2520"/>
      <c r="AE19" s="2520"/>
      <c r="AF19" s="2520"/>
      <c r="AG19" s="2521"/>
      <c r="AH19" s="2519" cm="1">
        <f t="array" ref="AH19">SUMPRODUCT((Application!$B$714:$B$738 = 'CalHFA Addendum'!AH$18)*(Application!$AC$714:$AC$738 = 'CalHFA Addendum'!$B19),Application!$G$714:$G$738)</f>
        <v>0</v>
      </c>
      <c r="AI19" s="2520"/>
      <c r="AJ19" s="2520"/>
      <c r="AK19" s="2520"/>
      <c r="AL19" s="2520"/>
      <c r="AM19" s="2521"/>
      <c r="AN19" s="2519" cm="1">
        <f t="array" ref="AN19">SUMPRODUCT((Application!$B$714:$B$738 = 'CalHFA Addendum'!AN$18)*(Application!$AC$714:$AC$738 = 'CalHFA Addendum'!$B19),Application!$G$714:$G$738)</f>
        <v>0</v>
      </c>
      <c r="AO19" s="2520"/>
      <c r="AP19" s="2520"/>
      <c r="AQ19" s="2520"/>
      <c r="AR19" s="2520"/>
      <c r="AS19" s="2521"/>
      <c r="AT19" s="2522">
        <f t="shared" ref="AT19:AT29" si="1">J19/$J$29</f>
        <v>0.11392405063291139</v>
      </c>
      <c r="AU19" s="2523"/>
      <c r="AV19" s="2523"/>
      <c r="AW19" s="2523"/>
      <c r="AX19" s="2523"/>
      <c r="AY19" s="2524"/>
      <c r="AZ19" s="1217"/>
      <c r="BA19" s="1206"/>
      <c r="BB19" s="1206"/>
      <c r="BC19" s="1206"/>
      <c r="BD19" s="1206"/>
      <c r="BE19" s="1202"/>
    </row>
    <row r="20" spans="1:58" ht="15" customHeight="1">
      <c r="A20" s="1206"/>
      <c r="B20" s="2516">
        <v>0.4</v>
      </c>
      <c r="C20" s="2517"/>
      <c r="D20" s="2517"/>
      <c r="E20" s="2517"/>
      <c r="F20" s="2517"/>
      <c r="G20" s="2517"/>
      <c r="H20" s="2517"/>
      <c r="I20" s="2518"/>
      <c r="J20" s="2519">
        <f t="shared" si="0"/>
        <v>0</v>
      </c>
      <c r="K20" s="2520"/>
      <c r="L20" s="2520"/>
      <c r="M20" s="2520"/>
      <c r="N20" s="2520"/>
      <c r="O20" s="2521"/>
      <c r="P20" s="2519" cm="1">
        <f t="array" ref="P20">SUMPRODUCT((Application!$B$718:$B$752 = 'CalHFA Addendum'!P$18)*(Application!$AC$718:$AC$752 = 'CalHFA Addendum'!$B20),Application!$G$718:$G$752)</f>
        <v>0</v>
      </c>
      <c r="Q20" s="2520"/>
      <c r="R20" s="2520"/>
      <c r="S20" s="2520"/>
      <c r="T20" s="2520"/>
      <c r="U20" s="2521"/>
      <c r="V20" s="2519" cm="1">
        <f t="array" ref="V20">SUMPRODUCT((Application!$B$714:$B$738 = 'CalHFA Addendum'!V$18)*(Application!$AC$714:$AC$738 = 'CalHFA Addendum'!$B20),Application!$G$714:$G$738)</f>
        <v>0</v>
      </c>
      <c r="W20" s="2520"/>
      <c r="X20" s="2520"/>
      <c r="Y20" s="2520"/>
      <c r="Z20" s="2520"/>
      <c r="AA20" s="2521"/>
      <c r="AB20" s="2519" cm="1">
        <f t="array" ref="AB20">SUMPRODUCT((Application!$B$714:$B$738 = 'CalHFA Addendum'!AB$18)*(Application!$AC$714:$AC$738 = 'CalHFA Addendum'!$B20),Application!$G$714:$G$738)</f>
        <v>0</v>
      </c>
      <c r="AC20" s="2520"/>
      <c r="AD20" s="2520"/>
      <c r="AE20" s="2520"/>
      <c r="AF20" s="2520"/>
      <c r="AG20" s="2521"/>
      <c r="AH20" s="2519" cm="1">
        <f t="array" ref="AH20">SUMPRODUCT((Application!$B$714:$B$738 = 'CalHFA Addendum'!AH$18)*(Application!$AC$714:$AC$738 = 'CalHFA Addendum'!$B20),Application!$G$714:$G$738)</f>
        <v>0</v>
      </c>
      <c r="AI20" s="2520"/>
      <c r="AJ20" s="2520"/>
      <c r="AK20" s="2520"/>
      <c r="AL20" s="2520"/>
      <c r="AM20" s="2521"/>
      <c r="AN20" s="2519" cm="1">
        <f t="array" ref="AN20">SUMPRODUCT((Application!$B$714:$B$738 = 'CalHFA Addendum'!AN$18)*(Application!$AC$714:$AC$738 = 'CalHFA Addendum'!$B20),Application!$G$714:$G$738)</f>
        <v>0</v>
      </c>
      <c r="AO20" s="2520"/>
      <c r="AP20" s="2520"/>
      <c r="AQ20" s="2520"/>
      <c r="AR20" s="2520"/>
      <c r="AS20" s="2521"/>
      <c r="AT20" s="2522">
        <f t="shared" si="1"/>
        <v>0</v>
      </c>
      <c r="AU20" s="2523"/>
      <c r="AV20" s="2523"/>
      <c r="AW20" s="2523"/>
      <c r="AX20" s="2523"/>
      <c r="AY20" s="2524"/>
      <c r="AZ20" s="1206"/>
      <c r="BA20" s="1206"/>
      <c r="BB20" s="1206"/>
      <c r="BC20" s="1206"/>
      <c r="BD20" s="1206"/>
      <c r="BE20" s="1202"/>
    </row>
    <row r="21" spans="1:58" ht="14.5">
      <c r="A21" s="1206"/>
      <c r="B21" s="2516">
        <v>0.5</v>
      </c>
      <c r="C21" s="2517"/>
      <c r="D21" s="2517"/>
      <c r="E21" s="2517"/>
      <c r="F21" s="2517"/>
      <c r="G21" s="2517"/>
      <c r="H21" s="2517"/>
      <c r="I21" s="2518"/>
      <c r="J21" s="2519">
        <f t="shared" si="0"/>
        <v>23</v>
      </c>
      <c r="K21" s="2520"/>
      <c r="L21" s="2520"/>
      <c r="M21" s="2520"/>
      <c r="N21" s="2520"/>
      <c r="O21" s="2521"/>
      <c r="P21" s="2519" cm="1">
        <f t="array" ref="P21">SUMPRODUCT((Application!$B$714:$B$738 = 'CalHFA Addendum'!P$18)*(Application!$AC$714:$AC$738 = 'CalHFA Addendum'!$B21),Application!$G$714:$G$738)</f>
        <v>23</v>
      </c>
      <c r="Q21" s="2520"/>
      <c r="R21" s="2520"/>
      <c r="S21" s="2520"/>
      <c r="T21" s="2520"/>
      <c r="U21" s="2521"/>
      <c r="V21" s="2519" cm="1">
        <f t="array" ref="V21">SUMPRODUCT((Application!$B$714:$B$738 = 'CalHFA Addendum'!V$18)*(Application!$AC$714:$AC$738 = 'CalHFA Addendum'!$B21),Application!$G$714:$G$738)</f>
        <v>0</v>
      </c>
      <c r="W21" s="2520"/>
      <c r="X21" s="2520"/>
      <c r="Y21" s="2520"/>
      <c r="Z21" s="2520"/>
      <c r="AA21" s="2521"/>
      <c r="AB21" s="2519" cm="1">
        <f t="array" ref="AB21">SUMPRODUCT((Application!$B$714:$B$738 = 'CalHFA Addendum'!AB$18)*(Application!$AC$714:$AC$738 = 'CalHFA Addendum'!$B21),Application!$G$714:$G$738)</f>
        <v>0</v>
      </c>
      <c r="AC21" s="2520"/>
      <c r="AD21" s="2520"/>
      <c r="AE21" s="2520"/>
      <c r="AF21" s="2520"/>
      <c r="AG21" s="2521"/>
      <c r="AH21" s="2519" cm="1">
        <f t="array" ref="AH21">SUMPRODUCT((Application!$B$714:$B$738 = 'CalHFA Addendum'!AH$18)*(Application!$AC$714:$AC$738 = 'CalHFA Addendum'!$B21),Application!$G$714:$G$738)</f>
        <v>0</v>
      </c>
      <c r="AI21" s="2520"/>
      <c r="AJ21" s="2520"/>
      <c r="AK21" s="2520"/>
      <c r="AL21" s="2520"/>
      <c r="AM21" s="2521"/>
      <c r="AN21" s="2519" cm="1">
        <f t="array" ref="AN21">SUMPRODUCT((Application!$B$714:$B$738 = 'CalHFA Addendum'!AN$18)*(Application!$AC$714:$AC$738 = 'CalHFA Addendum'!$B21),Application!$G$714:$G$738)</f>
        <v>0</v>
      </c>
      <c r="AO21" s="2520"/>
      <c r="AP21" s="2520"/>
      <c r="AQ21" s="2520"/>
      <c r="AR21" s="2520"/>
      <c r="AS21" s="2521"/>
      <c r="AT21" s="2522">
        <f t="shared" si="1"/>
        <v>0.29113924050632911</v>
      </c>
      <c r="AU21" s="2523"/>
      <c r="AV21" s="2523"/>
      <c r="AW21" s="2523"/>
      <c r="AX21" s="2523"/>
      <c r="AY21" s="2524"/>
      <c r="AZ21" s="1206"/>
      <c r="BA21" s="1206"/>
      <c r="BB21" s="1206"/>
      <c r="BC21" s="1206"/>
      <c r="BD21" s="1206"/>
      <c r="BE21" s="1202"/>
    </row>
    <row r="22" spans="1:58" ht="14.5">
      <c r="A22" s="1206"/>
      <c r="B22" s="2516">
        <v>0.6</v>
      </c>
      <c r="C22" s="2517"/>
      <c r="D22" s="2517"/>
      <c r="E22" s="2517"/>
      <c r="F22" s="2517"/>
      <c r="G22" s="2517"/>
      <c r="H22" s="2517"/>
      <c r="I22" s="2518"/>
      <c r="J22" s="2519">
        <f t="shared" si="0"/>
        <v>23</v>
      </c>
      <c r="K22" s="2520"/>
      <c r="L22" s="2520"/>
      <c r="M22" s="2520"/>
      <c r="N22" s="2520"/>
      <c r="O22" s="2521"/>
      <c r="P22" s="2519" cm="1">
        <f t="array" ref="P22">SUMPRODUCT((Application!$B$714:$B$738 = 'CalHFA Addendum'!P$18)*(Application!$AC$714:$AC$738 = 'CalHFA Addendum'!$B22),Application!$G$714:$G$738)</f>
        <v>12</v>
      </c>
      <c r="Q22" s="2520"/>
      <c r="R22" s="2520"/>
      <c r="S22" s="2520"/>
      <c r="T22" s="2520"/>
      <c r="U22" s="2521"/>
      <c r="V22" s="2519" cm="1">
        <f t="array" ref="V22">SUMPRODUCT((Application!$B$714:$B$738 = 'CalHFA Addendum'!V$18)*(Application!$AC$714:$AC$738 = 'CalHFA Addendum'!$B22),Application!$G$714:$G$738)</f>
        <v>8</v>
      </c>
      <c r="W22" s="2520"/>
      <c r="X22" s="2520"/>
      <c r="Y22" s="2520"/>
      <c r="Z22" s="2520"/>
      <c r="AA22" s="2521"/>
      <c r="AB22" s="2519" cm="1">
        <f t="array" ref="AB22">SUMPRODUCT((Application!$B$714:$B$738 = 'CalHFA Addendum'!AB$18)*(Application!$AC$714:$AC$738 = 'CalHFA Addendum'!$B22),Application!$G$714:$G$738)</f>
        <v>3</v>
      </c>
      <c r="AC22" s="2520"/>
      <c r="AD22" s="2520"/>
      <c r="AE22" s="2520"/>
      <c r="AF22" s="2520"/>
      <c r="AG22" s="2521"/>
      <c r="AH22" s="2519" cm="1">
        <f t="array" ref="AH22">SUMPRODUCT((Application!$B$714:$B$738 = 'CalHFA Addendum'!AH$18)*(Application!$AC$714:$AC$738 = 'CalHFA Addendum'!$B22),Application!$G$714:$G$738)</f>
        <v>0</v>
      </c>
      <c r="AI22" s="2520"/>
      <c r="AJ22" s="2520"/>
      <c r="AK22" s="2520"/>
      <c r="AL22" s="2520"/>
      <c r="AM22" s="2521"/>
      <c r="AN22" s="2519" cm="1">
        <f t="array" ref="AN22">SUMPRODUCT((Application!$B$714:$B$738 = 'CalHFA Addendum'!AN$18)*(Application!$AC$714:$AC$738 = 'CalHFA Addendum'!$B22),Application!$G$714:$G$738)</f>
        <v>0</v>
      </c>
      <c r="AO22" s="2520"/>
      <c r="AP22" s="2520"/>
      <c r="AQ22" s="2520"/>
      <c r="AR22" s="2520"/>
      <c r="AS22" s="2521"/>
      <c r="AT22" s="2522">
        <f t="shared" si="1"/>
        <v>0.29113924050632911</v>
      </c>
      <c r="AU22" s="2523"/>
      <c r="AV22" s="2523"/>
      <c r="AW22" s="2523"/>
      <c r="AX22" s="2523"/>
      <c r="AY22" s="2524"/>
      <c r="AZ22" s="1206"/>
      <c r="BA22" s="1206"/>
      <c r="BB22" s="1206"/>
      <c r="BC22" s="1206"/>
      <c r="BD22" s="1206"/>
      <c r="BE22" s="1202"/>
    </row>
    <row r="23" spans="1:58" ht="14.5">
      <c r="A23" s="1206"/>
      <c r="B23" s="2516">
        <v>0.7</v>
      </c>
      <c r="C23" s="2517"/>
      <c r="D23" s="2517"/>
      <c r="E23" s="2517"/>
      <c r="F23" s="2517"/>
      <c r="G23" s="2517"/>
      <c r="H23" s="2517"/>
      <c r="I23" s="2518"/>
      <c r="J23" s="2519">
        <f t="shared" si="0"/>
        <v>0</v>
      </c>
      <c r="K23" s="2520"/>
      <c r="L23" s="2520"/>
      <c r="M23" s="2520"/>
      <c r="N23" s="2520"/>
      <c r="O23" s="2521"/>
      <c r="P23" s="2519" cm="1">
        <f t="array" ref="P23">SUMPRODUCT((Application!$B$714:$B$738 = 'CalHFA Addendum'!P$18)*(Application!$AC$714:$AC$738 = 'CalHFA Addendum'!$B23),Application!$G$714:$G$738)</f>
        <v>0</v>
      </c>
      <c r="Q23" s="2520"/>
      <c r="R23" s="2520"/>
      <c r="S23" s="2520"/>
      <c r="T23" s="2520"/>
      <c r="U23" s="2521"/>
      <c r="V23" s="2519" cm="1">
        <f t="array" ref="V23">SUMPRODUCT((Application!$B$714:$B$738 = 'CalHFA Addendum'!V$18)*(Application!$AC$714:$AC$738 = 'CalHFA Addendum'!$B23),Application!$G$714:$G$738)</f>
        <v>0</v>
      </c>
      <c r="W23" s="2520"/>
      <c r="X23" s="2520"/>
      <c r="Y23" s="2520"/>
      <c r="Z23" s="2520"/>
      <c r="AA23" s="2521"/>
      <c r="AB23" s="2519" cm="1">
        <f t="array" ref="AB23">SUMPRODUCT((Application!$B$714:$B$738 = 'CalHFA Addendum'!AB$18)*(Application!$AC$714:$AC$738 = 'CalHFA Addendum'!$B23),Application!$G$714:$G$738)</f>
        <v>0</v>
      </c>
      <c r="AC23" s="2520"/>
      <c r="AD23" s="2520"/>
      <c r="AE23" s="2520"/>
      <c r="AF23" s="2520"/>
      <c r="AG23" s="2521"/>
      <c r="AH23" s="2519" cm="1">
        <f t="array" ref="AH23">SUMPRODUCT((Application!$B$714:$B$738 = 'CalHFA Addendum'!AH$18)*(Application!$AC$714:$AC$738 = 'CalHFA Addendum'!$B23),Application!$G$714:$G$738)</f>
        <v>0</v>
      </c>
      <c r="AI23" s="2520"/>
      <c r="AJ23" s="2520"/>
      <c r="AK23" s="2520"/>
      <c r="AL23" s="2520"/>
      <c r="AM23" s="2521"/>
      <c r="AN23" s="2519" cm="1">
        <f t="array" ref="AN23">SUMPRODUCT((Application!$B$714:$B$738 = 'CalHFA Addendum'!AN$18)*(Application!$AC$714:$AC$738 = 'CalHFA Addendum'!$B23),Application!$G$714:$G$738)</f>
        <v>0</v>
      </c>
      <c r="AO23" s="2520"/>
      <c r="AP23" s="2520"/>
      <c r="AQ23" s="2520"/>
      <c r="AR23" s="2520"/>
      <c r="AS23" s="2521"/>
      <c r="AT23" s="2522">
        <f t="shared" si="1"/>
        <v>0</v>
      </c>
      <c r="AU23" s="2523"/>
      <c r="AV23" s="2523"/>
      <c r="AW23" s="2523"/>
      <c r="AX23" s="2523"/>
      <c r="AY23" s="2524"/>
      <c r="AZ23" s="1206"/>
      <c r="BA23" s="1206"/>
      <c r="BB23" s="1206"/>
      <c r="BC23" s="1206"/>
      <c r="BD23" s="1206"/>
      <c r="BE23" s="1202"/>
    </row>
    <row r="24" spans="1:58" ht="14.5">
      <c r="A24" s="1206"/>
      <c r="B24" s="2516">
        <v>0.8</v>
      </c>
      <c r="C24" s="2517"/>
      <c r="D24" s="2517"/>
      <c r="E24" s="2517"/>
      <c r="F24" s="2517"/>
      <c r="G24" s="2517"/>
      <c r="H24" s="2517"/>
      <c r="I24" s="2518"/>
      <c r="J24" s="2519">
        <f t="shared" si="0"/>
        <v>24</v>
      </c>
      <c r="K24" s="2520"/>
      <c r="L24" s="2520"/>
      <c r="M24" s="2520"/>
      <c r="N24" s="2520"/>
      <c r="O24" s="2521"/>
      <c r="P24" s="2519" cm="1">
        <f t="array" ref="P24">SUMPRODUCT((Application!$B$714:$B$738 = 'CalHFA Addendum'!P$18)*(Application!$AC$714:$AC$738 = 'CalHFA Addendum'!$B24),Application!$G$714:$G$738)</f>
        <v>0</v>
      </c>
      <c r="Q24" s="2520"/>
      <c r="R24" s="2520"/>
      <c r="S24" s="2520"/>
      <c r="T24" s="2520"/>
      <c r="U24" s="2521"/>
      <c r="V24" s="2519" cm="1">
        <f t="array" ref="V24">SUMPRODUCT((Application!$B$714:$B$738 = 'CalHFA Addendum'!V$18)*(Application!$AC$714:$AC$738 = 'CalHFA Addendum'!$B24),Application!$G$714:$G$738)</f>
        <v>16</v>
      </c>
      <c r="W24" s="2520"/>
      <c r="X24" s="2520"/>
      <c r="Y24" s="2520"/>
      <c r="Z24" s="2520"/>
      <c r="AA24" s="2521"/>
      <c r="AB24" s="2519" cm="1">
        <f t="array" ref="AB24">SUMPRODUCT((Application!$B$714:$B$738 = 'CalHFA Addendum'!AB$18)*(Application!$AC$714:$AC$738 = 'CalHFA Addendum'!$B24),Application!$G$714:$G$738)</f>
        <v>8</v>
      </c>
      <c r="AC24" s="2520"/>
      <c r="AD24" s="2520"/>
      <c r="AE24" s="2520"/>
      <c r="AF24" s="2520"/>
      <c r="AG24" s="2521"/>
      <c r="AH24" s="2519" cm="1">
        <f t="array" ref="AH24">SUMPRODUCT((Application!$B$714:$B$738 = 'CalHFA Addendum'!AH$18)*(Application!$AC$714:$AC$738 = 'CalHFA Addendum'!$B24),Application!$G$714:$G$738)</f>
        <v>0</v>
      </c>
      <c r="AI24" s="2520"/>
      <c r="AJ24" s="2520"/>
      <c r="AK24" s="2520"/>
      <c r="AL24" s="2520"/>
      <c r="AM24" s="2521"/>
      <c r="AN24" s="2519" cm="1">
        <f t="array" ref="AN24">SUMPRODUCT((Application!$B$714:$B$738 = 'CalHFA Addendum'!AN$18)*(Application!$AC$714:$AC$738 = 'CalHFA Addendum'!$B24),Application!$G$714:$G$738)</f>
        <v>0</v>
      </c>
      <c r="AO24" s="2520"/>
      <c r="AP24" s="2520"/>
      <c r="AQ24" s="2520"/>
      <c r="AR24" s="2520"/>
      <c r="AS24" s="2521"/>
      <c r="AT24" s="2522">
        <f t="shared" si="1"/>
        <v>0.30379746835443039</v>
      </c>
      <c r="AU24" s="2523"/>
      <c r="AV24" s="2523"/>
      <c r="AW24" s="2523"/>
      <c r="AX24" s="2523"/>
      <c r="AY24" s="2524"/>
      <c r="AZ24" s="1206"/>
      <c r="BA24" s="1206"/>
      <c r="BB24" s="1206"/>
      <c r="BC24" s="1206"/>
      <c r="BD24" s="1206"/>
      <c r="BE24" s="1202"/>
    </row>
    <row r="25" spans="1:58" ht="14.5">
      <c r="A25" s="1206"/>
      <c r="B25" s="2516">
        <v>0.9</v>
      </c>
      <c r="C25" s="2517"/>
      <c r="D25" s="2517"/>
      <c r="E25" s="2517"/>
      <c r="F25" s="2517"/>
      <c r="G25" s="2517"/>
      <c r="H25" s="2517"/>
      <c r="I25" s="2518"/>
      <c r="J25" s="2519">
        <f t="shared" si="0"/>
        <v>0</v>
      </c>
      <c r="K25" s="2520"/>
      <c r="L25" s="2520"/>
      <c r="M25" s="2520"/>
      <c r="N25" s="2520"/>
      <c r="O25" s="2521"/>
      <c r="P25" s="2519" cm="1">
        <f t="array" ref="P25">SUMPRODUCT((Application!$B$714:$B$738 = 'CalHFA Addendum'!P$18)*(Application!$AC$714:$AC$738 = 'CalHFA Addendum'!$B25),Application!$G$714:$G$738)</f>
        <v>0</v>
      </c>
      <c r="Q25" s="2520"/>
      <c r="R25" s="2520"/>
      <c r="S25" s="2520"/>
      <c r="T25" s="2520"/>
      <c r="U25" s="2521"/>
      <c r="V25" s="2519" cm="1">
        <f t="array" ref="V25">SUMPRODUCT((Application!$B$714:$B$738 = 'CalHFA Addendum'!V$18)*(Application!$AC$714:$AC$738 = 'CalHFA Addendum'!$B25),Application!$G$714:$G$738)</f>
        <v>0</v>
      </c>
      <c r="W25" s="2520"/>
      <c r="X25" s="2520"/>
      <c r="Y25" s="2520"/>
      <c r="Z25" s="2520"/>
      <c r="AA25" s="2521"/>
      <c r="AB25" s="2519" cm="1">
        <f t="array" ref="AB25">SUMPRODUCT((Application!$B$714:$B$738 = 'CalHFA Addendum'!AB$18)*(Application!$AC$714:$AC$738 = 'CalHFA Addendum'!$B25),Application!$G$714:$G$738)</f>
        <v>0</v>
      </c>
      <c r="AC25" s="2520"/>
      <c r="AD25" s="2520"/>
      <c r="AE25" s="2520"/>
      <c r="AF25" s="2520"/>
      <c r="AG25" s="2521"/>
      <c r="AH25" s="2519" cm="1">
        <f t="array" ref="AH25">SUMPRODUCT((Application!$B$714:$B$738 = 'CalHFA Addendum'!AH$18)*(Application!$AC$714:$AC$738 = 'CalHFA Addendum'!$B25),Application!$G$714:$G$738)</f>
        <v>0</v>
      </c>
      <c r="AI25" s="2520"/>
      <c r="AJ25" s="2520"/>
      <c r="AK25" s="2520"/>
      <c r="AL25" s="2520"/>
      <c r="AM25" s="2521"/>
      <c r="AN25" s="2519" cm="1">
        <f t="array" ref="AN25">SUMPRODUCT((Application!$B$714:$B$738 = 'CalHFA Addendum'!AN$18)*(Application!$AC$714:$AC$738 = 'CalHFA Addendum'!$B25),Application!$G$714:$G$738)</f>
        <v>0</v>
      </c>
      <c r="AO25" s="2520"/>
      <c r="AP25" s="2520"/>
      <c r="AQ25" s="2520"/>
      <c r="AR25" s="2520"/>
      <c r="AS25" s="2521"/>
      <c r="AT25" s="2522">
        <f t="shared" si="1"/>
        <v>0</v>
      </c>
      <c r="AU25" s="2523"/>
      <c r="AV25" s="2523"/>
      <c r="AW25" s="2523"/>
      <c r="AX25" s="2523"/>
      <c r="AY25" s="2524"/>
      <c r="AZ25" s="1206"/>
      <c r="BA25" s="1206"/>
      <c r="BB25" s="1206"/>
      <c r="BC25" s="1206"/>
      <c r="BD25" s="1206"/>
      <c r="BE25" s="1202"/>
    </row>
    <row r="26" spans="1:58" ht="14.5">
      <c r="A26" s="1206"/>
      <c r="B26" s="2516">
        <v>1</v>
      </c>
      <c r="C26" s="2517"/>
      <c r="D26" s="2517"/>
      <c r="E26" s="2517"/>
      <c r="F26" s="2517"/>
      <c r="G26" s="2517"/>
      <c r="H26" s="2517"/>
      <c r="I26" s="2518"/>
      <c r="J26" s="2519">
        <f t="shared" si="0"/>
        <v>0</v>
      </c>
      <c r="K26" s="2520"/>
      <c r="L26" s="2520"/>
      <c r="M26" s="2520"/>
      <c r="N26" s="2520"/>
      <c r="O26" s="2521"/>
      <c r="P26" s="2519" cm="1">
        <f t="array" ref="P26">SUMPRODUCT((Application!$B$714:$B$738 = 'CalHFA Addendum'!P$18)*(Application!$AC$714:$AC$738 = 'CalHFA Addendum'!$B26),Application!$G$714:$G$738)</f>
        <v>0</v>
      </c>
      <c r="Q26" s="2520"/>
      <c r="R26" s="2520"/>
      <c r="S26" s="2520"/>
      <c r="T26" s="2520"/>
      <c r="U26" s="2521"/>
      <c r="V26" s="2519" cm="1">
        <f t="array" ref="V26">SUMPRODUCT((Application!$B$714:$B$738 = 'CalHFA Addendum'!V$18)*(Application!$AC$714:$AC$738 = 'CalHFA Addendum'!$B26),Application!$G$714:$G$738)</f>
        <v>0</v>
      </c>
      <c r="W26" s="2520"/>
      <c r="X26" s="2520"/>
      <c r="Y26" s="2520"/>
      <c r="Z26" s="2520"/>
      <c r="AA26" s="2521"/>
      <c r="AB26" s="2519" cm="1">
        <f t="array" ref="AB26">SUMPRODUCT((Application!$B$714:$B$738 = 'CalHFA Addendum'!AB$18)*(Application!$AC$714:$AC$738 = 'CalHFA Addendum'!$B26),Application!$G$714:$G$738)</f>
        <v>0</v>
      </c>
      <c r="AC26" s="2520"/>
      <c r="AD26" s="2520"/>
      <c r="AE26" s="2520"/>
      <c r="AF26" s="2520"/>
      <c r="AG26" s="2521"/>
      <c r="AH26" s="2519" cm="1">
        <f t="array" ref="AH26">SUMPRODUCT((Application!$B$714:$B$738 = 'CalHFA Addendum'!AH$18)*(Application!$AC$714:$AC$738 = 'CalHFA Addendum'!$B26),Application!$G$714:$G$738)</f>
        <v>0</v>
      </c>
      <c r="AI26" s="2520"/>
      <c r="AJ26" s="2520"/>
      <c r="AK26" s="2520"/>
      <c r="AL26" s="2520"/>
      <c r="AM26" s="2521"/>
      <c r="AN26" s="2519" cm="1">
        <f t="array" ref="AN26">SUMPRODUCT((Application!$B$714:$B$738 = 'CalHFA Addendum'!AN$18)*(Application!$AC$714:$AC$738 = 'CalHFA Addendum'!$B26),Application!$G$714:$G$738)</f>
        <v>0</v>
      </c>
      <c r="AO26" s="2520"/>
      <c r="AP26" s="2520"/>
      <c r="AQ26" s="2520"/>
      <c r="AR26" s="2520"/>
      <c r="AS26" s="2521"/>
      <c r="AT26" s="2522">
        <f t="shared" si="1"/>
        <v>0</v>
      </c>
      <c r="AU26" s="2523"/>
      <c r="AV26" s="2523"/>
      <c r="AW26" s="2523"/>
      <c r="AX26" s="2523"/>
      <c r="AY26" s="2524"/>
      <c r="AZ26" s="1206"/>
      <c r="BA26" s="1206"/>
      <c r="BB26" s="1206"/>
      <c r="BC26" s="1206"/>
      <c r="BD26" s="1206"/>
      <c r="BE26" s="1202"/>
    </row>
    <row r="27" spans="1:58" ht="14.5">
      <c r="A27" s="1206"/>
      <c r="B27" s="2516">
        <v>1.1000000000000001</v>
      </c>
      <c r="C27" s="2517"/>
      <c r="D27" s="2517"/>
      <c r="E27" s="2517"/>
      <c r="F27" s="2517"/>
      <c r="G27" s="2517"/>
      <c r="H27" s="2517"/>
      <c r="I27" s="2518"/>
      <c r="J27" s="2519">
        <f t="shared" si="0"/>
        <v>0</v>
      </c>
      <c r="K27" s="2520"/>
      <c r="L27" s="2520"/>
      <c r="M27" s="2520"/>
      <c r="N27" s="2520"/>
      <c r="O27" s="2521"/>
      <c r="P27" s="2519" cm="1">
        <f t="array" ref="P27">SUMPRODUCT((Application!$B$714:$B$738 = 'CalHFA Addendum'!P$18)*(Application!$AC$714:$AC$738 = 'CalHFA Addendum'!$B27),Application!$G$714:$G$738)</f>
        <v>0</v>
      </c>
      <c r="Q27" s="2520"/>
      <c r="R27" s="2520"/>
      <c r="S27" s="2520"/>
      <c r="T27" s="2520"/>
      <c r="U27" s="2521"/>
      <c r="V27" s="2519" cm="1">
        <f t="array" ref="V27">SUMPRODUCT((Application!$B$714:$B$738 = 'CalHFA Addendum'!V$18)*(Application!$AC$714:$AC$738 = 'CalHFA Addendum'!$B27),Application!$G$714:$G$738)</f>
        <v>0</v>
      </c>
      <c r="W27" s="2520"/>
      <c r="X27" s="2520"/>
      <c r="Y27" s="2520"/>
      <c r="Z27" s="2520"/>
      <c r="AA27" s="2521"/>
      <c r="AB27" s="2519" cm="1">
        <f t="array" ref="AB27">SUMPRODUCT((Application!$B$714:$B$738 = 'CalHFA Addendum'!AB$18)*(Application!$AC$714:$AC$738 = 'CalHFA Addendum'!$B27),Application!$G$714:$G$738)</f>
        <v>0</v>
      </c>
      <c r="AC27" s="2520"/>
      <c r="AD27" s="2520"/>
      <c r="AE27" s="2520"/>
      <c r="AF27" s="2520"/>
      <c r="AG27" s="2521"/>
      <c r="AH27" s="2519" cm="1">
        <f t="array" ref="AH27">SUMPRODUCT((Application!$B$714:$B$738 = 'CalHFA Addendum'!AH$18)*(Application!$AC$714:$AC$738 = 'CalHFA Addendum'!$B27),Application!$G$714:$G$738)</f>
        <v>0</v>
      </c>
      <c r="AI27" s="2520"/>
      <c r="AJ27" s="2520"/>
      <c r="AK27" s="2520"/>
      <c r="AL27" s="2520"/>
      <c r="AM27" s="2521"/>
      <c r="AN27" s="2519" cm="1">
        <f t="array" ref="AN27">SUMPRODUCT((Application!$B$714:$B$738 = 'CalHFA Addendum'!AN$18)*(Application!$AC$714:$AC$738 = 'CalHFA Addendum'!$B27),Application!$G$714:$G$738)</f>
        <v>0</v>
      </c>
      <c r="AO27" s="2520"/>
      <c r="AP27" s="2520"/>
      <c r="AQ27" s="2520"/>
      <c r="AR27" s="2520"/>
      <c r="AS27" s="2521"/>
      <c r="AT27" s="2522">
        <f t="shared" si="1"/>
        <v>0</v>
      </c>
      <c r="AU27" s="2523"/>
      <c r="AV27" s="2523"/>
      <c r="AW27" s="2523"/>
      <c r="AX27" s="2523"/>
      <c r="AY27" s="2524"/>
      <c r="AZ27" s="1206"/>
      <c r="BA27" s="1206"/>
      <c r="BB27" s="1206"/>
      <c r="BC27" s="1206"/>
      <c r="BD27" s="1206"/>
      <c r="BE27" s="1202"/>
    </row>
    <row r="28" spans="1:58" ht="15" thickBot="1">
      <c r="A28" s="1206"/>
      <c r="B28" s="2525" t="s">
        <v>1799</v>
      </c>
      <c r="C28" s="2526"/>
      <c r="D28" s="2526"/>
      <c r="E28" s="2526"/>
      <c r="F28" s="2526"/>
      <c r="G28" s="2526"/>
      <c r="H28" s="2526"/>
      <c r="I28" s="2527"/>
      <c r="J28" s="2528">
        <f t="shared" si="0"/>
        <v>0</v>
      </c>
      <c r="K28" s="2529"/>
      <c r="L28" s="2529"/>
      <c r="M28" s="2529"/>
      <c r="N28" s="2529"/>
      <c r="O28" s="2530"/>
      <c r="P28" s="2528">
        <f>_xlfn.IFNA(VLOOKUP(P$18,Application!$J$758:$S$761,6,FALSE), 0)</f>
        <v>0</v>
      </c>
      <c r="Q28" s="2529"/>
      <c r="R28" s="2529"/>
      <c r="S28" s="2529"/>
      <c r="T28" s="2529"/>
      <c r="U28" s="2530"/>
      <c r="V28" s="2528">
        <f>_xlfn.IFNA(VLOOKUP(V$18,Application!$J$758:$S$761,6,FALSE), 0)</f>
        <v>0</v>
      </c>
      <c r="W28" s="2529"/>
      <c r="X28" s="2529"/>
      <c r="Y28" s="2529"/>
      <c r="Z28" s="2529"/>
      <c r="AA28" s="2530"/>
      <c r="AB28" s="2528">
        <f>_xlfn.IFNA(VLOOKUP(AB$18,Application!$J$758:$S$761,6,FALSE), 0)</f>
        <v>0</v>
      </c>
      <c r="AC28" s="2529"/>
      <c r="AD28" s="2529"/>
      <c r="AE28" s="2529"/>
      <c r="AF28" s="2529"/>
      <c r="AG28" s="2530"/>
      <c r="AH28" s="2528">
        <f>_xlfn.IFNA(VLOOKUP(AH$18,Application!$J$758:$S$761,6,FALSE), 0)</f>
        <v>0</v>
      </c>
      <c r="AI28" s="2529"/>
      <c r="AJ28" s="2529"/>
      <c r="AK28" s="2529"/>
      <c r="AL28" s="2529"/>
      <c r="AM28" s="2530"/>
      <c r="AN28" s="2528">
        <f>_xlfn.IFNA(VLOOKUP(AN$18,Application!$J$758:$S$761,6,FALSE), 0)</f>
        <v>0</v>
      </c>
      <c r="AO28" s="2529"/>
      <c r="AP28" s="2529"/>
      <c r="AQ28" s="2529"/>
      <c r="AR28" s="2529"/>
      <c r="AS28" s="2530"/>
      <c r="AT28" s="2531">
        <f t="shared" si="1"/>
        <v>0</v>
      </c>
      <c r="AU28" s="2532"/>
      <c r="AV28" s="2532"/>
      <c r="AW28" s="2532"/>
      <c r="AX28" s="2532"/>
      <c r="AY28" s="2533"/>
      <c r="AZ28" s="1206"/>
      <c r="BA28" s="1206"/>
      <c r="BB28" s="1206"/>
      <c r="BC28" s="1206"/>
      <c r="BD28" s="1206"/>
      <c r="BE28" s="1202"/>
    </row>
    <row r="29" spans="1:58" ht="15" thickBot="1">
      <c r="A29" s="1206"/>
      <c r="B29" s="2505" t="s">
        <v>1698</v>
      </c>
      <c r="C29" s="2483"/>
      <c r="D29" s="2483"/>
      <c r="E29" s="2483"/>
      <c r="F29" s="2483"/>
      <c r="G29" s="2483"/>
      <c r="H29" s="2483"/>
      <c r="I29" s="2484"/>
      <c r="J29" s="2482">
        <f>SUM(J19:O28)</f>
        <v>79</v>
      </c>
      <c r="K29" s="2483"/>
      <c r="L29" s="2483"/>
      <c r="M29" s="2483"/>
      <c r="N29" s="2483"/>
      <c r="O29" s="2484"/>
      <c r="P29" s="2482">
        <f>SUM(P19:U28)</f>
        <v>44</v>
      </c>
      <c r="Q29" s="2483"/>
      <c r="R29" s="2483"/>
      <c r="S29" s="2483"/>
      <c r="T29" s="2483"/>
      <c r="U29" s="2484"/>
      <c r="V29" s="2482">
        <f>SUM(V19:AA28)</f>
        <v>24</v>
      </c>
      <c r="W29" s="2483"/>
      <c r="X29" s="2483"/>
      <c r="Y29" s="2483"/>
      <c r="Z29" s="2483"/>
      <c r="AA29" s="2484"/>
      <c r="AB29" s="2482">
        <f>SUM(AB19:AG28)</f>
        <v>11</v>
      </c>
      <c r="AC29" s="2483"/>
      <c r="AD29" s="2483"/>
      <c r="AE29" s="2483"/>
      <c r="AF29" s="2483"/>
      <c r="AG29" s="2484"/>
      <c r="AH29" s="2482">
        <f>SUM(AH19:AM28)</f>
        <v>0</v>
      </c>
      <c r="AI29" s="2483"/>
      <c r="AJ29" s="2483"/>
      <c r="AK29" s="2483"/>
      <c r="AL29" s="2483"/>
      <c r="AM29" s="2484"/>
      <c r="AN29" s="2482">
        <f>SUM(AN19:AS28)</f>
        <v>0</v>
      </c>
      <c r="AO29" s="2483"/>
      <c r="AP29" s="2483"/>
      <c r="AQ29" s="2483"/>
      <c r="AR29" s="2483"/>
      <c r="AS29" s="2484"/>
      <c r="AT29" s="2498">
        <f t="shared" si="1"/>
        <v>1</v>
      </c>
      <c r="AU29" s="2499"/>
      <c r="AV29" s="2499"/>
      <c r="AW29" s="2499"/>
      <c r="AX29" s="2499"/>
      <c r="AY29" s="2500"/>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6" t="s">
        <v>1800</v>
      </c>
      <c r="C31" s="2487"/>
      <c r="D31" s="2487"/>
      <c r="E31" s="2487"/>
      <c r="F31" s="2487"/>
      <c r="G31" s="2487"/>
      <c r="H31" s="2487"/>
      <c r="I31" s="2487"/>
      <c r="J31" s="2487"/>
      <c r="K31" s="2487"/>
      <c r="L31" s="2487"/>
      <c r="M31" s="2487"/>
      <c r="N31" s="2487"/>
      <c r="O31" s="2487"/>
      <c r="P31" s="2487"/>
      <c r="Q31" s="2487"/>
      <c r="R31" s="2487"/>
      <c r="S31" s="2487"/>
      <c r="T31" s="2487"/>
      <c r="U31" s="2487"/>
      <c r="V31" s="2487"/>
      <c r="W31" s="2487"/>
      <c r="X31" s="2487"/>
      <c r="Y31" s="2487"/>
      <c r="Z31" s="2487"/>
      <c r="AA31" s="2487"/>
      <c r="AB31" s="2487"/>
      <c r="AC31" s="2487"/>
      <c r="AD31" s="2487"/>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487"/>
      <c r="BB31" s="2487"/>
      <c r="BC31" s="2487"/>
      <c r="BD31" s="2488"/>
      <c r="BE31" s="1202"/>
    </row>
    <row r="32" spans="1:58" ht="15" thickBot="1">
      <c r="A32" s="1206"/>
      <c r="B32" s="2501" t="s">
        <v>2473</v>
      </c>
      <c r="C32" s="2502"/>
      <c r="D32" s="2502"/>
      <c r="E32" s="2502"/>
      <c r="F32" s="2502"/>
      <c r="G32" s="2502"/>
      <c r="H32" s="2502"/>
      <c r="I32" s="2502"/>
      <c r="J32" s="2534" t="s">
        <v>2474</v>
      </c>
      <c r="K32" s="2535"/>
      <c r="L32" s="2535"/>
      <c r="M32" s="2535"/>
      <c r="N32" s="2534" t="s">
        <v>1801</v>
      </c>
      <c r="O32" s="2535"/>
      <c r="P32" s="2535"/>
      <c r="Q32" s="2537"/>
      <c r="R32" s="2495" t="s">
        <v>1802</v>
      </c>
      <c r="S32" s="2496"/>
      <c r="T32" s="2496"/>
      <c r="U32" s="2496"/>
      <c r="V32" s="2496"/>
      <c r="W32" s="2496"/>
      <c r="X32" s="2496"/>
      <c r="Y32" s="2496"/>
      <c r="Z32" s="2496"/>
      <c r="AA32" s="2496"/>
      <c r="AB32" s="2496"/>
      <c r="AC32" s="2496"/>
      <c r="AD32" s="2496"/>
      <c r="AE32" s="2496"/>
      <c r="AF32" s="2496"/>
      <c r="AG32" s="2496"/>
      <c r="AH32" s="2496"/>
      <c r="AI32" s="2496"/>
      <c r="AJ32" s="2496"/>
      <c r="AK32" s="2496"/>
      <c r="AL32" s="2496"/>
      <c r="AM32" s="2496"/>
      <c r="AN32" s="2496"/>
      <c r="AO32" s="2496"/>
      <c r="AP32" s="2496"/>
      <c r="AQ32" s="2496"/>
      <c r="AR32" s="2496"/>
      <c r="AS32" s="2496"/>
      <c r="AT32" s="2496"/>
      <c r="AU32" s="2496"/>
      <c r="AV32" s="2496"/>
      <c r="AW32" s="2496"/>
      <c r="AX32" s="2496"/>
      <c r="AY32" s="2496"/>
      <c r="AZ32" s="2496"/>
      <c r="BA32" s="2496"/>
      <c r="BB32" s="2496"/>
      <c r="BC32" s="2496"/>
      <c r="BD32" s="2497"/>
      <c r="BE32" s="1202"/>
    </row>
    <row r="33" spans="1:58" ht="15" customHeight="1">
      <c r="A33" s="1206"/>
      <c r="B33" s="2503"/>
      <c r="C33" s="2504"/>
      <c r="D33" s="2504"/>
      <c r="E33" s="2504"/>
      <c r="F33" s="2504"/>
      <c r="G33" s="2504"/>
      <c r="H33" s="2504"/>
      <c r="I33" s="2504"/>
      <c r="J33" s="2536"/>
      <c r="K33" s="2536"/>
      <c r="L33" s="2536"/>
      <c r="M33" s="2536"/>
      <c r="N33" s="2536"/>
      <c r="O33" s="2536"/>
      <c r="P33" s="2536"/>
      <c r="Q33" s="2538"/>
      <c r="R33" s="2489" t="s">
        <v>1803</v>
      </c>
      <c r="S33" s="2490"/>
      <c r="T33" s="2490"/>
      <c r="U33" s="2490"/>
      <c r="V33" s="2490"/>
      <c r="W33" s="2490"/>
      <c r="X33" s="249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2490"/>
      <c r="BA33" s="2490"/>
      <c r="BB33" s="2490"/>
      <c r="BC33" s="2490"/>
      <c r="BD33" s="2491"/>
      <c r="BE33" s="1202"/>
    </row>
    <row r="34" spans="1:58" ht="15.75" customHeight="1" thickBot="1">
      <c r="A34" s="1206"/>
      <c r="B34" s="2503"/>
      <c r="C34" s="2504"/>
      <c r="D34" s="2504"/>
      <c r="E34" s="2504"/>
      <c r="F34" s="2504"/>
      <c r="G34" s="2504"/>
      <c r="H34" s="2504"/>
      <c r="I34" s="2504"/>
      <c r="J34" s="2536"/>
      <c r="K34" s="2536"/>
      <c r="L34" s="2536"/>
      <c r="M34" s="2536"/>
      <c r="N34" s="2536"/>
      <c r="O34" s="2536"/>
      <c r="P34" s="2536"/>
      <c r="Q34" s="2538"/>
      <c r="R34" s="2492"/>
      <c r="S34" s="2493"/>
      <c r="T34" s="2493"/>
      <c r="U34" s="2493"/>
      <c r="V34" s="2493"/>
      <c r="W34" s="2493"/>
      <c r="X34" s="2493"/>
      <c r="Y34" s="2493"/>
      <c r="Z34" s="2493"/>
      <c r="AA34" s="2493"/>
      <c r="AB34" s="2493"/>
      <c r="AC34" s="2493"/>
      <c r="AD34" s="2493"/>
      <c r="AE34" s="2493"/>
      <c r="AF34" s="2493"/>
      <c r="AG34" s="2493"/>
      <c r="AH34" s="2493"/>
      <c r="AI34" s="2493"/>
      <c r="AJ34" s="2493"/>
      <c r="AK34" s="2493"/>
      <c r="AL34" s="2493"/>
      <c r="AM34" s="2493"/>
      <c r="AN34" s="2493"/>
      <c r="AO34" s="2493"/>
      <c r="AP34" s="2493"/>
      <c r="AQ34" s="2493"/>
      <c r="AR34" s="2493"/>
      <c r="AS34" s="2493"/>
      <c r="AT34" s="2493"/>
      <c r="AU34" s="2493"/>
      <c r="AV34" s="2493"/>
      <c r="AW34" s="2493"/>
      <c r="AX34" s="2493"/>
      <c r="AY34" s="2493"/>
      <c r="AZ34" s="2493"/>
      <c r="BA34" s="2493"/>
      <c r="BB34" s="2493"/>
      <c r="BC34" s="2493"/>
      <c r="BD34" s="2494"/>
      <c r="BE34" s="1202"/>
    </row>
    <row r="35" spans="1:58" ht="15.75" customHeight="1">
      <c r="A35" s="1206"/>
      <c r="B35" s="2503"/>
      <c r="C35" s="2504"/>
      <c r="D35" s="2504"/>
      <c r="E35" s="2504"/>
      <c r="F35" s="2504"/>
      <c r="G35" s="2504"/>
      <c r="H35" s="2504"/>
      <c r="I35" s="2504"/>
      <c r="J35" s="2536"/>
      <c r="K35" s="2536"/>
      <c r="L35" s="2536"/>
      <c r="M35" s="2536"/>
      <c r="N35" s="2536"/>
      <c r="O35" s="2536"/>
      <c r="P35" s="2536"/>
      <c r="Q35" s="2536"/>
      <c r="R35" s="2485">
        <v>0.3</v>
      </c>
      <c r="S35" s="2485"/>
      <c r="T35" s="2485"/>
      <c r="U35" s="2485"/>
      <c r="V35" s="2485">
        <v>0.4</v>
      </c>
      <c r="W35" s="2485"/>
      <c r="X35" s="2485"/>
      <c r="Y35" s="2485"/>
      <c r="Z35" s="2485">
        <v>0.5</v>
      </c>
      <c r="AA35" s="2485"/>
      <c r="AB35" s="2485"/>
      <c r="AC35" s="2485"/>
      <c r="AD35" s="2485">
        <v>0.6</v>
      </c>
      <c r="AE35" s="2485"/>
      <c r="AF35" s="2485"/>
      <c r="AG35" s="2485"/>
      <c r="AH35" s="2485">
        <v>0.7</v>
      </c>
      <c r="AI35" s="2485"/>
      <c r="AJ35" s="2485"/>
      <c r="AK35" s="2485"/>
      <c r="AL35" s="2506">
        <v>0.8</v>
      </c>
      <c r="AM35" s="2507"/>
      <c r="AN35" s="2507"/>
      <c r="AO35" s="2508"/>
      <c r="AP35" s="2509">
        <v>1.2</v>
      </c>
      <c r="AQ35" s="2510"/>
      <c r="AR35" s="2511"/>
      <c r="AS35" s="2512" t="s">
        <v>1804</v>
      </c>
      <c r="AT35" s="2513"/>
      <c r="AU35" s="2513"/>
      <c r="AV35" s="2513"/>
      <c r="AW35" s="2513"/>
      <c r="AX35" s="2514"/>
      <c r="AY35" s="2512" t="s">
        <v>1805</v>
      </c>
      <c r="AZ35" s="2513"/>
      <c r="BA35" s="2513"/>
      <c r="BB35" s="2513"/>
      <c r="BC35" s="2513"/>
      <c r="BD35" s="2515"/>
      <c r="BE35" s="1202"/>
    </row>
    <row r="36" spans="1:58" ht="15.75" customHeight="1">
      <c r="A36" s="1206"/>
      <c r="B36" s="2243" t="s">
        <v>1806</v>
      </c>
      <c r="C36" s="2244"/>
      <c r="D36" s="2244"/>
      <c r="E36" s="2244"/>
      <c r="F36" s="2244"/>
      <c r="G36" s="2244"/>
      <c r="H36" s="2244"/>
      <c r="I36" s="2244"/>
      <c r="J36" s="2475" t="s">
        <v>1807</v>
      </c>
      <c r="K36" s="2475"/>
      <c r="L36" s="2475"/>
      <c r="M36" s="2475"/>
      <c r="N36" s="2475">
        <v>55</v>
      </c>
      <c r="O36" s="2475"/>
      <c r="P36" s="2475"/>
      <c r="Q36" s="2475"/>
      <c r="R36" s="2221">
        <v>0</v>
      </c>
      <c r="S36" s="2221"/>
      <c r="T36" s="2221"/>
      <c r="U36" s="2221"/>
      <c r="V36" s="2221">
        <v>0</v>
      </c>
      <c r="W36" s="2221"/>
      <c r="X36" s="2221"/>
      <c r="Y36" s="2221"/>
      <c r="Z36" s="2221">
        <v>10</v>
      </c>
      <c r="AA36" s="2221"/>
      <c r="AB36" s="2221"/>
      <c r="AC36" s="2221"/>
      <c r="AD36" s="2221">
        <v>10</v>
      </c>
      <c r="AE36" s="2221"/>
      <c r="AF36" s="2221"/>
      <c r="AG36" s="2221"/>
      <c r="AH36" s="2221">
        <v>30</v>
      </c>
      <c r="AI36" s="2221"/>
      <c r="AJ36" s="2221"/>
      <c r="AK36" s="2221"/>
      <c r="AL36" s="2222">
        <v>0</v>
      </c>
      <c r="AM36" s="2223"/>
      <c r="AN36" s="2223"/>
      <c r="AO36" s="2224"/>
      <c r="AP36" s="2222">
        <v>0</v>
      </c>
      <c r="AQ36" s="2223"/>
      <c r="AR36" s="2224"/>
      <c r="AS36" s="2225">
        <f t="shared" ref="AS36:AS47" si="2">SUM(R36:AR36)</f>
        <v>50</v>
      </c>
      <c r="AT36" s="2226"/>
      <c r="AU36" s="2226"/>
      <c r="AV36" s="2226"/>
      <c r="AW36" s="2226"/>
      <c r="AX36" s="2227"/>
      <c r="AY36" s="2479">
        <f t="shared" ref="AY36:AY47" si="3">AS36/$J$29</f>
        <v>0.63291139240506333</v>
      </c>
      <c r="AZ36" s="2480"/>
      <c r="BA36" s="2480"/>
      <c r="BB36" s="2480"/>
      <c r="BC36" s="2480"/>
      <c r="BD36" s="2481"/>
      <c r="BE36" s="1202"/>
    </row>
    <row r="37" spans="1:58" ht="15.75" customHeight="1">
      <c r="A37" s="1206"/>
      <c r="B37" s="2243" t="s">
        <v>2475</v>
      </c>
      <c r="C37" s="2244"/>
      <c r="D37" s="2244"/>
      <c r="E37" s="2244"/>
      <c r="F37" s="2244"/>
      <c r="G37" s="2244"/>
      <c r="H37" s="2244"/>
      <c r="I37" s="2244"/>
      <c r="J37" s="2475" t="s">
        <v>1808</v>
      </c>
      <c r="K37" s="2475"/>
      <c r="L37" s="2475"/>
      <c r="M37" s="2475"/>
      <c r="N37" s="2475">
        <v>55</v>
      </c>
      <c r="O37" s="2475"/>
      <c r="P37" s="2475"/>
      <c r="Q37" s="2475"/>
      <c r="R37" s="2221">
        <v>10</v>
      </c>
      <c r="S37" s="2221"/>
      <c r="T37" s="2221"/>
      <c r="U37" s="2221"/>
      <c r="V37" s="2221"/>
      <c r="W37" s="2221"/>
      <c r="X37" s="2221"/>
      <c r="Y37" s="2221"/>
      <c r="Z37" s="2221"/>
      <c r="AA37" s="2221"/>
      <c r="AB37" s="2221"/>
      <c r="AC37" s="2221"/>
      <c r="AD37" s="2221"/>
      <c r="AE37" s="2221"/>
      <c r="AF37" s="2221"/>
      <c r="AG37" s="2221"/>
      <c r="AH37" s="2221"/>
      <c r="AI37" s="2221"/>
      <c r="AJ37" s="2221"/>
      <c r="AK37" s="2221"/>
      <c r="AL37" s="2222"/>
      <c r="AM37" s="2223"/>
      <c r="AN37" s="2223"/>
      <c r="AO37" s="2224"/>
      <c r="AP37" s="2222"/>
      <c r="AQ37" s="2223"/>
      <c r="AR37" s="2224"/>
      <c r="AS37" s="2225">
        <f t="shared" si="2"/>
        <v>10</v>
      </c>
      <c r="AT37" s="2226"/>
      <c r="AU37" s="2226"/>
      <c r="AV37" s="2226"/>
      <c r="AW37" s="2226"/>
      <c r="AX37" s="2227"/>
      <c r="AY37" s="2479">
        <f t="shared" si="3"/>
        <v>0.12658227848101267</v>
      </c>
      <c r="AZ37" s="2480"/>
      <c r="BA37" s="2480"/>
      <c r="BB37" s="2480"/>
      <c r="BC37" s="2480"/>
      <c r="BD37" s="2481"/>
      <c r="BE37" s="1202"/>
    </row>
    <row r="38" spans="1:58" ht="15.75" customHeight="1">
      <c r="A38" s="1206"/>
      <c r="B38" s="2243" t="s">
        <v>2414</v>
      </c>
      <c r="C38" s="2244"/>
      <c r="D38" s="2244"/>
      <c r="E38" s="2244"/>
      <c r="F38" s="2244"/>
      <c r="G38" s="2244"/>
      <c r="H38" s="2244"/>
      <c r="I38" s="2244"/>
      <c r="J38" s="2475" t="s">
        <v>1809</v>
      </c>
      <c r="K38" s="2475"/>
      <c r="L38" s="2475"/>
      <c r="M38" s="2475"/>
      <c r="N38" s="2475">
        <v>55</v>
      </c>
      <c r="O38" s="2475"/>
      <c r="P38" s="2475"/>
      <c r="Q38" s="2475"/>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22"/>
      <c r="AM38" s="2223"/>
      <c r="AN38" s="2223"/>
      <c r="AO38" s="2224"/>
      <c r="AP38" s="2222"/>
      <c r="AQ38" s="2223"/>
      <c r="AR38" s="2224"/>
      <c r="AS38" s="2225">
        <f t="shared" si="2"/>
        <v>0</v>
      </c>
      <c r="AT38" s="2226"/>
      <c r="AU38" s="2226"/>
      <c r="AV38" s="2226"/>
      <c r="AW38" s="2226"/>
      <c r="AX38" s="2227"/>
      <c r="AY38" s="2479">
        <f t="shared" si="3"/>
        <v>0</v>
      </c>
      <c r="AZ38" s="2480"/>
      <c r="BA38" s="2480"/>
      <c r="BB38" s="2480"/>
      <c r="BC38" s="2480"/>
      <c r="BD38" s="2481"/>
      <c r="BE38" s="1202"/>
    </row>
    <row r="39" spans="1:58" ht="15.75" customHeight="1">
      <c r="A39" s="1206"/>
      <c r="B39" s="2243" t="s">
        <v>1810</v>
      </c>
      <c r="C39" s="2244"/>
      <c r="D39" s="2244"/>
      <c r="E39" s="2244"/>
      <c r="F39" s="2244"/>
      <c r="G39" s="2244"/>
      <c r="H39" s="2244"/>
      <c r="I39" s="2244"/>
      <c r="J39" s="2475"/>
      <c r="K39" s="2475"/>
      <c r="L39" s="2475"/>
      <c r="M39" s="2475"/>
      <c r="N39" s="2475"/>
      <c r="O39" s="2475"/>
      <c r="P39" s="2475"/>
      <c r="Q39" s="2475"/>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22"/>
      <c r="AM39" s="2223"/>
      <c r="AN39" s="2223"/>
      <c r="AO39" s="2224"/>
      <c r="AP39" s="2222"/>
      <c r="AQ39" s="2223"/>
      <c r="AR39" s="2224"/>
      <c r="AS39" s="2225">
        <f t="shared" si="2"/>
        <v>0</v>
      </c>
      <c r="AT39" s="2226"/>
      <c r="AU39" s="2226"/>
      <c r="AV39" s="2226"/>
      <c r="AW39" s="2226"/>
      <c r="AX39" s="2227"/>
      <c r="AY39" s="2479">
        <f t="shared" si="3"/>
        <v>0</v>
      </c>
      <c r="AZ39" s="2480"/>
      <c r="BA39" s="2480"/>
      <c r="BB39" s="2480"/>
      <c r="BC39" s="2480"/>
      <c r="BD39" s="2481"/>
      <c r="BE39" s="1202"/>
    </row>
    <row r="40" spans="1:58" ht="15.75" customHeight="1">
      <c r="A40" s="1206"/>
      <c r="B40" s="2243" t="s">
        <v>1810</v>
      </c>
      <c r="C40" s="2244"/>
      <c r="D40" s="2244"/>
      <c r="E40" s="2244"/>
      <c r="F40" s="2244"/>
      <c r="G40" s="2244"/>
      <c r="H40" s="2244"/>
      <c r="I40" s="2244"/>
      <c r="J40" s="2475"/>
      <c r="K40" s="2475"/>
      <c r="L40" s="2475"/>
      <c r="M40" s="2475"/>
      <c r="N40" s="2475"/>
      <c r="O40" s="2475"/>
      <c r="P40" s="2475"/>
      <c r="Q40" s="2475"/>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22"/>
      <c r="AM40" s="2223"/>
      <c r="AN40" s="2223"/>
      <c r="AO40" s="2224"/>
      <c r="AP40" s="2222"/>
      <c r="AQ40" s="2223"/>
      <c r="AR40" s="2224"/>
      <c r="AS40" s="2225">
        <f t="shared" si="2"/>
        <v>0</v>
      </c>
      <c r="AT40" s="2226"/>
      <c r="AU40" s="2226"/>
      <c r="AV40" s="2226"/>
      <c r="AW40" s="2226"/>
      <c r="AX40" s="2227"/>
      <c r="AY40" s="2479">
        <f t="shared" si="3"/>
        <v>0</v>
      </c>
      <c r="AZ40" s="2480"/>
      <c r="BA40" s="2480"/>
      <c r="BB40" s="2480"/>
      <c r="BC40" s="2480"/>
      <c r="BD40" s="2481"/>
      <c r="BE40" s="1202"/>
    </row>
    <row r="41" spans="1:58" ht="15.75" customHeight="1">
      <c r="A41" s="1206"/>
      <c r="B41" s="2243" t="s">
        <v>1811</v>
      </c>
      <c r="C41" s="2244"/>
      <c r="D41" s="2244"/>
      <c r="E41" s="2244"/>
      <c r="F41" s="2244"/>
      <c r="G41" s="2244"/>
      <c r="H41" s="2244"/>
      <c r="I41" s="2244"/>
      <c r="J41" s="2475"/>
      <c r="K41" s="2475"/>
      <c r="L41" s="2475"/>
      <c r="M41" s="2475"/>
      <c r="N41" s="2475"/>
      <c r="O41" s="2475"/>
      <c r="P41" s="2475"/>
      <c r="Q41" s="2475"/>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22"/>
      <c r="AM41" s="2223"/>
      <c r="AN41" s="2223"/>
      <c r="AO41" s="2224"/>
      <c r="AP41" s="2222"/>
      <c r="AQ41" s="2223"/>
      <c r="AR41" s="2224"/>
      <c r="AS41" s="2225">
        <f t="shared" si="2"/>
        <v>0</v>
      </c>
      <c r="AT41" s="2226"/>
      <c r="AU41" s="2226"/>
      <c r="AV41" s="2226"/>
      <c r="AW41" s="2226"/>
      <c r="AX41" s="2227"/>
      <c r="AY41" s="2479">
        <f t="shared" si="3"/>
        <v>0</v>
      </c>
      <c r="AZ41" s="2480"/>
      <c r="BA41" s="2480"/>
      <c r="BB41" s="2480"/>
      <c r="BC41" s="2480"/>
      <c r="BD41" s="2481"/>
      <c r="BE41" s="1202"/>
    </row>
    <row r="42" spans="1:58" ht="15.75" customHeight="1">
      <c r="A42" s="1206"/>
      <c r="B42" s="2243" t="s">
        <v>1811</v>
      </c>
      <c r="C42" s="2244"/>
      <c r="D42" s="2244"/>
      <c r="E42" s="2244"/>
      <c r="F42" s="2244"/>
      <c r="G42" s="2244"/>
      <c r="H42" s="2244"/>
      <c r="I42" s="2244"/>
      <c r="J42" s="2475"/>
      <c r="K42" s="2475"/>
      <c r="L42" s="2475"/>
      <c r="M42" s="2475"/>
      <c r="N42" s="2475"/>
      <c r="O42" s="2475"/>
      <c r="P42" s="2475"/>
      <c r="Q42" s="2475"/>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22"/>
      <c r="AM42" s="2223"/>
      <c r="AN42" s="2223"/>
      <c r="AO42" s="2224"/>
      <c r="AP42" s="2222"/>
      <c r="AQ42" s="2223"/>
      <c r="AR42" s="2224"/>
      <c r="AS42" s="2225">
        <f t="shared" si="2"/>
        <v>0</v>
      </c>
      <c r="AT42" s="2226"/>
      <c r="AU42" s="2226"/>
      <c r="AV42" s="2226"/>
      <c r="AW42" s="2226"/>
      <c r="AX42" s="2227"/>
      <c r="AY42" s="2479">
        <f t="shared" si="3"/>
        <v>0</v>
      </c>
      <c r="AZ42" s="2480"/>
      <c r="BA42" s="2480"/>
      <c r="BB42" s="2480"/>
      <c r="BC42" s="2480"/>
      <c r="BD42" s="2481"/>
      <c r="BE42" s="1202"/>
    </row>
    <row r="43" spans="1:58" ht="15.75" customHeight="1">
      <c r="A43" s="1206"/>
      <c r="B43" s="2214" t="s">
        <v>1812</v>
      </c>
      <c r="C43" s="2215"/>
      <c r="D43" s="2215"/>
      <c r="E43" s="2215"/>
      <c r="F43" s="2215"/>
      <c r="G43" s="2215"/>
      <c r="H43" s="2215"/>
      <c r="I43" s="2215"/>
      <c r="J43" s="2475"/>
      <c r="K43" s="2475"/>
      <c r="L43" s="2475"/>
      <c r="M43" s="2475"/>
      <c r="N43" s="2475"/>
      <c r="O43" s="2475"/>
      <c r="P43" s="2475"/>
      <c r="Q43" s="2475"/>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22"/>
      <c r="AM43" s="2223"/>
      <c r="AN43" s="2223"/>
      <c r="AO43" s="2224"/>
      <c r="AP43" s="2222"/>
      <c r="AQ43" s="2223"/>
      <c r="AR43" s="2224"/>
      <c r="AS43" s="2225">
        <f t="shared" si="2"/>
        <v>0</v>
      </c>
      <c r="AT43" s="2226"/>
      <c r="AU43" s="2226"/>
      <c r="AV43" s="2226"/>
      <c r="AW43" s="2226"/>
      <c r="AX43" s="2227"/>
      <c r="AY43" s="2479">
        <f t="shared" si="3"/>
        <v>0</v>
      </c>
      <c r="AZ43" s="2480"/>
      <c r="BA43" s="2480"/>
      <c r="BB43" s="2480"/>
      <c r="BC43" s="2480"/>
      <c r="BD43" s="2481"/>
      <c r="BE43" s="1202"/>
    </row>
    <row r="44" spans="1:58" ht="15.75" customHeight="1">
      <c r="A44" s="1206"/>
      <c r="B44" s="2214" t="s">
        <v>1813</v>
      </c>
      <c r="C44" s="2215"/>
      <c r="D44" s="2215"/>
      <c r="E44" s="2215"/>
      <c r="F44" s="2215"/>
      <c r="G44" s="2215"/>
      <c r="H44" s="2215"/>
      <c r="I44" s="2215"/>
      <c r="J44" s="2475"/>
      <c r="K44" s="2475"/>
      <c r="L44" s="2475"/>
      <c r="M44" s="2475"/>
      <c r="N44" s="2475"/>
      <c r="O44" s="2475"/>
      <c r="P44" s="2475"/>
      <c r="Q44" s="2475"/>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22"/>
      <c r="AM44" s="2223"/>
      <c r="AN44" s="2223"/>
      <c r="AO44" s="2224"/>
      <c r="AP44" s="2222"/>
      <c r="AQ44" s="2223"/>
      <c r="AR44" s="2224"/>
      <c r="AS44" s="2225">
        <f t="shared" si="2"/>
        <v>0</v>
      </c>
      <c r="AT44" s="2226"/>
      <c r="AU44" s="2226"/>
      <c r="AV44" s="2226"/>
      <c r="AW44" s="2226"/>
      <c r="AX44" s="2227"/>
      <c r="AY44" s="2479">
        <f t="shared" si="3"/>
        <v>0</v>
      </c>
      <c r="AZ44" s="2480"/>
      <c r="BA44" s="2480"/>
      <c r="BB44" s="2480"/>
      <c r="BC44" s="2480"/>
      <c r="BD44" s="2481"/>
      <c r="BE44" s="1202"/>
    </row>
    <row r="45" spans="1:58" ht="15.75" customHeight="1">
      <c r="A45" s="1206"/>
      <c r="B45" s="2214" t="s">
        <v>1814</v>
      </c>
      <c r="C45" s="2215"/>
      <c r="D45" s="2215"/>
      <c r="E45" s="2215"/>
      <c r="F45" s="2215"/>
      <c r="G45" s="2215"/>
      <c r="H45" s="2215"/>
      <c r="I45" s="2215"/>
      <c r="J45" s="2475"/>
      <c r="K45" s="2475"/>
      <c r="L45" s="2475"/>
      <c r="M45" s="2475"/>
      <c r="N45" s="2475"/>
      <c r="O45" s="2475"/>
      <c r="P45" s="2475"/>
      <c r="Q45" s="2475"/>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22"/>
      <c r="AM45" s="2223"/>
      <c r="AN45" s="2223"/>
      <c r="AO45" s="2224"/>
      <c r="AP45" s="2222"/>
      <c r="AQ45" s="2223"/>
      <c r="AR45" s="2224"/>
      <c r="AS45" s="2225">
        <f t="shared" si="2"/>
        <v>0</v>
      </c>
      <c r="AT45" s="2226"/>
      <c r="AU45" s="2226"/>
      <c r="AV45" s="2226"/>
      <c r="AW45" s="2226"/>
      <c r="AX45" s="2227"/>
      <c r="AY45" s="2479">
        <f t="shared" si="3"/>
        <v>0</v>
      </c>
      <c r="AZ45" s="2480"/>
      <c r="BA45" s="2480"/>
      <c r="BB45" s="2480"/>
      <c r="BC45" s="2480"/>
      <c r="BD45" s="2481"/>
      <c r="BE45" s="1202"/>
    </row>
    <row r="46" spans="1:58" ht="15.75" customHeight="1">
      <c r="A46" s="1206"/>
      <c r="B46" s="2214" t="s">
        <v>1815</v>
      </c>
      <c r="C46" s="2215"/>
      <c r="D46" s="2215"/>
      <c r="E46" s="2215"/>
      <c r="F46" s="2215"/>
      <c r="G46" s="2215"/>
      <c r="H46" s="2215"/>
      <c r="I46" s="2215"/>
      <c r="J46" s="2475"/>
      <c r="K46" s="2475"/>
      <c r="L46" s="2475"/>
      <c r="M46" s="2475"/>
      <c r="N46" s="2475">
        <v>99</v>
      </c>
      <c r="O46" s="2475"/>
      <c r="P46" s="2475"/>
      <c r="Q46" s="2475"/>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22"/>
      <c r="AM46" s="2223"/>
      <c r="AN46" s="2223"/>
      <c r="AO46" s="2224"/>
      <c r="AP46" s="2222"/>
      <c r="AQ46" s="2223"/>
      <c r="AR46" s="2224"/>
      <c r="AS46" s="2225">
        <f t="shared" si="2"/>
        <v>0</v>
      </c>
      <c r="AT46" s="2226"/>
      <c r="AU46" s="2226"/>
      <c r="AV46" s="2226"/>
      <c r="AW46" s="2226"/>
      <c r="AX46" s="2227"/>
      <c r="AY46" s="2479">
        <f t="shared" si="3"/>
        <v>0</v>
      </c>
      <c r="AZ46" s="2480"/>
      <c r="BA46" s="2480"/>
      <c r="BB46" s="2480"/>
      <c r="BC46" s="2480"/>
      <c r="BD46" s="2481"/>
      <c r="BE46" s="1202"/>
    </row>
    <row r="47" spans="1:58" ht="15.75" customHeight="1" thickBot="1">
      <c r="A47" s="1206"/>
      <c r="B47" s="2472" t="s">
        <v>301</v>
      </c>
      <c r="C47" s="2473"/>
      <c r="D47" s="2473"/>
      <c r="E47" s="2473"/>
      <c r="F47" s="2473"/>
      <c r="G47" s="2473"/>
      <c r="H47" s="2473"/>
      <c r="I47" s="2473"/>
      <c r="J47" s="2474"/>
      <c r="K47" s="2474"/>
      <c r="L47" s="2474"/>
      <c r="M47" s="2474"/>
      <c r="N47" s="2474"/>
      <c r="O47" s="2474"/>
      <c r="P47" s="2474"/>
      <c r="Q47" s="2474"/>
      <c r="R47" s="2468"/>
      <c r="S47" s="2468"/>
      <c r="T47" s="2468"/>
      <c r="U47" s="2468"/>
      <c r="V47" s="2468"/>
      <c r="W47" s="2468"/>
      <c r="X47" s="2468"/>
      <c r="Y47" s="2468"/>
      <c r="Z47" s="2468"/>
      <c r="AA47" s="2468"/>
      <c r="AB47" s="2468"/>
      <c r="AC47" s="2468"/>
      <c r="AD47" s="2468"/>
      <c r="AE47" s="2468"/>
      <c r="AF47" s="2468"/>
      <c r="AG47" s="2468"/>
      <c r="AH47" s="2468"/>
      <c r="AI47" s="2468"/>
      <c r="AJ47" s="2468"/>
      <c r="AK47" s="2468"/>
      <c r="AL47" s="2469"/>
      <c r="AM47" s="2470"/>
      <c r="AN47" s="2470"/>
      <c r="AO47" s="2471"/>
      <c r="AP47" s="2469"/>
      <c r="AQ47" s="2470"/>
      <c r="AR47" s="2471"/>
      <c r="AS47" s="2225">
        <f t="shared" si="2"/>
        <v>0</v>
      </c>
      <c r="AT47" s="2226"/>
      <c r="AU47" s="2226"/>
      <c r="AV47" s="2226"/>
      <c r="AW47" s="2226"/>
      <c r="AX47" s="2227"/>
      <c r="AY47" s="2476">
        <f t="shared" si="3"/>
        <v>0</v>
      </c>
      <c r="AZ47" s="2477"/>
      <c r="BA47" s="2477"/>
      <c r="BB47" s="2477"/>
      <c r="BC47" s="2477"/>
      <c r="BD47" s="2478"/>
      <c r="BE47" s="1202"/>
    </row>
    <row r="48" spans="1:58" ht="15.75" customHeight="1">
      <c r="A48" s="1206"/>
      <c r="B48" s="1254" t="s">
        <v>2476</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2184</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6" t="s">
        <v>1816</v>
      </c>
      <c r="C50" s="2212"/>
      <c r="D50" s="2212"/>
      <c r="E50" s="2212"/>
      <c r="F50" s="2212"/>
      <c r="G50" s="2212"/>
      <c r="H50" s="2212"/>
      <c r="I50" s="2212"/>
      <c r="J50" s="2212"/>
      <c r="K50" s="2212"/>
      <c r="L50" s="2212"/>
      <c r="M50" s="2212"/>
      <c r="N50" s="2212"/>
      <c r="O50" s="2212"/>
      <c r="P50" s="2212"/>
      <c r="Q50" s="2212"/>
      <c r="R50" s="2212"/>
      <c r="S50" s="2212"/>
      <c r="T50" s="2212"/>
      <c r="U50" s="2212"/>
      <c r="V50" s="2212"/>
      <c r="W50" s="2212"/>
      <c r="X50" s="2212"/>
      <c r="Y50" s="2212"/>
      <c r="Z50" s="2212"/>
      <c r="AA50" s="2212"/>
      <c r="AB50" s="2212"/>
      <c r="AC50" s="2212"/>
      <c r="AD50" s="2212"/>
      <c r="AE50" s="2212"/>
      <c r="AF50" s="2212"/>
      <c r="AG50" s="2212"/>
      <c r="AH50" s="2212"/>
      <c r="AI50" s="2212"/>
      <c r="AJ50" s="2212"/>
      <c r="AK50" s="2212"/>
      <c r="AL50" s="2212"/>
      <c r="AM50" s="2212"/>
      <c r="AN50" s="2212"/>
      <c r="AO50" s="221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4" t="s">
        <v>1817</v>
      </c>
      <c r="C51" s="2175"/>
      <c r="D51" s="2175"/>
      <c r="E51" s="2175"/>
      <c r="F51" s="2175"/>
      <c r="G51" s="2175"/>
      <c r="H51" s="2175"/>
      <c r="I51" s="2175"/>
      <c r="J51" s="2175" t="s">
        <v>2477</v>
      </c>
      <c r="K51" s="2175"/>
      <c r="L51" s="2175"/>
      <c r="M51" s="2175"/>
      <c r="N51" s="2175"/>
      <c r="O51" s="2175"/>
      <c r="P51" s="2175"/>
      <c r="Q51" s="2175"/>
      <c r="R51" s="2466" t="s">
        <v>2478</v>
      </c>
      <c r="S51" s="2466"/>
      <c r="T51" s="2466"/>
      <c r="U51" s="2466"/>
      <c r="V51" s="2466"/>
      <c r="W51" s="2466"/>
      <c r="X51" s="2466"/>
      <c r="Y51" s="2466"/>
      <c r="Z51" s="2466" t="s">
        <v>1818</v>
      </c>
      <c r="AA51" s="2466"/>
      <c r="AB51" s="2466"/>
      <c r="AC51" s="2466"/>
      <c r="AD51" s="2466"/>
      <c r="AE51" s="2466"/>
      <c r="AF51" s="2466"/>
      <c r="AG51" s="2466"/>
      <c r="AH51" s="2466" t="s">
        <v>1819</v>
      </c>
      <c r="AI51" s="2466"/>
      <c r="AJ51" s="2466"/>
      <c r="AK51" s="2466"/>
      <c r="AL51" s="2466"/>
      <c r="AM51" s="2466"/>
      <c r="AN51" s="2466"/>
      <c r="AO51" s="2467"/>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4" t="s">
        <v>2185</v>
      </c>
      <c r="C52" s="2215"/>
      <c r="D52" s="2215"/>
      <c r="E52" s="2215"/>
      <c r="F52" s="2215"/>
      <c r="G52" s="2215"/>
      <c r="H52" s="2215"/>
      <c r="I52" s="2215"/>
      <c r="J52" s="2348">
        <v>0</v>
      </c>
      <c r="K52" s="2348"/>
      <c r="L52" s="2348"/>
      <c r="M52" s="2348"/>
      <c r="N52" s="2348"/>
      <c r="O52" s="2348"/>
      <c r="P52" s="2348"/>
      <c r="Q52" s="2348"/>
      <c r="R52" s="2454">
        <v>0</v>
      </c>
      <c r="S52" s="2454"/>
      <c r="T52" s="2454"/>
      <c r="U52" s="2454"/>
      <c r="V52" s="2454"/>
      <c r="W52" s="2454"/>
      <c r="X52" s="2454"/>
      <c r="Y52" s="2454"/>
      <c r="Z52" s="2455">
        <v>0</v>
      </c>
      <c r="AA52" s="2455"/>
      <c r="AB52" s="2455"/>
      <c r="AC52" s="2455"/>
      <c r="AD52" s="2455"/>
      <c r="AE52" s="2455"/>
      <c r="AF52" s="2455"/>
      <c r="AG52" s="2455"/>
      <c r="AH52" s="2456"/>
      <c r="AI52" s="2456"/>
      <c r="AJ52" s="2456"/>
      <c r="AK52" s="2456"/>
      <c r="AL52" s="2456"/>
      <c r="AM52" s="2456"/>
      <c r="AN52" s="2456"/>
      <c r="AO52" s="245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4" t="s">
        <v>2186</v>
      </c>
      <c r="C53" s="2215"/>
      <c r="D53" s="2215"/>
      <c r="E53" s="2215"/>
      <c r="F53" s="2215"/>
      <c r="G53" s="2215"/>
      <c r="H53" s="2215"/>
      <c r="I53" s="2215"/>
      <c r="J53" s="2348">
        <v>0</v>
      </c>
      <c r="K53" s="2348"/>
      <c r="L53" s="2348"/>
      <c r="M53" s="2348"/>
      <c r="N53" s="2348"/>
      <c r="O53" s="2348"/>
      <c r="P53" s="2348"/>
      <c r="Q53" s="2348"/>
      <c r="R53" s="2454">
        <v>0</v>
      </c>
      <c r="S53" s="2454"/>
      <c r="T53" s="2454"/>
      <c r="U53" s="2454"/>
      <c r="V53" s="2454"/>
      <c r="W53" s="2454"/>
      <c r="X53" s="2454"/>
      <c r="Y53" s="2454"/>
      <c r="Z53" s="2455">
        <v>0</v>
      </c>
      <c r="AA53" s="2455"/>
      <c r="AB53" s="2455"/>
      <c r="AC53" s="2455"/>
      <c r="AD53" s="2455"/>
      <c r="AE53" s="2455"/>
      <c r="AF53" s="2455"/>
      <c r="AG53" s="2455"/>
      <c r="AH53" s="2456"/>
      <c r="AI53" s="2456"/>
      <c r="AJ53" s="2456"/>
      <c r="AK53" s="2456"/>
      <c r="AL53" s="2456"/>
      <c r="AM53" s="2456"/>
      <c r="AN53" s="2456"/>
      <c r="AO53" s="245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4"/>
      <c r="C54" s="2215"/>
      <c r="D54" s="2215"/>
      <c r="E54" s="2215"/>
      <c r="F54" s="2215"/>
      <c r="G54" s="2215"/>
      <c r="H54" s="2215"/>
      <c r="I54" s="2215"/>
      <c r="J54" s="2348"/>
      <c r="K54" s="2348"/>
      <c r="L54" s="2348"/>
      <c r="M54" s="2348"/>
      <c r="N54" s="2348"/>
      <c r="O54" s="2348"/>
      <c r="P54" s="2348"/>
      <c r="Q54" s="2348"/>
      <c r="R54" s="2454"/>
      <c r="S54" s="2454"/>
      <c r="T54" s="2454"/>
      <c r="U54" s="2454"/>
      <c r="V54" s="2454"/>
      <c r="W54" s="2454"/>
      <c r="X54" s="2454"/>
      <c r="Y54" s="2454"/>
      <c r="Z54" s="2455"/>
      <c r="AA54" s="2455"/>
      <c r="AB54" s="2455"/>
      <c r="AC54" s="2455"/>
      <c r="AD54" s="2455"/>
      <c r="AE54" s="2455"/>
      <c r="AF54" s="2455"/>
      <c r="AG54" s="2455"/>
      <c r="AH54" s="2456"/>
      <c r="AI54" s="2456"/>
      <c r="AJ54" s="2456"/>
      <c r="AK54" s="2456"/>
      <c r="AL54" s="2456"/>
      <c r="AM54" s="2456"/>
      <c r="AN54" s="2456"/>
      <c r="AO54" s="245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4"/>
      <c r="C55" s="2215"/>
      <c r="D55" s="2215"/>
      <c r="E55" s="2215"/>
      <c r="F55" s="2215"/>
      <c r="G55" s="2215"/>
      <c r="H55" s="2215"/>
      <c r="I55" s="2215"/>
      <c r="J55" s="2348"/>
      <c r="K55" s="2348"/>
      <c r="L55" s="2348"/>
      <c r="M55" s="2348"/>
      <c r="N55" s="2348"/>
      <c r="O55" s="2348"/>
      <c r="P55" s="2348"/>
      <c r="Q55" s="2348"/>
      <c r="R55" s="2454"/>
      <c r="S55" s="2454"/>
      <c r="T55" s="2454"/>
      <c r="U55" s="2454"/>
      <c r="V55" s="2454"/>
      <c r="W55" s="2454"/>
      <c r="X55" s="2454"/>
      <c r="Y55" s="2454"/>
      <c r="Z55" s="2455"/>
      <c r="AA55" s="2455"/>
      <c r="AB55" s="2455"/>
      <c r="AC55" s="2455"/>
      <c r="AD55" s="2455"/>
      <c r="AE55" s="2455"/>
      <c r="AF55" s="2455"/>
      <c r="AG55" s="2455"/>
      <c r="AH55" s="2456"/>
      <c r="AI55" s="2456"/>
      <c r="AJ55" s="2456"/>
      <c r="AK55" s="2456"/>
      <c r="AL55" s="2456"/>
      <c r="AM55" s="2456"/>
      <c r="AN55" s="2456"/>
      <c r="AO55" s="2457"/>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4"/>
      <c r="C56" s="2215"/>
      <c r="D56" s="2215"/>
      <c r="E56" s="2215"/>
      <c r="F56" s="2215"/>
      <c r="G56" s="2215"/>
      <c r="H56" s="2215"/>
      <c r="I56" s="2215"/>
      <c r="J56" s="2348"/>
      <c r="K56" s="2348"/>
      <c r="L56" s="2348"/>
      <c r="M56" s="2348"/>
      <c r="N56" s="2348"/>
      <c r="O56" s="2348"/>
      <c r="P56" s="2348"/>
      <c r="Q56" s="2348"/>
      <c r="R56" s="2454"/>
      <c r="S56" s="2454"/>
      <c r="T56" s="2454"/>
      <c r="U56" s="2454"/>
      <c r="V56" s="2454"/>
      <c r="W56" s="2454"/>
      <c r="X56" s="2454"/>
      <c r="Y56" s="2454"/>
      <c r="Z56" s="2455"/>
      <c r="AA56" s="2455"/>
      <c r="AB56" s="2455"/>
      <c r="AC56" s="2455"/>
      <c r="AD56" s="2455"/>
      <c r="AE56" s="2455"/>
      <c r="AF56" s="2455"/>
      <c r="AG56" s="2455"/>
      <c r="AH56" s="2456"/>
      <c r="AI56" s="2456"/>
      <c r="AJ56" s="2456"/>
      <c r="AK56" s="2456"/>
      <c r="AL56" s="2456"/>
      <c r="AM56" s="2456"/>
      <c r="AN56" s="2456"/>
      <c r="AO56" s="245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8" t="s">
        <v>1698</v>
      </c>
      <c r="C57" s="2169"/>
      <c r="D57" s="2169"/>
      <c r="E57" s="2169"/>
      <c r="F57" s="2169"/>
      <c r="G57" s="2169"/>
      <c r="H57" s="2169"/>
      <c r="I57" s="2169"/>
      <c r="J57" s="2169"/>
      <c r="K57" s="2169"/>
      <c r="L57" s="2169"/>
      <c r="M57" s="2169"/>
      <c r="N57" s="2169"/>
      <c r="O57" s="2169"/>
      <c r="P57" s="2169"/>
      <c r="Q57" s="2169"/>
      <c r="R57" s="2458">
        <f>SUM(R52:Y56)</f>
        <v>0</v>
      </c>
      <c r="S57" s="2458"/>
      <c r="T57" s="2458"/>
      <c r="U57" s="2458"/>
      <c r="V57" s="2458"/>
      <c r="W57" s="2458"/>
      <c r="X57" s="2458"/>
      <c r="Y57" s="2458"/>
      <c r="Z57" s="2459">
        <f>SUM(Z52:AG56)</f>
        <v>0</v>
      </c>
      <c r="AA57" s="2459"/>
      <c r="AB57" s="2459"/>
      <c r="AC57" s="2459"/>
      <c r="AD57" s="2459"/>
      <c r="AE57" s="2459"/>
      <c r="AF57" s="2459"/>
      <c r="AG57" s="2459"/>
      <c r="AH57" s="2460"/>
      <c r="AI57" s="2460"/>
      <c r="AJ57" s="2460"/>
      <c r="AK57" s="2460"/>
      <c r="AL57" s="2460"/>
      <c r="AM57" s="2460"/>
      <c r="AN57" s="2460"/>
      <c r="AO57" s="246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2" t="s">
        <v>1817</v>
      </c>
      <c r="C59" s="2463"/>
      <c r="D59" s="2463"/>
      <c r="E59" s="2463"/>
      <c r="F59" s="2463"/>
      <c r="G59" s="2463"/>
      <c r="H59" s="2463"/>
      <c r="I59" s="2464"/>
      <c r="J59" s="2428" t="s">
        <v>2479</v>
      </c>
      <c r="K59" s="2428"/>
      <c r="L59" s="2428"/>
      <c r="M59" s="2428"/>
      <c r="N59" s="2428"/>
      <c r="O59" s="2428"/>
      <c r="P59" s="2428"/>
      <c r="Q59" s="2428"/>
      <c r="R59" s="2428"/>
      <c r="S59" s="2428"/>
      <c r="T59" s="2428"/>
      <c r="U59" s="2428"/>
      <c r="V59" s="2428"/>
      <c r="W59" s="2428"/>
      <c r="X59" s="2428"/>
      <c r="Y59" s="2428"/>
      <c r="Z59" s="2428"/>
      <c r="AA59" s="2428"/>
      <c r="AB59" s="2428"/>
      <c r="AC59" s="2428"/>
      <c r="AD59" s="2428"/>
      <c r="AE59" s="2428"/>
      <c r="AF59" s="2428"/>
      <c r="AG59" s="2428"/>
      <c r="AH59" s="2428"/>
      <c r="AI59" s="2428"/>
      <c r="AJ59" s="2428"/>
      <c r="AK59" s="2428"/>
      <c r="AL59" s="2428"/>
      <c r="AM59" s="2428"/>
      <c r="AN59" s="2428"/>
      <c r="AO59" s="2428"/>
      <c r="AP59" s="2428"/>
      <c r="AQ59" s="2428"/>
      <c r="AR59" s="2428"/>
      <c r="AS59" s="2428"/>
      <c r="AT59" s="2428"/>
      <c r="AU59" s="2428"/>
      <c r="AV59" s="2428"/>
      <c r="AW59" s="2429"/>
      <c r="AX59" s="1206"/>
      <c r="AY59" s="1206"/>
      <c r="AZ59" s="1206"/>
      <c r="BA59" s="1206"/>
      <c r="BB59" s="1206"/>
      <c r="BC59" s="1206"/>
      <c r="BD59" s="1206"/>
      <c r="BE59" s="1202"/>
    </row>
    <row r="60" spans="1:58" ht="15.75" customHeight="1">
      <c r="A60" s="1206"/>
      <c r="B60" s="2447" t="str">
        <f>IF(B52="", "", B52)</f>
        <v>Services Company 1</v>
      </c>
      <c r="C60" s="2448"/>
      <c r="D60" s="2448"/>
      <c r="E60" s="2448"/>
      <c r="F60" s="2448"/>
      <c r="G60" s="2448"/>
      <c r="H60" s="2448"/>
      <c r="I60" s="2449"/>
      <c r="J60" s="2450"/>
      <c r="K60" s="2351"/>
      <c r="L60" s="2351"/>
      <c r="M60" s="2351"/>
      <c r="N60" s="2351"/>
      <c r="O60" s="2351"/>
      <c r="P60" s="2351"/>
      <c r="Q60" s="2351"/>
      <c r="R60" s="2351"/>
      <c r="S60" s="2351"/>
      <c r="T60" s="2351"/>
      <c r="U60" s="2351"/>
      <c r="V60" s="2351"/>
      <c r="W60" s="2351"/>
      <c r="X60" s="2351"/>
      <c r="Y60" s="2351"/>
      <c r="Z60" s="2351"/>
      <c r="AA60" s="2351"/>
      <c r="AB60" s="2351"/>
      <c r="AC60" s="2351"/>
      <c r="AD60" s="2351"/>
      <c r="AE60" s="2351"/>
      <c r="AF60" s="2351"/>
      <c r="AG60" s="2351"/>
      <c r="AH60" s="2351"/>
      <c r="AI60" s="2351"/>
      <c r="AJ60" s="2351"/>
      <c r="AK60" s="2351"/>
      <c r="AL60" s="2351"/>
      <c r="AM60" s="2351"/>
      <c r="AN60" s="2351"/>
      <c r="AO60" s="2351"/>
      <c r="AP60" s="2351"/>
      <c r="AQ60" s="2351"/>
      <c r="AR60" s="2351"/>
      <c r="AS60" s="2351"/>
      <c r="AT60" s="2351"/>
      <c r="AU60" s="2351"/>
      <c r="AV60" s="2351"/>
      <c r="AW60" s="2352"/>
      <c r="AX60" s="1206"/>
      <c r="AY60" s="1206"/>
      <c r="AZ60" s="1206"/>
      <c r="BA60" s="1206"/>
      <c r="BB60" s="1206"/>
      <c r="BC60" s="1206"/>
      <c r="BD60" s="1206"/>
      <c r="BE60" s="1202"/>
    </row>
    <row r="61" spans="1:58" ht="15.75" customHeight="1">
      <c r="A61" s="1206"/>
      <c r="B61" s="2447" t="str">
        <f>IF(B53="", "", B53)</f>
        <v>Services Company 2</v>
      </c>
      <c r="C61" s="2448"/>
      <c r="D61" s="2448"/>
      <c r="E61" s="2448"/>
      <c r="F61" s="2448"/>
      <c r="G61" s="2448"/>
      <c r="H61" s="2448"/>
      <c r="I61" s="2449"/>
      <c r="J61" s="2450"/>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2"/>
      <c r="AX61" s="1206"/>
      <c r="AY61" s="1206"/>
      <c r="AZ61" s="1206"/>
      <c r="BA61" s="1206"/>
      <c r="BB61" s="1206"/>
      <c r="BC61" s="1206"/>
      <c r="BD61" s="1206"/>
      <c r="BE61" s="1202"/>
    </row>
    <row r="62" spans="1:58" ht="15.75" customHeight="1">
      <c r="A62" s="1206"/>
      <c r="B62" s="2447" t="str">
        <f>IF(B54="", "", B54)</f>
        <v/>
      </c>
      <c r="C62" s="2448"/>
      <c r="D62" s="2448"/>
      <c r="E62" s="2448"/>
      <c r="F62" s="2448"/>
      <c r="G62" s="2448"/>
      <c r="H62" s="2448"/>
      <c r="I62" s="2449"/>
      <c r="J62" s="2450"/>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c r="AH62" s="2351"/>
      <c r="AI62" s="2351"/>
      <c r="AJ62" s="2351"/>
      <c r="AK62" s="2351"/>
      <c r="AL62" s="2351"/>
      <c r="AM62" s="2351"/>
      <c r="AN62" s="2351"/>
      <c r="AO62" s="2351"/>
      <c r="AP62" s="2351"/>
      <c r="AQ62" s="2351"/>
      <c r="AR62" s="2351"/>
      <c r="AS62" s="2351"/>
      <c r="AT62" s="2351"/>
      <c r="AU62" s="2351"/>
      <c r="AV62" s="2351"/>
      <c r="AW62" s="2352"/>
      <c r="AX62" s="1206"/>
      <c r="AY62" s="1206"/>
      <c r="AZ62" s="1206"/>
      <c r="BA62" s="1206"/>
      <c r="BB62" s="1206"/>
      <c r="BC62" s="1206"/>
      <c r="BD62" s="1206"/>
      <c r="BE62" s="1202"/>
    </row>
    <row r="63" spans="1:58" ht="15.75" customHeight="1">
      <c r="A63" s="1206"/>
      <c r="B63" s="2447" t="str">
        <f>IF(B55="", "", B55)</f>
        <v/>
      </c>
      <c r="C63" s="2448"/>
      <c r="D63" s="2448"/>
      <c r="E63" s="2448"/>
      <c r="F63" s="2448"/>
      <c r="G63" s="2448"/>
      <c r="H63" s="2448"/>
      <c r="I63" s="2449"/>
      <c r="J63" s="2450"/>
      <c r="K63" s="2351"/>
      <c r="L63" s="2351"/>
      <c r="M63" s="2351"/>
      <c r="N63" s="2351"/>
      <c r="O63" s="2351"/>
      <c r="P63" s="2351"/>
      <c r="Q63" s="2351"/>
      <c r="R63" s="2351"/>
      <c r="S63" s="2351"/>
      <c r="T63" s="2351"/>
      <c r="U63" s="2351"/>
      <c r="V63" s="2351"/>
      <c r="W63" s="2351"/>
      <c r="X63" s="2351"/>
      <c r="Y63" s="2351"/>
      <c r="Z63" s="2351"/>
      <c r="AA63" s="2351"/>
      <c r="AB63" s="2351"/>
      <c r="AC63" s="2351"/>
      <c r="AD63" s="2351"/>
      <c r="AE63" s="2351"/>
      <c r="AF63" s="2351"/>
      <c r="AG63" s="2351"/>
      <c r="AH63" s="2351"/>
      <c r="AI63" s="2351"/>
      <c r="AJ63" s="2351"/>
      <c r="AK63" s="2351"/>
      <c r="AL63" s="2351"/>
      <c r="AM63" s="2351"/>
      <c r="AN63" s="2351"/>
      <c r="AO63" s="2351"/>
      <c r="AP63" s="2351"/>
      <c r="AQ63" s="2351"/>
      <c r="AR63" s="2351"/>
      <c r="AS63" s="2351"/>
      <c r="AT63" s="2351"/>
      <c r="AU63" s="2351"/>
      <c r="AV63" s="2351"/>
      <c r="AW63" s="2352"/>
      <c r="AX63" s="1206"/>
      <c r="AY63" s="1206"/>
      <c r="AZ63" s="1206"/>
      <c r="BA63" s="1206"/>
      <c r="BB63" s="1206"/>
      <c r="BC63" s="1206"/>
      <c r="BD63" s="1206"/>
      <c r="BE63" s="1202"/>
    </row>
    <row r="64" spans="1:58" ht="15.75" customHeight="1" thickBot="1">
      <c r="A64" s="1206"/>
      <c r="B64" s="2451" t="str">
        <f>IF(B56="", "", B56)</f>
        <v/>
      </c>
      <c r="C64" s="2452"/>
      <c r="D64" s="2452"/>
      <c r="E64" s="2452"/>
      <c r="F64" s="2452"/>
      <c r="G64" s="2452"/>
      <c r="H64" s="2452"/>
      <c r="I64" s="2453"/>
      <c r="J64" s="2465"/>
      <c r="K64" s="2445"/>
      <c r="L64" s="2445"/>
      <c r="M64" s="2445"/>
      <c r="N64" s="2445"/>
      <c r="O64" s="2445"/>
      <c r="P64" s="2445"/>
      <c r="Q64" s="2445"/>
      <c r="R64" s="2445"/>
      <c r="S64" s="2445"/>
      <c r="T64" s="2445"/>
      <c r="U64" s="2445"/>
      <c r="V64" s="2445"/>
      <c r="W64" s="2445"/>
      <c r="X64" s="2445"/>
      <c r="Y64" s="2445"/>
      <c r="Z64" s="2445"/>
      <c r="AA64" s="2445"/>
      <c r="AB64" s="2445"/>
      <c r="AC64" s="2445"/>
      <c r="AD64" s="2445"/>
      <c r="AE64" s="2445"/>
      <c r="AF64" s="2445"/>
      <c r="AG64" s="2445"/>
      <c r="AH64" s="2445"/>
      <c r="AI64" s="2445"/>
      <c r="AJ64" s="2445"/>
      <c r="AK64" s="2445"/>
      <c r="AL64" s="2445"/>
      <c r="AM64" s="2445"/>
      <c r="AN64" s="2445"/>
      <c r="AO64" s="2445"/>
      <c r="AP64" s="2445"/>
      <c r="AQ64" s="2445"/>
      <c r="AR64" s="2445"/>
      <c r="AS64" s="2445"/>
      <c r="AT64" s="2445"/>
      <c r="AU64" s="2445"/>
      <c r="AV64" s="2445"/>
      <c r="AW64" s="244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1820</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7" t="s">
        <v>1821</v>
      </c>
      <c r="C68" s="2428"/>
      <c r="D68" s="2428"/>
      <c r="E68" s="2428"/>
      <c r="F68" s="2428"/>
      <c r="G68" s="2428"/>
      <c r="H68" s="2428"/>
      <c r="I68" s="2428"/>
      <c r="J68" s="2428"/>
      <c r="K68" s="2428"/>
      <c r="L68" s="2428"/>
      <c r="M68" s="2428"/>
      <c r="N68" s="2428"/>
      <c r="O68" s="2428"/>
      <c r="P68" s="2428"/>
      <c r="Q68" s="2428"/>
      <c r="R68" s="2428"/>
      <c r="S68" s="2428"/>
      <c r="T68" s="2428"/>
      <c r="U68" s="2428"/>
      <c r="V68" s="2428"/>
      <c r="W68" s="2428"/>
      <c r="X68" s="2428"/>
      <c r="Y68" s="2428"/>
      <c r="Z68" s="2428"/>
      <c r="AA68" s="2429"/>
      <c r="AB68" s="1206"/>
      <c r="AC68" s="2179" t="s">
        <v>1822</v>
      </c>
      <c r="AD68" s="2180"/>
      <c r="AE68" s="2180"/>
      <c r="AF68" s="2180"/>
      <c r="AG68" s="2180"/>
      <c r="AH68" s="2180"/>
      <c r="AI68" s="2180"/>
      <c r="AJ68" s="2180"/>
      <c r="AK68" s="2180"/>
      <c r="AL68" s="2180"/>
      <c r="AM68" s="2180"/>
      <c r="AN68" s="2180"/>
      <c r="AO68" s="2180"/>
      <c r="AP68" s="2180"/>
      <c r="AQ68" s="2180"/>
      <c r="AR68" s="2180"/>
      <c r="AS68" s="2180"/>
      <c r="AT68" s="2180"/>
      <c r="AU68" s="2180"/>
      <c r="AV68" s="2230" t="s">
        <v>678</v>
      </c>
      <c r="AW68" s="2231"/>
      <c r="AX68" s="2231"/>
      <c r="AY68" s="2231"/>
      <c r="AZ68" s="2231"/>
      <c r="BA68" s="2231"/>
      <c r="BB68" s="2231"/>
      <c r="BC68" s="2232"/>
      <c r="BD68" s="1206"/>
      <c r="BE68" s="1202"/>
      <c r="BM68" s="1251" t="s">
        <v>2480</v>
      </c>
    </row>
    <row r="69" spans="1:65" ht="15.75" customHeight="1" thickTop="1" thickBot="1">
      <c r="A69" s="1206"/>
      <c r="B69" s="2233" t="s">
        <v>1823</v>
      </c>
      <c r="C69" s="2234"/>
      <c r="D69" s="2234"/>
      <c r="E69" s="2234"/>
      <c r="F69" s="2234"/>
      <c r="G69" s="2234"/>
      <c r="H69" s="2234"/>
      <c r="I69" s="2234"/>
      <c r="J69" s="2234"/>
      <c r="K69" s="2234"/>
      <c r="L69" s="2234"/>
      <c r="M69" s="2234"/>
      <c r="N69" s="2234"/>
      <c r="O69" s="2235" t="s">
        <v>1824</v>
      </c>
      <c r="P69" s="2236"/>
      <c r="Q69" s="2236"/>
      <c r="R69" s="2236"/>
      <c r="S69" s="2236"/>
      <c r="T69" s="2236"/>
      <c r="U69" s="2236"/>
      <c r="V69" s="2236"/>
      <c r="W69" s="2236"/>
      <c r="X69" s="2236"/>
      <c r="Y69" s="2236"/>
      <c r="Z69" s="2236"/>
      <c r="AA69" s="2237"/>
      <c r="AB69" s="1206"/>
      <c r="AC69" s="2238" t="s">
        <v>1825</v>
      </c>
      <c r="AD69" s="2239"/>
      <c r="AE69" s="2239"/>
      <c r="AF69" s="2239"/>
      <c r="AG69" s="2239"/>
      <c r="AH69" s="2239"/>
      <c r="AI69" s="2239"/>
      <c r="AJ69" s="2239"/>
      <c r="AK69" s="2239"/>
      <c r="AL69" s="2239"/>
      <c r="AM69" s="2239"/>
      <c r="AN69" s="2239"/>
      <c r="AO69" s="2239"/>
      <c r="AP69" s="2239"/>
      <c r="AQ69" s="2239"/>
      <c r="AR69" s="2239"/>
      <c r="AS69" s="2239"/>
      <c r="AT69" s="2239"/>
      <c r="AU69" s="2239"/>
      <c r="AV69" s="2240"/>
      <c r="AW69" s="2241"/>
      <c r="AX69" s="2241"/>
      <c r="AY69" s="2241"/>
      <c r="AZ69" s="2241"/>
      <c r="BA69" s="2241"/>
      <c r="BB69" s="2241"/>
      <c r="BC69" s="2242"/>
      <c r="BD69" s="1206"/>
      <c r="BE69" s="1202"/>
      <c r="BM69" s="1250" t="s">
        <v>554</v>
      </c>
    </row>
    <row r="70" spans="1:65" ht="15.75" customHeight="1">
      <c r="A70" s="1206"/>
      <c r="B70" s="2243" t="s">
        <v>2481</v>
      </c>
      <c r="C70" s="2244"/>
      <c r="D70" s="2244"/>
      <c r="E70" s="2244"/>
      <c r="F70" s="2244"/>
      <c r="G70" s="2244"/>
      <c r="H70" s="2244"/>
      <c r="I70" s="2244"/>
      <c r="J70" s="2244"/>
      <c r="K70" s="2244"/>
      <c r="L70" s="2244"/>
      <c r="M70" s="2244"/>
      <c r="N70" s="2244"/>
      <c r="O70" s="2208">
        <v>0</v>
      </c>
      <c r="P70" s="2208"/>
      <c r="Q70" s="2208"/>
      <c r="R70" s="2208"/>
      <c r="S70" s="2208"/>
      <c r="T70" s="2208"/>
      <c r="U70" s="2208"/>
      <c r="V70" s="2208"/>
      <c r="W70" s="2208"/>
      <c r="X70" s="2208"/>
      <c r="Y70" s="2208"/>
      <c r="Z70" s="2208"/>
      <c r="AA70" s="2209"/>
      <c r="AB70" s="1206"/>
      <c r="AC70" s="2416" t="s">
        <v>1826</v>
      </c>
      <c r="AD70" s="2212"/>
      <c r="AE70" s="2212"/>
      <c r="AF70" s="2441"/>
      <c r="AG70" s="2441"/>
      <c r="AH70" s="2441"/>
      <c r="AI70" s="2441"/>
      <c r="AJ70" s="2441"/>
      <c r="AK70" s="2441"/>
      <c r="AL70" s="2441"/>
      <c r="AM70" s="2441"/>
      <c r="AN70" s="2441"/>
      <c r="AO70" s="2441"/>
      <c r="AP70" s="2441"/>
      <c r="AQ70" s="2441"/>
      <c r="AR70" s="2441"/>
      <c r="AS70" s="2441"/>
      <c r="AT70" s="2441"/>
      <c r="AU70" s="2442"/>
      <c r="AV70" s="1206"/>
      <c r="AW70" s="1206"/>
      <c r="AX70" s="1206"/>
      <c r="AY70" s="1206"/>
      <c r="AZ70" s="1206"/>
      <c r="BA70" s="1206"/>
      <c r="BB70" s="1206"/>
      <c r="BC70" s="1206"/>
      <c r="BD70" s="1206"/>
      <c r="BE70" s="1202"/>
      <c r="BM70" s="1249" t="s">
        <v>678</v>
      </c>
    </row>
    <row r="71" spans="1:65" ht="15.75" customHeight="1" thickBot="1">
      <c r="A71" s="1206"/>
      <c r="B71" s="2243" t="s">
        <v>2482</v>
      </c>
      <c r="C71" s="2244"/>
      <c r="D71" s="2244"/>
      <c r="E71" s="2244"/>
      <c r="F71" s="2244"/>
      <c r="G71" s="2244"/>
      <c r="H71" s="2244"/>
      <c r="I71" s="2244"/>
      <c r="J71" s="2244"/>
      <c r="K71" s="2244"/>
      <c r="L71" s="2244"/>
      <c r="M71" s="2244"/>
      <c r="N71" s="2244"/>
      <c r="O71" s="2208">
        <v>0</v>
      </c>
      <c r="P71" s="2208"/>
      <c r="Q71" s="2208"/>
      <c r="R71" s="2208"/>
      <c r="S71" s="2208"/>
      <c r="T71" s="2208"/>
      <c r="U71" s="2208"/>
      <c r="V71" s="2208"/>
      <c r="W71" s="2208"/>
      <c r="X71" s="2208"/>
      <c r="Y71" s="2208"/>
      <c r="Z71" s="2208"/>
      <c r="AA71" s="2209"/>
      <c r="AB71" s="1206"/>
      <c r="AC71" s="2443" t="s">
        <v>1827</v>
      </c>
      <c r="AD71" s="2444"/>
      <c r="AE71" s="2444"/>
      <c r="AF71" s="2445"/>
      <c r="AG71" s="2445"/>
      <c r="AH71" s="2445"/>
      <c r="AI71" s="2445"/>
      <c r="AJ71" s="2445"/>
      <c r="AK71" s="2445"/>
      <c r="AL71" s="2445"/>
      <c r="AM71" s="2445"/>
      <c r="AN71" s="2445"/>
      <c r="AO71" s="2445"/>
      <c r="AP71" s="2445"/>
      <c r="AQ71" s="2445"/>
      <c r="AR71" s="2445"/>
      <c r="AS71" s="2445"/>
      <c r="AT71" s="2445"/>
      <c r="AU71" s="2446"/>
      <c r="AV71" s="1206"/>
      <c r="AW71" s="1206"/>
      <c r="AX71" s="1206"/>
      <c r="AY71" s="1206"/>
      <c r="AZ71" s="1206"/>
      <c r="BA71" s="1206"/>
      <c r="BB71" s="1206"/>
      <c r="BC71" s="1206"/>
      <c r="BD71" s="1206"/>
      <c r="BE71" s="1202"/>
      <c r="BM71" s="1197" t="s">
        <v>2483</v>
      </c>
    </row>
    <row r="72" spans="1:65" ht="15.75" customHeight="1">
      <c r="A72" s="1206"/>
      <c r="B72" s="2243" t="s">
        <v>2484</v>
      </c>
      <c r="C72" s="2244"/>
      <c r="D72" s="2244"/>
      <c r="E72" s="2244"/>
      <c r="F72" s="2244"/>
      <c r="G72" s="2244"/>
      <c r="H72" s="2244"/>
      <c r="I72" s="2244"/>
      <c r="J72" s="2244"/>
      <c r="K72" s="2244"/>
      <c r="L72" s="2244"/>
      <c r="M72" s="2244"/>
      <c r="N72" s="2244"/>
      <c r="O72" s="2208">
        <v>0</v>
      </c>
      <c r="P72" s="2208"/>
      <c r="Q72" s="2208"/>
      <c r="R72" s="2208"/>
      <c r="S72" s="2208"/>
      <c r="T72" s="2208"/>
      <c r="U72" s="2208"/>
      <c r="V72" s="2208"/>
      <c r="W72" s="2208"/>
      <c r="X72" s="2208"/>
      <c r="Y72" s="2208"/>
      <c r="Z72" s="2208"/>
      <c r="AA72" s="2209"/>
      <c r="AB72" s="1206"/>
      <c r="AC72" s="2210" t="s">
        <v>2485</v>
      </c>
      <c r="AD72" s="2211"/>
      <c r="AE72" s="2211"/>
      <c r="AF72" s="2211"/>
      <c r="AG72" s="2211"/>
      <c r="AH72" s="2211"/>
      <c r="AI72" s="2211"/>
      <c r="AJ72" s="2211"/>
      <c r="AK72" s="2211"/>
      <c r="AL72" s="2211"/>
      <c r="AM72" s="2211"/>
      <c r="AN72" s="2211"/>
      <c r="AO72" s="2211"/>
      <c r="AP72" s="2211"/>
      <c r="AQ72" s="2211"/>
      <c r="AR72" s="2211"/>
      <c r="AS72" s="2211"/>
      <c r="AT72" s="2211"/>
      <c r="AU72" s="2211"/>
      <c r="AV72" s="2212"/>
      <c r="AW72" s="2212"/>
      <c r="AX72" s="2212"/>
      <c r="AY72" s="2212"/>
      <c r="AZ72" s="2212"/>
      <c r="BA72" s="2212"/>
      <c r="BB72" s="2212"/>
      <c r="BC72" s="2213"/>
      <c r="BD72" s="1206"/>
      <c r="BE72" s="1202"/>
    </row>
    <row r="73" spans="1:65" ht="15.75" customHeight="1">
      <c r="A73" s="1206"/>
      <c r="B73" s="2214" t="s">
        <v>2486</v>
      </c>
      <c r="C73" s="2215"/>
      <c r="D73" s="2215"/>
      <c r="E73" s="2215"/>
      <c r="F73" s="2215"/>
      <c r="G73" s="2215"/>
      <c r="H73" s="2215"/>
      <c r="I73" s="2215"/>
      <c r="J73" s="2215"/>
      <c r="K73" s="2215"/>
      <c r="L73" s="2215"/>
      <c r="M73" s="2215"/>
      <c r="N73" s="2215"/>
      <c r="O73" s="2208">
        <v>0</v>
      </c>
      <c r="P73" s="2208"/>
      <c r="Q73" s="2208"/>
      <c r="R73" s="2208"/>
      <c r="S73" s="2208"/>
      <c r="T73" s="2208"/>
      <c r="U73" s="2208"/>
      <c r="V73" s="2208"/>
      <c r="W73" s="2208"/>
      <c r="X73" s="2208"/>
      <c r="Y73" s="2208"/>
      <c r="Z73" s="2208"/>
      <c r="AA73" s="2209"/>
      <c r="AB73" s="1206"/>
      <c r="AC73" s="2398" t="s">
        <v>2187</v>
      </c>
      <c r="AD73" s="2399"/>
      <c r="AE73" s="2399"/>
      <c r="AF73" s="2399"/>
      <c r="AG73" s="2399"/>
      <c r="AH73" s="2399"/>
      <c r="AI73" s="2399"/>
      <c r="AJ73" s="2399"/>
      <c r="AK73" s="2399"/>
      <c r="AL73" s="2399"/>
      <c r="AM73" s="2399"/>
      <c r="AN73" s="2399"/>
      <c r="AO73" s="2399"/>
      <c r="AP73" s="2399"/>
      <c r="AQ73" s="2399"/>
      <c r="AR73" s="2399"/>
      <c r="AS73" s="2399"/>
      <c r="AT73" s="2399"/>
      <c r="AU73" s="2399"/>
      <c r="AV73" s="2399"/>
      <c r="AW73" s="2399"/>
      <c r="AX73" s="2399"/>
      <c r="AY73" s="2399"/>
      <c r="AZ73" s="2399"/>
      <c r="BA73" s="2399"/>
      <c r="BB73" s="2399"/>
      <c r="BC73" s="2400"/>
      <c r="BD73" s="1206"/>
      <c r="BE73" s="1202"/>
    </row>
    <row r="74" spans="1:65" ht="15.75" customHeight="1">
      <c r="A74" s="1206"/>
      <c r="B74" s="2347"/>
      <c r="C74" s="2348"/>
      <c r="D74" s="2348"/>
      <c r="E74" s="2348"/>
      <c r="F74" s="2348"/>
      <c r="G74" s="2348"/>
      <c r="H74" s="2348"/>
      <c r="I74" s="2348"/>
      <c r="J74" s="2348"/>
      <c r="K74" s="2348"/>
      <c r="L74" s="2348"/>
      <c r="M74" s="2348"/>
      <c r="N74" s="2348"/>
      <c r="O74" s="2208"/>
      <c r="P74" s="2208"/>
      <c r="Q74" s="2208"/>
      <c r="R74" s="2208"/>
      <c r="S74" s="2208"/>
      <c r="T74" s="2208"/>
      <c r="U74" s="2208"/>
      <c r="V74" s="2208"/>
      <c r="W74" s="2208"/>
      <c r="X74" s="2208"/>
      <c r="Y74" s="2208"/>
      <c r="Z74" s="2208"/>
      <c r="AA74" s="2209"/>
      <c r="AB74" s="1206"/>
      <c r="AC74" s="2398"/>
      <c r="AD74" s="2399"/>
      <c r="AE74" s="2399"/>
      <c r="AF74" s="2399"/>
      <c r="AG74" s="2399"/>
      <c r="AH74" s="2399"/>
      <c r="AI74" s="2399"/>
      <c r="AJ74" s="2399"/>
      <c r="AK74" s="2399"/>
      <c r="AL74" s="2399"/>
      <c r="AM74" s="2399"/>
      <c r="AN74" s="2399"/>
      <c r="AO74" s="2399"/>
      <c r="AP74" s="2399"/>
      <c r="AQ74" s="2399"/>
      <c r="AR74" s="2399"/>
      <c r="AS74" s="2399"/>
      <c r="AT74" s="2399"/>
      <c r="AU74" s="2399"/>
      <c r="AV74" s="2399"/>
      <c r="AW74" s="2399"/>
      <c r="AX74" s="2399"/>
      <c r="AY74" s="2399"/>
      <c r="AZ74" s="2399"/>
      <c r="BA74" s="2399"/>
      <c r="BB74" s="2399"/>
      <c r="BC74" s="2400"/>
      <c r="BD74" s="1206"/>
      <c r="BE74" s="1202"/>
    </row>
    <row r="75" spans="1:65" ht="15.75" customHeight="1" thickBot="1">
      <c r="A75" s="1206"/>
      <c r="B75" s="2439" t="s">
        <v>124</v>
      </c>
      <c r="C75" s="2440"/>
      <c r="D75" s="2440"/>
      <c r="E75" s="2440"/>
      <c r="F75" s="2440"/>
      <c r="G75" s="2440"/>
      <c r="H75" s="2440"/>
      <c r="I75" s="2440"/>
      <c r="J75" s="2440"/>
      <c r="K75" s="2440"/>
      <c r="L75" s="2440"/>
      <c r="M75" s="2440"/>
      <c r="N75" s="2440"/>
      <c r="O75" s="2216">
        <f>SUM(O70:AA74)</f>
        <v>0</v>
      </c>
      <c r="P75" s="2216"/>
      <c r="Q75" s="2216"/>
      <c r="R75" s="2216"/>
      <c r="S75" s="2216"/>
      <c r="T75" s="2216"/>
      <c r="U75" s="2216"/>
      <c r="V75" s="2216"/>
      <c r="W75" s="2216"/>
      <c r="X75" s="2216"/>
      <c r="Y75" s="2216"/>
      <c r="Z75" s="2216"/>
      <c r="AA75" s="2217"/>
      <c r="AB75" s="1206"/>
      <c r="AC75" s="2398"/>
      <c r="AD75" s="2399"/>
      <c r="AE75" s="2399"/>
      <c r="AF75" s="2399"/>
      <c r="AG75" s="2399"/>
      <c r="AH75" s="2399"/>
      <c r="AI75" s="2399"/>
      <c r="AJ75" s="2399"/>
      <c r="AK75" s="2399"/>
      <c r="AL75" s="2399"/>
      <c r="AM75" s="2399"/>
      <c r="AN75" s="2399"/>
      <c r="AO75" s="2399"/>
      <c r="AP75" s="2399"/>
      <c r="AQ75" s="2399"/>
      <c r="AR75" s="2399"/>
      <c r="AS75" s="2399"/>
      <c r="AT75" s="2399"/>
      <c r="AU75" s="2399"/>
      <c r="AV75" s="2399"/>
      <c r="AW75" s="2399"/>
      <c r="AX75" s="2399"/>
      <c r="AY75" s="2399"/>
      <c r="AZ75" s="2399"/>
      <c r="BA75" s="2399"/>
      <c r="BB75" s="2399"/>
      <c r="BC75" s="240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8"/>
      <c r="AD76" s="2399"/>
      <c r="AE76" s="2399"/>
      <c r="AF76" s="2399"/>
      <c r="AG76" s="2399"/>
      <c r="AH76" s="2399"/>
      <c r="AI76" s="2399"/>
      <c r="AJ76" s="2399"/>
      <c r="AK76" s="2399"/>
      <c r="AL76" s="2399"/>
      <c r="AM76" s="2399"/>
      <c r="AN76" s="2399"/>
      <c r="AO76" s="2399"/>
      <c r="AP76" s="2399"/>
      <c r="AQ76" s="2399"/>
      <c r="AR76" s="2399"/>
      <c r="AS76" s="2399"/>
      <c r="AT76" s="2399"/>
      <c r="AU76" s="2399"/>
      <c r="AV76" s="2399"/>
      <c r="AW76" s="2399"/>
      <c r="AX76" s="2399"/>
      <c r="AY76" s="2399"/>
      <c r="AZ76" s="2399"/>
      <c r="BA76" s="2399"/>
      <c r="BB76" s="2399"/>
      <c r="BC76" s="240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1"/>
      <c r="AD77" s="2402"/>
      <c r="AE77" s="2402"/>
      <c r="AF77" s="2402"/>
      <c r="AG77" s="2402"/>
      <c r="AH77" s="2402"/>
      <c r="AI77" s="2402"/>
      <c r="AJ77" s="2402"/>
      <c r="AK77" s="2402"/>
      <c r="AL77" s="2402"/>
      <c r="AM77" s="2402"/>
      <c r="AN77" s="2402"/>
      <c r="AO77" s="2402"/>
      <c r="AP77" s="2402"/>
      <c r="AQ77" s="2402"/>
      <c r="AR77" s="2402"/>
      <c r="AS77" s="2402"/>
      <c r="AT77" s="2402"/>
      <c r="AU77" s="2402"/>
      <c r="AV77" s="2402"/>
      <c r="AW77" s="2402"/>
      <c r="AX77" s="2402"/>
      <c r="AY77" s="2402"/>
      <c r="AZ77" s="2402"/>
      <c r="BA77" s="2402"/>
      <c r="BB77" s="2402"/>
      <c r="BC77" s="2403"/>
      <c r="BD77" s="1206"/>
      <c r="BE77" s="1202"/>
    </row>
    <row r="78" spans="1:65" ht="15.75" customHeight="1" thickBot="1">
      <c r="A78" s="1206"/>
      <c r="B78" s="1237" t="s">
        <v>2620</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1862</v>
      </c>
      <c r="C79" s="1236"/>
      <c r="D79" s="1236"/>
      <c r="E79" s="1248"/>
      <c r="F79" s="2228"/>
      <c r="G79" s="2229"/>
      <c r="H79" s="2229"/>
      <c r="I79" s="2229"/>
      <c r="J79" s="2229"/>
      <c r="K79" s="2229"/>
      <c r="L79" s="2229"/>
      <c r="M79" s="2196"/>
      <c r="N79" s="2196"/>
      <c r="O79" s="2196"/>
      <c r="P79" s="2196"/>
      <c r="Q79" s="219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2612</v>
      </c>
      <c r="C80" s="1240"/>
      <c r="D80" s="1239"/>
      <c r="E80" s="1239"/>
      <c r="F80" s="1239"/>
      <c r="G80" s="1239"/>
      <c r="H80" s="1239"/>
      <c r="I80" s="1239"/>
      <c r="J80" s="1239"/>
      <c r="K80" s="1239"/>
      <c r="L80" s="1238"/>
      <c r="M80" s="1239"/>
      <c r="N80" s="1238"/>
      <c r="O80" s="2201" t="e">
        <f>BR96/SUM($BR$96:$BR$98)</f>
        <v>#DIV/0!</v>
      </c>
      <c r="P80" s="2202"/>
      <c r="Q80" s="2203"/>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2619</v>
      </c>
      <c r="C81" s="1244"/>
      <c r="D81" s="1226"/>
      <c r="E81" s="1226"/>
      <c r="F81" s="1226"/>
      <c r="G81" s="1226"/>
      <c r="H81" s="1226"/>
      <c r="I81" s="1226"/>
      <c r="J81" s="1226"/>
      <c r="K81" s="1226"/>
      <c r="L81" s="1226"/>
      <c r="M81" s="1226"/>
      <c r="N81" s="1246"/>
      <c r="O81" s="2192" t="s">
        <v>2551</v>
      </c>
      <c r="P81" s="2193"/>
      <c r="Q81" s="219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8" t="s">
        <v>2170</v>
      </c>
      <c r="C83" s="2579"/>
      <c r="D83" s="2579"/>
      <c r="E83" s="2579"/>
      <c r="F83" s="2579"/>
      <c r="G83" s="2579"/>
      <c r="H83" s="2579"/>
      <c r="I83" s="2579"/>
      <c r="J83" s="2579"/>
      <c r="K83" s="2579"/>
      <c r="L83" s="2579"/>
      <c r="M83" s="2579"/>
      <c r="N83" s="2579"/>
      <c r="O83" s="2579"/>
      <c r="P83" s="2579"/>
      <c r="Q83" s="2579"/>
      <c r="R83" s="2579"/>
      <c r="S83" s="2579"/>
      <c r="T83" s="2579"/>
      <c r="U83" s="2579"/>
      <c r="V83" s="2579"/>
      <c r="W83" s="2579"/>
      <c r="X83" s="2579"/>
      <c r="Y83" s="2579"/>
      <c r="Z83" s="2579"/>
      <c r="AA83" s="2579"/>
      <c r="AB83" s="2579"/>
      <c r="AC83" s="2579"/>
      <c r="AD83" s="2579"/>
      <c r="AE83" s="2579"/>
      <c r="AF83" s="2579"/>
      <c r="AG83" s="2579"/>
      <c r="AH83" s="2580"/>
      <c r="AI83" s="1206"/>
      <c r="AJ83" s="2182" t="s">
        <v>2618</v>
      </c>
      <c r="AK83" s="2183"/>
      <c r="AL83" s="2183"/>
      <c r="AM83" s="2183"/>
      <c r="AN83" s="2183"/>
      <c r="AO83" s="2183"/>
      <c r="AP83" s="2183"/>
      <c r="AQ83" s="2183"/>
      <c r="AR83" s="2183"/>
      <c r="AS83" s="2183"/>
      <c r="AT83" s="2183"/>
      <c r="AU83" s="2183"/>
      <c r="AV83" s="2183"/>
      <c r="AW83" s="2183"/>
      <c r="AX83" s="2183"/>
      <c r="AY83" s="2204" t="s">
        <v>554</v>
      </c>
      <c r="AZ83" s="2204"/>
      <c r="BA83" s="2204"/>
      <c r="BB83" s="2205"/>
      <c r="BC83" s="1206"/>
      <c r="BD83" s="1206"/>
      <c r="BE83" s="1202"/>
    </row>
    <row r="84" spans="1:70" ht="15.75" customHeight="1">
      <c r="A84" s="1206"/>
      <c r="B84" s="2174"/>
      <c r="C84" s="2175"/>
      <c r="D84" s="2175"/>
      <c r="E84" s="2175"/>
      <c r="F84" s="2175"/>
      <c r="G84" s="2175"/>
      <c r="H84" s="2175"/>
      <c r="I84" s="2175" t="s">
        <v>1828</v>
      </c>
      <c r="J84" s="2175"/>
      <c r="K84" s="2175"/>
      <c r="L84" s="2175"/>
      <c r="M84" s="2175"/>
      <c r="N84" s="2175"/>
      <c r="O84" s="2175" t="s">
        <v>1829</v>
      </c>
      <c r="P84" s="2175"/>
      <c r="Q84" s="2175"/>
      <c r="R84" s="2175"/>
      <c r="S84" s="2175"/>
      <c r="T84" s="2175"/>
      <c r="U84" s="2175"/>
      <c r="V84" s="2176" t="s">
        <v>2188</v>
      </c>
      <c r="W84" s="2176"/>
      <c r="X84" s="2176"/>
      <c r="Y84" s="2176"/>
      <c r="Z84" s="2176"/>
      <c r="AA84" s="2176"/>
      <c r="AB84" s="2177" t="s">
        <v>1830</v>
      </c>
      <c r="AC84" s="2177"/>
      <c r="AD84" s="2177"/>
      <c r="AE84" s="2177"/>
      <c r="AF84" s="2177"/>
      <c r="AG84" s="2177"/>
      <c r="AH84" s="2178"/>
      <c r="AI84" s="1206"/>
      <c r="AJ84" s="2184"/>
      <c r="AK84" s="2185"/>
      <c r="AL84" s="2185"/>
      <c r="AM84" s="2185"/>
      <c r="AN84" s="2185"/>
      <c r="AO84" s="2185"/>
      <c r="AP84" s="2185"/>
      <c r="AQ84" s="2185"/>
      <c r="AR84" s="2185"/>
      <c r="AS84" s="2185"/>
      <c r="AT84" s="2185"/>
      <c r="AU84" s="2185"/>
      <c r="AV84" s="2185"/>
      <c r="AW84" s="2185"/>
      <c r="AX84" s="2185"/>
      <c r="AY84" s="2206"/>
      <c r="AZ84" s="2206"/>
      <c r="BA84" s="2206"/>
      <c r="BB84" s="2207"/>
      <c r="BC84" s="1206"/>
      <c r="BD84" s="1206"/>
      <c r="BE84" s="1202"/>
    </row>
    <row r="85" spans="1:70" ht="15.75" customHeight="1">
      <c r="A85" s="1206"/>
      <c r="B85" s="2174"/>
      <c r="C85" s="2175"/>
      <c r="D85" s="2175"/>
      <c r="E85" s="2175"/>
      <c r="F85" s="2175"/>
      <c r="G85" s="2175"/>
      <c r="H85" s="2175"/>
      <c r="I85" s="2175"/>
      <c r="J85" s="2175"/>
      <c r="K85" s="2175"/>
      <c r="L85" s="2175"/>
      <c r="M85" s="2175"/>
      <c r="N85" s="2175"/>
      <c r="O85" s="2175"/>
      <c r="P85" s="2175"/>
      <c r="Q85" s="2175"/>
      <c r="R85" s="2175"/>
      <c r="S85" s="2175"/>
      <c r="T85" s="2175"/>
      <c r="U85" s="2175"/>
      <c r="V85" s="2176"/>
      <c r="W85" s="2176"/>
      <c r="X85" s="2176"/>
      <c r="Y85" s="2176"/>
      <c r="Z85" s="2176"/>
      <c r="AA85" s="2176"/>
      <c r="AB85" s="2177"/>
      <c r="AC85" s="2177"/>
      <c r="AD85" s="2177"/>
      <c r="AE85" s="2177"/>
      <c r="AF85" s="2177"/>
      <c r="AG85" s="2177"/>
      <c r="AH85" s="2178"/>
      <c r="AI85" s="1206"/>
      <c r="AJ85" s="2184"/>
      <c r="AK85" s="2185"/>
      <c r="AL85" s="2185"/>
      <c r="AM85" s="2185"/>
      <c r="AN85" s="2185"/>
      <c r="AO85" s="2185"/>
      <c r="AP85" s="2185"/>
      <c r="AQ85" s="2185"/>
      <c r="AR85" s="2185"/>
      <c r="AS85" s="2185"/>
      <c r="AT85" s="2185"/>
      <c r="AU85" s="2185"/>
      <c r="AV85" s="2185"/>
      <c r="AW85" s="2185"/>
      <c r="AX85" s="2185"/>
      <c r="AY85" s="2206"/>
      <c r="AZ85" s="2206"/>
      <c r="BA85" s="2206"/>
      <c r="BB85" s="2207"/>
      <c r="BC85" s="1206"/>
      <c r="BD85" s="1206"/>
      <c r="BE85" s="1202"/>
    </row>
    <row r="86" spans="1:70" ht="15.75" customHeight="1">
      <c r="A86" s="1206"/>
      <c r="B86" s="2174" t="s">
        <v>2171</v>
      </c>
      <c r="C86" s="2175"/>
      <c r="D86" s="2175"/>
      <c r="E86" s="2175"/>
      <c r="F86" s="2175"/>
      <c r="G86" s="2175"/>
      <c r="H86" s="2175"/>
      <c r="I86" s="2172">
        <v>0</v>
      </c>
      <c r="J86" s="2172"/>
      <c r="K86" s="2172"/>
      <c r="L86" s="2172"/>
      <c r="M86" s="2172"/>
      <c r="N86" s="2172"/>
      <c r="O86" s="2172">
        <v>0</v>
      </c>
      <c r="P86" s="2172"/>
      <c r="Q86" s="2172"/>
      <c r="R86" s="2172"/>
      <c r="S86" s="2172"/>
      <c r="T86" s="2172"/>
      <c r="U86" s="2172"/>
      <c r="V86" s="2172">
        <v>0</v>
      </c>
      <c r="W86" s="2172"/>
      <c r="X86" s="2172"/>
      <c r="Y86" s="2172"/>
      <c r="Z86" s="2172"/>
      <c r="AA86" s="2172"/>
      <c r="AB86" s="2172">
        <v>0</v>
      </c>
      <c r="AC86" s="2172"/>
      <c r="AD86" s="2172"/>
      <c r="AE86" s="2172"/>
      <c r="AF86" s="2172"/>
      <c r="AG86" s="2172"/>
      <c r="AH86" s="2173"/>
      <c r="AI86" s="1206"/>
      <c r="AJ86" s="2184"/>
      <c r="AK86" s="2185"/>
      <c r="AL86" s="2185"/>
      <c r="AM86" s="2185"/>
      <c r="AN86" s="2185"/>
      <c r="AO86" s="2185"/>
      <c r="AP86" s="2185"/>
      <c r="AQ86" s="2185"/>
      <c r="AR86" s="2185"/>
      <c r="AS86" s="2185"/>
      <c r="AT86" s="2185"/>
      <c r="AU86" s="2185"/>
      <c r="AV86" s="2185"/>
      <c r="AW86" s="2185"/>
      <c r="AX86" s="2185"/>
      <c r="AY86" s="2206"/>
      <c r="AZ86" s="2206"/>
      <c r="BA86" s="2206"/>
      <c r="BB86" s="2207"/>
      <c r="BC86" s="1206"/>
      <c r="BD86" s="1206"/>
      <c r="BE86" s="1202"/>
    </row>
    <row r="87" spans="1:70" ht="15.75" customHeight="1">
      <c r="A87" s="1206"/>
      <c r="B87" s="2174" t="s">
        <v>2172</v>
      </c>
      <c r="C87" s="2175"/>
      <c r="D87" s="2175"/>
      <c r="E87" s="2175"/>
      <c r="F87" s="2175"/>
      <c r="G87" s="2175"/>
      <c r="H87" s="2175"/>
      <c r="I87" s="2172">
        <v>0</v>
      </c>
      <c r="J87" s="2172"/>
      <c r="K87" s="2172"/>
      <c r="L87" s="2172"/>
      <c r="M87" s="2172"/>
      <c r="N87" s="2172"/>
      <c r="O87" s="2172">
        <v>0</v>
      </c>
      <c r="P87" s="2172"/>
      <c r="Q87" s="2172"/>
      <c r="R87" s="2172"/>
      <c r="S87" s="2172"/>
      <c r="T87" s="2172"/>
      <c r="U87" s="2172"/>
      <c r="V87" s="2172">
        <v>0</v>
      </c>
      <c r="W87" s="2172"/>
      <c r="X87" s="2172"/>
      <c r="Y87" s="2172"/>
      <c r="Z87" s="2172"/>
      <c r="AA87" s="2172"/>
      <c r="AB87" s="2172">
        <v>0</v>
      </c>
      <c r="AC87" s="2172"/>
      <c r="AD87" s="2172"/>
      <c r="AE87" s="2172"/>
      <c r="AF87" s="2172"/>
      <c r="AG87" s="2172"/>
      <c r="AH87" s="2173"/>
      <c r="AI87" s="1206"/>
      <c r="AJ87" s="2186" t="s">
        <v>2487</v>
      </c>
      <c r="AK87" s="2187"/>
      <c r="AL87" s="2187"/>
      <c r="AM87" s="2187"/>
      <c r="AN87" s="2187"/>
      <c r="AO87" s="2187"/>
      <c r="AP87" s="2187"/>
      <c r="AQ87" s="2187"/>
      <c r="AR87" s="2187"/>
      <c r="AS87" s="2187"/>
      <c r="AT87" s="2187"/>
      <c r="AU87" s="2187"/>
      <c r="AV87" s="2187"/>
      <c r="AW87" s="2187"/>
      <c r="AX87" s="2187"/>
      <c r="AY87" s="2187"/>
      <c r="AZ87" s="2187"/>
      <c r="BA87" s="2187"/>
      <c r="BB87" s="2188"/>
      <c r="BC87" s="1206"/>
      <c r="BD87" s="1206"/>
      <c r="BE87" s="1202"/>
    </row>
    <row r="88" spans="1:70" ht="15.75" customHeight="1" thickBot="1">
      <c r="A88" s="1206"/>
      <c r="B88" s="2168" t="s">
        <v>1831</v>
      </c>
      <c r="C88" s="2169"/>
      <c r="D88" s="2169"/>
      <c r="E88" s="2169"/>
      <c r="F88" s="2169"/>
      <c r="G88" s="2169"/>
      <c r="H88" s="2169"/>
      <c r="I88" s="2170">
        <v>0</v>
      </c>
      <c r="J88" s="2170"/>
      <c r="K88" s="2170"/>
      <c r="L88" s="2170"/>
      <c r="M88" s="2170"/>
      <c r="N88" s="2170"/>
      <c r="O88" s="2170">
        <v>0</v>
      </c>
      <c r="P88" s="2170"/>
      <c r="Q88" s="2170"/>
      <c r="R88" s="2170"/>
      <c r="S88" s="2170"/>
      <c r="T88" s="2170"/>
      <c r="U88" s="2170"/>
      <c r="V88" s="2170">
        <v>0</v>
      </c>
      <c r="W88" s="2170"/>
      <c r="X88" s="2170"/>
      <c r="Y88" s="2170"/>
      <c r="Z88" s="2170"/>
      <c r="AA88" s="2170"/>
      <c r="AB88" s="2170">
        <v>0</v>
      </c>
      <c r="AC88" s="2170"/>
      <c r="AD88" s="2170"/>
      <c r="AE88" s="2170"/>
      <c r="AF88" s="2170"/>
      <c r="AG88" s="2170"/>
      <c r="AH88" s="2171"/>
      <c r="AI88" s="1206"/>
      <c r="AJ88" s="2189"/>
      <c r="AK88" s="2190"/>
      <c r="AL88" s="2190"/>
      <c r="AM88" s="2190"/>
      <c r="AN88" s="2190"/>
      <c r="AO88" s="2190"/>
      <c r="AP88" s="2190"/>
      <c r="AQ88" s="2190"/>
      <c r="AR88" s="2190"/>
      <c r="AS88" s="2190"/>
      <c r="AT88" s="2190"/>
      <c r="AU88" s="2190"/>
      <c r="AV88" s="2190"/>
      <c r="AW88" s="2190"/>
      <c r="AX88" s="2190"/>
      <c r="AY88" s="2190"/>
      <c r="AZ88" s="2190"/>
      <c r="BA88" s="2190"/>
      <c r="BB88" s="219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2617</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1862</v>
      </c>
      <c r="C92" s="1234"/>
      <c r="D92" s="1233"/>
      <c r="E92" s="1232"/>
      <c r="F92" s="2195"/>
      <c r="G92" s="2196"/>
      <c r="H92" s="2196"/>
      <c r="I92" s="2196"/>
      <c r="J92" s="2196"/>
      <c r="K92" s="2196"/>
      <c r="L92" s="2196"/>
      <c r="M92" s="2196"/>
      <c r="N92" s="2196"/>
      <c r="O92" s="2196"/>
      <c r="P92" s="2196"/>
      <c r="Q92" s="219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2612</v>
      </c>
      <c r="C93" s="1240"/>
      <c r="D93" s="1239"/>
      <c r="E93" s="1239"/>
      <c r="F93" s="1239"/>
      <c r="G93" s="1239"/>
      <c r="H93" s="1239"/>
      <c r="I93" s="1239"/>
      <c r="J93" s="1239"/>
      <c r="K93" s="1239"/>
      <c r="L93" s="1238"/>
      <c r="M93" s="1239"/>
      <c r="N93" s="1238"/>
      <c r="O93" s="2201" t="e">
        <f>BR97/SUM($BR$96:$BR$98)</f>
        <v>#DIV/0!</v>
      </c>
      <c r="P93" s="2202"/>
      <c r="Q93" s="2203"/>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2616</v>
      </c>
      <c r="C94" s="1244"/>
      <c r="D94" s="1226"/>
      <c r="E94" s="1226"/>
      <c r="F94" s="1226"/>
      <c r="G94" s="1226"/>
      <c r="H94" s="1226"/>
      <c r="I94" s="1226"/>
      <c r="J94" s="1226"/>
      <c r="K94" s="1226"/>
      <c r="L94" s="1226"/>
      <c r="M94" s="1226"/>
      <c r="N94" s="1246"/>
      <c r="O94" s="2192" t="s">
        <v>2551</v>
      </c>
      <c r="P94" s="2193"/>
      <c r="Q94" s="219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8" t="s">
        <v>2615</v>
      </c>
      <c r="C96" s="2579"/>
      <c r="D96" s="2579"/>
      <c r="E96" s="2579"/>
      <c r="F96" s="2579"/>
      <c r="G96" s="2579"/>
      <c r="H96" s="2579"/>
      <c r="I96" s="2579"/>
      <c r="J96" s="2579"/>
      <c r="K96" s="2579"/>
      <c r="L96" s="2579"/>
      <c r="M96" s="2579"/>
      <c r="N96" s="2579"/>
      <c r="O96" s="2579"/>
      <c r="P96" s="2579"/>
      <c r="Q96" s="2579"/>
      <c r="R96" s="2579"/>
      <c r="S96" s="2579"/>
      <c r="T96" s="2579"/>
      <c r="U96" s="2579"/>
      <c r="V96" s="2579"/>
      <c r="W96" s="2579"/>
      <c r="X96" s="2579"/>
      <c r="Y96" s="2579"/>
      <c r="Z96" s="2579"/>
      <c r="AA96" s="2579"/>
      <c r="AB96" s="2579"/>
      <c r="AC96" s="2579"/>
      <c r="AD96" s="2579"/>
      <c r="AE96" s="2579"/>
      <c r="AF96" s="2579"/>
      <c r="AG96" s="2579"/>
      <c r="AH96" s="2580"/>
      <c r="AI96" s="1206"/>
      <c r="AJ96" s="2182" t="s">
        <v>2614</v>
      </c>
      <c r="AK96" s="2183"/>
      <c r="AL96" s="2183"/>
      <c r="AM96" s="2183"/>
      <c r="AN96" s="2183"/>
      <c r="AO96" s="2183"/>
      <c r="AP96" s="2183"/>
      <c r="AQ96" s="2183"/>
      <c r="AR96" s="2183"/>
      <c r="AS96" s="2183"/>
      <c r="AT96" s="2183"/>
      <c r="AU96" s="2183"/>
      <c r="AV96" s="2183"/>
      <c r="AW96" s="2183"/>
      <c r="AX96" s="2183"/>
      <c r="AY96" s="2204" t="s">
        <v>554</v>
      </c>
      <c r="AZ96" s="2204"/>
      <c r="BA96" s="2204"/>
      <c r="BB96" s="2205"/>
      <c r="BC96" s="1206"/>
      <c r="BD96" s="1206"/>
      <c r="BE96" s="1202"/>
      <c r="BQ96" s="1245" t="str">
        <f>Application!M243</f>
        <v>CSH Edes Avenue I LLC</v>
      </c>
      <c r="BR96" s="1245">
        <f>Application!AH245</f>
        <v>0</v>
      </c>
    </row>
    <row r="97" spans="1:70" ht="15.75" customHeight="1">
      <c r="A97" s="1206"/>
      <c r="B97" s="2174"/>
      <c r="C97" s="2175"/>
      <c r="D97" s="2175"/>
      <c r="E97" s="2175"/>
      <c r="F97" s="2175"/>
      <c r="G97" s="2175"/>
      <c r="H97" s="2175"/>
      <c r="I97" s="2175" t="s">
        <v>1828</v>
      </c>
      <c r="J97" s="2175"/>
      <c r="K97" s="2175"/>
      <c r="L97" s="2175"/>
      <c r="M97" s="2175"/>
      <c r="N97" s="2175"/>
      <c r="O97" s="2175" t="s">
        <v>1829</v>
      </c>
      <c r="P97" s="2175"/>
      <c r="Q97" s="2175"/>
      <c r="R97" s="2175"/>
      <c r="S97" s="2175"/>
      <c r="T97" s="2175"/>
      <c r="U97" s="2175"/>
      <c r="V97" s="2176" t="s">
        <v>2188</v>
      </c>
      <c r="W97" s="2176"/>
      <c r="X97" s="2176"/>
      <c r="Y97" s="2176"/>
      <c r="Z97" s="2176"/>
      <c r="AA97" s="2176"/>
      <c r="AB97" s="2177" t="s">
        <v>1830</v>
      </c>
      <c r="AC97" s="2177"/>
      <c r="AD97" s="2177"/>
      <c r="AE97" s="2177"/>
      <c r="AF97" s="2177"/>
      <c r="AG97" s="2177"/>
      <c r="AH97" s="2178"/>
      <c r="AI97" s="1206"/>
      <c r="AJ97" s="2184"/>
      <c r="AK97" s="2185"/>
      <c r="AL97" s="2185"/>
      <c r="AM97" s="2185"/>
      <c r="AN97" s="2185"/>
      <c r="AO97" s="2185"/>
      <c r="AP97" s="2185"/>
      <c r="AQ97" s="2185"/>
      <c r="AR97" s="2185"/>
      <c r="AS97" s="2185"/>
      <c r="AT97" s="2185"/>
      <c r="AU97" s="2185"/>
      <c r="AV97" s="2185"/>
      <c r="AW97" s="2185"/>
      <c r="AX97" s="2185"/>
      <c r="AY97" s="2206"/>
      <c r="AZ97" s="2206"/>
      <c r="BA97" s="2206"/>
      <c r="BB97" s="2207"/>
      <c r="BC97" s="1206"/>
      <c r="BD97" s="1206"/>
      <c r="BE97" s="1202"/>
      <c r="BQ97" s="1245" t="str">
        <f>Application!M251</f>
        <v>California Supportive Housing</v>
      </c>
      <c r="BR97" s="1245">
        <f>Application!AH253</f>
        <v>0</v>
      </c>
    </row>
    <row r="98" spans="1:70" ht="15.75" customHeight="1">
      <c r="A98" s="1206"/>
      <c r="B98" s="2174"/>
      <c r="C98" s="2175"/>
      <c r="D98" s="2175"/>
      <c r="E98" s="2175"/>
      <c r="F98" s="2175"/>
      <c r="G98" s="2175"/>
      <c r="H98" s="2175"/>
      <c r="I98" s="2175"/>
      <c r="J98" s="2175"/>
      <c r="K98" s="2175"/>
      <c r="L98" s="2175"/>
      <c r="M98" s="2175"/>
      <c r="N98" s="2175"/>
      <c r="O98" s="2175"/>
      <c r="P98" s="2175"/>
      <c r="Q98" s="2175"/>
      <c r="R98" s="2175"/>
      <c r="S98" s="2175"/>
      <c r="T98" s="2175"/>
      <c r="U98" s="2175"/>
      <c r="V98" s="2176"/>
      <c r="W98" s="2176"/>
      <c r="X98" s="2176"/>
      <c r="Y98" s="2176"/>
      <c r="Z98" s="2176"/>
      <c r="AA98" s="2176"/>
      <c r="AB98" s="2177"/>
      <c r="AC98" s="2177"/>
      <c r="AD98" s="2177"/>
      <c r="AE98" s="2177"/>
      <c r="AF98" s="2177"/>
      <c r="AG98" s="2177"/>
      <c r="AH98" s="2178"/>
      <c r="AI98" s="1206"/>
      <c r="AJ98" s="2184"/>
      <c r="AK98" s="2185"/>
      <c r="AL98" s="2185"/>
      <c r="AM98" s="2185"/>
      <c r="AN98" s="2185"/>
      <c r="AO98" s="2185"/>
      <c r="AP98" s="2185"/>
      <c r="AQ98" s="2185"/>
      <c r="AR98" s="2185"/>
      <c r="AS98" s="2185"/>
      <c r="AT98" s="2185"/>
      <c r="AU98" s="2185"/>
      <c r="AV98" s="2185"/>
      <c r="AW98" s="2185"/>
      <c r="AX98" s="2185"/>
      <c r="AY98" s="2206"/>
      <c r="AZ98" s="2206"/>
      <c r="BA98" s="2206"/>
      <c r="BB98" s="2207"/>
      <c r="BC98" s="1206"/>
      <c r="BD98" s="1206"/>
      <c r="BE98" s="1202"/>
      <c r="BQ98" s="1245">
        <f>Application!M259</f>
        <v>0</v>
      </c>
      <c r="BR98" s="1245">
        <f>Application!AH261</f>
        <v>0</v>
      </c>
    </row>
    <row r="99" spans="1:70" ht="15.75" customHeight="1">
      <c r="A99" s="1206"/>
      <c r="B99" s="2174" t="s">
        <v>2171</v>
      </c>
      <c r="C99" s="2175"/>
      <c r="D99" s="2175"/>
      <c r="E99" s="2175"/>
      <c r="F99" s="2175"/>
      <c r="G99" s="2175"/>
      <c r="H99" s="2175"/>
      <c r="I99" s="2172">
        <v>0</v>
      </c>
      <c r="J99" s="2172"/>
      <c r="K99" s="2172"/>
      <c r="L99" s="2172"/>
      <c r="M99" s="2172"/>
      <c r="N99" s="2172"/>
      <c r="O99" s="2172">
        <v>0</v>
      </c>
      <c r="P99" s="2172"/>
      <c r="Q99" s="2172"/>
      <c r="R99" s="2172"/>
      <c r="S99" s="2172"/>
      <c r="T99" s="2172"/>
      <c r="U99" s="2172"/>
      <c r="V99" s="2172">
        <v>0</v>
      </c>
      <c r="W99" s="2172"/>
      <c r="X99" s="2172"/>
      <c r="Y99" s="2172"/>
      <c r="Z99" s="2172"/>
      <c r="AA99" s="2172"/>
      <c r="AB99" s="2172">
        <v>0</v>
      </c>
      <c r="AC99" s="2172"/>
      <c r="AD99" s="2172"/>
      <c r="AE99" s="2172"/>
      <c r="AF99" s="2172"/>
      <c r="AG99" s="2172"/>
      <c r="AH99" s="2173"/>
      <c r="AI99" s="1206"/>
      <c r="AJ99" s="2184"/>
      <c r="AK99" s="2185"/>
      <c r="AL99" s="2185"/>
      <c r="AM99" s="2185"/>
      <c r="AN99" s="2185"/>
      <c r="AO99" s="2185"/>
      <c r="AP99" s="2185"/>
      <c r="AQ99" s="2185"/>
      <c r="AR99" s="2185"/>
      <c r="AS99" s="2185"/>
      <c r="AT99" s="2185"/>
      <c r="AU99" s="2185"/>
      <c r="AV99" s="2185"/>
      <c r="AW99" s="2185"/>
      <c r="AX99" s="2185"/>
      <c r="AY99" s="2206"/>
      <c r="AZ99" s="2206"/>
      <c r="BA99" s="2206"/>
      <c r="BB99" s="2207"/>
      <c r="BC99" s="1206"/>
      <c r="BD99" s="1206"/>
      <c r="BE99" s="1202"/>
    </row>
    <row r="100" spans="1:70" ht="15.75" customHeight="1">
      <c r="A100" s="1206"/>
      <c r="B100" s="2174" t="s">
        <v>2172</v>
      </c>
      <c r="C100" s="2175"/>
      <c r="D100" s="2175"/>
      <c r="E100" s="2175"/>
      <c r="F100" s="2175"/>
      <c r="G100" s="2175"/>
      <c r="H100" s="2175"/>
      <c r="I100" s="2172">
        <v>0</v>
      </c>
      <c r="J100" s="2172"/>
      <c r="K100" s="2172"/>
      <c r="L100" s="2172"/>
      <c r="M100" s="2172"/>
      <c r="N100" s="2172"/>
      <c r="O100" s="2172">
        <v>0</v>
      </c>
      <c r="P100" s="2172"/>
      <c r="Q100" s="2172"/>
      <c r="R100" s="2172"/>
      <c r="S100" s="2172"/>
      <c r="T100" s="2172"/>
      <c r="U100" s="2172"/>
      <c r="V100" s="2172">
        <v>0</v>
      </c>
      <c r="W100" s="2172"/>
      <c r="X100" s="2172"/>
      <c r="Y100" s="2172"/>
      <c r="Z100" s="2172"/>
      <c r="AA100" s="2172"/>
      <c r="AB100" s="2172">
        <v>0</v>
      </c>
      <c r="AC100" s="2172"/>
      <c r="AD100" s="2172"/>
      <c r="AE100" s="2172"/>
      <c r="AF100" s="2172"/>
      <c r="AG100" s="2172"/>
      <c r="AH100" s="2173"/>
      <c r="AI100" s="1206"/>
      <c r="AJ100" s="2186" t="s">
        <v>2487</v>
      </c>
      <c r="AK100" s="2187"/>
      <c r="AL100" s="2187"/>
      <c r="AM100" s="2187"/>
      <c r="AN100" s="2187"/>
      <c r="AO100" s="2187"/>
      <c r="AP100" s="2187"/>
      <c r="AQ100" s="2187"/>
      <c r="AR100" s="2187"/>
      <c r="AS100" s="2187"/>
      <c r="AT100" s="2187"/>
      <c r="AU100" s="2187"/>
      <c r="AV100" s="2187"/>
      <c r="AW100" s="2187"/>
      <c r="AX100" s="2187"/>
      <c r="AY100" s="2187"/>
      <c r="AZ100" s="2187"/>
      <c r="BA100" s="2187"/>
      <c r="BB100" s="2188"/>
      <c r="BC100" s="1206"/>
      <c r="BD100" s="1206"/>
      <c r="BE100" s="1202"/>
    </row>
    <row r="101" spans="1:70" ht="15.75" customHeight="1" thickBot="1">
      <c r="A101" s="1206"/>
      <c r="B101" s="2168" t="s">
        <v>1831</v>
      </c>
      <c r="C101" s="2169"/>
      <c r="D101" s="2169"/>
      <c r="E101" s="2169"/>
      <c r="F101" s="2169"/>
      <c r="G101" s="2169"/>
      <c r="H101" s="2169"/>
      <c r="I101" s="2170">
        <v>0</v>
      </c>
      <c r="J101" s="2170"/>
      <c r="K101" s="2170"/>
      <c r="L101" s="2170"/>
      <c r="M101" s="2170"/>
      <c r="N101" s="2170"/>
      <c r="O101" s="2170">
        <v>0</v>
      </c>
      <c r="P101" s="2170"/>
      <c r="Q101" s="2170"/>
      <c r="R101" s="2170"/>
      <c r="S101" s="2170"/>
      <c r="T101" s="2170"/>
      <c r="U101" s="2170"/>
      <c r="V101" s="2170">
        <v>0</v>
      </c>
      <c r="W101" s="2170"/>
      <c r="X101" s="2170"/>
      <c r="Y101" s="2170"/>
      <c r="Z101" s="2170"/>
      <c r="AA101" s="2170"/>
      <c r="AB101" s="2170">
        <v>0</v>
      </c>
      <c r="AC101" s="2170"/>
      <c r="AD101" s="2170"/>
      <c r="AE101" s="2170"/>
      <c r="AF101" s="2170"/>
      <c r="AG101" s="2170"/>
      <c r="AH101" s="2171"/>
      <c r="AI101" s="1206"/>
      <c r="AJ101" s="2189"/>
      <c r="AK101" s="2190"/>
      <c r="AL101" s="2190"/>
      <c r="AM101" s="2190"/>
      <c r="AN101" s="2190"/>
      <c r="AO101" s="2190"/>
      <c r="AP101" s="2190"/>
      <c r="AQ101" s="2190"/>
      <c r="AR101" s="2190"/>
      <c r="AS101" s="2190"/>
      <c r="AT101" s="2190"/>
      <c r="AU101" s="2190"/>
      <c r="AV101" s="2190"/>
      <c r="AW101" s="2190"/>
      <c r="AX101" s="2190"/>
      <c r="AY101" s="2190"/>
      <c r="AZ101" s="2190"/>
      <c r="BA101" s="2190"/>
      <c r="BB101" s="219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2613</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1862</v>
      </c>
      <c r="C104" s="1234"/>
      <c r="D104" s="1233"/>
      <c r="E104" s="1232"/>
      <c r="F104" s="2198"/>
      <c r="G104" s="2199"/>
      <c r="H104" s="2199"/>
      <c r="I104" s="2199"/>
      <c r="J104" s="2199"/>
      <c r="K104" s="2199"/>
      <c r="L104" s="2199"/>
      <c r="M104" s="2199"/>
      <c r="N104" s="2199"/>
      <c r="O104" s="2199"/>
      <c r="P104" s="2199"/>
      <c r="Q104" s="2199"/>
      <c r="R104" s="220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2612</v>
      </c>
      <c r="C105" s="1240"/>
      <c r="D105" s="1239"/>
      <c r="E105" s="1239"/>
      <c r="F105" s="1239"/>
      <c r="G105" s="1239"/>
      <c r="H105" s="1239"/>
      <c r="I105" s="1239"/>
      <c r="J105" s="1239"/>
      <c r="K105" s="1239"/>
      <c r="L105" s="1238"/>
      <c r="M105" s="1239"/>
      <c r="N105" s="1238"/>
      <c r="O105" s="2192" t="e">
        <f>BR98/SUM(BR96:BR98)</f>
        <v>#DIV/0!</v>
      </c>
      <c r="P105" s="2193"/>
      <c r="Q105" s="2193"/>
      <c r="R105" s="219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9" t="s">
        <v>2611</v>
      </c>
      <c r="C107" s="2180"/>
      <c r="D107" s="2180"/>
      <c r="E107" s="2180"/>
      <c r="F107" s="2180"/>
      <c r="G107" s="2180"/>
      <c r="H107" s="2180"/>
      <c r="I107" s="2180"/>
      <c r="J107" s="2180"/>
      <c r="K107" s="2180"/>
      <c r="L107" s="2180"/>
      <c r="M107" s="2180"/>
      <c r="N107" s="2180"/>
      <c r="O107" s="2180"/>
      <c r="P107" s="2180"/>
      <c r="Q107" s="2180"/>
      <c r="R107" s="2180"/>
      <c r="S107" s="2180"/>
      <c r="T107" s="2180"/>
      <c r="U107" s="2180"/>
      <c r="V107" s="2180"/>
      <c r="W107" s="2180"/>
      <c r="X107" s="2180"/>
      <c r="Y107" s="2180"/>
      <c r="Z107" s="2180"/>
      <c r="AA107" s="2180"/>
      <c r="AB107" s="2180"/>
      <c r="AC107" s="2180"/>
      <c r="AD107" s="2180"/>
      <c r="AE107" s="2180"/>
      <c r="AF107" s="2180"/>
      <c r="AG107" s="2180"/>
      <c r="AH107" s="218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4"/>
      <c r="C108" s="2175"/>
      <c r="D108" s="2175"/>
      <c r="E108" s="2175"/>
      <c r="F108" s="2175"/>
      <c r="G108" s="2175"/>
      <c r="H108" s="2175"/>
      <c r="I108" s="2175" t="s">
        <v>1828</v>
      </c>
      <c r="J108" s="2175"/>
      <c r="K108" s="2175"/>
      <c r="L108" s="2175"/>
      <c r="M108" s="2175"/>
      <c r="N108" s="2175"/>
      <c r="O108" s="2175" t="s">
        <v>1829</v>
      </c>
      <c r="P108" s="2175"/>
      <c r="Q108" s="2175"/>
      <c r="R108" s="2175"/>
      <c r="S108" s="2175"/>
      <c r="T108" s="2175"/>
      <c r="U108" s="2175"/>
      <c r="V108" s="2176" t="s">
        <v>2188</v>
      </c>
      <c r="W108" s="2176"/>
      <c r="X108" s="2176"/>
      <c r="Y108" s="2176"/>
      <c r="Z108" s="2176"/>
      <c r="AA108" s="2176"/>
      <c r="AB108" s="2177" t="s">
        <v>1830</v>
      </c>
      <c r="AC108" s="2177"/>
      <c r="AD108" s="2177"/>
      <c r="AE108" s="2177"/>
      <c r="AF108" s="2177"/>
      <c r="AG108" s="2177"/>
      <c r="AH108" s="217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4"/>
      <c r="C109" s="2175"/>
      <c r="D109" s="2175"/>
      <c r="E109" s="2175"/>
      <c r="F109" s="2175"/>
      <c r="G109" s="2175"/>
      <c r="H109" s="2175"/>
      <c r="I109" s="2175"/>
      <c r="J109" s="2175"/>
      <c r="K109" s="2175"/>
      <c r="L109" s="2175"/>
      <c r="M109" s="2175"/>
      <c r="N109" s="2175"/>
      <c r="O109" s="2175"/>
      <c r="P109" s="2175"/>
      <c r="Q109" s="2175"/>
      <c r="R109" s="2175"/>
      <c r="S109" s="2175"/>
      <c r="T109" s="2175"/>
      <c r="U109" s="2175"/>
      <c r="V109" s="2176"/>
      <c r="W109" s="2176"/>
      <c r="X109" s="2176"/>
      <c r="Y109" s="2176"/>
      <c r="Z109" s="2176"/>
      <c r="AA109" s="2176"/>
      <c r="AB109" s="2177"/>
      <c r="AC109" s="2177"/>
      <c r="AD109" s="2177"/>
      <c r="AE109" s="2177"/>
      <c r="AF109" s="2177"/>
      <c r="AG109" s="2177"/>
      <c r="AH109" s="217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4" t="s">
        <v>2171</v>
      </c>
      <c r="C110" s="2175"/>
      <c r="D110" s="2175"/>
      <c r="E110" s="2175"/>
      <c r="F110" s="2175"/>
      <c r="G110" s="2175"/>
      <c r="H110" s="2175"/>
      <c r="I110" s="2172">
        <v>0</v>
      </c>
      <c r="J110" s="2172"/>
      <c r="K110" s="2172"/>
      <c r="L110" s="2172"/>
      <c r="M110" s="2172"/>
      <c r="N110" s="2172"/>
      <c r="O110" s="2172">
        <v>0</v>
      </c>
      <c r="P110" s="2172"/>
      <c r="Q110" s="2172"/>
      <c r="R110" s="2172"/>
      <c r="S110" s="2172"/>
      <c r="T110" s="2172"/>
      <c r="U110" s="2172"/>
      <c r="V110" s="2172">
        <v>0</v>
      </c>
      <c r="W110" s="2172"/>
      <c r="X110" s="2172"/>
      <c r="Y110" s="2172"/>
      <c r="Z110" s="2172"/>
      <c r="AA110" s="2172"/>
      <c r="AB110" s="2172">
        <v>0</v>
      </c>
      <c r="AC110" s="2172"/>
      <c r="AD110" s="2172"/>
      <c r="AE110" s="2172"/>
      <c r="AF110" s="2172"/>
      <c r="AG110" s="2172"/>
      <c r="AH110" s="217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4" t="s">
        <v>2172</v>
      </c>
      <c r="C111" s="2175"/>
      <c r="D111" s="2175"/>
      <c r="E111" s="2175"/>
      <c r="F111" s="2175"/>
      <c r="G111" s="2175"/>
      <c r="H111" s="2175"/>
      <c r="I111" s="2172">
        <v>0</v>
      </c>
      <c r="J111" s="2172"/>
      <c r="K111" s="2172"/>
      <c r="L111" s="2172"/>
      <c r="M111" s="2172"/>
      <c r="N111" s="2172"/>
      <c r="O111" s="2172">
        <v>0</v>
      </c>
      <c r="P111" s="2172"/>
      <c r="Q111" s="2172"/>
      <c r="R111" s="2172"/>
      <c r="S111" s="2172"/>
      <c r="T111" s="2172"/>
      <c r="U111" s="2172"/>
      <c r="V111" s="2172">
        <v>0</v>
      </c>
      <c r="W111" s="2172"/>
      <c r="X111" s="2172"/>
      <c r="Y111" s="2172"/>
      <c r="Z111" s="2172"/>
      <c r="AA111" s="2172"/>
      <c r="AB111" s="2172">
        <v>0</v>
      </c>
      <c r="AC111" s="2172"/>
      <c r="AD111" s="2172"/>
      <c r="AE111" s="2172"/>
      <c r="AF111" s="2172"/>
      <c r="AG111" s="2172"/>
      <c r="AH111" s="217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8" t="s">
        <v>1831</v>
      </c>
      <c r="C112" s="2169"/>
      <c r="D112" s="2169"/>
      <c r="E112" s="2169"/>
      <c r="F112" s="2169"/>
      <c r="G112" s="2169"/>
      <c r="H112" s="2169"/>
      <c r="I112" s="2170">
        <v>0</v>
      </c>
      <c r="J112" s="2170"/>
      <c r="K112" s="2170"/>
      <c r="L112" s="2170"/>
      <c r="M112" s="2170"/>
      <c r="N112" s="2170"/>
      <c r="O112" s="2170">
        <v>0</v>
      </c>
      <c r="P112" s="2170"/>
      <c r="Q112" s="2170"/>
      <c r="R112" s="2170"/>
      <c r="S112" s="2170"/>
      <c r="T112" s="2170"/>
      <c r="U112" s="2170"/>
      <c r="V112" s="2170">
        <v>0</v>
      </c>
      <c r="W112" s="2170"/>
      <c r="X112" s="2170"/>
      <c r="Y112" s="2170"/>
      <c r="Z112" s="2170"/>
      <c r="AA112" s="2170"/>
      <c r="AB112" s="2170">
        <v>0</v>
      </c>
      <c r="AC112" s="2170"/>
      <c r="AD112" s="2170"/>
      <c r="AE112" s="2170"/>
      <c r="AF112" s="2170"/>
      <c r="AG112" s="2170"/>
      <c r="AH112" s="217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2610</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1862</v>
      </c>
      <c r="C115" s="1234"/>
      <c r="D115" s="1233"/>
      <c r="E115" s="1232"/>
      <c r="F115" s="2198"/>
      <c r="G115" s="2199"/>
      <c r="H115" s="2199"/>
      <c r="I115" s="2199"/>
      <c r="J115" s="2199"/>
      <c r="K115" s="2199"/>
      <c r="L115" s="2199"/>
      <c r="M115" s="2199"/>
      <c r="N115" s="2199"/>
      <c r="O115" s="2199"/>
      <c r="P115" s="2199"/>
      <c r="Q115" s="2199"/>
      <c r="R115" s="220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2" t="s">
        <v>2488</v>
      </c>
      <c r="C117" s="2183"/>
      <c r="D117" s="2183"/>
      <c r="E117" s="2183"/>
      <c r="F117" s="2183"/>
      <c r="G117" s="2183"/>
      <c r="H117" s="2183"/>
      <c r="I117" s="2183"/>
      <c r="J117" s="2183"/>
      <c r="K117" s="2183"/>
      <c r="L117" s="2183"/>
      <c r="M117" s="2183"/>
      <c r="N117" s="2183"/>
      <c r="O117" s="2183"/>
      <c r="P117" s="2183"/>
      <c r="Q117" s="2204" t="s">
        <v>554</v>
      </c>
      <c r="R117" s="2204"/>
      <c r="S117" s="2204"/>
      <c r="T117" s="220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4"/>
      <c r="C118" s="2185"/>
      <c r="D118" s="2185"/>
      <c r="E118" s="2185"/>
      <c r="F118" s="2185"/>
      <c r="G118" s="2185"/>
      <c r="H118" s="2185"/>
      <c r="I118" s="2185"/>
      <c r="J118" s="2185"/>
      <c r="K118" s="2185"/>
      <c r="L118" s="2185"/>
      <c r="M118" s="2185"/>
      <c r="N118" s="2185"/>
      <c r="O118" s="2185"/>
      <c r="P118" s="2185"/>
      <c r="Q118" s="2206"/>
      <c r="R118" s="2206"/>
      <c r="S118" s="2206"/>
      <c r="T118" s="220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4"/>
      <c r="C119" s="2185"/>
      <c r="D119" s="2185"/>
      <c r="E119" s="2185"/>
      <c r="F119" s="2185"/>
      <c r="G119" s="2185"/>
      <c r="H119" s="2185"/>
      <c r="I119" s="2185"/>
      <c r="J119" s="2185"/>
      <c r="K119" s="2185"/>
      <c r="L119" s="2185"/>
      <c r="M119" s="2185"/>
      <c r="N119" s="2185"/>
      <c r="O119" s="2185"/>
      <c r="P119" s="2185"/>
      <c r="Q119" s="2206"/>
      <c r="R119" s="2206"/>
      <c r="S119" s="2206"/>
      <c r="T119" s="220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4"/>
      <c r="C120" s="2185"/>
      <c r="D120" s="2185"/>
      <c r="E120" s="2185"/>
      <c r="F120" s="2185"/>
      <c r="G120" s="2185"/>
      <c r="H120" s="2185"/>
      <c r="I120" s="2185"/>
      <c r="J120" s="2185"/>
      <c r="K120" s="2185"/>
      <c r="L120" s="2185"/>
      <c r="M120" s="2185"/>
      <c r="N120" s="2185"/>
      <c r="O120" s="2185"/>
      <c r="P120" s="2185"/>
      <c r="Q120" s="2206"/>
      <c r="R120" s="2206"/>
      <c r="S120" s="2206"/>
      <c r="T120" s="220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6" t="s">
        <v>2189</v>
      </c>
      <c r="C121" s="2187"/>
      <c r="D121" s="2187"/>
      <c r="E121" s="2187"/>
      <c r="F121" s="2187"/>
      <c r="G121" s="2187"/>
      <c r="H121" s="2187"/>
      <c r="I121" s="2187"/>
      <c r="J121" s="2187"/>
      <c r="K121" s="2187"/>
      <c r="L121" s="2187"/>
      <c r="M121" s="2187"/>
      <c r="N121" s="2187"/>
      <c r="O121" s="2187"/>
      <c r="P121" s="2187"/>
      <c r="Q121" s="2187"/>
      <c r="R121" s="2187"/>
      <c r="S121" s="2187"/>
      <c r="T121" s="218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9"/>
      <c r="C122" s="2190"/>
      <c r="D122" s="2190"/>
      <c r="E122" s="2190"/>
      <c r="F122" s="2190"/>
      <c r="G122" s="2190"/>
      <c r="H122" s="2190"/>
      <c r="I122" s="2190"/>
      <c r="J122" s="2190"/>
      <c r="K122" s="2190"/>
      <c r="L122" s="2190"/>
      <c r="M122" s="2190"/>
      <c r="N122" s="2190"/>
      <c r="O122" s="2190"/>
      <c r="P122" s="2190"/>
      <c r="Q122" s="2190"/>
      <c r="R122" s="2190"/>
      <c r="S122" s="2190"/>
      <c r="T122" s="219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1832</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2" t="s">
        <v>2173</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430"/>
      <c r="BE125" s="1202"/>
    </row>
    <row r="126" spans="1:57" ht="15.75" customHeight="1">
      <c r="A126" s="1206"/>
      <c r="B126" s="2432" t="s">
        <v>1688</v>
      </c>
      <c r="C126" s="2433"/>
      <c r="D126" s="2433"/>
      <c r="E126" s="2433"/>
      <c r="F126" s="2433"/>
      <c r="G126" s="2433"/>
      <c r="H126" s="2433"/>
      <c r="I126" s="2433"/>
      <c r="J126" s="2433"/>
      <c r="K126" s="2433"/>
      <c r="L126" s="2433"/>
      <c r="M126" s="2433"/>
      <c r="N126" s="2433"/>
      <c r="O126" s="2433"/>
      <c r="P126" s="2433"/>
      <c r="Q126" s="2433"/>
      <c r="R126" s="2433"/>
      <c r="S126" s="2433"/>
      <c r="T126" s="2433"/>
      <c r="U126" s="2434"/>
      <c r="V126" s="1206"/>
      <c r="W126" s="1206"/>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431"/>
      <c r="BE126" s="1202"/>
    </row>
    <row r="127" spans="1:57" ht="15.75" customHeight="1">
      <c r="A127" s="1206"/>
      <c r="B127" s="2395"/>
      <c r="C127" s="2396"/>
      <c r="D127" s="2396"/>
      <c r="E127" s="2396"/>
      <c r="F127" s="2396"/>
      <c r="G127" s="2396"/>
      <c r="H127" s="2396"/>
      <c r="I127" s="2175" t="s">
        <v>2174</v>
      </c>
      <c r="J127" s="2175"/>
      <c r="K127" s="2175"/>
      <c r="L127" s="2175"/>
      <c r="M127" s="2175"/>
      <c r="N127" s="2175"/>
      <c r="O127" s="2435" t="s">
        <v>2175</v>
      </c>
      <c r="P127" s="2435"/>
      <c r="Q127" s="2435"/>
      <c r="R127" s="2435"/>
      <c r="S127" s="2435"/>
      <c r="T127" s="2435"/>
      <c r="U127" s="2436"/>
      <c r="V127" s="1206"/>
      <c r="W127" s="1206"/>
      <c r="X127" s="2398" t="s">
        <v>2187</v>
      </c>
      <c r="Y127" s="2399"/>
      <c r="Z127" s="2399"/>
      <c r="AA127" s="2399"/>
      <c r="AB127" s="2399"/>
      <c r="AC127" s="2399"/>
      <c r="AD127" s="2399"/>
      <c r="AE127" s="2399"/>
      <c r="AF127" s="2399"/>
      <c r="AG127" s="2399"/>
      <c r="AH127" s="2399"/>
      <c r="AI127" s="2399"/>
      <c r="AJ127" s="2399"/>
      <c r="AK127" s="2399"/>
      <c r="AL127" s="2399"/>
      <c r="AM127" s="2399"/>
      <c r="AN127" s="2399"/>
      <c r="AO127" s="2399"/>
      <c r="AP127" s="2399"/>
      <c r="AQ127" s="2399"/>
      <c r="AR127" s="2399"/>
      <c r="AS127" s="2399"/>
      <c r="AT127" s="2399"/>
      <c r="AU127" s="2399"/>
      <c r="AV127" s="2399"/>
      <c r="AW127" s="2399"/>
      <c r="AX127" s="2399"/>
      <c r="AY127" s="2399"/>
      <c r="AZ127" s="2399"/>
      <c r="BA127" s="2399"/>
      <c r="BB127" s="2399"/>
      <c r="BC127" s="2399"/>
      <c r="BD127" s="2400"/>
      <c r="BE127" s="1202"/>
    </row>
    <row r="128" spans="1:57" ht="15.75" customHeight="1">
      <c r="A128" s="1206"/>
      <c r="B128" s="2412" t="s">
        <v>2176</v>
      </c>
      <c r="C128" s="2413"/>
      <c r="D128" s="2413"/>
      <c r="E128" s="2413"/>
      <c r="F128" s="2413"/>
      <c r="G128" s="2413"/>
      <c r="H128" s="2413"/>
      <c r="I128" s="2172">
        <v>0</v>
      </c>
      <c r="J128" s="2172"/>
      <c r="K128" s="2172"/>
      <c r="L128" s="2172"/>
      <c r="M128" s="2172"/>
      <c r="N128" s="2172"/>
      <c r="O128" s="2172">
        <v>0</v>
      </c>
      <c r="P128" s="2172"/>
      <c r="Q128" s="2172"/>
      <c r="R128" s="2172"/>
      <c r="S128" s="2172"/>
      <c r="T128" s="2172"/>
      <c r="U128" s="2173"/>
      <c r="V128" s="1206"/>
      <c r="W128" s="1206"/>
      <c r="X128" s="2398"/>
      <c r="Y128" s="2399"/>
      <c r="Z128" s="2399"/>
      <c r="AA128" s="2399"/>
      <c r="AB128" s="2399"/>
      <c r="AC128" s="2399"/>
      <c r="AD128" s="2399"/>
      <c r="AE128" s="2399"/>
      <c r="AF128" s="2399"/>
      <c r="AG128" s="2399"/>
      <c r="AH128" s="2399"/>
      <c r="AI128" s="2399"/>
      <c r="AJ128" s="2399"/>
      <c r="AK128" s="2399"/>
      <c r="AL128" s="2399"/>
      <c r="AM128" s="2399"/>
      <c r="AN128" s="2399"/>
      <c r="AO128" s="2399"/>
      <c r="AP128" s="2399"/>
      <c r="AQ128" s="2399"/>
      <c r="AR128" s="2399"/>
      <c r="AS128" s="2399"/>
      <c r="AT128" s="2399"/>
      <c r="AU128" s="2399"/>
      <c r="AV128" s="2399"/>
      <c r="AW128" s="2399"/>
      <c r="AX128" s="2399"/>
      <c r="AY128" s="2399"/>
      <c r="AZ128" s="2399"/>
      <c r="BA128" s="2399"/>
      <c r="BB128" s="2399"/>
      <c r="BC128" s="2399"/>
      <c r="BD128" s="2400"/>
      <c r="BE128" s="1202"/>
    </row>
    <row r="129" spans="1:57" ht="15.75" customHeight="1" thickBot="1">
      <c r="A129" s="1206"/>
      <c r="B129" s="2414" t="s">
        <v>2177</v>
      </c>
      <c r="C129" s="2415"/>
      <c r="D129" s="2415"/>
      <c r="E129" s="2415"/>
      <c r="F129" s="2415"/>
      <c r="G129" s="2415"/>
      <c r="H129" s="2415"/>
      <c r="I129" s="2170">
        <v>0</v>
      </c>
      <c r="J129" s="2170"/>
      <c r="K129" s="2170"/>
      <c r="L129" s="2170"/>
      <c r="M129" s="2170"/>
      <c r="N129" s="2170"/>
      <c r="O129" s="2437"/>
      <c r="P129" s="2437"/>
      <c r="Q129" s="2437"/>
      <c r="R129" s="2437"/>
      <c r="S129" s="2437"/>
      <c r="T129" s="2437"/>
      <c r="U129" s="2438"/>
      <c r="V129" s="1206"/>
      <c r="W129" s="1206"/>
      <c r="X129" s="2398"/>
      <c r="Y129" s="2399"/>
      <c r="Z129" s="2399"/>
      <c r="AA129" s="2399"/>
      <c r="AB129" s="2399"/>
      <c r="AC129" s="2399"/>
      <c r="AD129" s="2399"/>
      <c r="AE129" s="2399"/>
      <c r="AF129" s="2399"/>
      <c r="AG129" s="2399"/>
      <c r="AH129" s="2399"/>
      <c r="AI129" s="2399"/>
      <c r="AJ129" s="2399"/>
      <c r="AK129" s="2399"/>
      <c r="AL129" s="2399"/>
      <c r="AM129" s="2399"/>
      <c r="AN129" s="2399"/>
      <c r="AO129" s="2399"/>
      <c r="AP129" s="2399"/>
      <c r="AQ129" s="2399"/>
      <c r="AR129" s="2399"/>
      <c r="AS129" s="2399"/>
      <c r="AT129" s="2399"/>
      <c r="AU129" s="2399"/>
      <c r="AV129" s="2399"/>
      <c r="AW129" s="2399"/>
      <c r="AX129" s="2399"/>
      <c r="AY129" s="2399"/>
      <c r="AZ129" s="2399"/>
      <c r="BA129" s="2399"/>
      <c r="BB129" s="2399"/>
      <c r="BC129" s="2399"/>
      <c r="BD129" s="240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8"/>
      <c r="Y130" s="2399"/>
      <c r="Z130" s="2399"/>
      <c r="AA130" s="2399"/>
      <c r="AB130" s="2399"/>
      <c r="AC130" s="2399"/>
      <c r="AD130" s="2399"/>
      <c r="AE130" s="2399"/>
      <c r="AF130" s="2399"/>
      <c r="AG130" s="2399"/>
      <c r="AH130" s="2399"/>
      <c r="AI130" s="2399"/>
      <c r="AJ130" s="2399"/>
      <c r="AK130" s="2399"/>
      <c r="AL130" s="2399"/>
      <c r="AM130" s="2399"/>
      <c r="AN130" s="2399"/>
      <c r="AO130" s="2399"/>
      <c r="AP130" s="2399"/>
      <c r="AQ130" s="2399"/>
      <c r="AR130" s="2399"/>
      <c r="AS130" s="2399"/>
      <c r="AT130" s="2399"/>
      <c r="AU130" s="2399"/>
      <c r="AV130" s="2399"/>
      <c r="AW130" s="2399"/>
      <c r="AX130" s="2399"/>
      <c r="AY130" s="2399"/>
      <c r="AZ130" s="2399"/>
      <c r="BA130" s="2399"/>
      <c r="BB130" s="2399"/>
      <c r="BC130" s="2399"/>
      <c r="BD130" s="2400"/>
      <c r="BE130" s="1202"/>
    </row>
    <row r="131" spans="1:57" ht="15.75" customHeight="1" thickBot="1">
      <c r="A131" s="1206"/>
      <c r="B131" s="1228" t="s">
        <v>1833</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8"/>
      <c r="Y131" s="2399"/>
      <c r="Z131" s="2399"/>
      <c r="AA131" s="2399"/>
      <c r="AB131" s="2399"/>
      <c r="AC131" s="2399"/>
      <c r="AD131" s="2399"/>
      <c r="AE131" s="2399"/>
      <c r="AF131" s="2399"/>
      <c r="AG131" s="2399"/>
      <c r="AH131" s="2399"/>
      <c r="AI131" s="2399"/>
      <c r="AJ131" s="2399"/>
      <c r="AK131" s="2399"/>
      <c r="AL131" s="2399"/>
      <c r="AM131" s="2399"/>
      <c r="AN131" s="2399"/>
      <c r="AO131" s="2399"/>
      <c r="AP131" s="2399"/>
      <c r="AQ131" s="2399"/>
      <c r="AR131" s="2399"/>
      <c r="AS131" s="2399"/>
      <c r="AT131" s="2399"/>
      <c r="AU131" s="2399"/>
      <c r="AV131" s="2399"/>
      <c r="AW131" s="2399"/>
      <c r="AX131" s="2399"/>
      <c r="AY131" s="2399"/>
      <c r="AZ131" s="2399"/>
      <c r="BA131" s="2399"/>
      <c r="BB131" s="2399"/>
      <c r="BC131" s="2399"/>
      <c r="BD131" s="240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8"/>
      <c r="Y132" s="2399"/>
      <c r="Z132" s="2399"/>
      <c r="AA132" s="2399"/>
      <c r="AB132" s="2399"/>
      <c r="AC132" s="2399"/>
      <c r="AD132" s="2399"/>
      <c r="AE132" s="2399"/>
      <c r="AF132" s="2399"/>
      <c r="AG132" s="2399"/>
      <c r="AH132" s="2399"/>
      <c r="AI132" s="2399"/>
      <c r="AJ132" s="2399"/>
      <c r="AK132" s="2399"/>
      <c r="AL132" s="2399"/>
      <c r="AM132" s="2399"/>
      <c r="AN132" s="2399"/>
      <c r="AO132" s="2399"/>
      <c r="AP132" s="2399"/>
      <c r="AQ132" s="2399"/>
      <c r="AR132" s="2399"/>
      <c r="AS132" s="2399"/>
      <c r="AT132" s="2399"/>
      <c r="AU132" s="2399"/>
      <c r="AV132" s="2399"/>
      <c r="AW132" s="2399"/>
      <c r="AX132" s="2399"/>
      <c r="AY132" s="2399"/>
      <c r="AZ132" s="2399"/>
      <c r="BA132" s="2399"/>
      <c r="BB132" s="2399"/>
      <c r="BC132" s="2399"/>
      <c r="BD132" s="2400"/>
      <c r="BE132" s="1202"/>
    </row>
    <row r="133" spans="1:57" ht="15.75" customHeight="1">
      <c r="A133" s="1206"/>
      <c r="B133" s="2427" t="s">
        <v>1834</v>
      </c>
      <c r="C133" s="2428"/>
      <c r="D133" s="2428"/>
      <c r="E133" s="2428"/>
      <c r="F133" s="2428"/>
      <c r="G133" s="2428"/>
      <c r="H133" s="2428"/>
      <c r="I133" s="2428"/>
      <c r="J133" s="2428"/>
      <c r="K133" s="2428"/>
      <c r="L133" s="2428"/>
      <c r="M133" s="2428"/>
      <c r="N133" s="2428"/>
      <c r="O133" s="2428"/>
      <c r="P133" s="2428"/>
      <c r="Q133" s="2428"/>
      <c r="R133" s="2428"/>
      <c r="S133" s="2428"/>
      <c r="T133" s="2428"/>
      <c r="U133" s="2429"/>
      <c r="V133" s="1206"/>
      <c r="W133" s="1206"/>
      <c r="X133" s="2398"/>
      <c r="Y133" s="2399"/>
      <c r="Z133" s="2399"/>
      <c r="AA133" s="2399"/>
      <c r="AB133" s="2399"/>
      <c r="AC133" s="2399"/>
      <c r="AD133" s="2399"/>
      <c r="AE133" s="2399"/>
      <c r="AF133" s="2399"/>
      <c r="AG133" s="2399"/>
      <c r="AH133" s="2399"/>
      <c r="AI133" s="2399"/>
      <c r="AJ133" s="2399"/>
      <c r="AK133" s="2399"/>
      <c r="AL133" s="2399"/>
      <c r="AM133" s="2399"/>
      <c r="AN133" s="2399"/>
      <c r="AO133" s="2399"/>
      <c r="AP133" s="2399"/>
      <c r="AQ133" s="2399"/>
      <c r="AR133" s="2399"/>
      <c r="AS133" s="2399"/>
      <c r="AT133" s="2399"/>
      <c r="AU133" s="2399"/>
      <c r="AV133" s="2399"/>
      <c r="AW133" s="2399"/>
      <c r="AX133" s="2399"/>
      <c r="AY133" s="2399"/>
      <c r="AZ133" s="2399"/>
      <c r="BA133" s="2399"/>
      <c r="BB133" s="2399"/>
      <c r="BC133" s="2399"/>
      <c r="BD133" s="2400"/>
      <c r="BE133" s="1202"/>
    </row>
    <row r="134" spans="1:57" ht="15.75" customHeight="1">
      <c r="A134" s="1206"/>
      <c r="B134" s="2395"/>
      <c r="C134" s="2396"/>
      <c r="D134" s="2396"/>
      <c r="E134" s="2396"/>
      <c r="F134" s="2396"/>
      <c r="G134" s="2396"/>
      <c r="H134" s="2396"/>
      <c r="I134" s="2410" t="s">
        <v>1829</v>
      </c>
      <c r="J134" s="2410"/>
      <c r="K134" s="2410"/>
      <c r="L134" s="2410"/>
      <c r="M134" s="2410"/>
      <c r="N134" s="2410"/>
      <c r="O134" s="2410"/>
      <c r="P134" s="2410" t="s">
        <v>2188</v>
      </c>
      <c r="Q134" s="2410"/>
      <c r="R134" s="2410"/>
      <c r="S134" s="2410"/>
      <c r="T134" s="2410"/>
      <c r="U134" s="2411"/>
      <c r="V134" s="1206"/>
      <c r="W134" s="1206"/>
      <c r="X134" s="2398"/>
      <c r="Y134" s="2399"/>
      <c r="Z134" s="2399"/>
      <c r="AA134" s="2399"/>
      <c r="AB134" s="2399"/>
      <c r="AC134" s="2399"/>
      <c r="AD134" s="2399"/>
      <c r="AE134" s="2399"/>
      <c r="AF134" s="2399"/>
      <c r="AG134" s="2399"/>
      <c r="AH134" s="2399"/>
      <c r="AI134" s="2399"/>
      <c r="AJ134" s="2399"/>
      <c r="AK134" s="2399"/>
      <c r="AL134" s="2399"/>
      <c r="AM134" s="2399"/>
      <c r="AN134" s="2399"/>
      <c r="AO134" s="2399"/>
      <c r="AP134" s="2399"/>
      <c r="AQ134" s="2399"/>
      <c r="AR134" s="2399"/>
      <c r="AS134" s="2399"/>
      <c r="AT134" s="2399"/>
      <c r="AU134" s="2399"/>
      <c r="AV134" s="2399"/>
      <c r="AW134" s="2399"/>
      <c r="AX134" s="2399"/>
      <c r="AY134" s="2399"/>
      <c r="AZ134" s="2399"/>
      <c r="BA134" s="2399"/>
      <c r="BB134" s="2399"/>
      <c r="BC134" s="2399"/>
      <c r="BD134" s="2400"/>
      <c r="BE134" s="1202"/>
    </row>
    <row r="135" spans="1:57" ht="15.75" customHeight="1">
      <c r="A135" s="1206"/>
      <c r="B135" s="2395"/>
      <c r="C135" s="2396"/>
      <c r="D135" s="2396"/>
      <c r="E135" s="2396"/>
      <c r="F135" s="2396"/>
      <c r="G135" s="2396"/>
      <c r="H135" s="2396"/>
      <c r="I135" s="2410"/>
      <c r="J135" s="2410"/>
      <c r="K135" s="2410"/>
      <c r="L135" s="2410"/>
      <c r="M135" s="2410"/>
      <c r="N135" s="2410"/>
      <c r="O135" s="2410"/>
      <c r="P135" s="2410"/>
      <c r="Q135" s="2410"/>
      <c r="R135" s="2410"/>
      <c r="S135" s="2410"/>
      <c r="T135" s="2410"/>
      <c r="U135" s="2411"/>
      <c r="V135" s="1206"/>
      <c r="W135" s="1206"/>
      <c r="X135" s="2398"/>
      <c r="Y135" s="2399"/>
      <c r="Z135" s="2399"/>
      <c r="AA135" s="2399"/>
      <c r="AB135" s="2399"/>
      <c r="AC135" s="2399"/>
      <c r="AD135" s="2399"/>
      <c r="AE135" s="2399"/>
      <c r="AF135" s="2399"/>
      <c r="AG135" s="2399"/>
      <c r="AH135" s="2399"/>
      <c r="AI135" s="2399"/>
      <c r="AJ135" s="2399"/>
      <c r="AK135" s="2399"/>
      <c r="AL135" s="2399"/>
      <c r="AM135" s="2399"/>
      <c r="AN135" s="2399"/>
      <c r="AO135" s="2399"/>
      <c r="AP135" s="2399"/>
      <c r="AQ135" s="2399"/>
      <c r="AR135" s="2399"/>
      <c r="AS135" s="2399"/>
      <c r="AT135" s="2399"/>
      <c r="AU135" s="2399"/>
      <c r="AV135" s="2399"/>
      <c r="AW135" s="2399"/>
      <c r="AX135" s="2399"/>
      <c r="AY135" s="2399"/>
      <c r="AZ135" s="2399"/>
      <c r="BA135" s="2399"/>
      <c r="BB135" s="2399"/>
      <c r="BC135" s="2399"/>
      <c r="BD135" s="2400"/>
      <c r="BE135" s="1202"/>
    </row>
    <row r="136" spans="1:57" ht="15.75" customHeight="1">
      <c r="A136" s="1206"/>
      <c r="B136" s="2412" t="s">
        <v>2176</v>
      </c>
      <c r="C136" s="2413"/>
      <c r="D136" s="2413"/>
      <c r="E136" s="2413"/>
      <c r="F136" s="2413"/>
      <c r="G136" s="2413"/>
      <c r="H136" s="2413"/>
      <c r="I136" s="2172">
        <v>0</v>
      </c>
      <c r="J136" s="2172"/>
      <c r="K136" s="2172"/>
      <c r="L136" s="2172"/>
      <c r="M136" s="2172"/>
      <c r="N136" s="2172"/>
      <c r="O136" s="2172"/>
      <c r="P136" s="2172">
        <v>0</v>
      </c>
      <c r="Q136" s="2172"/>
      <c r="R136" s="2172"/>
      <c r="S136" s="2172"/>
      <c r="T136" s="2172"/>
      <c r="U136" s="2173"/>
      <c r="V136" s="1206"/>
      <c r="W136" s="1206"/>
      <c r="X136" s="2398"/>
      <c r="Y136" s="2399"/>
      <c r="Z136" s="2399"/>
      <c r="AA136" s="2399"/>
      <c r="AB136" s="2399"/>
      <c r="AC136" s="2399"/>
      <c r="AD136" s="2399"/>
      <c r="AE136" s="2399"/>
      <c r="AF136" s="2399"/>
      <c r="AG136" s="2399"/>
      <c r="AH136" s="2399"/>
      <c r="AI136" s="2399"/>
      <c r="AJ136" s="2399"/>
      <c r="AK136" s="2399"/>
      <c r="AL136" s="2399"/>
      <c r="AM136" s="2399"/>
      <c r="AN136" s="2399"/>
      <c r="AO136" s="2399"/>
      <c r="AP136" s="2399"/>
      <c r="AQ136" s="2399"/>
      <c r="AR136" s="2399"/>
      <c r="AS136" s="2399"/>
      <c r="AT136" s="2399"/>
      <c r="AU136" s="2399"/>
      <c r="AV136" s="2399"/>
      <c r="AW136" s="2399"/>
      <c r="AX136" s="2399"/>
      <c r="AY136" s="2399"/>
      <c r="AZ136" s="2399"/>
      <c r="BA136" s="2399"/>
      <c r="BB136" s="2399"/>
      <c r="BC136" s="2399"/>
      <c r="BD136" s="2400"/>
      <c r="BE136" s="1202"/>
    </row>
    <row r="137" spans="1:57" ht="15.75" customHeight="1" thickBot="1">
      <c r="A137" s="1206"/>
      <c r="B137" s="2414" t="s">
        <v>2177</v>
      </c>
      <c r="C137" s="2415"/>
      <c r="D137" s="2415"/>
      <c r="E137" s="2415"/>
      <c r="F137" s="2415"/>
      <c r="G137" s="2415"/>
      <c r="H137" s="2415"/>
      <c r="I137" s="2170">
        <v>0</v>
      </c>
      <c r="J137" s="2170"/>
      <c r="K137" s="2170"/>
      <c r="L137" s="2170"/>
      <c r="M137" s="2170"/>
      <c r="N137" s="2170"/>
      <c r="O137" s="2170"/>
      <c r="P137" s="2170">
        <v>0</v>
      </c>
      <c r="Q137" s="2170"/>
      <c r="R137" s="2170"/>
      <c r="S137" s="2170"/>
      <c r="T137" s="2170"/>
      <c r="U137" s="2171"/>
      <c r="V137" s="1206"/>
      <c r="W137" s="1206"/>
      <c r="X137" s="2401"/>
      <c r="Y137" s="2402"/>
      <c r="Z137" s="2402"/>
      <c r="AA137" s="2402"/>
      <c r="AB137" s="2402"/>
      <c r="AC137" s="2402"/>
      <c r="AD137" s="2402"/>
      <c r="AE137" s="2402"/>
      <c r="AF137" s="2402"/>
      <c r="AG137" s="2402"/>
      <c r="AH137" s="2402"/>
      <c r="AI137" s="2402"/>
      <c r="AJ137" s="2402"/>
      <c r="AK137" s="2402"/>
      <c r="AL137" s="2402"/>
      <c r="AM137" s="2402"/>
      <c r="AN137" s="2402"/>
      <c r="AO137" s="2402"/>
      <c r="AP137" s="2402"/>
      <c r="AQ137" s="2402"/>
      <c r="AR137" s="2402"/>
      <c r="AS137" s="2402"/>
      <c r="AT137" s="2402"/>
      <c r="AU137" s="2402"/>
      <c r="AV137" s="2402"/>
      <c r="AW137" s="2402"/>
      <c r="AX137" s="2402"/>
      <c r="AY137" s="2402"/>
      <c r="AZ137" s="2402"/>
      <c r="BA137" s="2402"/>
      <c r="BB137" s="2402"/>
      <c r="BC137" s="2402"/>
      <c r="BD137" s="2403"/>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2" t="s">
        <v>1835</v>
      </c>
      <c r="C139" s="2393"/>
      <c r="D139" s="2393"/>
      <c r="E139" s="2393"/>
      <c r="F139" s="2393"/>
      <c r="G139" s="2393"/>
      <c r="H139" s="2393"/>
      <c r="I139" s="2393"/>
      <c r="J139" s="2393"/>
      <c r="K139" s="2393"/>
      <c r="L139" s="2393"/>
      <c r="M139" s="2393"/>
      <c r="N139" s="2393"/>
      <c r="O139" s="2393"/>
      <c r="P139" s="2393"/>
      <c r="Q139" s="2393"/>
      <c r="R139" s="2393"/>
      <c r="S139" s="2393"/>
      <c r="T139" s="2393"/>
      <c r="U139" s="2393"/>
      <c r="V139" s="2393"/>
      <c r="W139" s="2393"/>
      <c r="X139" s="2393"/>
      <c r="Y139" s="2393"/>
      <c r="Z139" s="2393"/>
      <c r="AA139" s="2393"/>
      <c r="AB139" s="2393"/>
      <c r="AC139" s="2393"/>
      <c r="AD139" s="2393"/>
      <c r="AE139" s="2393"/>
      <c r="AF139" s="2393"/>
      <c r="AG139" s="2393"/>
      <c r="AH139" s="2231" t="s">
        <v>554</v>
      </c>
      <c r="AI139" s="2231"/>
      <c r="AJ139" s="2231"/>
      <c r="AK139" s="2231"/>
      <c r="AL139" s="2231"/>
      <c r="AM139" s="2231"/>
      <c r="AN139" s="2231"/>
      <c r="AO139" s="2231"/>
      <c r="AP139" s="2231"/>
      <c r="AQ139" s="2231"/>
      <c r="AR139" s="2231"/>
      <c r="AS139" s="2231"/>
      <c r="AT139" s="2231"/>
      <c r="AU139" s="2231"/>
      <c r="AV139" s="2231"/>
      <c r="AW139" s="2231"/>
      <c r="AX139" s="2232"/>
      <c r="AY139" s="1206"/>
      <c r="AZ139" s="1206"/>
      <c r="BA139" s="1206"/>
      <c r="BB139" s="1206"/>
      <c r="BC139" s="1206"/>
      <c r="BD139" s="1206"/>
      <c r="BE139" s="1202"/>
    </row>
    <row r="140" spans="1:57" ht="15.75" customHeight="1">
      <c r="A140" s="1206"/>
      <c r="B140" s="2417" t="s">
        <v>1836</v>
      </c>
      <c r="C140" s="2418"/>
      <c r="D140" s="2418"/>
      <c r="E140" s="2418"/>
      <c r="F140" s="2418"/>
      <c r="G140" s="2418"/>
      <c r="H140" s="2418"/>
      <c r="I140" s="2418"/>
      <c r="J140" s="2418"/>
      <c r="K140" s="2418"/>
      <c r="L140" s="2418"/>
      <c r="M140" s="2418"/>
      <c r="N140" s="2418"/>
      <c r="O140" s="2418"/>
      <c r="P140" s="2418"/>
      <c r="Q140" s="2418"/>
      <c r="R140" s="2419" t="s">
        <v>2190</v>
      </c>
      <c r="S140" s="2419"/>
      <c r="T140" s="2419"/>
      <c r="U140" s="2419"/>
      <c r="V140" s="2419"/>
      <c r="W140" s="2419"/>
      <c r="X140" s="2419"/>
      <c r="Y140" s="2419"/>
      <c r="Z140" s="2419"/>
      <c r="AA140" s="2419"/>
      <c r="AB140" s="2419"/>
      <c r="AC140" s="2419"/>
      <c r="AD140" s="2419"/>
      <c r="AE140" s="2419"/>
      <c r="AF140" s="2419"/>
      <c r="AG140" s="2419"/>
      <c r="AH140" s="2419"/>
      <c r="AI140" s="2419"/>
      <c r="AJ140" s="2419"/>
      <c r="AK140" s="2419"/>
      <c r="AL140" s="2419"/>
      <c r="AM140" s="2419"/>
      <c r="AN140" s="2419"/>
      <c r="AO140" s="2419"/>
      <c r="AP140" s="2419"/>
      <c r="AQ140" s="2419"/>
      <c r="AR140" s="2419"/>
      <c r="AS140" s="2419"/>
      <c r="AT140" s="2419"/>
      <c r="AU140" s="2419"/>
      <c r="AV140" s="2419"/>
      <c r="AW140" s="2419"/>
      <c r="AX140" s="2420"/>
      <c r="AY140" s="1206"/>
      <c r="AZ140" s="1206"/>
      <c r="BA140" s="1206"/>
      <c r="BB140" s="1206"/>
      <c r="BC140" s="1206" t="s">
        <v>251</v>
      </c>
      <c r="BD140" s="1206"/>
      <c r="BE140" s="1202"/>
    </row>
    <row r="141" spans="1:57" ht="15.75" customHeight="1">
      <c r="A141" s="1206"/>
      <c r="B141" s="2421" t="s">
        <v>2191</v>
      </c>
      <c r="C141" s="2422"/>
      <c r="D141" s="2422"/>
      <c r="E141" s="2422"/>
      <c r="F141" s="2422"/>
      <c r="G141" s="2422"/>
      <c r="H141" s="2422"/>
      <c r="I141" s="2422"/>
      <c r="J141" s="2422"/>
      <c r="K141" s="2422"/>
      <c r="L141" s="2422"/>
      <c r="M141" s="2422"/>
      <c r="N141" s="2422"/>
      <c r="O141" s="2422"/>
      <c r="P141" s="2422"/>
      <c r="Q141" s="2422"/>
      <c r="R141" s="2422"/>
      <c r="S141" s="2422"/>
      <c r="T141" s="2422"/>
      <c r="U141" s="2422"/>
      <c r="V141" s="2422"/>
      <c r="W141" s="2422"/>
      <c r="X141" s="2422"/>
      <c r="Y141" s="2422"/>
      <c r="Z141" s="2422"/>
      <c r="AA141" s="2422"/>
      <c r="AB141" s="2422"/>
      <c r="AC141" s="2422"/>
      <c r="AD141" s="2422"/>
      <c r="AE141" s="2422"/>
      <c r="AF141" s="2422"/>
      <c r="AG141" s="2422"/>
      <c r="AH141" s="2422"/>
      <c r="AI141" s="2422"/>
      <c r="AJ141" s="2422"/>
      <c r="AK141" s="2422"/>
      <c r="AL141" s="2422"/>
      <c r="AM141" s="2422"/>
      <c r="AN141" s="2422"/>
      <c r="AO141" s="2422"/>
      <c r="AP141" s="2422"/>
      <c r="AQ141" s="2422"/>
      <c r="AR141" s="2422"/>
      <c r="AS141" s="2422"/>
      <c r="AT141" s="2422"/>
      <c r="AU141" s="2422"/>
      <c r="AV141" s="2422"/>
      <c r="AW141" s="2422"/>
      <c r="AX141" s="2423"/>
      <c r="AY141" s="1206"/>
      <c r="AZ141" s="1206"/>
      <c r="BA141" s="1206"/>
      <c r="BB141" s="1206"/>
      <c r="BC141" s="1206"/>
      <c r="BD141" s="1206"/>
      <c r="BE141" s="1202"/>
    </row>
    <row r="142" spans="1:57" ht="15.75" customHeight="1">
      <c r="A142" s="1206"/>
      <c r="B142" s="2421"/>
      <c r="C142" s="2422"/>
      <c r="D142" s="2422"/>
      <c r="E142" s="2422"/>
      <c r="F142" s="2422"/>
      <c r="G142" s="2422"/>
      <c r="H142" s="2422"/>
      <c r="I142" s="2422"/>
      <c r="J142" s="2422"/>
      <c r="K142" s="2422"/>
      <c r="L142" s="2422"/>
      <c r="M142" s="2422"/>
      <c r="N142" s="2422"/>
      <c r="O142" s="2422"/>
      <c r="P142" s="2422"/>
      <c r="Q142" s="2422"/>
      <c r="R142" s="2422"/>
      <c r="S142" s="2422"/>
      <c r="T142" s="2422"/>
      <c r="U142" s="2422"/>
      <c r="V142" s="2422"/>
      <c r="W142" s="2422"/>
      <c r="X142" s="2422"/>
      <c r="Y142" s="2422"/>
      <c r="Z142" s="2422"/>
      <c r="AA142" s="2422"/>
      <c r="AB142" s="2422"/>
      <c r="AC142" s="2422"/>
      <c r="AD142" s="2422"/>
      <c r="AE142" s="2422"/>
      <c r="AF142" s="2422"/>
      <c r="AG142" s="2422"/>
      <c r="AH142" s="2422"/>
      <c r="AI142" s="2422"/>
      <c r="AJ142" s="2422"/>
      <c r="AK142" s="2422"/>
      <c r="AL142" s="2422"/>
      <c r="AM142" s="2422"/>
      <c r="AN142" s="2422"/>
      <c r="AO142" s="2422"/>
      <c r="AP142" s="2422"/>
      <c r="AQ142" s="2422"/>
      <c r="AR142" s="2422"/>
      <c r="AS142" s="2422"/>
      <c r="AT142" s="2422"/>
      <c r="AU142" s="2422"/>
      <c r="AV142" s="2422"/>
      <c r="AW142" s="2422"/>
      <c r="AX142" s="2423"/>
      <c r="AY142" s="1206"/>
      <c r="AZ142" s="1206"/>
      <c r="BA142" s="1206"/>
      <c r="BB142" s="1206"/>
      <c r="BC142" s="1206"/>
      <c r="BD142" s="1206"/>
      <c r="BE142" s="1202"/>
    </row>
    <row r="143" spans="1:57" ht="15.75" customHeight="1">
      <c r="A143" s="1206"/>
      <c r="B143" s="2421"/>
      <c r="C143" s="2422"/>
      <c r="D143" s="2422"/>
      <c r="E143" s="2422"/>
      <c r="F143" s="2422"/>
      <c r="G143" s="2422"/>
      <c r="H143" s="2422"/>
      <c r="I143" s="2422"/>
      <c r="J143" s="2422"/>
      <c r="K143" s="2422"/>
      <c r="L143" s="2422"/>
      <c r="M143" s="2422"/>
      <c r="N143" s="2422"/>
      <c r="O143" s="2422"/>
      <c r="P143" s="2422"/>
      <c r="Q143" s="2422"/>
      <c r="R143" s="2422"/>
      <c r="S143" s="2422"/>
      <c r="T143" s="2422"/>
      <c r="U143" s="2422"/>
      <c r="V143" s="2422"/>
      <c r="W143" s="2422"/>
      <c r="X143" s="2422"/>
      <c r="Y143" s="2422"/>
      <c r="Z143" s="2422"/>
      <c r="AA143" s="2422"/>
      <c r="AB143" s="2422"/>
      <c r="AC143" s="2422"/>
      <c r="AD143" s="2422"/>
      <c r="AE143" s="2422"/>
      <c r="AF143" s="2422"/>
      <c r="AG143" s="2422"/>
      <c r="AH143" s="2422"/>
      <c r="AI143" s="2422"/>
      <c r="AJ143" s="2422"/>
      <c r="AK143" s="2422"/>
      <c r="AL143" s="2422"/>
      <c r="AM143" s="2422"/>
      <c r="AN143" s="2422"/>
      <c r="AO143" s="2422"/>
      <c r="AP143" s="2422"/>
      <c r="AQ143" s="2422"/>
      <c r="AR143" s="2422"/>
      <c r="AS143" s="2422"/>
      <c r="AT143" s="2422"/>
      <c r="AU143" s="2422"/>
      <c r="AV143" s="2422"/>
      <c r="AW143" s="2422"/>
      <c r="AX143" s="2423"/>
      <c r="AY143" s="1206"/>
      <c r="AZ143" s="1206"/>
      <c r="BA143" s="1206"/>
      <c r="BB143" s="1206"/>
      <c r="BC143" s="1206"/>
      <c r="BD143" s="1206"/>
      <c r="BE143" s="1202"/>
    </row>
    <row r="144" spans="1:57" ht="15.75" customHeight="1">
      <c r="A144" s="1206"/>
      <c r="B144" s="2421"/>
      <c r="C144" s="2422"/>
      <c r="D144" s="2422"/>
      <c r="E144" s="2422"/>
      <c r="F144" s="2422"/>
      <c r="G144" s="2422"/>
      <c r="H144" s="2422"/>
      <c r="I144" s="2422"/>
      <c r="J144" s="2422"/>
      <c r="K144" s="2422"/>
      <c r="L144" s="2422"/>
      <c r="M144" s="2422"/>
      <c r="N144" s="2422"/>
      <c r="O144" s="2422"/>
      <c r="P144" s="2422"/>
      <c r="Q144" s="2422"/>
      <c r="R144" s="2422"/>
      <c r="S144" s="2422"/>
      <c r="T144" s="2422"/>
      <c r="U144" s="2422"/>
      <c r="V144" s="2422"/>
      <c r="W144" s="2422"/>
      <c r="X144" s="2422"/>
      <c r="Y144" s="2422"/>
      <c r="Z144" s="2422"/>
      <c r="AA144" s="2422"/>
      <c r="AB144" s="2422"/>
      <c r="AC144" s="2422"/>
      <c r="AD144" s="2422"/>
      <c r="AE144" s="2422"/>
      <c r="AF144" s="2422"/>
      <c r="AG144" s="2422"/>
      <c r="AH144" s="2422"/>
      <c r="AI144" s="2422"/>
      <c r="AJ144" s="2422"/>
      <c r="AK144" s="2422"/>
      <c r="AL144" s="2422"/>
      <c r="AM144" s="2422"/>
      <c r="AN144" s="2422"/>
      <c r="AO144" s="2422"/>
      <c r="AP144" s="2422"/>
      <c r="AQ144" s="2422"/>
      <c r="AR144" s="2422"/>
      <c r="AS144" s="2422"/>
      <c r="AT144" s="2422"/>
      <c r="AU144" s="2422"/>
      <c r="AV144" s="2422"/>
      <c r="AW144" s="2422"/>
      <c r="AX144" s="2423"/>
      <c r="AY144" s="1206"/>
      <c r="AZ144" s="1206"/>
      <c r="BA144" s="1206"/>
      <c r="BB144" s="1206"/>
      <c r="BC144" s="1206"/>
      <c r="BD144" s="1206"/>
      <c r="BE144" s="1202"/>
    </row>
    <row r="145" spans="1:57" ht="15.75" customHeight="1">
      <c r="A145" s="1206"/>
      <c r="B145" s="2421"/>
      <c r="C145" s="2422"/>
      <c r="D145" s="2422"/>
      <c r="E145" s="2422"/>
      <c r="F145" s="2422"/>
      <c r="G145" s="2422"/>
      <c r="H145" s="2422"/>
      <c r="I145" s="2422"/>
      <c r="J145" s="2422"/>
      <c r="K145" s="2422"/>
      <c r="L145" s="2422"/>
      <c r="M145" s="2422"/>
      <c r="N145" s="2422"/>
      <c r="O145" s="2422"/>
      <c r="P145" s="2422"/>
      <c r="Q145" s="2422"/>
      <c r="R145" s="2422"/>
      <c r="S145" s="2422"/>
      <c r="T145" s="2422"/>
      <c r="U145" s="2422"/>
      <c r="V145" s="2422"/>
      <c r="W145" s="2422"/>
      <c r="X145" s="2422"/>
      <c r="Y145" s="2422"/>
      <c r="Z145" s="2422"/>
      <c r="AA145" s="2422"/>
      <c r="AB145" s="2422"/>
      <c r="AC145" s="2422"/>
      <c r="AD145" s="2422"/>
      <c r="AE145" s="2422"/>
      <c r="AF145" s="2422"/>
      <c r="AG145" s="2422"/>
      <c r="AH145" s="2422"/>
      <c r="AI145" s="2422"/>
      <c r="AJ145" s="2422"/>
      <c r="AK145" s="2422"/>
      <c r="AL145" s="2422"/>
      <c r="AM145" s="2422"/>
      <c r="AN145" s="2422"/>
      <c r="AO145" s="2422"/>
      <c r="AP145" s="2422"/>
      <c r="AQ145" s="2422"/>
      <c r="AR145" s="2422"/>
      <c r="AS145" s="2422"/>
      <c r="AT145" s="2422"/>
      <c r="AU145" s="2422"/>
      <c r="AV145" s="2422"/>
      <c r="AW145" s="2422"/>
      <c r="AX145" s="2423"/>
      <c r="AY145" s="1206"/>
      <c r="AZ145" s="1206"/>
      <c r="BA145" s="1206"/>
      <c r="BB145" s="1206"/>
      <c r="BC145" s="1206"/>
      <c r="BD145" s="1206"/>
      <c r="BE145" s="1202"/>
    </row>
    <row r="146" spans="1:57" ht="15.75" customHeight="1">
      <c r="A146" s="1206"/>
      <c r="B146" s="2421"/>
      <c r="C146" s="2422"/>
      <c r="D146" s="2422"/>
      <c r="E146" s="2422"/>
      <c r="F146" s="2422"/>
      <c r="G146" s="2422"/>
      <c r="H146" s="2422"/>
      <c r="I146" s="2422"/>
      <c r="J146" s="2422"/>
      <c r="K146" s="2422"/>
      <c r="L146" s="2422"/>
      <c r="M146" s="2422"/>
      <c r="N146" s="2422"/>
      <c r="O146" s="2422"/>
      <c r="P146" s="2422"/>
      <c r="Q146" s="2422"/>
      <c r="R146" s="2422"/>
      <c r="S146" s="2422"/>
      <c r="T146" s="2422"/>
      <c r="U146" s="2422"/>
      <c r="V146" s="2422"/>
      <c r="W146" s="2422"/>
      <c r="X146" s="2422"/>
      <c r="Y146" s="2422"/>
      <c r="Z146" s="2422"/>
      <c r="AA146" s="2422"/>
      <c r="AB146" s="2422"/>
      <c r="AC146" s="2422"/>
      <c r="AD146" s="2422"/>
      <c r="AE146" s="2422"/>
      <c r="AF146" s="2422"/>
      <c r="AG146" s="2422"/>
      <c r="AH146" s="2422"/>
      <c r="AI146" s="2422"/>
      <c r="AJ146" s="2422"/>
      <c r="AK146" s="2422"/>
      <c r="AL146" s="2422"/>
      <c r="AM146" s="2422"/>
      <c r="AN146" s="2422"/>
      <c r="AO146" s="2422"/>
      <c r="AP146" s="2422"/>
      <c r="AQ146" s="2422"/>
      <c r="AR146" s="2422"/>
      <c r="AS146" s="2422"/>
      <c r="AT146" s="2422"/>
      <c r="AU146" s="2422"/>
      <c r="AV146" s="2422"/>
      <c r="AW146" s="2422"/>
      <c r="AX146" s="2423"/>
      <c r="AY146" s="1206"/>
      <c r="AZ146" s="1206"/>
      <c r="BA146" s="1206"/>
      <c r="BB146" s="1206"/>
      <c r="BC146" s="1206"/>
      <c r="BD146" s="1206"/>
      <c r="BE146" s="1202"/>
    </row>
    <row r="147" spans="1:57" ht="15.75" customHeight="1">
      <c r="A147" s="1206"/>
      <c r="B147" s="2421"/>
      <c r="C147" s="2422"/>
      <c r="D147" s="2422"/>
      <c r="E147" s="2422"/>
      <c r="F147" s="2422"/>
      <c r="G147" s="2422"/>
      <c r="H147" s="2422"/>
      <c r="I147" s="2422"/>
      <c r="J147" s="2422"/>
      <c r="K147" s="2422"/>
      <c r="L147" s="2422"/>
      <c r="M147" s="2422"/>
      <c r="N147" s="2422"/>
      <c r="O147" s="2422"/>
      <c r="P147" s="2422"/>
      <c r="Q147" s="2422"/>
      <c r="R147" s="2422"/>
      <c r="S147" s="2422"/>
      <c r="T147" s="2422"/>
      <c r="U147" s="2422"/>
      <c r="V147" s="2422"/>
      <c r="W147" s="2422"/>
      <c r="X147" s="2422"/>
      <c r="Y147" s="2422"/>
      <c r="Z147" s="2422"/>
      <c r="AA147" s="2422"/>
      <c r="AB147" s="2422"/>
      <c r="AC147" s="2422"/>
      <c r="AD147" s="2422"/>
      <c r="AE147" s="2422"/>
      <c r="AF147" s="2422"/>
      <c r="AG147" s="2422"/>
      <c r="AH147" s="2422"/>
      <c r="AI147" s="2422"/>
      <c r="AJ147" s="2422"/>
      <c r="AK147" s="2422"/>
      <c r="AL147" s="2422"/>
      <c r="AM147" s="2422"/>
      <c r="AN147" s="2422"/>
      <c r="AO147" s="2422"/>
      <c r="AP147" s="2422"/>
      <c r="AQ147" s="2422"/>
      <c r="AR147" s="2422"/>
      <c r="AS147" s="2422"/>
      <c r="AT147" s="2422"/>
      <c r="AU147" s="2422"/>
      <c r="AV147" s="2422"/>
      <c r="AW147" s="2422"/>
      <c r="AX147" s="2423"/>
      <c r="AY147" s="1206"/>
      <c r="AZ147" s="1206"/>
      <c r="BA147" s="1206"/>
      <c r="BB147" s="1206"/>
      <c r="BC147" s="1206"/>
      <c r="BD147" s="1206"/>
      <c r="BE147" s="1202"/>
    </row>
    <row r="148" spans="1:57" ht="15.75" customHeight="1">
      <c r="A148" s="1206"/>
      <c r="B148" s="2421"/>
      <c r="C148" s="2422"/>
      <c r="D148" s="2422"/>
      <c r="E148" s="2422"/>
      <c r="F148" s="2422"/>
      <c r="G148" s="2422"/>
      <c r="H148" s="2422"/>
      <c r="I148" s="2422"/>
      <c r="J148" s="2422"/>
      <c r="K148" s="2422"/>
      <c r="L148" s="2422"/>
      <c r="M148" s="2422"/>
      <c r="N148" s="2422"/>
      <c r="O148" s="2422"/>
      <c r="P148" s="2422"/>
      <c r="Q148" s="2422"/>
      <c r="R148" s="2422"/>
      <c r="S148" s="2422"/>
      <c r="T148" s="2422"/>
      <c r="U148" s="2422"/>
      <c r="V148" s="2422"/>
      <c r="W148" s="2422"/>
      <c r="X148" s="2422"/>
      <c r="Y148" s="2422"/>
      <c r="Z148" s="2422"/>
      <c r="AA148" s="2422"/>
      <c r="AB148" s="2422"/>
      <c r="AC148" s="2422"/>
      <c r="AD148" s="2422"/>
      <c r="AE148" s="2422"/>
      <c r="AF148" s="2422"/>
      <c r="AG148" s="2422"/>
      <c r="AH148" s="2422"/>
      <c r="AI148" s="2422"/>
      <c r="AJ148" s="2422"/>
      <c r="AK148" s="2422"/>
      <c r="AL148" s="2422"/>
      <c r="AM148" s="2422"/>
      <c r="AN148" s="2422"/>
      <c r="AO148" s="2422"/>
      <c r="AP148" s="2422"/>
      <c r="AQ148" s="2422"/>
      <c r="AR148" s="2422"/>
      <c r="AS148" s="2422"/>
      <c r="AT148" s="2422"/>
      <c r="AU148" s="2422"/>
      <c r="AV148" s="2422"/>
      <c r="AW148" s="2422"/>
      <c r="AX148" s="2423"/>
      <c r="AY148" s="1206"/>
      <c r="AZ148" s="1206"/>
      <c r="BA148" s="1206"/>
      <c r="BB148" s="1206"/>
      <c r="BC148" s="1206"/>
      <c r="BD148" s="1206"/>
      <c r="BE148" s="1202"/>
    </row>
    <row r="149" spans="1:57" ht="15.75" customHeight="1">
      <c r="A149" s="1206"/>
      <c r="B149" s="2421"/>
      <c r="C149" s="2422"/>
      <c r="D149" s="2422"/>
      <c r="E149" s="2422"/>
      <c r="F149" s="2422"/>
      <c r="G149" s="2422"/>
      <c r="H149" s="2422"/>
      <c r="I149" s="2422"/>
      <c r="J149" s="2422"/>
      <c r="K149" s="2422"/>
      <c r="L149" s="2422"/>
      <c r="M149" s="2422"/>
      <c r="N149" s="2422"/>
      <c r="O149" s="2422"/>
      <c r="P149" s="2422"/>
      <c r="Q149" s="2422"/>
      <c r="R149" s="2422"/>
      <c r="S149" s="2422"/>
      <c r="T149" s="2422"/>
      <c r="U149" s="2422"/>
      <c r="V149" s="2422"/>
      <c r="W149" s="2422"/>
      <c r="X149" s="2422"/>
      <c r="Y149" s="2422"/>
      <c r="Z149" s="2422"/>
      <c r="AA149" s="2422"/>
      <c r="AB149" s="2422"/>
      <c r="AC149" s="2422"/>
      <c r="AD149" s="2422"/>
      <c r="AE149" s="2422"/>
      <c r="AF149" s="2422"/>
      <c r="AG149" s="2422"/>
      <c r="AH149" s="2422"/>
      <c r="AI149" s="2422"/>
      <c r="AJ149" s="2422"/>
      <c r="AK149" s="2422"/>
      <c r="AL149" s="2422"/>
      <c r="AM149" s="2422"/>
      <c r="AN149" s="2422"/>
      <c r="AO149" s="2422"/>
      <c r="AP149" s="2422"/>
      <c r="AQ149" s="2422"/>
      <c r="AR149" s="2422"/>
      <c r="AS149" s="2422"/>
      <c r="AT149" s="2422"/>
      <c r="AU149" s="2422"/>
      <c r="AV149" s="2422"/>
      <c r="AW149" s="2422"/>
      <c r="AX149" s="2423"/>
      <c r="AY149" s="1206"/>
      <c r="AZ149" s="1206"/>
      <c r="BA149" s="1206"/>
      <c r="BB149" s="1206"/>
      <c r="BC149" s="1206"/>
      <c r="BD149" s="1206"/>
      <c r="BE149" s="1202"/>
    </row>
    <row r="150" spans="1:57" ht="15.75" customHeight="1" thickBot="1">
      <c r="A150" s="1206"/>
      <c r="B150" s="2424"/>
      <c r="C150" s="2425"/>
      <c r="D150" s="2425"/>
      <c r="E150" s="2425"/>
      <c r="F150" s="2425"/>
      <c r="G150" s="2425"/>
      <c r="H150" s="2425"/>
      <c r="I150" s="2425"/>
      <c r="J150" s="2425"/>
      <c r="K150" s="2425"/>
      <c r="L150" s="2425"/>
      <c r="M150" s="2425"/>
      <c r="N150" s="2425"/>
      <c r="O150" s="2425"/>
      <c r="P150" s="2425"/>
      <c r="Q150" s="2425"/>
      <c r="R150" s="2425"/>
      <c r="S150" s="2425"/>
      <c r="T150" s="2425"/>
      <c r="U150" s="2425"/>
      <c r="V150" s="2425"/>
      <c r="W150" s="2425"/>
      <c r="X150" s="2425"/>
      <c r="Y150" s="2425"/>
      <c r="Z150" s="2425"/>
      <c r="AA150" s="2425"/>
      <c r="AB150" s="2425"/>
      <c r="AC150" s="2425"/>
      <c r="AD150" s="2425"/>
      <c r="AE150" s="2425"/>
      <c r="AF150" s="2425"/>
      <c r="AG150" s="2425"/>
      <c r="AH150" s="2425"/>
      <c r="AI150" s="2425"/>
      <c r="AJ150" s="2425"/>
      <c r="AK150" s="2425"/>
      <c r="AL150" s="2425"/>
      <c r="AM150" s="2425"/>
      <c r="AN150" s="2425"/>
      <c r="AO150" s="2425"/>
      <c r="AP150" s="2425"/>
      <c r="AQ150" s="2425"/>
      <c r="AR150" s="2425"/>
      <c r="AS150" s="2425"/>
      <c r="AT150" s="2425"/>
      <c r="AU150" s="2425"/>
      <c r="AV150" s="2425"/>
      <c r="AW150" s="2425"/>
      <c r="AX150" s="242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1837</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2192</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6" t="s">
        <v>1838</v>
      </c>
      <c r="C154" s="2212"/>
      <c r="D154" s="2212"/>
      <c r="E154" s="2212"/>
      <c r="F154" s="2212"/>
      <c r="G154" s="2212"/>
      <c r="H154" s="2212"/>
      <c r="I154" s="2212"/>
      <c r="J154" s="2212"/>
      <c r="K154" s="2212"/>
      <c r="L154" s="2212"/>
      <c r="M154" s="2212"/>
      <c r="N154" s="2212"/>
      <c r="O154" s="2212"/>
      <c r="P154" s="2212"/>
      <c r="Q154" s="2212"/>
      <c r="R154" s="2212"/>
      <c r="S154" s="2212"/>
      <c r="T154" s="2212"/>
      <c r="U154" s="2213"/>
      <c r="V154" s="1206"/>
      <c r="W154" s="1214"/>
      <c r="X154" s="2416" t="s">
        <v>2193</v>
      </c>
      <c r="Y154" s="2212"/>
      <c r="Z154" s="2212"/>
      <c r="AA154" s="2212"/>
      <c r="AB154" s="2212"/>
      <c r="AC154" s="2212"/>
      <c r="AD154" s="2212"/>
      <c r="AE154" s="2212"/>
      <c r="AF154" s="2212"/>
      <c r="AG154" s="2212"/>
      <c r="AH154" s="2212"/>
      <c r="AI154" s="2212"/>
      <c r="AJ154" s="2212"/>
      <c r="AK154" s="2212"/>
      <c r="AL154" s="2212"/>
      <c r="AM154" s="2212"/>
      <c r="AN154" s="2212"/>
      <c r="AO154" s="2212"/>
      <c r="AP154" s="2212"/>
      <c r="AQ154" s="2213"/>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5"/>
      <c r="C155" s="2396"/>
      <c r="D155" s="2396"/>
      <c r="E155" s="2396"/>
      <c r="F155" s="2396"/>
      <c r="G155" s="2396"/>
      <c r="H155" s="2396"/>
      <c r="I155" s="2410" t="s">
        <v>1829</v>
      </c>
      <c r="J155" s="2410"/>
      <c r="K155" s="2410"/>
      <c r="L155" s="2410"/>
      <c r="M155" s="2410"/>
      <c r="N155" s="2410"/>
      <c r="O155" s="2410"/>
      <c r="P155" s="2410" t="s">
        <v>2194</v>
      </c>
      <c r="Q155" s="2410"/>
      <c r="R155" s="2410"/>
      <c r="S155" s="2410"/>
      <c r="T155" s="2410"/>
      <c r="U155" s="2411"/>
      <c r="V155" s="1206"/>
      <c r="W155" s="1206"/>
      <c r="X155" s="2395"/>
      <c r="Y155" s="2396"/>
      <c r="Z155" s="2396"/>
      <c r="AA155" s="2396"/>
      <c r="AB155" s="2396"/>
      <c r="AC155" s="2396"/>
      <c r="AD155" s="2396"/>
      <c r="AE155" s="2410" t="s">
        <v>1829</v>
      </c>
      <c r="AF155" s="2410"/>
      <c r="AG155" s="2410"/>
      <c r="AH155" s="2410"/>
      <c r="AI155" s="2410"/>
      <c r="AJ155" s="2410"/>
      <c r="AK155" s="2410"/>
      <c r="AL155" s="2410" t="s">
        <v>2188</v>
      </c>
      <c r="AM155" s="2410"/>
      <c r="AN155" s="2410"/>
      <c r="AO155" s="2410"/>
      <c r="AP155" s="2410"/>
      <c r="AQ155" s="2411"/>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5"/>
      <c r="C156" s="2396"/>
      <c r="D156" s="2396"/>
      <c r="E156" s="2396"/>
      <c r="F156" s="2396"/>
      <c r="G156" s="2396"/>
      <c r="H156" s="2396"/>
      <c r="I156" s="2410"/>
      <c r="J156" s="2410"/>
      <c r="K156" s="2410"/>
      <c r="L156" s="2410"/>
      <c r="M156" s="2410"/>
      <c r="N156" s="2410"/>
      <c r="O156" s="2410"/>
      <c r="P156" s="2410"/>
      <c r="Q156" s="2410"/>
      <c r="R156" s="2410"/>
      <c r="S156" s="2410"/>
      <c r="T156" s="2410"/>
      <c r="U156" s="2411"/>
      <c r="V156" s="1206"/>
      <c r="W156" s="1206"/>
      <c r="X156" s="2395"/>
      <c r="Y156" s="2396"/>
      <c r="Z156" s="2396"/>
      <c r="AA156" s="2396"/>
      <c r="AB156" s="2396"/>
      <c r="AC156" s="2396"/>
      <c r="AD156" s="2396"/>
      <c r="AE156" s="2410"/>
      <c r="AF156" s="2410"/>
      <c r="AG156" s="2410"/>
      <c r="AH156" s="2410"/>
      <c r="AI156" s="2410"/>
      <c r="AJ156" s="2410"/>
      <c r="AK156" s="2410"/>
      <c r="AL156" s="2410"/>
      <c r="AM156" s="2410"/>
      <c r="AN156" s="2410"/>
      <c r="AO156" s="2410"/>
      <c r="AP156" s="2410"/>
      <c r="AQ156" s="2411"/>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2" t="s">
        <v>2176</v>
      </c>
      <c r="C157" s="2413"/>
      <c r="D157" s="2413"/>
      <c r="E157" s="2413"/>
      <c r="F157" s="2413"/>
      <c r="G157" s="2413"/>
      <c r="H157" s="2413"/>
      <c r="I157" s="2172">
        <v>0</v>
      </c>
      <c r="J157" s="2172"/>
      <c r="K157" s="2172"/>
      <c r="L157" s="2172"/>
      <c r="M157" s="2172"/>
      <c r="N157" s="2172"/>
      <c r="O157" s="2172"/>
      <c r="P157" s="2172">
        <v>0</v>
      </c>
      <c r="Q157" s="2172"/>
      <c r="R157" s="2172"/>
      <c r="S157" s="2172"/>
      <c r="T157" s="2172"/>
      <c r="U157" s="2173"/>
      <c r="V157" s="1206"/>
      <c r="W157" s="1206"/>
      <c r="X157" s="2414" t="s">
        <v>2176</v>
      </c>
      <c r="Y157" s="2415"/>
      <c r="Z157" s="2415"/>
      <c r="AA157" s="2415"/>
      <c r="AB157" s="2415"/>
      <c r="AC157" s="2415"/>
      <c r="AD157" s="2415"/>
      <c r="AE157" s="2170">
        <v>0</v>
      </c>
      <c r="AF157" s="2170"/>
      <c r="AG157" s="2170"/>
      <c r="AH157" s="2170"/>
      <c r="AI157" s="2170"/>
      <c r="AJ157" s="2170"/>
      <c r="AK157" s="2170"/>
      <c r="AL157" s="2170">
        <v>0</v>
      </c>
      <c r="AM157" s="2170"/>
      <c r="AN157" s="2170"/>
      <c r="AO157" s="2170"/>
      <c r="AP157" s="2170"/>
      <c r="AQ157" s="217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4" t="s">
        <v>2177</v>
      </c>
      <c r="C158" s="2415"/>
      <c r="D158" s="2415"/>
      <c r="E158" s="2415"/>
      <c r="F158" s="2415"/>
      <c r="G158" s="2415"/>
      <c r="H158" s="2415"/>
      <c r="I158" s="2170">
        <v>0</v>
      </c>
      <c r="J158" s="2170"/>
      <c r="K158" s="2170"/>
      <c r="L158" s="2170"/>
      <c r="M158" s="2170"/>
      <c r="N158" s="2170"/>
      <c r="O158" s="2170"/>
      <c r="P158" s="2170">
        <v>0</v>
      </c>
      <c r="Q158" s="2170"/>
      <c r="R158" s="2170"/>
      <c r="S158" s="2170"/>
      <c r="T158" s="2170"/>
      <c r="U158" s="217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6" t="s">
        <v>2178</v>
      </c>
      <c r="D160" s="2212"/>
      <c r="E160" s="2212"/>
      <c r="F160" s="2212"/>
      <c r="G160" s="2212"/>
      <c r="H160" s="2212"/>
      <c r="I160" s="2212"/>
      <c r="J160" s="2212"/>
      <c r="K160" s="2212"/>
      <c r="L160" s="2212"/>
      <c r="M160" s="2212"/>
      <c r="N160" s="2212"/>
      <c r="O160" s="2212"/>
      <c r="P160" s="2212"/>
      <c r="Q160" s="2212"/>
      <c r="R160" s="2212"/>
      <c r="S160" s="2212"/>
      <c r="T160" s="2212"/>
      <c r="U160" s="2212"/>
      <c r="V160" s="2212"/>
      <c r="W160" s="2212"/>
      <c r="X160" s="2212"/>
      <c r="Y160" s="2212"/>
      <c r="Z160" s="2212"/>
      <c r="AA160" s="2212"/>
      <c r="AB160" s="2212"/>
      <c r="AC160" s="2212"/>
      <c r="AD160" s="2212"/>
      <c r="AE160" s="2212"/>
      <c r="AF160" s="2212"/>
      <c r="AG160" s="221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5" t="s">
        <v>1839</v>
      </c>
      <c r="D161" s="2396"/>
      <c r="E161" s="2396"/>
      <c r="F161" s="2396"/>
      <c r="G161" s="2396"/>
      <c r="H161" s="2396"/>
      <c r="I161" s="2396"/>
      <c r="J161" s="2396"/>
      <c r="K161" s="2396"/>
      <c r="L161" s="2396"/>
      <c r="M161" s="2396"/>
      <c r="N161" s="2396"/>
      <c r="O161" s="2396"/>
      <c r="P161" s="2396"/>
      <c r="Q161" s="2396" t="s">
        <v>1840</v>
      </c>
      <c r="R161" s="2396"/>
      <c r="S161" s="2396"/>
      <c r="T161" s="2177" t="s">
        <v>2179</v>
      </c>
      <c r="U161" s="2177"/>
      <c r="V161" s="2177"/>
      <c r="W161" s="2177"/>
      <c r="X161" s="2177"/>
      <c r="Y161" s="2177"/>
      <c r="Z161" s="2177"/>
      <c r="AA161" s="2177"/>
      <c r="AB161" s="2396" t="s">
        <v>1841</v>
      </c>
      <c r="AC161" s="2396"/>
      <c r="AD161" s="2396"/>
      <c r="AE161" s="2396"/>
      <c r="AF161" s="2396"/>
      <c r="AG161" s="239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4" t="s">
        <v>1842</v>
      </c>
      <c r="D162" s="2405"/>
      <c r="E162" s="2405"/>
      <c r="F162" s="2405"/>
      <c r="G162" s="2405"/>
      <c r="H162" s="2405"/>
      <c r="I162" s="2405"/>
      <c r="J162" s="2405"/>
      <c r="K162" s="2405"/>
      <c r="L162" s="2405"/>
      <c r="M162" s="2405"/>
      <c r="N162" s="2405"/>
      <c r="O162" s="2405"/>
      <c r="P162" s="2405"/>
      <c r="Q162" s="2354">
        <v>55</v>
      </c>
      <c r="R162" s="2354"/>
      <c r="S162" s="2354"/>
      <c r="T162" s="2368"/>
      <c r="U162" s="2368"/>
      <c r="V162" s="2368"/>
      <c r="W162" s="2368"/>
      <c r="X162" s="2368"/>
      <c r="Y162" s="2368"/>
      <c r="Z162" s="2368"/>
      <c r="AA162" s="2368"/>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4" t="s">
        <v>1843</v>
      </c>
      <c r="D163" s="2405"/>
      <c r="E163" s="2405"/>
      <c r="F163" s="2405"/>
      <c r="G163" s="2405"/>
      <c r="H163" s="2405"/>
      <c r="I163" s="2405"/>
      <c r="J163" s="2405"/>
      <c r="K163" s="2405"/>
      <c r="L163" s="2405"/>
      <c r="M163" s="2405"/>
      <c r="N163" s="2405"/>
      <c r="O163" s="2405"/>
      <c r="P163" s="2405"/>
      <c r="Q163" s="2354">
        <v>55</v>
      </c>
      <c r="R163" s="2354"/>
      <c r="S163" s="2354"/>
      <c r="T163" s="2407"/>
      <c r="U163" s="2407"/>
      <c r="V163" s="2407"/>
      <c r="W163" s="2407"/>
      <c r="X163" s="2407"/>
      <c r="Y163" s="2407"/>
      <c r="Z163" s="2407"/>
      <c r="AA163" s="240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4" t="s">
        <v>1844</v>
      </c>
      <c r="D164" s="2405"/>
      <c r="E164" s="2405"/>
      <c r="F164" s="2405"/>
      <c r="G164" s="2405"/>
      <c r="H164" s="2405"/>
      <c r="I164" s="2405"/>
      <c r="J164" s="2405"/>
      <c r="K164" s="2405"/>
      <c r="L164" s="2405"/>
      <c r="M164" s="2405"/>
      <c r="N164" s="2405"/>
      <c r="O164" s="2405"/>
      <c r="P164" s="2405"/>
      <c r="Q164" s="2354">
        <v>55</v>
      </c>
      <c r="R164" s="2354"/>
      <c r="S164" s="2354"/>
      <c r="T164" s="2368"/>
      <c r="U164" s="2368"/>
      <c r="V164" s="2368"/>
      <c r="W164" s="2368"/>
      <c r="X164" s="2368"/>
      <c r="Y164" s="2368"/>
      <c r="Z164" s="2368"/>
      <c r="AA164" s="236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4" t="s">
        <v>1815</v>
      </c>
      <c r="D165" s="2405"/>
      <c r="E165" s="2405"/>
      <c r="F165" s="2405"/>
      <c r="G165" s="2405"/>
      <c r="H165" s="2405"/>
      <c r="I165" s="2405"/>
      <c r="J165" s="2405"/>
      <c r="K165" s="2405"/>
      <c r="L165" s="2405"/>
      <c r="M165" s="2405"/>
      <c r="N165" s="2405"/>
      <c r="O165" s="2405"/>
      <c r="P165" s="2405"/>
      <c r="Q165" s="2354">
        <v>55</v>
      </c>
      <c r="R165" s="2354"/>
      <c r="S165" s="2354"/>
      <c r="T165" s="2368"/>
      <c r="U165" s="2368"/>
      <c r="V165" s="2368"/>
      <c r="W165" s="2368"/>
      <c r="X165" s="2368"/>
      <c r="Y165" s="2368"/>
      <c r="Z165" s="2368"/>
      <c r="AA165" s="2368"/>
      <c r="AB165" s="2408">
        <v>0</v>
      </c>
      <c r="AC165" s="2408"/>
      <c r="AD165" s="2408"/>
      <c r="AE165" s="2408"/>
      <c r="AF165" s="2408"/>
      <c r="AG165" s="240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4" t="s">
        <v>170</v>
      </c>
      <c r="D166" s="2405"/>
      <c r="E166" s="2405"/>
      <c r="F166" s="2406" t="s">
        <v>1845</v>
      </c>
      <c r="G166" s="2406"/>
      <c r="H166" s="2406"/>
      <c r="I166" s="2406"/>
      <c r="J166" s="2406"/>
      <c r="K166" s="2406"/>
      <c r="L166" s="2406"/>
      <c r="M166" s="2406"/>
      <c r="N166" s="2406"/>
      <c r="O166" s="2406"/>
      <c r="P166" s="2406"/>
      <c r="Q166" s="2354">
        <v>55</v>
      </c>
      <c r="R166" s="2354"/>
      <c r="S166" s="2354"/>
      <c r="T166" s="2407"/>
      <c r="U166" s="2407"/>
      <c r="V166" s="2407"/>
      <c r="W166" s="2407"/>
      <c r="X166" s="2407"/>
      <c r="Y166" s="2407"/>
      <c r="Z166" s="2407"/>
      <c r="AA166" s="2407"/>
      <c r="AB166" s="2408">
        <v>0</v>
      </c>
      <c r="AC166" s="2408"/>
      <c r="AD166" s="2408"/>
      <c r="AE166" s="2408"/>
      <c r="AF166" s="2408"/>
      <c r="AG166" s="240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4" t="s">
        <v>170</v>
      </c>
      <c r="D167" s="2405"/>
      <c r="E167" s="2405"/>
      <c r="F167" s="2406" t="s">
        <v>1845</v>
      </c>
      <c r="G167" s="2406"/>
      <c r="H167" s="2406"/>
      <c r="I167" s="2406"/>
      <c r="J167" s="2406"/>
      <c r="K167" s="2406"/>
      <c r="L167" s="2406"/>
      <c r="M167" s="2406"/>
      <c r="N167" s="2406"/>
      <c r="O167" s="2406"/>
      <c r="P167" s="2406"/>
      <c r="Q167" s="2354">
        <v>55</v>
      </c>
      <c r="R167" s="2354"/>
      <c r="S167" s="2354"/>
      <c r="T167" s="2407"/>
      <c r="U167" s="2407"/>
      <c r="V167" s="2407"/>
      <c r="W167" s="2407"/>
      <c r="X167" s="2407"/>
      <c r="Y167" s="2407"/>
      <c r="Z167" s="2407"/>
      <c r="AA167" s="2407"/>
      <c r="AB167" s="2408">
        <v>0</v>
      </c>
      <c r="AC167" s="2408"/>
      <c r="AD167" s="2408"/>
      <c r="AE167" s="2408"/>
      <c r="AF167" s="2408"/>
      <c r="AG167" s="2409"/>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5" t="s">
        <v>170</v>
      </c>
      <c r="D168" s="2376"/>
      <c r="E168" s="2376"/>
      <c r="F168" s="2377" t="s">
        <v>1845</v>
      </c>
      <c r="G168" s="2377"/>
      <c r="H168" s="2377"/>
      <c r="I168" s="2377"/>
      <c r="J168" s="2377"/>
      <c r="K168" s="2377"/>
      <c r="L168" s="2377"/>
      <c r="M168" s="2377"/>
      <c r="N168" s="2377"/>
      <c r="O168" s="2377"/>
      <c r="P168" s="2377"/>
      <c r="Q168" s="2378">
        <v>55</v>
      </c>
      <c r="R168" s="2378"/>
      <c r="S168" s="2378"/>
      <c r="T168" s="2379"/>
      <c r="U168" s="2379"/>
      <c r="V168" s="2379"/>
      <c r="W168" s="2379"/>
      <c r="X168" s="2379"/>
      <c r="Y168" s="2379"/>
      <c r="Z168" s="2379"/>
      <c r="AA168" s="2379"/>
      <c r="AB168" s="2380">
        <v>0</v>
      </c>
      <c r="AC168" s="2380"/>
      <c r="AD168" s="2380"/>
      <c r="AE168" s="2380"/>
      <c r="AF168" s="2380"/>
      <c r="AG168" s="238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9" t="s">
        <v>1846</v>
      </c>
      <c r="D170" s="2180"/>
      <c r="E170" s="2180"/>
      <c r="F170" s="2180"/>
      <c r="G170" s="2180"/>
      <c r="H170" s="2180"/>
      <c r="I170" s="2180"/>
      <c r="J170" s="2180"/>
      <c r="K170" s="2180"/>
      <c r="L170" s="2180"/>
      <c r="M170" s="2180"/>
      <c r="N170" s="2181"/>
      <c r="O170" s="1206"/>
      <c r="P170" s="2392" t="s">
        <v>1847</v>
      </c>
      <c r="Q170" s="2393"/>
      <c r="R170" s="2393"/>
      <c r="S170" s="2393"/>
      <c r="T170" s="2393"/>
      <c r="U170" s="2393"/>
      <c r="V170" s="2393"/>
      <c r="W170" s="2393"/>
      <c r="X170" s="2393"/>
      <c r="Y170" s="2393"/>
      <c r="Z170" s="2393"/>
      <c r="AA170" s="2393"/>
      <c r="AB170" s="2393"/>
      <c r="AC170" s="2393"/>
      <c r="AD170" s="2393"/>
      <c r="AE170" s="2393"/>
      <c r="AF170" s="2393"/>
      <c r="AG170" s="2393"/>
      <c r="AH170" s="2393"/>
      <c r="AI170" s="2393"/>
      <c r="AJ170" s="2393"/>
      <c r="AK170" s="2393"/>
      <c r="AL170" s="2393"/>
      <c r="AM170" s="2393"/>
      <c r="AN170" s="2393"/>
      <c r="AO170" s="239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5" t="s">
        <v>1848</v>
      </c>
      <c r="D171" s="2396"/>
      <c r="E171" s="2396"/>
      <c r="F171" s="2396"/>
      <c r="G171" s="2396"/>
      <c r="H171" s="2396"/>
      <c r="I171" s="2396" t="s">
        <v>1849</v>
      </c>
      <c r="J171" s="2396"/>
      <c r="K171" s="2396"/>
      <c r="L171" s="2396"/>
      <c r="M171" s="2396"/>
      <c r="N171" s="2397"/>
      <c r="O171" s="1206"/>
      <c r="P171" s="2398" t="s">
        <v>2187</v>
      </c>
      <c r="Q171" s="2399"/>
      <c r="R171" s="2399"/>
      <c r="S171" s="2399"/>
      <c r="T171" s="2399"/>
      <c r="U171" s="2399"/>
      <c r="V171" s="2399"/>
      <c r="W171" s="2399"/>
      <c r="X171" s="2399"/>
      <c r="Y171" s="2399"/>
      <c r="Z171" s="2399"/>
      <c r="AA171" s="2399"/>
      <c r="AB171" s="2399"/>
      <c r="AC171" s="2399"/>
      <c r="AD171" s="2399"/>
      <c r="AE171" s="2399"/>
      <c r="AF171" s="2399"/>
      <c r="AG171" s="2399"/>
      <c r="AH171" s="2399"/>
      <c r="AI171" s="2399"/>
      <c r="AJ171" s="2399"/>
      <c r="AK171" s="2399"/>
      <c r="AL171" s="2399"/>
      <c r="AM171" s="2399"/>
      <c r="AN171" s="2399"/>
      <c r="AO171" s="240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7"/>
      <c r="D172" s="2348"/>
      <c r="E172" s="2348"/>
      <c r="F172" s="2348"/>
      <c r="G172" s="2348"/>
      <c r="H172" s="2348"/>
      <c r="I172" s="2368"/>
      <c r="J172" s="2368"/>
      <c r="K172" s="2368"/>
      <c r="L172" s="2368"/>
      <c r="M172" s="2368"/>
      <c r="N172" s="2369"/>
      <c r="O172" s="1206"/>
      <c r="P172" s="2398"/>
      <c r="Q172" s="2399"/>
      <c r="R172" s="2399"/>
      <c r="S172" s="2399"/>
      <c r="T172" s="2399"/>
      <c r="U172" s="2399"/>
      <c r="V172" s="2399"/>
      <c r="W172" s="2399"/>
      <c r="X172" s="2399"/>
      <c r="Y172" s="2399"/>
      <c r="Z172" s="2399"/>
      <c r="AA172" s="2399"/>
      <c r="AB172" s="2399"/>
      <c r="AC172" s="2399"/>
      <c r="AD172" s="2399"/>
      <c r="AE172" s="2399"/>
      <c r="AF172" s="2399"/>
      <c r="AG172" s="2399"/>
      <c r="AH172" s="2399"/>
      <c r="AI172" s="2399"/>
      <c r="AJ172" s="2399"/>
      <c r="AK172" s="2399"/>
      <c r="AL172" s="2399"/>
      <c r="AM172" s="2399"/>
      <c r="AN172" s="2399"/>
      <c r="AO172" s="240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7"/>
      <c r="D173" s="2348"/>
      <c r="E173" s="2348"/>
      <c r="F173" s="2348"/>
      <c r="G173" s="2348"/>
      <c r="H173" s="2348"/>
      <c r="I173" s="2368"/>
      <c r="J173" s="2368"/>
      <c r="K173" s="2368"/>
      <c r="L173" s="2368"/>
      <c r="M173" s="2368"/>
      <c r="N173" s="2369"/>
      <c r="O173" s="1206"/>
      <c r="P173" s="2398"/>
      <c r="Q173" s="2399"/>
      <c r="R173" s="2399"/>
      <c r="S173" s="2399"/>
      <c r="T173" s="2399"/>
      <c r="U173" s="2399"/>
      <c r="V173" s="2399"/>
      <c r="W173" s="2399"/>
      <c r="X173" s="2399"/>
      <c r="Y173" s="2399"/>
      <c r="Z173" s="2399"/>
      <c r="AA173" s="2399"/>
      <c r="AB173" s="2399"/>
      <c r="AC173" s="2399"/>
      <c r="AD173" s="2399"/>
      <c r="AE173" s="2399"/>
      <c r="AF173" s="2399"/>
      <c r="AG173" s="2399"/>
      <c r="AH173" s="2399"/>
      <c r="AI173" s="2399"/>
      <c r="AJ173" s="2399"/>
      <c r="AK173" s="2399"/>
      <c r="AL173" s="2399"/>
      <c r="AM173" s="2399"/>
      <c r="AN173" s="2399"/>
      <c r="AO173" s="240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7"/>
      <c r="D174" s="2348"/>
      <c r="E174" s="2348"/>
      <c r="F174" s="2348"/>
      <c r="G174" s="2348"/>
      <c r="H174" s="2348"/>
      <c r="I174" s="2368"/>
      <c r="J174" s="2368"/>
      <c r="K174" s="2368"/>
      <c r="L174" s="2368"/>
      <c r="M174" s="2368"/>
      <c r="N174" s="2369"/>
      <c r="O174" s="1206"/>
      <c r="P174" s="2398"/>
      <c r="Q174" s="2399"/>
      <c r="R174" s="2399"/>
      <c r="S174" s="2399"/>
      <c r="T174" s="2399"/>
      <c r="U174" s="2399"/>
      <c r="V174" s="2399"/>
      <c r="W174" s="2399"/>
      <c r="X174" s="2399"/>
      <c r="Y174" s="2399"/>
      <c r="Z174" s="2399"/>
      <c r="AA174" s="2399"/>
      <c r="AB174" s="2399"/>
      <c r="AC174" s="2399"/>
      <c r="AD174" s="2399"/>
      <c r="AE174" s="2399"/>
      <c r="AF174" s="2399"/>
      <c r="AG174" s="2399"/>
      <c r="AH174" s="2399"/>
      <c r="AI174" s="2399"/>
      <c r="AJ174" s="2399"/>
      <c r="AK174" s="2399"/>
      <c r="AL174" s="2399"/>
      <c r="AM174" s="2399"/>
      <c r="AN174" s="2399"/>
      <c r="AO174" s="240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7"/>
      <c r="D175" s="2348"/>
      <c r="E175" s="2348"/>
      <c r="F175" s="2348"/>
      <c r="G175" s="2348"/>
      <c r="H175" s="2348"/>
      <c r="I175" s="2368"/>
      <c r="J175" s="2368"/>
      <c r="K175" s="2368"/>
      <c r="L175" s="2368"/>
      <c r="M175" s="2368"/>
      <c r="N175" s="2369"/>
      <c r="O175" s="1206"/>
      <c r="P175" s="2398"/>
      <c r="Q175" s="2399"/>
      <c r="R175" s="2399"/>
      <c r="S175" s="2399"/>
      <c r="T175" s="2399"/>
      <c r="U175" s="2399"/>
      <c r="V175" s="2399"/>
      <c r="W175" s="2399"/>
      <c r="X175" s="2399"/>
      <c r="Y175" s="2399"/>
      <c r="Z175" s="2399"/>
      <c r="AA175" s="2399"/>
      <c r="AB175" s="2399"/>
      <c r="AC175" s="2399"/>
      <c r="AD175" s="2399"/>
      <c r="AE175" s="2399"/>
      <c r="AF175" s="2399"/>
      <c r="AG175" s="2399"/>
      <c r="AH175" s="2399"/>
      <c r="AI175" s="2399"/>
      <c r="AJ175" s="2399"/>
      <c r="AK175" s="2399"/>
      <c r="AL175" s="2399"/>
      <c r="AM175" s="2399"/>
      <c r="AN175" s="2399"/>
      <c r="AO175" s="240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7"/>
      <c r="D176" s="2348"/>
      <c r="E176" s="2348"/>
      <c r="F176" s="2348"/>
      <c r="G176" s="2348"/>
      <c r="H176" s="2348"/>
      <c r="I176" s="2368"/>
      <c r="J176" s="2368"/>
      <c r="K176" s="2368"/>
      <c r="L176" s="2368"/>
      <c r="M176" s="2368"/>
      <c r="N176" s="2369"/>
      <c r="O176" s="1206"/>
      <c r="P176" s="2398"/>
      <c r="Q176" s="2399"/>
      <c r="R176" s="2399"/>
      <c r="S176" s="2399"/>
      <c r="T176" s="2399"/>
      <c r="U176" s="2399"/>
      <c r="V176" s="2399"/>
      <c r="W176" s="2399"/>
      <c r="X176" s="2399"/>
      <c r="Y176" s="2399"/>
      <c r="Z176" s="2399"/>
      <c r="AA176" s="2399"/>
      <c r="AB176" s="2399"/>
      <c r="AC176" s="2399"/>
      <c r="AD176" s="2399"/>
      <c r="AE176" s="2399"/>
      <c r="AF176" s="2399"/>
      <c r="AG176" s="2399"/>
      <c r="AH176" s="2399"/>
      <c r="AI176" s="2399"/>
      <c r="AJ176" s="2399"/>
      <c r="AK176" s="2399"/>
      <c r="AL176" s="2399"/>
      <c r="AM176" s="2399"/>
      <c r="AN176" s="2399"/>
      <c r="AO176" s="240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7"/>
      <c r="D177" s="2348"/>
      <c r="E177" s="2348"/>
      <c r="F177" s="2348"/>
      <c r="G177" s="2348"/>
      <c r="H177" s="2348"/>
      <c r="I177" s="2368"/>
      <c r="J177" s="2368"/>
      <c r="K177" s="2368"/>
      <c r="L177" s="2368"/>
      <c r="M177" s="2368"/>
      <c r="N177" s="2369"/>
      <c r="O177" s="1206"/>
      <c r="P177" s="2398"/>
      <c r="Q177" s="2399"/>
      <c r="R177" s="2399"/>
      <c r="S177" s="2399"/>
      <c r="T177" s="2399"/>
      <c r="U177" s="2399"/>
      <c r="V177" s="2399"/>
      <c r="W177" s="2399"/>
      <c r="X177" s="2399"/>
      <c r="Y177" s="2399"/>
      <c r="Z177" s="2399"/>
      <c r="AA177" s="2399"/>
      <c r="AB177" s="2399"/>
      <c r="AC177" s="2399"/>
      <c r="AD177" s="2399"/>
      <c r="AE177" s="2399"/>
      <c r="AF177" s="2399"/>
      <c r="AG177" s="2399"/>
      <c r="AH177" s="2399"/>
      <c r="AI177" s="2399"/>
      <c r="AJ177" s="2399"/>
      <c r="AK177" s="2399"/>
      <c r="AL177" s="2399"/>
      <c r="AM177" s="2399"/>
      <c r="AN177" s="2399"/>
      <c r="AO177" s="240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2"/>
      <c r="D178" s="2383"/>
      <c r="E178" s="2383"/>
      <c r="F178" s="2383"/>
      <c r="G178" s="2383"/>
      <c r="H178" s="2383"/>
      <c r="I178" s="2384"/>
      <c r="J178" s="2384"/>
      <c r="K178" s="2384"/>
      <c r="L178" s="2384"/>
      <c r="M178" s="2384"/>
      <c r="N178" s="2385"/>
      <c r="O178" s="1206"/>
      <c r="P178" s="2401"/>
      <c r="Q178" s="2402"/>
      <c r="R178" s="2402"/>
      <c r="S178" s="2402"/>
      <c r="T178" s="2402"/>
      <c r="U178" s="2402"/>
      <c r="V178" s="2402"/>
      <c r="W178" s="2402"/>
      <c r="X178" s="2402"/>
      <c r="Y178" s="2402"/>
      <c r="Z178" s="2402"/>
      <c r="AA178" s="2402"/>
      <c r="AB178" s="2402"/>
      <c r="AC178" s="2402"/>
      <c r="AD178" s="2402"/>
      <c r="AE178" s="2402"/>
      <c r="AF178" s="2402"/>
      <c r="AG178" s="2402"/>
      <c r="AH178" s="2402"/>
      <c r="AI178" s="2402"/>
      <c r="AJ178" s="2402"/>
      <c r="AK178" s="2402"/>
      <c r="AL178" s="2402"/>
      <c r="AM178" s="2402"/>
      <c r="AN178" s="2402"/>
      <c r="AO178" s="2403"/>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6" t="s">
        <v>2489</v>
      </c>
      <c r="D180" s="2387"/>
      <c r="E180" s="2387"/>
      <c r="F180" s="2387"/>
      <c r="G180" s="2387"/>
      <c r="H180" s="2387"/>
      <c r="I180" s="2387"/>
      <c r="J180" s="2387"/>
      <c r="K180" s="2387"/>
      <c r="L180" s="2387"/>
      <c r="M180" s="2387"/>
      <c r="N180" s="2387"/>
      <c r="O180" s="2387"/>
      <c r="P180" s="2387"/>
      <c r="Q180" s="2387"/>
      <c r="R180" s="2387"/>
      <c r="S180" s="2387"/>
      <c r="T180" s="2387"/>
      <c r="U180" s="2387"/>
      <c r="V180" s="2387"/>
      <c r="W180" s="2387"/>
      <c r="X180" s="2387"/>
      <c r="Y180" s="2387"/>
      <c r="Z180" s="2387"/>
      <c r="AA180" s="2387"/>
      <c r="AB180" s="2387"/>
      <c r="AC180" s="2387"/>
      <c r="AD180" s="2387"/>
      <c r="AE180" s="2388"/>
      <c r="AF180" s="1206"/>
      <c r="AG180" s="1206"/>
      <c r="AH180" s="2581" t="s">
        <v>2604</v>
      </c>
      <c r="AI180" s="2582"/>
      <c r="AJ180" s="2582"/>
      <c r="AK180" s="2582"/>
      <c r="AL180" s="2582"/>
      <c r="AM180" s="2582"/>
      <c r="AN180" s="2582"/>
      <c r="AO180" s="2582"/>
      <c r="AP180" s="2582"/>
      <c r="AQ180" s="2582"/>
      <c r="AR180" s="2582"/>
      <c r="AS180" s="2582"/>
      <c r="AT180" s="2582"/>
      <c r="AU180" s="2582"/>
      <c r="AV180" s="2582"/>
      <c r="AW180" s="2582"/>
      <c r="AX180" s="2582"/>
      <c r="AY180" s="2582"/>
      <c r="AZ180" s="2582"/>
      <c r="BA180" s="2582"/>
      <c r="BB180" s="2582"/>
      <c r="BC180" s="2582"/>
      <c r="BD180" s="2582"/>
      <c r="BE180" s="2583"/>
    </row>
    <row r="181" spans="1:57" ht="15.75" customHeight="1" thickBot="1">
      <c r="A181" s="1206"/>
      <c r="B181" s="1206"/>
      <c r="C181" s="2389"/>
      <c r="D181" s="2390"/>
      <c r="E181" s="2390"/>
      <c r="F181" s="2390"/>
      <c r="G181" s="2390"/>
      <c r="H181" s="2390"/>
      <c r="I181" s="2390"/>
      <c r="J181" s="2390"/>
      <c r="K181" s="2390"/>
      <c r="L181" s="2390"/>
      <c r="M181" s="2390"/>
      <c r="N181" s="2390"/>
      <c r="O181" s="2390"/>
      <c r="P181" s="2390"/>
      <c r="Q181" s="2390"/>
      <c r="R181" s="2390"/>
      <c r="S181" s="2390"/>
      <c r="T181" s="2390"/>
      <c r="U181" s="2390"/>
      <c r="V181" s="2390"/>
      <c r="W181" s="2390"/>
      <c r="X181" s="2390"/>
      <c r="Y181" s="2390"/>
      <c r="Z181" s="2390"/>
      <c r="AA181" s="2390"/>
      <c r="AB181" s="2390"/>
      <c r="AC181" s="2390"/>
      <c r="AD181" s="2390"/>
      <c r="AE181" s="2391"/>
      <c r="AF181" s="1206"/>
      <c r="AG181" s="1206"/>
      <c r="AH181" s="2584" t="s">
        <v>2625</v>
      </c>
      <c r="AI181" s="2584"/>
      <c r="AJ181" s="2584"/>
      <c r="AK181" s="2584"/>
      <c r="AL181" s="2584"/>
      <c r="AM181" s="2584"/>
      <c r="AN181" s="2584"/>
      <c r="AO181" s="2584"/>
      <c r="AP181" s="2584"/>
      <c r="AQ181" s="2584"/>
      <c r="AR181" s="2584"/>
      <c r="AS181" s="2584"/>
      <c r="AT181" s="2584"/>
      <c r="AU181" s="2584"/>
      <c r="AV181" s="2584"/>
      <c r="AW181" s="2584"/>
      <c r="AX181" s="2584"/>
      <c r="AY181" s="2584"/>
      <c r="AZ181" s="2584"/>
      <c r="BA181" s="2584"/>
      <c r="BB181" s="2584"/>
      <c r="BC181" s="2584"/>
      <c r="BD181" s="2584"/>
      <c r="BE181" s="2584"/>
    </row>
    <row r="182" spans="1:57" ht="15.75" customHeight="1">
      <c r="A182" s="1206"/>
      <c r="B182" s="1206"/>
      <c r="C182" s="2179" t="s">
        <v>1839</v>
      </c>
      <c r="D182" s="2180"/>
      <c r="E182" s="2180"/>
      <c r="F182" s="2180"/>
      <c r="G182" s="2180"/>
      <c r="H182" s="2180"/>
      <c r="I182" s="2180"/>
      <c r="J182" s="2180"/>
      <c r="K182" s="2180"/>
      <c r="L182" s="2180"/>
      <c r="M182" s="2180"/>
      <c r="N182" s="2180" t="s">
        <v>1850</v>
      </c>
      <c r="O182" s="2180"/>
      <c r="P182" s="2180"/>
      <c r="Q182" s="2180"/>
      <c r="R182" s="2180"/>
      <c r="S182" s="2180"/>
      <c r="T182" s="2180"/>
      <c r="U182" s="2212" t="s">
        <v>1839</v>
      </c>
      <c r="V182" s="2212"/>
      <c r="W182" s="2212"/>
      <c r="X182" s="2212"/>
      <c r="Y182" s="2212"/>
      <c r="Z182" s="2212"/>
      <c r="AA182" s="2212"/>
      <c r="AB182" s="2212"/>
      <c r="AC182" s="2212"/>
      <c r="AD182" s="2212"/>
      <c r="AE182" s="2213"/>
      <c r="AF182" s="1206"/>
      <c r="AG182" s="1206"/>
      <c r="AH182" s="2367" t="s">
        <v>2609</v>
      </c>
      <c r="AI182" s="2367"/>
      <c r="AJ182" s="2367"/>
      <c r="AK182" s="2367"/>
      <c r="AL182" s="2367"/>
      <c r="AM182" s="2367"/>
      <c r="AN182" s="2367"/>
      <c r="AO182" s="2367"/>
      <c r="AP182" s="2367"/>
      <c r="AQ182" s="2367"/>
      <c r="AR182" s="2367"/>
      <c r="AS182" s="2367"/>
      <c r="AT182" s="2367"/>
      <c r="AU182" s="2592">
        <v>2500000</v>
      </c>
      <c r="AV182" s="2592"/>
      <c r="AW182" s="2592"/>
      <c r="AX182" s="2592"/>
      <c r="AY182" s="2592"/>
      <c r="AZ182" s="2592"/>
      <c r="BA182" s="2592"/>
      <c r="BB182" s="2592"/>
      <c r="BC182" s="2596"/>
      <c r="BD182" s="2597"/>
      <c r="BE182" s="2598"/>
    </row>
    <row r="183" spans="1:57" ht="15.75" customHeight="1">
      <c r="A183" s="1206"/>
      <c r="B183" s="1206"/>
      <c r="C183" s="2356" t="s">
        <v>2490</v>
      </c>
      <c r="D183" s="2357"/>
      <c r="E183" s="2357"/>
      <c r="F183" s="2357"/>
      <c r="G183" s="2357"/>
      <c r="H183" s="2357"/>
      <c r="I183" s="2357"/>
      <c r="J183" s="2357"/>
      <c r="K183" s="2357"/>
      <c r="L183" s="2357"/>
      <c r="M183" s="2357"/>
      <c r="N183" s="2370">
        <f>'Sources and Uses Budget'!B105</f>
        <v>57112449</v>
      </c>
      <c r="O183" s="2370"/>
      <c r="P183" s="2370"/>
      <c r="Q183" s="2370"/>
      <c r="R183" s="2370"/>
      <c r="S183" s="2370"/>
      <c r="T183" s="2370"/>
      <c r="U183" s="2371"/>
      <c r="V183" s="2371"/>
      <c r="W183" s="2371"/>
      <c r="X183" s="2371"/>
      <c r="Y183" s="2371"/>
      <c r="Z183" s="2371"/>
      <c r="AA183" s="2371"/>
      <c r="AB183" s="2371"/>
      <c r="AC183" s="2371"/>
      <c r="AD183" s="2371"/>
      <c r="AE183" s="2372"/>
      <c r="AF183" s="1206"/>
      <c r="AG183" s="1206"/>
      <c r="AH183" s="2367" t="s">
        <v>2608</v>
      </c>
      <c r="AI183" s="2367"/>
      <c r="AJ183" s="2367"/>
      <c r="AK183" s="2367"/>
      <c r="AL183" s="2367"/>
      <c r="AM183" s="2367"/>
      <c r="AN183" s="2367"/>
      <c r="AO183" s="2367"/>
      <c r="AP183" s="2367"/>
      <c r="AQ183" s="2367"/>
      <c r="AR183" s="2367"/>
      <c r="AS183" s="2367"/>
      <c r="AT183" s="2367"/>
      <c r="AU183" s="2593">
        <f>MAX(0,Application!AG439-100)*20000</f>
        <v>0</v>
      </c>
      <c r="AV183" s="2593"/>
      <c r="AW183" s="2593"/>
      <c r="AX183" s="2593"/>
      <c r="AY183" s="2593"/>
      <c r="AZ183" s="2593"/>
      <c r="BA183" s="2593"/>
      <c r="BB183" s="2593"/>
      <c r="BC183" s="2326"/>
      <c r="BD183" s="2327"/>
      <c r="BE183" s="2328"/>
    </row>
    <row r="184" spans="1:57" ht="15.75" customHeight="1">
      <c r="A184" s="1206"/>
      <c r="B184" s="1206"/>
      <c r="C184" s="2356" t="s">
        <v>2491</v>
      </c>
      <c r="D184" s="2357"/>
      <c r="E184" s="2357"/>
      <c r="F184" s="2357"/>
      <c r="G184" s="2357"/>
      <c r="H184" s="2357"/>
      <c r="I184" s="2357"/>
      <c r="J184" s="2357"/>
      <c r="K184" s="2357"/>
      <c r="L184" s="2357"/>
      <c r="M184" s="2357"/>
      <c r="N184" s="2370">
        <f>N183/J29</f>
        <v>722942.39240506326</v>
      </c>
      <c r="O184" s="2370"/>
      <c r="P184" s="2370"/>
      <c r="Q184" s="2370"/>
      <c r="R184" s="2370"/>
      <c r="S184" s="2370"/>
      <c r="T184" s="2370"/>
      <c r="U184" s="1222"/>
      <c r="V184" s="1222"/>
      <c r="W184" s="1222"/>
      <c r="X184" s="1222"/>
      <c r="Y184" s="1222"/>
      <c r="Z184" s="1222"/>
      <c r="AA184" s="1222"/>
      <c r="AB184" s="1222"/>
      <c r="AC184" s="1222"/>
      <c r="AD184" s="1222"/>
      <c r="AE184" s="1221"/>
      <c r="AF184" s="1206"/>
      <c r="AG184" s="1206"/>
      <c r="AH184" s="2585" t="s">
        <v>2607</v>
      </c>
      <c r="AI184" s="2585"/>
      <c r="AJ184" s="2585"/>
      <c r="AK184" s="2585"/>
      <c r="AL184" s="2585"/>
      <c r="AM184" s="2585"/>
      <c r="AN184" s="2585"/>
      <c r="AO184" s="2585"/>
      <c r="AP184" s="2585"/>
      <c r="AQ184" s="2585"/>
      <c r="AR184" s="2585"/>
      <c r="AS184" s="2585"/>
      <c r="AT184" s="2585"/>
      <c r="AU184" s="2325">
        <f>AU182+AU183</f>
        <v>2500000</v>
      </c>
      <c r="AV184" s="2325"/>
      <c r="AW184" s="2325"/>
      <c r="AX184" s="2325"/>
      <c r="AY184" s="2325"/>
      <c r="AZ184" s="2325"/>
      <c r="BA184" s="2325"/>
      <c r="BB184" s="2325"/>
      <c r="BC184" s="2326"/>
      <c r="BD184" s="2327"/>
      <c r="BE184" s="2328"/>
    </row>
    <row r="185" spans="1:57" ht="15.75" customHeight="1">
      <c r="A185" s="1206"/>
      <c r="B185" s="1206"/>
      <c r="C185" s="2373" t="s">
        <v>2492</v>
      </c>
      <c r="D185" s="2374"/>
      <c r="E185" s="2374"/>
      <c r="F185" s="2374"/>
      <c r="G185" s="2374"/>
      <c r="H185" s="2374"/>
      <c r="I185" s="2374"/>
      <c r="J185" s="2374"/>
      <c r="K185" s="2374"/>
      <c r="L185" s="2374"/>
      <c r="M185" s="2374"/>
      <c r="N185" s="2208">
        <v>0</v>
      </c>
      <c r="O185" s="2208"/>
      <c r="P185" s="2208"/>
      <c r="Q185" s="2208"/>
      <c r="R185" s="2208"/>
      <c r="S185" s="2208"/>
      <c r="T185" s="2208"/>
      <c r="U185" s="2351"/>
      <c r="V185" s="2351"/>
      <c r="W185" s="2351"/>
      <c r="X185" s="2351"/>
      <c r="Y185" s="2351"/>
      <c r="Z185" s="2351"/>
      <c r="AA185" s="2351"/>
      <c r="AB185" s="2351"/>
      <c r="AC185" s="2351"/>
      <c r="AD185" s="2351"/>
      <c r="AE185" s="2352"/>
      <c r="AF185" s="1206"/>
      <c r="AG185" s="1206"/>
      <c r="AH185" s="2595" t="s">
        <v>2606</v>
      </c>
      <c r="AI185" s="2595"/>
      <c r="AJ185" s="2595"/>
      <c r="AK185" s="2595"/>
      <c r="AL185" s="2595"/>
      <c r="AM185" s="2595"/>
      <c r="AN185" s="2595"/>
      <c r="AO185" s="2595"/>
      <c r="AP185" s="2595"/>
      <c r="AQ185" s="2595"/>
      <c r="AR185" s="2595"/>
      <c r="AS185" s="2595"/>
      <c r="AT185" s="2595"/>
      <c r="AU185" s="2594" t="str">
        <f>IF(AU189-AU192&lt;=AU184,"Y","N")</f>
        <v>Y</v>
      </c>
      <c r="AV185" s="2594"/>
      <c r="AW185" s="2594"/>
      <c r="AX185" s="2594"/>
      <c r="AY185" s="2594"/>
      <c r="AZ185" s="2594"/>
      <c r="BA185" s="2594"/>
      <c r="BB185" s="2594"/>
      <c r="BC185" s="2326"/>
      <c r="BD185" s="2327"/>
      <c r="BE185" s="2328"/>
    </row>
    <row r="186" spans="1:57" ht="15.75" customHeight="1" thickBot="1">
      <c r="A186" s="1206"/>
      <c r="B186" s="1206"/>
      <c r="C186" s="2356" t="s">
        <v>2493</v>
      </c>
      <c r="D186" s="2357"/>
      <c r="E186" s="2357"/>
      <c r="F186" s="2357"/>
      <c r="G186" s="2357"/>
      <c r="H186" s="2357"/>
      <c r="I186" s="2357"/>
      <c r="J186" s="2357"/>
      <c r="K186" s="2357"/>
      <c r="L186" s="2357"/>
      <c r="M186" s="2357"/>
      <c r="N186" s="2358">
        <f>SUM('Sources and Uses Budget'!B85:B86)</f>
        <v>400968</v>
      </c>
      <c r="O186" s="2358"/>
      <c r="P186" s="2358"/>
      <c r="Q186" s="2358"/>
      <c r="R186" s="2358"/>
      <c r="S186" s="2358"/>
      <c r="T186" s="2358"/>
      <c r="U186" s="2351"/>
      <c r="V186" s="2351"/>
      <c r="W186" s="2351"/>
      <c r="X186" s="2351"/>
      <c r="Y186" s="2351"/>
      <c r="Z186" s="2351"/>
      <c r="AA186" s="2351"/>
      <c r="AB186" s="2351"/>
      <c r="AC186" s="2351"/>
      <c r="AD186" s="2351"/>
      <c r="AE186" s="235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6" t="s">
        <v>2494</v>
      </c>
      <c r="D187" s="2357"/>
      <c r="E187" s="2357"/>
      <c r="F187" s="2357"/>
      <c r="G187" s="2357"/>
      <c r="H187" s="2357"/>
      <c r="I187" s="2357"/>
      <c r="J187" s="2357"/>
      <c r="K187" s="2357"/>
      <c r="L187" s="2357"/>
      <c r="M187" s="2357"/>
      <c r="N187" s="2358">
        <f>'Sources and Uses Budget'!B8</f>
        <v>4510000</v>
      </c>
      <c r="O187" s="2358"/>
      <c r="P187" s="2358"/>
      <c r="Q187" s="2358"/>
      <c r="R187" s="2358"/>
      <c r="S187" s="2358"/>
      <c r="T187" s="2358"/>
      <c r="U187" s="2351"/>
      <c r="V187" s="2351"/>
      <c r="W187" s="2351"/>
      <c r="X187" s="2351"/>
      <c r="Y187" s="2351"/>
      <c r="Z187" s="2351"/>
      <c r="AA187" s="2351"/>
      <c r="AB187" s="2351"/>
      <c r="AC187" s="2351"/>
      <c r="AD187" s="2351"/>
      <c r="AE187" s="2352"/>
      <c r="AF187" s="1206"/>
      <c r="AG187" s="1206"/>
      <c r="AH187" s="2359" t="s">
        <v>1851</v>
      </c>
      <c r="AI187" s="2360"/>
      <c r="AJ187" s="2360"/>
      <c r="AK187" s="2360"/>
      <c r="AL187" s="2360"/>
      <c r="AM187" s="2360"/>
      <c r="AN187" s="2360"/>
      <c r="AO187" s="2360"/>
      <c r="AP187" s="2360"/>
      <c r="AQ187" s="2360"/>
      <c r="AR187" s="2360"/>
      <c r="AS187" s="2360"/>
      <c r="AT187" s="2360"/>
      <c r="AU187" s="2360"/>
      <c r="AV187" s="2360"/>
      <c r="AW187" s="2360"/>
      <c r="AX187" s="2360"/>
      <c r="AY187" s="2360"/>
      <c r="AZ187" s="2360"/>
      <c r="BA187" s="2360"/>
      <c r="BB187" s="2360"/>
      <c r="BC187" s="2360"/>
      <c r="BD187" s="2360"/>
      <c r="BE187" s="2361"/>
    </row>
    <row r="188" spans="1:57" ht="15.75" customHeight="1">
      <c r="A188" s="1206"/>
      <c r="B188" s="1206"/>
      <c r="C188" s="2356" t="s">
        <v>2495</v>
      </c>
      <c r="D188" s="2357"/>
      <c r="E188" s="2357"/>
      <c r="F188" s="2357"/>
      <c r="G188" s="2357"/>
      <c r="H188" s="2357"/>
      <c r="I188" s="2357"/>
      <c r="J188" s="2357"/>
      <c r="K188" s="2357"/>
      <c r="L188" s="2357"/>
      <c r="M188" s="2357"/>
      <c r="N188" s="2350">
        <v>0</v>
      </c>
      <c r="O188" s="2350"/>
      <c r="P188" s="2350"/>
      <c r="Q188" s="2350"/>
      <c r="R188" s="2350"/>
      <c r="S188" s="2350"/>
      <c r="T188" s="2350"/>
      <c r="U188" s="2351"/>
      <c r="V188" s="2351"/>
      <c r="W188" s="2351"/>
      <c r="X188" s="2351"/>
      <c r="Y188" s="2351"/>
      <c r="Z188" s="2351"/>
      <c r="AA188" s="2351"/>
      <c r="AB188" s="2351"/>
      <c r="AC188" s="2351"/>
      <c r="AD188" s="2351"/>
      <c r="AE188" s="2352"/>
      <c r="AF188" s="1206"/>
      <c r="AG188" s="1206"/>
      <c r="AH188" s="2362" t="s">
        <v>1851</v>
      </c>
      <c r="AI188" s="2362"/>
      <c r="AJ188" s="2362"/>
      <c r="AK188" s="2362"/>
      <c r="AL188" s="2362"/>
      <c r="AM188" s="2362"/>
      <c r="AN188" s="2362"/>
      <c r="AO188" s="2362"/>
      <c r="AP188" s="2362"/>
      <c r="AQ188" s="2362"/>
      <c r="AR188" s="2362"/>
      <c r="AS188" s="2362"/>
      <c r="AT188" s="2362"/>
      <c r="AU188" s="2363">
        <v>0</v>
      </c>
      <c r="AV188" s="2363"/>
      <c r="AW188" s="2363"/>
      <c r="AX188" s="2363"/>
      <c r="AY188" s="2363"/>
      <c r="AZ188" s="2363"/>
      <c r="BA188" s="2363"/>
      <c r="BB188" s="2363"/>
      <c r="BC188" s="2364"/>
      <c r="BD188" s="2365"/>
      <c r="BE188" s="2366"/>
    </row>
    <row r="189" spans="1:57" ht="15.75" customHeight="1">
      <c r="A189" s="1206"/>
      <c r="B189" s="1206"/>
      <c r="C189" s="2356" t="s">
        <v>2496</v>
      </c>
      <c r="D189" s="2357"/>
      <c r="E189" s="2357"/>
      <c r="F189" s="2357"/>
      <c r="G189" s="2357"/>
      <c r="H189" s="2357"/>
      <c r="I189" s="2357"/>
      <c r="J189" s="2357"/>
      <c r="K189" s="2357"/>
      <c r="L189" s="2357"/>
      <c r="M189" s="2357"/>
      <c r="N189" s="2350">
        <v>0</v>
      </c>
      <c r="O189" s="2350"/>
      <c r="P189" s="2350"/>
      <c r="Q189" s="2350"/>
      <c r="R189" s="2350"/>
      <c r="S189" s="2350"/>
      <c r="T189" s="2350"/>
      <c r="U189" s="2351"/>
      <c r="V189" s="2351"/>
      <c r="W189" s="2351"/>
      <c r="X189" s="2351"/>
      <c r="Y189" s="2351"/>
      <c r="Z189" s="2351"/>
      <c r="AA189" s="2351"/>
      <c r="AB189" s="2351"/>
      <c r="AC189" s="2351"/>
      <c r="AD189" s="2351"/>
      <c r="AE189" s="2352"/>
      <c r="AF189" s="1206"/>
      <c r="AG189" s="1206"/>
      <c r="AH189" s="2367" t="s">
        <v>2605</v>
      </c>
      <c r="AI189" s="2367"/>
      <c r="AJ189" s="2367"/>
      <c r="AK189" s="2367"/>
      <c r="AL189" s="2367"/>
      <c r="AM189" s="2367"/>
      <c r="AN189" s="2367"/>
      <c r="AO189" s="2367"/>
      <c r="AP189" s="2367"/>
      <c r="AQ189" s="2367"/>
      <c r="AR189" s="2367"/>
      <c r="AS189" s="2367"/>
      <c r="AT189" s="2367"/>
      <c r="AU189" s="2355"/>
      <c r="AV189" s="2355"/>
      <c r="AW189" s="2355"/>
      <c r="AX189" s="2355"/>
      <c r="AY189" s="2355"/>
      <c r="AZ189" s="2355"/>
      <c r="BA189" s="2355"/>
      <c r="BB189" s="2355"/>
      <c r="BC189" s="2326"/>
      <c r="BD189" s="2327"/>
      <c r="BE189" s="2328"/>
    </row>
    <row r="190" spans="1:57" ht="15.75" customHeight="1">
      <c r="A190" s="1206"/>
      <c r="B190" s="1206"/>
      <c r="C190" s="2353" t="s">
        <v>301</v>
      </c>
      <c r="D190" s="2354"/>
      <c r="E190" s="2349" t="s">
        <v>1845</v>
      </c>
      <c r="F190" s="2349"/>
      <c r="G190" s="2349"/>
      <c r="H190" s="2349"/>
      <c r="I190" s="2349"/>
      <c r="J190" s="2349"/>
      <c r="K190" s="2349"/>
      <c r="L190" s="2349"/>
      <c r="M190" s="2349"/>
      <c r="N190" s="2350">
        <v>0</v>
      </c>
      <c r="O190" s="2350"/>
      <c r="P190" s="2350"/>
      <c r="Q190" s="2350"/>
      <c r="R190" s="2350"/>
      <c r="S190" s="2350"/>
      <c r="T190" s="2350"/>
      <c r="U190" s="2351"/>
      <c r="V190" s="2351"/>
      <c r="W190" s="2351"/>
      <c r="X190" s="2351"/>
      <c r="Y190" s="2351"/>
      <c r="Z190" s="2351"/>
      <c r="AA190" s="2351"/>
      <c r="AB190" s="2351"/>
      <c r="AC190" s="2351"/>
      <c r="AD190" s="2351"/>
      <c r="AE190" s="2352"/>
      <c r="AF190" s="1206"/>
      <c r="AG190" s="1206"/>
      <c r="AH190" s="2585" t="s">
        <v>2604</v>
      </c>
      <c r="AI190" s="2585"/>
      <c r="AJ190" s="2585"/>
      <c r="AK190" s="2585"/>
      <c r="AL190" s="2585"/>
      <c r="AM190" s="2585"/>
      <c r="AN190" s="2585"/>
      <c r="AO190" s="2585"/>
      <c r="AP190" s="2585"/>
      <c r="AQ190" s="2585"/>
      <c r="AR190" s="2585"/>
      <c r="AS190" s="2585"/>
      <c r="AT190" s="2585"/>
      <c r="AU190" s="2325">
        <f>SUM(AU188:BB189)</f>
        <v>0</v>
      </c>
      <c r="AV190" s="2325"/>
      <c r="AW190" s="2325"/>
      <c r="AX190" s="2325"/>
      <c r="AY190" s="2325"/>
      <c r="AZ190" s="2325"/>
      <c r="BA190" s="2325"/>
      <c r="BB190" s="2325"/>
      <c r="BC190" s="2326"/>
      <c r="BD190" s="2327"/>
      <c r="BE190" s="2328"/>
    </row>
    <row r="191" spans="1:57" ht="15.75" customHeight="1" thickBot="1">
      <c r="A191" s="1206"/>
      <c r="B191" s="1206"/>
      <c r="C191" s="2347" t="s">
        <v>301</v>
      </c>
      <c r="D191" s="2348"/>
      <c r="E191" s="2349" t="s">
        <v>1845</v>
      </c>
      <c r="F191" s="2349"/>
      <c r="G191" s="2349"/>
      <c r="H191" s="2349"/>
      <c r="I191" s="2349"/>
      <c r="J191" s="2349"/>
      <c r="K191" s="2349"/>
      <c r="L191" s="2349"/>
      <c r="M191" s="2349"/>
      <c r="N191" s="2350">
        <v>0</v>
      </c>
      <c r="O191" s="2350"/>
      <c r="P191" s="2350"/>
      <c r="Q191" s="2350"/>
      <c r="R191" s="2350"/>
      <c r="S191" s="2350"/>
      <c r="T191" s="2350"/>
      <c r="U191" s="2351"/>
      <c r="V191" s="2351"/>
      <c r="W191" s="2351"/>
      <c r="X191" s="2351"/>
      <c r="Y191" s="2351"/>
      <c r="Z191" s="2351"/>
      <c r="AA191" s="2351"/>
      <c r="AB191" s="2351"/>
      <c r="AC191" s="2351"/>
      <c r="AD191" s="2351"/>
      <c r="AE191" s="235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9"/>
      <c r="BD191" s="2330"/>
      <c r="BE191" s="2331"/>
    </row>
    <row r="192" spans="1:57" ht="15.75" customHeight="1" thickBot="1">
      <c r="A192" s="1206"/>
      <c r="B192" s="1206"/>
      <c r="C192" s="2336" t="s">
        <v>301</v>
      </c>
      <c r="D192" s="2337"/>
      <c r="E192" s="2338" t="s">
        <v>1845</v>
      </c>
      <c r="F192" s="2338"/>
      <c r="G192" s="2338"/>
      <c r="H192" s="2338"/>
      <c r="I192" s="2338"/>
      <c r="J192" s="2338"/>
      <c r="K192" s="2338"/>
      <c r="L192" s="2338"/>
      <c r="M192" s="2339"/>
      <c r="N192" s="2340">
        <v>0</v>
      </c>
      <c r="O192" s="2340"/>
      <c r="P192" s="2340"/>
      <c r="Q192" s="2340"/>
      <c r="R192" s="2340"/>
      <c r="S192" s="2340"/>
      <c r="T192" s="2341"/>
      <c r="U192" s="2342"/>
      <c r="V192" s="2343"/>
      <c r="W192" s="2343"/>
      <c r="X192" s="2343"/>
      <c r="Y192" s="2343"/>
      <c r="Z192" s="2343"/>
      <c r="AA192" s="2343"/>
      <c r="AB192" s="2343"/>
      <c r="AC192" s="2343"/>
      <c r="AD192" s="2343"/>
      <c r="AE192" s="2344"/>
      <c r="AF192" s="1206"/>
      <c r="AG192" s="1206"/>
      <c r="AH192" s="2310" t="s">
        <v>1852</v>
      </c>
      <c r="AI192" s="2311"/>
      <c r="AJ192" s="2311"/>
      <c r="AK192" s="2311"/>
      <c r="AL192" s="2311"/>
      <c r="AM192" s="2311"/>
      <c r="AN192" s="2311"/>
      <c r="AO192" s="2311"/>
      <c r="AP192" s="2311"/>
      <c r="AQ192" s="2311"/>
      <c r="AR192" s="2311"/>
      <c r="AS192" s="2311"/>
      <c r="AT192" s="2311"/>
      <c r="AU192" s="2320"/>
      <c r="AV192" s="2320"/>
      <c r="AW192" s="2320"/>
      <c r="AX192" s="2320"/>
      <c r="AY192" s="2320"/>
      <c r="AZ192" s="2320"/>
      <c r="BA192" s="2320"/>
      <c r="BB192" s="2320"/>
      <c r="BC192" s="1219"/>
      <c r="BD192" s="1219"/>
      <c r="BE192" s="1218"/>
    </row>
    <row r="193" spans="1:57" ht="15.75" customHeight="1">
      <c r="A193" s="1206"/>
      <c r="B193" s="1206"/>
      <c r="C193" s="2332" t="s">
        <v>1853</v>
      </c>
      <c r="D193" s="2333"/>
      <c r="E193" s="2333"/>
      <c r="F193" s="2333"/>
      <c r="G193" s="2333"/>
      <c r="H193" s="2333"/>
      <c r="I193" s="2333"/>
      <c r="J193" s="2333"/>
      <c r="K193" s="2333"/>
      <c r="L193" s="2333"/>
      <c r="M193" s="2333"/>
      <c r="N193" s="2334">
        <f>SUM(N185:T192)</f>
        <v>4910968</v>
      </c>
      <c r="O193" s="2334"/>
      <c r="P193" s="2334"/>
      <c r="Q193" s="2334"/>
      <c r="R193" s="2334"/>
      <c r="S193" s="2334"/>
      <c r="T193" s="2335"/>
      <c r="U193" s="1206"/>
      <c r="V193" s="1206"/>
      <c r="W193" s="1206"/>
      <c r="X193" s="1206"/>
      <c r="Y193" s="1206"/>
      <c r="Z193" s="1206"/>
      <c r="AA193" s="1206"/>
      <c r="AB193" s="1206"/>
      <c r="AC193" s="1206"/>
      <c r="AD193" s="1206"/>
      <c r="AE193" s="1206"/>
      <c r="AF193" s="1206"/>
      <c r="AG193" s="1206"/>
      <c r="AH193" s="2345" t="s">
        <v>2603</v>
      </c>
      <c r="AI193" s="2345"/>
      <c r="AJ193" s="2345"/>
      <c r="AK193" s="2345"/>
      <c r="AL193" s="2345"/>
      <c r="AM193" s="2345"/>
      <c r="AN193" s="2345"/>
      <c r="AO193" s="2345"/>
      <c r="AP193" s="2345"/>
      <c r="AQ193" s="2345"/>
      <c r="AR193" s="2345"/>
      <c r="AS193" s="2345"/>
      <c r="AT193" s="2345"/>
      <c r="AU193" s="2345"/>
      <c r="AV193" s="2345"/>
      <c r="AW193" s="2345"/>
      <c r="AX193" s="2345"/>
      <c r="AY193" s="2345"/>
      <c r="AZ193" s="2345"/>
      <c r="BA193" s="2345"/>
      <c r="BB193" s="2345"/>
      <c r="BC193" s="2345"/>
      <c r="BD193" s="2345"/>
      <c r="BE193" s="2346"/>
    </row>
    <row r="194" spans="1:57" ht="15.75" customHeight="1" thickBot="1">
      <c r="A194" s="1206"/>
      <c r="B194" s="1206"/>
      <c r="C194" s="2312" t="s">
        <v>2497</v>
      </c>
      <c r="D194" s="2313"/>
      <c r="E194" s="2313"/>
      <c r="F194" s="2313"/>
      <c r="G194" s="2313"/>
      <c r="H194" s="2313"/>
      <c r="I194" s="2313"/>
      <c r="J194" s="2313"/>
      <c r="K194" s="2313"/>
      <c r="L194" s="2313"/>
      <c r="M194" s="2313"/>
      <c r="N194" s="2314">
        <f>(N183-N193)/J29</f>
        <v>660778.24050632911</v>
      </c>
      <c r="O194" s="2315"/>
      <c r="P194" s="2315"/>
      <c r="Q194" s="2315"/>
      <c r="R194" s="2315"/>
      <c r="S194" s="2315"/>
      <c r="T194" s="2316"/>
      <c r="U194" s="1217"/>
      <c r="V194" s="1206"/>
      <c r="W194" s="1206"/>
      <c r="X194" s="1206"/>
      <c r="Y194" s="1206"/>
      <c r="Z194" s="1206"/>
      <c r="AA194" s="1206"/>
      <c r="AB194" s="1206"/>
      <c r="AC194" s="1206"/>
      <c r="AD194" s="1206"/>
      <c r="AE194" s="1206"/>
      <c r="AF194" s="1206"/>
      <c r="AG194" s="1206"/>
      <c r="AH194" s="2345"/>
      <c r="AI194" s="2345"/>
      <c r="AJ194" s="2345"/>
      <c r="AK194" s="2345"/>
      <c r="AL194" s="2345"/>
      <c r="AM194" s="2345"/>
      <c r="AN194" s="2345"/>
      <c r="AO194" s="2345"/>
      <c r="AP194" s="2345"/>
      <c r="AQ194" s="2345"/>
      <c r="AR194" s="2345"/>
      <c r="AS194" s="2345"/>
      <c r="AT194" s="2345"/>
      <c r="AU194" s="2345"/>
      <c r="AV194" s="2345"/>
      <c r="AW194" s="2345"/>
      <c r="AX194" s="2345"/>
      <c r="AY194" s="2345"/>
      <c r="AZ194" s="2345"/>
      <c r="BA194" s="2345"/>
      <c r="BB194" s="2345"/>
      <c r="BC194" s="2345"/>
      <c r="BD194" s="2345"/>
      <c r="BE194" s="234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7"/>
      <c r="AI195" s="2317"/>
      <c r="AJ195" s="2317"/>
      <c r="AK195" s="2317"/>
      <c r="AL195" s="2317"/>
      <c r="AM195" s="2317"/>
      <c r="AN195" s="2317"/>
      <c r="AO195" s="2317"/>
      <c r="AP195" s="2317"/>
      <c r="AQ195" s="2317"/>
      <c r="AR195" s="2317"/>
      <c r="AS195" s="2321"/>
      <c r="AT195" s="2321"/>
      <c r="AU195" s="2321"/>
      <c r="AV195" s="2321"/>
      <c r="AW195" s="2321"/>
      <c r="AX195" s="2321"/>
      <c r="AY195" s="2321"/>
      <c r="AZ195" s="2321"/>
      <c r="BA195" s="2321"/>
      <c r="BB195" s="2321"/>
      <c r="BC195" s="2321"/>
      <c r="BD195" s="232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2" t="s">
        <v>2602</v>
      </c>
      <c r="D197" s="2323"/>
      <c r="E197" s="2323"/>
      <c r="F197" s="2323"/>
      <c r="G197" s="2323"/>
      <c r="H197" s="2323"/>
      <c r="I197" s="2323"/>
      <c r="J197" s="2323"/>
      <c r="K197" s="2323"/>
      <c r="L197" s="2323"/>
      <c r="M197" s="2323"/>
      <c r="N197" s="2323"/>
      <c r="O197" s="2323"/>
      <c r="P197" s="2323"/>
      <c r="Q197" s="2323"/>
      <c r="R197" s="2323"/>
      <c r="S197" s="2323"/>
      <c r="T197" s="2323"/>
      <c r="U197" s="2323"/>
      <c r="V197" s="2323"/>
      <c r="W197" s="2323"/>
      <c r="X197" s="2323"/>
      <c r="Y197" s="2323"/>
      <c r="Z197" s="2323"/>
      <c r="AA197" s="2323"/>
      <c r="AB197" s="2323"/>
      <c r="AC197" s="2323"/>
      <c r="AD197" s="2323"/>
      <c r="AE197" s="232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8" t="s">
        <v>2601</v>
      </c>
      <c r="D198" s="2588"/>
      <c r="E198" s="2588"/>
      <c r="F198" s="2588"/>
      <c r="G198" s="2588"/>
      <c r="H198" s="2588"/>
      <c r="I198" s="2588"/>
      <c r="J198" s="2588"/>
      <c r="K198" s="2588"/>
      <c r="L198" s="2588"/>
      <c r="M198" s="2588"/>
      <c r="N198" s="2588"/>
      <c r="O198" s="2589" t="s">
        <v>2600</v>
      </c>
      <c r="P198" s="2589"/>
      <c r="Q198" s="2589"/>
      <c r="R198" s="2589"/>
      <c r="S198" s="2589"/>
      <c r="T198" s="2589"/>
      <c r="U198" s="2589"/>
      <c r="V198" s="2589"/>
      <c r="W198" s="2589"/>
      <c r="X198" s="2589" t="s">
        <v>2599</v>
      </c>
      <c r="Y198" s="2589"/>
      <c r="Z198" s="2589"/>
      <c r="AA198" s="2589"/>
      <c r="AB198" s="2589"/>
      <c r="AC198" s="2589"/>
      <c r="AD198" s="2589"/>
      <c r="AE198" s="258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6" t="s">
        <v>2598</v>
      </c>
      <c r="D199" s="2586"/>
      <c r="E199" s="2586"/>
      <c r="F199" s="2586"/>
      <c r="G199" s="2586"/>
      <c r="H199" s="2586"/>
      <c r="I199" s="2586"/>
      <c r="J199" s="2586"/>
      <c r="K199" s="2586"/>
      <c r="L199" s="2586"/>
      <c r="M199" s="2586"/>
      <c r="N199" s="2586"/>
      <c r="O199" s="2318" t="s">
        <v>2597</v>
      </c>
      <c r="P199" s="2318"/>
      <c r="Q199" s="2318"/>
      <c r="R199" s="2318"/>
      <c r="S199" s="2318"/>
      <c r="T199" s="2318"/>
      <c r="U199" s="2318"/>
      <c r="V199" s="2318"/>
      <c r="W199" s="2318"/>
      <c r="X199" s="2319">
        <v>0.03</v>
      </c>
      <c r="Y199" s="2319"/>
      <c r="Z199" s="2319"/>
      <c r="AA199" s="2319"/>
      <c r="AB199" s="2319"/>
      <c r="AC199" s="2319"/>
      <c r="AD199" s="2319"/>
      <c r="AE199" s="231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6" t="s">
        <v>866</v>
      </c>
      <c r="D200" s="2586"/>
      <c r="E200" s="2586"/>
      <c r="F200" s="2586"/>
      <c r="G200" s="2586"/>
      <c r="H200" s="2586"/>
      <c r="I200" s="2586"/>
      <c r="J200" s="2586"/>
      <c r="K200" s="2586"/>
      <c r="L200" s="2586"/>
      <c r="M200" s="2586"/>
      <c r="N200" s="2586"/>
      <c r="O200" s="2318" t="s">
        <v>2597</v>
      </c>
      <c r="P200" s="2318"/>
      <c r="Q200" s="2318"/>
      <c r="R200" s="2318"/>
      <c r="S200" s="2318"/>
      <c r="T200" s="2318"/>
      <c r="U200" s="2318"/>
      <c r="V200" s="2318"/>
      <c r="W200" s="2318"/>
      <c r="X200" s="2319">
        <v>0.03</v>
      </c>
      <c r="Y200" s="2319"/>
      <c r="Z200" s="2319"/>
      <c r="AA200" s="2319"/>
      <c r="AB200" s="2319"/>
      <c r="AC200" s="2319"/>
      <c r="AD200" s="2319"/>
      <c r="AE200" s="231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6" t="s">
        <v>2596</v>
      </c>
      <c r="D201" s="2586"/>
      <c r="E201" s="2586"/>
      <c r="F201" s="2586"/>
      <c r="G201" s="2586"/>
      <c r="H201" s="2586"/>
      <c r="I201" s="2586"/>
      <c r="J201" s="2586"/>
      <c r="K201" s="2586"/>
      <c r="L201" s="2586"/>
      <c r="M201" s="2586"/>
      <c r="N201" s="2586"/>
      <c r="O201" s="2590">
        <f>SUM(O199:W200)</f>
        <v>0</v>
      </c>
      <c r="P201" s="2591"/>
      <c r="Q201" s="2591"/>
      <c r="R201" s="2591"/>
      <c r="S201" s="2591"/>
      <c r="T201" s="2591"/>
      <c r="U201" s="2591"/>
      <c r="V201" s="2591"/>
      <c r="W201" s="2591"/>
      <c r="X201" s="2591" t="s">
        <v>2595</v>
      </c>
      <c r="Y201" s="2591"/>
      <c r="Z201" s="2591"/>
      <c r="AA201" s="2591"/>
      <c r="AB201" s="2591"/>
      <c r="AC201" s="2591"/>
      <c r="AD201" s="2591"/>
      <c r="AE201" s="259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7" t="s">
        <v>2594</v>
      </c>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2587"/>
      <c r="AD202" s="2587"/>
      <c r="AE202" s="258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7" t="s">
        <v>2593</v>
      </c>
      <c r="D204" s="2298"/>
      <c r="E204" s="2298"/>
      <c r="F204" s="2298"/>
      <c r="G204" s="2298"/>
      <c r="H204" s="2298"/>
      <c r="I204" s="2298"/>
      <c r="J204" s="2298"/>
      <c r="K204" s="2298"/>
      <c r="L204" s="2298"/>
      <c r="M204" s="2298"/>
      <c r="N204" s="2298"/>
      <c r="O204" s="2298"/>
      <c r="P204" s="2298"/>
      <c r="Q204" s="2298"/>
      <c r="R204" s="2298"/>
      <c r="S204" s="2298"/>
      <c r="T204" s="2298"/>
      <c r="U204" s="2298"/>
      <c r="V204" s="2298"/>
      <c r="W204" s="2298"/>
      <c r="X204" s="2298"/>
      <c r="Y204" s="2298"/>
      <c r="Z204" s="2298"/>
      <c r="AA204" s="2298"/>
      <c r="AB204" s="2298"/>
      <c r="AC204" s="2298"/>
      <c r="AD204" s="2298"/>
      <c r="AE204" s="2298"/>
      <c r="AF204" s="2298"/>
      <c r="AG204" s="2298"/>
      <c r="AH204" s="2298"/>
      <c r="AI204" s="2298"/>
      <c r="AJ204" s="2298"/>
      <c r="AK204" s="229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0" t="s">
        <v>2592</v>
      </c>
      <c r="D205" s="2258"/>
      <c r="E205" s="2258"/>
      <c r="F205" s="2301"/>
      <c r="G205" s="2257" t="s">
        <v>2591</v>
      </c>
      <c r="H205" s="2258"/>
      <c r="I205" s="2258"/>
      <c r="J205" s="2258"/>
      <c r="K205" s="2258"/>
      <c r="L205" s="2258"/>
      <c r="M205" s="2258"/>
      <c r="N205" s="2258"/>
      <c r="O205" s="2301"/>
      <c r="P205" s="2304" t="s">
        <v>2590</v>
      </c>
      <c r="Q205" s="2305"/>
      <c r="R205" s="2305"/>
      <c r="S205" s="2305"/>
      <c r="T205" s="2306"/>
      <c r="U205" s="2251" t="s">
        <v>2589</v>
      </c>
      <c r="V205" s="2252"/>
      <c r="W205" s="2252"/>
      <c r="X205" s="2253"/>
      <c r="Y205" s="2251" t="s">
        <v>2588</v>
      </c>
      <c r="Z205" s="2252"/>
      <c r="AA205" s="2252"/>
      <c r="AB205" s="2253"/>
      <c r="AC205" s="2251" t="s">
        <v>2587</v>
      </c>
      <c r="AD205" s="2252"/>
      <c r="AE205" s="2252"/>
      <c r="AF205" s="2253"/>
      <c r="AG205" s="2257" t="s">
        <v>2586</v>
      </c>
      <c r="AH205" s="2258"/>
      <c r="AI205" s="2258"/>
      <c r="AJ205" s="2258"/>
      <c r="AK205" s="225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2"/>
      <c r="D206" s="2261"/>
      <c r="E206" s="2261"/>
      <c r="F206" s="2303"/>
      <c r="G206" s="2260"/>
      <c r="H206" s="2261"/>
      <c r="I206" s="2261"/>
      <c r="J206" s="2261"/>
      <c r="K206" s="2261"/>
      <c r="L206" s="2261"/>
      <c r="M206" s="2261"/>
      <c r="N206" s="2261"/>
      <c r="O206" s="2303"/>
      <c r="P206" s="2307"/>
      <c r="Q206" s="2308"/>
      <c r="R206" s="2308"/>
      <c r="S206" s="2308"/>
      <c r="T206" s="2309"/>
      <c r="U206" s="2254"/>
      <c r="V206" s="2255"/>
      <c r="W206" s="2255"/>
      <c r="X206" s="2256"/>
      <c r="Y206" s="2254"/>
      <c r="Z206" s="2255"/>
      <c r="AA206" s="2255"/>
      <c r="AB206" s="2256"/>
      <c r="AC206" s="2254"/>
      <c r="AD206" s="2255"/>
      <c r="AE206" s="2255"/>
      <c r="AF206" s="2256"/>
      <c r="AG206" s="2260"/>
      <c r="AH206" s="2261"/>
      <c r="AI206" s="2261"/>
      <c r="AJ206" s="2261"/>
      <c r="AK206" s="226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3">
        <v>1</v>
      </c>
      <c r="D207" s="2264"/>
      <c r="E207" s="2264"/>
      <c r="F207" s="2264"/>
      <c r="G207" s="2265" t="s">
        <v>2154</v>
      </c>
      <c r="H207" s="2265"/>
      <c r="I207" s="2265"/>
      <c r="J207" s="2265"/>
      <c r="K207" s="2265"/>
      <c r="L207" s="2265"/>
      <c r="M207" s="2265"/>
      <c r="N207" s="2265"/>
      <c r="O207" s="2265"/>
      <c r="P207" s="2266"/>
      <c r="Q207" s="2267"/>
      <c r="R207" s="2267"/>
      <c r="S207" s="2267"/>
      <c r="T207" s="2267"/>
      <c r="U207" s="2268" t="s">
        <v>2154</v>
      </c>
      <c r="V207" s="2268"/>
      <c r="W207" s="2268"/>
      <c r="X207" s="2268"/>
      <c r="Y207" s="2268" t="s">
        <v>2154</v>
      </c>
      <c r="Z207" s="2268"/>
      <c r="AA207" s="2268"/>
      <c r="AB207" s="2268"/>
      <c r="AC207" s="2269" t="s">
        <v>2154</v>
      </c>
      <c r="AD207" s="2269"/>
      <c r="AE207" s="2269"/>
      <c r="AF207" s="2269"/>
      <c r="AG207" s="2248"/>
      <c r="AH207" s="2249"/>
      <c r="AI207" s="2249"/>
      <c r="AJ207" s="2249"/>
      <c r="AK207" s="225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3">
        <v>2</v>
      </c>
      <c r="D208" s="2264"/>
      <c r="E208" s="2264"/>
      <c r="F208" s="2264"/>
      <c r="G208" s="2265" t="s">
        <v>2154</v>
      </c>
      <c r="H208" s="2265"/>
      <c r="I208" s="2265"/>
      <c r="J208" s="2265"/>
      <c r="K208" s="2265"/>
      <c r="L208" s="2265"/>
      <c r="M208" s="2265"/>
      <c r="N208" s="2265"/>
      <c r="O208" s="2265"/>
      <c r="P208" s="2266"/>
      <c r="Q208" s="2266"/>
      <c r="R208" s="2266"/>
      <c r="S208" s="2266"/>
      <c r="T208" s="2266"/>
      <c r="U208" s="2268" t="s">
        <v>2154</v>
      </c>
      <c r="V208" s="2268"/>
      <c r="W208" s="2268"/>
      <c r="X208" s="2268"/>
      <c r="Y208" s="2268" t="s">
        <v>2154</v>
      </c>
      <c r="Z208" s="2268"/>
      <c r="AA208" s="2268"/>
      <c r="AB208" s="2268"/>
      <c r="AC208" s="2269" t="s">
        <v>2154</v>
      </c>
      <c r="AD208" s="2269"/>
      <c r="AE208" s="2269"/>
      <c r="AF208" s="2269"/>
      <c r="AG208" s="2248"/>
      <c r="AH208" s="2249"/>
      <c r="AI208" s="2249"/>
      <c r="AJ208" s="2249"/>
      <c r="AK208" s="225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3">
        <v>3</v>
      </c>
      <c r="D209" s="2264"/>
      <c r="E209" s="2264"/>
      <c r="F209" s="2264"/>
      <c r="G209" s="2265" t="s">
        <v>2154</v>
      </c>
      <c r="H209" s="2265"/>
      <c r="I209" s="2265"/>
      <c r="J209" s="2265"/>
      <c r="K209" s="2265"/>
      <c r="L209" s="2265"/>
      <c r="M209" s="2265"/>
      <c r="N209" s="2265"/>
      <c r="O209" s="2265"/>
      <c r="P209" s="2266"/>
      <c r="Q209" s="2266"/>
      <c r="R209" s="2266"/>
      <c r="S209" s="2266"/>
      <c r="T209" s="2266"/>
      <c r="U209" s="2268" t="s">
        <v>2154</v>
      </c>
      <c r="V209" s="2268"/>
      <c r="W209" s="2268"/>
      <c r="X209" s="2268"/>
      <c r="Y209" s="2268" t="s">
        <v>2154</v>
      </c>
      <c r="Z209" s="2268"/>
      <c r="AA209" s="2268"/>
      <c r="AB209" s="2268"/>
      <c r="AC209" s="2269" t="s">
        <v>2154</v>
      </c>
      <c r="AD209" s="2269"/>
      <c r="AE209" s="2269"/>
      <c r="AF209" s="2269"/>
      <c r="AG209" s="2248"/>
      <c r="AH209" s="2249"/>
      <c r="AI209" s="2249"/>
      <c r="AJ209" s="2249"/>
      <c r="AK209" s="225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3">
        <v>4</v>
      </c>
      <c r="D210" s="2264"/>
      <c r="E210" s="2264"/>
      <c r="F210" s="2264"/>
      <c r="G210" s="2265" t="s">
        <v>2154</v>
      </c>
      <c r="H210" s="2265"/>
      <c r="I210" s="2265"/>
      <c r="J210" s="2265"/>
      <c r="K210" s="2265"/>
      <c r="L210" s="2265"/>
      <c r="M210" s="2265"/>
      <c r="N210" s="2265"/>
      <c r="O210" s="2265"/>
      <c r="P210" s="2266"/>
      <c r="Q210" s="2266"/>
      <c r="R210" s="2266"/>
      <c r="S210" s="2266"/>
      <c r="T210" s="2266"/>
      <c r="U210" s="2268" t="s">
        <v>2154</v>
      </c>
      <c r="V210" s="2268"/>
      <c r="W210" s="2268"/>
      <c r="X210" s="2268"/>
      <c r="Y210" s="2268" t="s">
        <v>2154</v>
      </c>
      <c r="Z210" s="2268"/>
      <c r="AA210" s="2268"/>
      <c r="AB210" s="2268"/>
      <c r="AC210" s="2269" t="s">
        <v>2154</v>
      </c>
      <c r="AD210" s="2269"/>
      <c r="AE210" s="2269"/>
      <c r="AF210" s="2269"/>
      <c r="AG210" s="2248"/>
      <c r="AH210" s="2249"/>
      <c r="AI210" s="2249"/>
      <c r="AJ210" s="2249"/>
      <c r="AK210" s="225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3">
        <v>5</v>
      </c>
      <c r="D211" s="2264"/>
      <c r="E211" s="2264"/>
      <c r="F211" s="2264"/>
      <c r="G211" s="2265"/>
      <c r="H211" s="2265"/>
      <c r="I211" s="2265"/>
      <c r="J211" s="2265"/>
      <c r="K211" s="2265"/>
      <c r="L211" s="2265"/>
      <c r="M211" s="2265"/>
      <c r="N211" s="2265"/>
      <c r="O211" s="2265"/>
      <c r="P211" s="2266"/>
      <c r="Q211" s="2266"/>
      <c r="R211" s="2266"/>
      <c r="S211" s="2266"/>
      <c r="T211" s="2266"/>
      <c r="U211" s="2268" t="s">
        <v>2154</v>
      </c>
      <c r="V211" s="2268"/>
      <c r="W211" s="2268"/>
      <c r="X211" s="2268"/>
      <c r="Y211" s="2268" t="s">
        <v>2154</v>
      </c>
      <c r="Z211" s="2268"/>
      <c r="AA211" s="2268"/>
      <c r="AB211" s="2268"/>
      <c r="AC211" s="2269" t="s">
        <v>2154</v>
      </c>
      <c r="AD211" s="2269"/>
      <c r="AE211" s="2269"/>
      <c r="AF211" s="2269"/>
      <c r="AG211" s="2248"/>
      <c r="AH211" s="2249"/>
      <c r="AI211" s="2249"/>
      <c r="AJ211" s="2249"/>
      <c r="AK211" s="225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3">
        <v>6</v>
      </c>
      <c r="D212" s="2264"/>
      <c r="E212" s="2264"/>
      <c r="F212" s="2264"/>
      <c r="G212" s="2265" t="s">
        <v>2154</v>
      </c>
      <c r="H212" s="2265"/>
      <c r="I212" s="2265"/>
      <c r="J212" s="2265"/>
      <c r="K212" s="2265"/>
      <c r="L212" s="2265"/>
      <c r="M212" s="2265"/>
      <c r="N212" s="2265"/>
      <c r="O212" s="2265"/>
      <c r="P212" s="2266"/>
      <c r="Q212" s="2266"/>
      <c r="R212" s="2266"/>
      <c r="S212" s="2266"/>
      <c r="T212" s="2266"/>
      <c r="U212" s="2268"/>
      <c r="V212" s="2268"/>
      <c r="W212" s="2268"/>
      <c r="X212" s="2268"/>
      <c r="Y212" s="2268"/>
      <c r="Z212" s="2268"/>
      <c r="AA212" s="2268"/>
      <c r="AB212" s="2268"/>
      <c r="AC212" s="2269" t="s">
        <v>2154</v>
      </c>
      <c r="AD212" s="2269"/>
      <c r="AE212" s="2269"/>
      <c r="AF212" s="2269"/>
      <c r="AG212" s="2248"/>
      <c r="AH212" s="2249"/>
      <c r="AI212" s="2249"/>
      <c r="AJ212" s="2249"/>
      <c r="AK212" s="225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3">
        <v>7</v>
      </c>
      <c r="D213" s="2264"/>
      <c r="E213" s="2264"/>
      <c r="F213" s="2264"/>
      <c r="G213" s="2599"/>
      <c r="H213" s="2600"/>
      <c r="I213" s="2600"/>
      <c r="J213" s="2600"/>
      <c r="K213" s="2600"/>
      <c r="L213" s="2600"/>
      <c r="M213" s="2600"/>
      <c r="N213" s="2600"/>
      <c r="O213" s="2601"/>
      <c r="P213" s="2266"/>
      <c r="Q213" s="2266"/>
      <c r="R213" s="2266"/>
      <c r="S213" s="2266"/>
      <c r="T213" s="2266"/>
      <c r="U213" s="2268"/>
      <c r="V213" s="2268"/>
      <c r="W213" s="2268"/>
      <c r="X213" s="2268"/>
      <c r="Y213" s="2268"/>
      <c r="Z213" s="2268"/>
      <c r="AA213" s="2268"/>
      <c r="AB213" s="2268"/>
      <c r="AC213" s="2269" t="s">
        <v>2154</v>
      </c>
      <c r="AD213" s="2269"/>
      <c r="AE213" s="2269"/>
      <c r="AF213" s="2269"/>
      <c r="AG213" s="2248"/>
      <c r="AH213" s="2249"/>
      <c r="AI213" s="2249"/>
      <c r="AJ213" s="2249"/>
      <c r="AK213" s="225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2" t="s">
        <v>2585</v>
      </c>
      <c r="D214" s="2603"/>
      <c r="E214" s="2603"/>
      <c r="F214" s="2603"/>
      <c r="G214" s="2603"/>
      <c r="H214" s="2603"/>
      <c r="I214" s="2603"/>
      <c r="J214" s="2603"/>
      <c r="K214" s="2603"/>
      <c r="L214" s="2603"/>
      <c r="M214" s="2603"/>
      <c r="N214" s="2603"/>
      <c r="O214" s="2603"/>
      <c r="P214" s="2604"/>
      <c r="Q214" s="2604"/>
      <c r="R214" s="2604"/>
      <c r="S214" s="2604"/>
      <c r="T214" s="2604"/>
      <c r="U214" s="2605">
        <v>0</v>
      </c>
      <c r="V214" s="2605"/>
      <c r="W214" s="2605"/>
      <c r="X214" s="2605"/>
      <c r="Y214" s="2605">
        <v>0</v>
      </c>
      <c r="Z214" s="2605"/>
      <c r="AA214" s="2605"/>
      <c r="AB214" s="2605"/>
      <c r="AC214" s="2606">
        <v>0</v>
      </c>
      <c r="AD214" s="2606"/>
      <c r="AE214" s="2606"/>
      <c r="AF214" s="2606"/>
      <c r="AG214" s="2245"/>
      <c r="AH214" s="2246"/>
      <c r="AI214" s="2246"/>
      <c r="AJ214" s="2246"/>
      <c r="AK214" s="224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2584</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3" t="s">
        <v>1854</v>
      </c>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c r="AI219" s="2274"/>
      <c r="AJ219" s="2274"/>
      <c r="AK219" s="2274"/>
      <c r="AL219" s="2274"/>
      <c r="AM219" s="2274"/>
      <c r="AN219" s="2274"/>
      <c r="AO219" s="2274"/>
      <c r="AP219" s="2274"/>
      <c r="AQ219" s="2274"/>
      <c r="AR219" s="2274"/>
      <c r="AS219" s="2274"/>
      <c r="AT219" s="2274"/>
      <c r="AU219" s="2274"/>
      <c r="AV219" s="2274"/>
      <c r="AW219" s="2274"/>
      <c r="AX219" s="2274"/>
      <c r="AY219" s="2274"/>
      <c r="AZ219" s="2274"/>
      <c r="BA219" s="2274"/>
      <c r="BB219" s="2274"/>
      <c r="BC219" s="2274"/>
      <c r="BD219" s="2275"/>
      <c r="BE219" s="1202"/>
    </row>
    <row r="220" spans="1:57" ht="15.75" customHeight="1">
      <c r="A220" s="1206"/>
      <c r="B220" s="2276"/>
      <c r="C220" s="2277"/>
      <c r="D220" s="2277"/>
      <c r="E220" s="2277"/>
      <c r="F220" s="2277"/>
      <c r="G220" s="2277"/>
      <c r="H220" s="2277"/>
      <c r="I220" s="2277"/>
      <c r="J220" s="2277"/>
      <c r="K220" s="2277"/>
      <c r="L220" s="2277"/>
      <c r="M220" s="2277"/>
      <c r="N220" s="2277"/>
      <c r="O220" s="2277"/>
      <c r="P220" s="2277"/>
      <c r="Q220" s="2277"/>
      <c r="R220" s="2277"/>
      <c r="S220" s="2277"/>
      <c r="T220" s="2277"/>
      <c r="U220" s="2277"/>
      <c r="V220" s="2277"/>
      <c r="W220" s="2277"/>
      <c r="X220" s="2277"/>
      <c r="Y220" s="2277"/>
      <c r="Z220" s="2277"/>
      <c r="AA220" s="2277"/>
      <c r="AB220" s="2277"/>
      <c r="AC220" s="2277"/>
      <c r="AD220" s="2277"/>
      <c r="AE220" s="2277"/>
      <c r="AF220" s="2277"/>
      <c r="AG220" s="2277"/>
      <c r="AH220" s="2277"/>
      <c r="AI220" s="2277"/>
      <c r="AJ220" s="2277"/>
      <c r="AK220" s="2277"/>
      <c r="AL220" s="2277"/>
      <c r="AM220" s="2277"/>
      <c r="AN220" s="2277"/>
      <c r="AO220" s="2277"/>
      <c r="AP220" s="2277"/>
      <c r="AQ220" s="2277"/>
      <c r="AR220" s="2277"/>
      <c r="AS220" s="2277"/>
      <c r="AT220" s="2277"/>
      <c r="AU220" s="2277"/>
      <c r="AV220" s="2277"/>
      <c r="AW220" s="2277"/>
      <c r="AX220" s="2277"/>
      <c r="AY220" s="2277"/>
      <c r="AZ220" s="2277"/>
      <c r="BA220" s="2277"/>
      <c r="BB220" s="2277"/>
      <c r="BC220" s="2277"/>
      <c r="BD220" s="2278"/>
      <c r="BE220" s="1202"/>
    </row>
    <row r="221" spans="1:57" ht="15.75" customHeight="1">
      <c r="A221" s="1206"/>
      <c r="B221" s="2279" t="s">
        <v>1855</v>
      </c>
      <c r="C221" s="2280"/>
      <c r="D221" s="2280"/>
      <c r="E221" s="2280"/>
      <c r="F221" s="2280"/>
      <c r="G221" s="2280"/>
      <c r="H221" s="2280"/>
      <c r="I221" s="2280"/>
      <c r="J221" s="2280"/>
      <c r="K221" s="2280"/>
      <c r="L221" s="2280"/>
      <c r="M221" s="2280"/>
      <c r="N221" s="2280"/>
      <c r="O221" s="2280"/>
      <c r="P221" s="2280"/>
      <c r="Q221" s="2280"/>
      <c r="R221" s="2280"/>
      <c r="S221" s="2280"/>
      <c r="T221" s="2280"/>
      <c r="U221" s="2280"/>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1"/>
      <c r="BE221" s="1202"/>
    </row>
    <row r="222" spans="1:57" ht="15.75" customHeight="1">
      <c r="A222" s="1206"/>
      <c r="B222" s="2279" t="s">
        <v>1856</v>
      </c>
      <c r="C222" s="2280"/>
      <c r="D222" s="2280"/>
      <c r="E222" s="2280"/>
      <c r="F222" s="2280"/>
      <c r="G222" s="2280"/>
      <c r="H222" s="2280"/>
      <c r="I222" s="2280"/>
      <c r="J222" s="2280"/>
      <c r="K222" s="2280"/>
      <c r="L222" s="2280"/>
      <c r="M222" s="2280"/>
      <c r="N222" s="2280"/>
      <c r="O222" s="2280"/>
      <c r="P222" s="2280"/>
      <c r="Q222" s="2280"/>
      <c r="R222" s="2280"/>
      <c r="S222" s="2280"/>
      <c r="T222" s="2280"/>
      <c r="U222" s="2280"/>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1"/>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2" t="s">
        <v>1857</v>
      </c>
      <c r="C224" s="2283"/>
      <c r="D224" s="2283"/>
      <c r="E224" s="2283"/>
      <c r="F224" s="2283"/>
      <c r="G224" s="2283"/>
      <c r="H224" s="2283"/>
      <c r="I224" s="2283"/>
      <c r="J224" s="2283"/>
      <c r="K224" s="2283"/>
      <c r="L224" s="2283"/>
      <c r="M224" s="2283"/>
      <c r="N224" s="2283"/>
      <c r="O224" s="2283"/>
      <c r="P224" s="2283"/>
      <c r="Q224" s="2283"/>
      <c r="R224" s="2283"/>
      <c r="S224" s="2283"/>
      <c r="T224" s="2283"/>
      <c r="U224" s="2283"/>
      <c r="V224" s="2283"/>
      <c r="W224" s="2283"/>
      <c r="X224" s="2283"/>
      <c r="Y224" s="2283"/>
      <c r="Z224" s="2283"/>
      <c r="AA224" s="2283"/>
      <c r="AB224" s="2283"/>
      <c r="AC224" s="2283"/>
      <c r="AD224" s="2283"/>
      <c r="AE224" s="2283"/>
      <c r="AF224" s="2283"/>
      <c r="AG224" s="2283"/>
      <c r="AH224" s="2283"/>
      <c r="AI224" s="2283"/>
      <c r="AJ224" s="2283"/>
      <c r="AK224" s="2283"/>
      <c r="AL224" s="2283"/>
      <c r="AM224" s="2283"/>
      <c r="AN224" s="2283"/>
      <c r="AO224" s="2283"/>
      <c r="AP224" s="2283"/>
      <c r="AQ224" s="2283"/>
      <c r="AR224" s="2283"/>
      <c r="AS224" s="2283"/>
      <c r="AT224" s="2283"/>
      <c r="AU224" s="2283"/>
      <c r="AV224" s="2283"/>
      <c r="AW224" s="2283"/>
      <c r="AX224" s="2283"/>
      <c r="AY224" s="2283"/>
      <c r="AZ224" s="2283"/>
      <c r="BA224" s="2283"/>
      <c r="BB224" s="2283"/>
      <c r="BC224" s="2283"/>
      <c r="BD224" s="2284"/>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1858</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6" t="s">
        <v>1859</v>
      </c>
      <c r="I228" s="2296"/>
      <c r="J228" s="2296"/>
      <c r="K228" s="2296"/>
      <c r="L228" s="2296"/>
      <c r="M228" s="2296"/>
      <c r="N228" s="2296"/>
      <c r="O228" s="2296"/>
      <c r="P228" s="2296"/>
      <c r="Q228" s="2296"/>
      <c r="R228" s="2296"/>
      <c r="S228" s="2296"/>
      <c r="T228" s="2296"/>
      <c r="U228" s="2296"/>
      <c r="V228" s="2296"/>
      <c r="W228" s="2296"/>
      <c r="X228" s="2296"/>
      <c r="Y228" s="2296"/>
      <c r="Z228" s="2296"/>
      <c r="AA228" s="2296"/>
      <c r="AB228" s="2296"/>
      <c r="AC228" s="2296"/>
      <c r="AD228" s="2296"/>
      <c r="AE228" s="2296"/>
      <c r="AF228" s="2296"/>
      <c r="AG228" s="2296"/>
      <c r="AH228" s="2296"/>
      <c r="AI228" s="2296"/>
      <c r="AJ228" s="2296"/>
      <c r="AK228" s="2296"/>
      <c r="AL228" s="2296"/>
      <c r="AM228" s="2296"/>
      <c r="AN228" s="2296"/>
      <c r="AO228" s="2296"/>
      <c r="AP228" s="2296"/>
      <c r="AQ228" s="2296"/>
      <c r="AR228" s="2296"/>
      <c r="AS228" s="2296"/>
      <c r="AT228" s="2296"/>
      <c r="AU228" s="2296"/>
      <c r="AV228" s="2296"/>
      <c r="AW228" s="2296"/>
      <c r="AX228" s="2296"/>
      <c r="AY228" s="2296"/>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5" t="s">
        <v>2498</v>
      </c>
      <c r="I230" s="2295"/>
      <c r="J230" s="2295"/>
      <c r="K230" s="2295"/>
      <c r="L230" s="2295"/>
      <c r="M230" s="2295"/>
      <c r="N230" s="2295"/>
      <c r="O230" s="2295"/>
      <c r="P230" s="2295"/>
      <c r="Q230" s="2295"/>
      <c r="R230" s="2295"/>
      <c r="S230" s="2295"/>
      <c r="T230" s="2295"/>
      <c r="U230" s="2295"/>
      <c r="V230" s="2295"/>
      <c r="W230" s="2295"/>
      <c r="X230" s="2295"/>
      <c r="Y230" s="2295"/>
      <c r="Z230" s="2295"/>
      <c r="AA230" s="2295"/>
      <c r="AB230" s="2295"/>
      <c r="AC230" s="2295"/>
      <c r="AD230" s="2295"/>
      <c r="AE230" s="2295"/>
      <c r="AF230" s="2295"/>
      <c r="AG230" s="2295"/>
      <c r="AH230" s="2295"/>
      <c r="AI230" s="2295"/>
      <c r="AJ230" s="2295"/>
      <c r="AK230" s="2295"/>
      <c r="AL230" s="2295"/>
      <c r="AM230" s="2295"/>
      <c r="AN230" s="2295"/>
      <c r="AO230" s="2295"/>
      <c r="AP230" s="2295"/>
      <c r="AQ230" s="2295"/>
      <c r="AR230" s="2295"/>
      <c r="AS230" s="2295"/>
      <c r="AT230" s="2295"/>
      <c r="AU230" s="2295"/>
      <c r="AV230" s="2295"/>
      <c r="AW230" s="2295"/>
      <c r="AX230" s="2295"/>
      <c r="AY230" s="2295"/>
      <c r="AZ230" s="2295"/>
      <c r="BA230" s="1206"/>
      <c r="BB230" s="1206"/>
      <c r="BC230" s="1206"/>
      <c r="BD230" s="1202"/>
      <c r="BE230" s="1202"/>
    </row>
    <row r="231" spans="1:57" ht="15.75" customHeight="1">
      <c r="A231" s="1206"/>
      <c r="B231" s="1212"/>
      <c r="C231" s="1206"/>
      <c r="D231" s="1206"/>
      <c r="E231" s="1206"/>
      <c r="F231" s="1206"/>
      <c r="G231" s="1206"/>
      <c r="H231" s="2295"/>
      <c r="I231" s="2295"/>
      <c r="J231" s="2295"/>
      <c r="K231" s="2295"/>
      <c r="L231" s="2295"/>
      <c r="M231" s="2295"/>
      <c r="N231" s="2295"/>
      <c r="O231" s="2295"/>
      <c r="P231" s="2295"/>
      <c r="Q231" s="2295"/>
      <c r="R231" s="2295"/>
      <c r="S231" s="2295"/>
      <c r="T231" s="2295"/>
      <c r="U231" s="2295"/>
      <c r="V231" s="2295"/>
      <c r="W231" s="2295"/>
      <c r="X231" s="2295"/>
      <c r="Y231" s="2295"/>
      <c r="Z231" s="2295"/>
      <c r="AA231" s="2295"/>
      <c r="AB231" s="2295"/>
      <c r="AC231" s="2295"/>
      <c r="AD231" s="2295"/>
      <c r="AE231" s="2295"/>
      <c r="AF231" s="2295"/>
      <c r="AG231" s="2295"/>
      <c r="AH231" s="2295"/>
      <c r="AI231" s="2295"/>
      <c r="AJ231" s="2295"/>
      <c r="AK231" s="2295"/>
      <c r="AL231" s="2295"/>
      <c r="AM231" s="2295"/>
      <c r="AN231" s="2295"/>
      <c r="AO231" s="2295"/>
      <c r="AP231" s="2295"/>
      <c r="AQ231" s="2295"/>
      <c r="AR231" s="2295"/>
      <c r="AS231" s="2295"/>
      <c r="AT231" s="2295"/>
      <c r="AU231" s="2295"/>
      <c r="AV231" s="2295"/>
      <c r="AW231" s="2295"/>
      <c r="AX231" s="2295"/>
      <c r="AY231" s="2295"/>
      <c r="AZ231" s="2295"/>
      <c r="BA231" s="1206"/>
      <c r="BB231" s="1206"/>
      <c r="BC231" s="1206"/>
      <c r="BD231" s="1202"/>
      <c r="BE231" s="1202"/>
    </row>
    <row r="232" spans="1:57" ht="15.75" customHeight="1">
      <c r="A232" s="1206"/>
      <c r="B232" s="1212"/>
      <c r="C232" s="1206"/>
      <c r="D232" s="1206"/>
      <c r="E232" s="1206"/>
      <c r="F232" s="1206"/>
      <c r="G232" s="1206"/>
      <c r="H232" s="2295"/>
      <c r="I232" s="2295"/>
      <c r="J232" s="2295"/>
      <c r="K232" s="2295"/>
      <c r="L232" s="2295"/>
      <c r="M232" s="2295"/>
      <c r="N232" s="2295"/>
      <c r="O232" s="2295"/>
      <c r="P232" s="2295"/>
      <c r="Q232" s="2295"/>
      <c r="R232" s="2295"/>
      <c r="S232" s="2295"/>
      <c r="T232" s="2295"/>
      <c r="U232" s="2295"/>
      <c r="V232" s="2295"/>
      <c r="W232" s="2295"/>
      <c r="X232" s="2295"/>
      <c r="Y232" s="2295"/>
      <c r="Z232" s="2295"/>
      <c r="AA232" s="2295"/>
      <c r="AB232" s="2295"/>
      <c r="AC232" s="2295"/>
      <c r="AD232" s="2295"/>
      <c r="AE232" s="2295"/>
      <c r="AF232" s="2295"/>
      <c r="AG232" s="2295"/>
      <c r="AH232" s="2295"/>
      <c r="AI232" s="2295"/>
      <c r="AJ232" s="2295"/>
      <c r="AK232" s="2295"/>
      <c r="AL232" s="2295"/>
      <c r="AM232" s="2295"/>
      <c r="AN232" s="2295"/>
      <c r="AO232" s="2295"/>
      <c r="AP232" s="2295"/>
      <c r="AQ232" s="2295"/>
      <c r="AR232" s="2295"/>
      <c r="AS232" s="2295"/>
      <c r="AT232" s="2295"/>
      <c r="AU232" s="2295"/>
      <c r="AV232" s="2295"/>
      <c r="AW232" s="2295"/>
      <c r="AX232" s="2295"/>
      <c r="AY232" s="2295"/>
      <c r="AZ232" s="2295"/>
      <c r="BA232" s="1206"/>
      <c r="BB232" s="1206"/>
      <c r="BC232" s="1206"/>
      <c r="BD232" s="1202"/>
      <c r="BE232" s="1202"/>
    </row>
    <row r="233" spans="1:57" ht="15.75" customHeight="1">
      <c r="A233" s="1206"/>
      <c r="B233" s="1212"/>
      <c r="C233" s="1206"/>
      <c r="D233" s="1206"/>
      <c r="E233" s="1206"/>
      <c r="F233" s="1206"/>
      <c r="G233" s="1206"/>
      <c r="H233" s="2295"/>
      <c r="I233" s="2295"/>
      <c r="J233" s="2295"/>
      <c r="K233" s="2295"/>
      <c r="L233" s="2295"/>
      <c r="M233" s="2295"/>
      <c r="N233" s="2295"/>
      <c r="O233" s="2295"/>
      <c r="P233" s="2295"/>
      <c r="Q233" s="2295"/>
      <c r="R233" s="2295"/>
      <c r="S233" s="2295"/>
      <c r="T233" s="2295"/>
      <c r="U233" s="2295"/>
      <c r="V233" s="2295"/>
      <c r="W233" s="2295"/>
      <c r="X233" s="2295"/>
      <c r="Y233" s="2295"/>
      <c r="Z233" s="2295"/>
      <c r="AA233" s="2295"/>
      <c r="AB233" s="2295"/>
      <c r="AC233" s="2295"/>
      <c r="AD233" s="2295"/>
      <c r="AE233" s="2295"/>
      <c r="AF233" s="2295"/>
      <c r="AG233" s="2295"/>
      <c r="AH233" s="2295"/>
      <c r="AI233" s="2295"/>
      <c r="AJ233" s="2295"/>
      <c r="AK233" s="2295"/>
      <c r="AL233" s="2295"/>
      <c r="AM233" s="2295"/>
      <c r="AN233" s="2295"/>
      <c r="AO233" s="2295"/>
      <c r="AP233" s="2295"/>
      <c r="AQ233" s="2295"/>
      <c r="AR233" s="2295"/>
      <c r="AS233" s="2295"/>
      <c r="AT233" s="2295"/>
      <c r="AU233" s="2295"/>
      <c r="AV233" s="2295"/>
      <c r="AW233" s="2295"/>
      <c r="AX233" s="2295"/>
      <c r="AY233" s="2295"/>
      <c r="AZ233" s="2295"/>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4" t="s">
        <v>1860</v>
      </c>
      <c r="I235" s="2294"/>
      <c r="J235" s="2294"/>
      <c r="K235" s="2294"/>
      <c r="L235" s="2294"/>
      <c r="M235" s="2294"/>
      <c r="N235" s="2294"/>
      <c r="O235" s="2294"/>
      <c r="P235" s="2294"/>
      <c r="Q235" s="2294"/>
      <c r="R235" s="2294"/>
      <c r="S235" s="2294"/>
      <c r="T235" s="2294"/>
      <c r="U235" s="2294"/>
      <c r="V235" s="2294"/>
      <c r="W235" s="2294"/>
      <c r="X235" s="2294"/>
      <c r="Y235" s="2294"/>
      <c r="Z235" s="2294"/>
      <c r="AA235" s="2294"/>
      <c r="AB235" s="2294"/>
      <c r="AC235" s="2294"/>
      <c r="AD235" s="2294"/>
      <c r="AE235" s="2294"/>
      <c r="AF235" s="2294"/>
      <c r="AG235" s="2294"/>
      <c r="AH235" s="2294"/>
      <c r="AI235" s="2294"/>
      <c r="AJ235" s="2294"/>
      <c r="AK235" s="2294"/>
      <c r="AL235" s="2294"/>
      <c r="AM235" s="2294"/>
      <c r="AN235" s="2294"/>
      <c r="AO235" s="2294"/>
      <c r="AP235" s="2294"/>
      <c r="AQ235" s="2294"/>
      <c r="AR235" s="2294"/>
      <c r="AS235" s="2294"/>
      <c r="AT235" s="2294"/>
      <c r="AU235" s="2294"/>
      <c r="AV235" s="2294"/>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0" t="s">
        <v>1861</v>
      </c>
      <c r="I237" s="2270"/>
      <c r="J237" s="2270"/>
      <c r="K237" s="2270"/>
      <c r="L237" s="1208"/>
      <c r="M237" s="1208"/>
      <c r="N237" s="1208"/>
      <c r="O237" s="1208"/>
      <c r="P237" s="1208"/>
      <c r="Q237" s="1208"/>
      <c r="R237" s="1208"/>
      <c r="S237" s="2291"/>
      <c r="T237" s="2292"/>
      <c r="U237" s="2292"/>
      <c r="V237" s="2292"/>
      <c r="W237" s="2292"/>
      <c r="X237" s="2292"/>
      <c r="Y237" s="2292"/>
      <c r="Z237" s="2292"/>
      <c r="AA237" s="2292"/>
      <c r="AB237" s="2292"/>
      <c r="AC237" s="2292"/>
      <c r="AD237" s="2292"/>
      <c r="AE237" s="2292"/>
      <c r="AF237" s="2292"/>
      <c r="AG237" s="2292"/>
      <c r="AH237" s="2292"/>
      <c r="AI237" s="2292"/>
      <c r="AJ237" s="229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0" t="s">
        <v>1862</v>
      </c>
      <c r="I239" s="2270"/>
      <c r="J239" s="2270"/>
      <c r="K239" s="1210"/>
      <c r="L239" s="1208"/>
      <c r="M239" s="1208"/>
      <c r="N239" s="1208"/>
      <c r="O239" s="1208"/>
      <c r="P239" s="1208"/>
      <c r="Q239" s="1208"/>
      <c r="R239" s="1208"/>
      <c r="S239" s="2288"/>
      <c r="T239" s="2289"/>
      <c r="U239" s="2289"/>
      <c r="V239" s="2289"/>
      <c r="W239" s="2289"/>
      <c r="X239" s="2289"/>
      <c r="Y239" s="2289"/>
      <c r="Z239" s="2289"/>
      <c r="AA239" s="2289"/>
      <c r="AB239" s="2289"/>
      <c r="AC239" s="2289"/>
      <c r="AD239" s="2289"/>
      <c r="AE239" s="2289"/>
      <c r="AF239" s="2289"/>
      <c r="AG239" s="2289"/>
      <c r="AH239" s="2289"/>
      <c r="AI239" s="2289"/>
      <c r="AJ239" s="229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0" t="s">
        <v>444</v>
      </c>
      <c r="I241" s="2270"/>
      <c r="J241" s="1210"/>
      <c r="K241" s="1210"/>
      <c r="L241" s="1208"/>
      <c r="M241" s="1208"/>
      <c r="N241" s="1208"/>
      <c r="O241" s="1208"/>
      <c r="P241" s="1208"/>
      <c r="Q241" s="1208"/>
      <c r="R241" s="1208"/>
      <c r="S241" s="2288"/>
      <c r="T241" s="2289"/>
      <c r="U241" s="2289"/>
      <c r="V241" s="2289"/>
      <c r="W241" s="2289"/>
      <c r="X241" s="2289"/>
      <c r="Y241" s="2289"/>
      <c r="Z241" s="2289"/>
      <c r="AA241" s="2289"/>
      <c r="AB241" s="2289"/>
      <c r="AC241" s="2289"/>
      <c r="AD241" s="2289"/>
      <c r="AE241" s="2289"/>
      <c r="AF241" s="2289"/>
      <c r="AG241" s="2289"/>
      <c r="AH241" s="2289"/>
      <c r="AI241" s="2289"/>
      <c r="AJ241" s="229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1" t="s">
        <v>1863</v>
      </c>
      <c r="I243" s="2271"/>
      <c r="J243" s="2271"/>
      <c r="K243" s="2271"/>
      <c r="L243" s="2271"/>
      <c r="M243" s="2271"/>
      <c r="N243" s="2271"/>
      <c r="O243" s="2271"/>
      <c r="P243" s="1208"/>
      <c r="Q243" s="1208"/>
      <c r="R243" s="1208"/>
      <c r="S243" s="2288"/>
      <c r="T243" s="2289"/>
      <c r="U243" s="2289"/>
      <c r="V243" s="2289"/>
      <c r="W243" s="2289"/>
      <c r="X243" s="2289"/>
      <c r="Y243" s="2289"/>
      <c r="Z243" s="2289"/>
      <c r="AA243" s="2289"/>
      <c r="AB243" s="2289"/>
      <c r="AC243" s="2289"/>
      <c r="AD243" s="2289"/>
      <c r="AE243" s="2289"/>
      <c r="AF243" s="2289"/>
      <c r="AG243" s="2289"/>
      <c r="AH243" s="2289"/>
      <c r="AI243" s="2289"/>
      <c r="AJ243" s="229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2" t="s">
        <v>1864</v>
      </c>
      <c r="I245" s="2272"/>
      <c r="J245" s="1208"/>
      <c r="K245" s="1208"/>
      <c r="L245" s="1208"/>
      <c r="M245" s="1208"/>
      <c r="N245" s="1208"/>
      <c r="O245" s="1208"/>
      <c r="P245" s="1208"/>
      <c r="Q245" s="1208"/>
      <c r="R245" s="1208"/>
      <c r="S245" s="2285"/>
      <c r="T245" s="2286"/>
      <c r="U245" s="2286"/>
      <c r="V245" s="2286"/>
      <c r="W245" s="2286"/>
      <c r="X245" s="2286"/>
      <c r="Y245" s="2286"/>
      <c r="Z245" s="2286"/>
      <c r="AA245" s="2286"/>
      <c r="AB245" s="2286"/>
      <c r="AC245" s="2286"/>
      <c r="AD245" s="2286"/>
      <c r="AE245" s="2286"/>
      <c r="AF245" s="2286"/>
      <c r="AG245" s="2286"/>
      <c r="AH245" s="2286"/>
      <c r="AI245" s="2286"/>
      <c r="AJ245" s="228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7" workbookViewId="0">
      <selection activeCell="T26" sqref="T26:X26"/>
    </sheetView>
  </sheetViews>
  <sheetFormatPr defaultColWidth="0" defaultRowHeight="13"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3" customHeight="1">
      <c r="A1" s="2638" t="s">
        <v>1390</v>
      </c>
      <c r="B1" s="2638"/>
      <c r="C1" s="2638"/>
      <c r="D1" s="2638"/>
      <c r="E1" s="2638"/>
      <c r="F1" s="2638"/>
      <c r="G1" s="2638"/>
      <c r="H1" s="2638"/>
      <c r="I1" s="2638"/>
      <c r="J1" s="2638"/>
      <c r="K1" s="2638"/>
      <c r="L1" s="2638"/>
      <c r="M1" s="2638"/>
      <c r="N1" s="2638"/>
      <c r="O1" s="2638"/>
      <c r="P1" s="2638"/>
      <c r="Q1" s="2638"/>
      <c r="R1" s="2638"/>
      <c r="S1" s="2638"/>
      <c r="T1" s="2638"/>
      <c r="U1" s="2638"/>
      <c r="V1" s="2638"/>
      <c r="W1" s="2638"/>
      <c r="X1" s="2638"/>
      <c r="Y1" s="2638"/>
      <c r="Z1" s="2638"/>
      <c r="AA1" s="2638"/>
      <c r="AB1" s="2638"/>
      <c r="AC1" s="2638"/>
      <c r="AD1" s="2638"/>
      <c r="AE1" s="2638"/>
      <c r="AF1" s="2638"/>
      <c r="AG1" s="2638"/>
      <c r="AH1" s="2638"/>
      <c r="AI1" s="2638"/>
      <c r="AJ1" s="2638"/>
      <c r="AK1" s="2638"/>
      <c r="AL1" s="2638"/>
      <c r="AM1" s="2638"/>
      <c r="AN1" s="2638"/>
    </row>
    <row r="2" spans="1:40" ht="13" customHeight="1" thickBot="1">
      <c r="A2" s="2639"/>
      <c r="B2" s="2639"/>
      <c r="C2" s="2639"/>
      <c r="D2" s="2639"/>
      <c r="E2" s="2639"/>
      <c r="F2" s="2639"/>
      <c r="G2" s="2639"/>
      <c r="H2" s="2639"/>
      <c r="I2" s="2639"/>
      <c r="J2" s="2639"/>
      <c r="K2" s="2639"/>
      <c r="L2" s="2639"/>
      <c r="M2" s="2639"/>
      <c r="N2" s="2639"/>
      <c r="O2" s="2639"/>
      <c r="P2" s="2639"/>
      <c r="Q2" s="2639"/>
      <c r="R2" s="2639"/>
      <c r="S2" s="2639"/>
      <c r="T2" s="2639"/>
      <c r="U2" s="2639"/>
      <c r="V2" s="2639"/>
      <c r="W2" s="2639"/>
      <c r="X2" s="2639"/>
      <c r="Y2" s="2639"/>
      <c r="Z2" s="2639"/>
      <c r="AA2" s="2639"/>
      <c r="AB2" s="2639"/>
      <c r="AC2" s="2639"/>
      <c r="AD2" s="2639"/>
      <c r="AE2" s="2639"/>
      <c r="AF2" s="2639"/>
      <c r="AG2" s="2639"/>
      <c r="AH2" s="2639"/>
      <c r="AI2" s="2639"/>
      <c r="AJ2" s="2639"/>
      <c r="AK2" s="2639"/>
      <c r="AL2" s="2639"/>
      <c r="AM2" s="2639"/>
      <c r="AN2" s="2639"/>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1346</v>
      </c>
    </row>
    <row r="7" spans="1:40" ht="13"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3"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3"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3"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3" customHeight="1">
      <c r="B11" s="2619" t="s">
        <v>376</v>
      </c>
      <c r="C11" s="2620"/>
      <c r="D11" s="2620"/>
      <c r="E11" s="2620"/>
      <c r="F11" s="2620"/>
      <c r="G11" s="2620"/>
      <c r="H11" s="2620"/>
      <c r="I11" s="2620"/>
      <c r="J11" s="2620"/>
      <c r="K11" s="2620"/>
      <c r="L11" s="2620"/>
      <c r="M11" s="2620"/>
      <c r="N11" s="2620"/>
      <c r="O11" s="2620"/>
      <c r="P11" s="2620"/>
      <c r="Q11" s="2620"/>
      <c r="R11" s="2620"/>
      <c r="S11" s="2621"/>
      <c r="T11" s="2641">
        <f>IF('Sources and Basis Breakdown'!F107=0,'Sources and Basis Breakdown'!E107,'Sources and Basis Breakdown'!F107)</f>
        <v>52108819</v>
      </c>
      <c r="U11" s="2642"/>
      <c r="V11" s="2642"/>
      <c r="W11" s="2642"/>
      <c r="X11" s="2642"/>
      <c r="Y11" s="2641">
        <f>IF(Y7="",0,IF('Sources and Basis Breakdown'!G107+'Sources and Basis Breakdown'!F107='Sources and Basis Breakdown'!E107,'Sources and Basis Breakdown'!G107,0))</f>
        <v>0</v>
      </c>
      <c r="Z11" s="2642"/>
      <c r="AA11" s="2642"/>
      <c r="AB11" s="2642"/>
      <c r="AC11" s="2642"/>
      <c r="AD11" s="2642">
        <f>IF('Sources and Basis Breakdown'!I107=0,'Sources and Basis Breakdown'!H107,'Sources and Basis Breakdown'!I107)</f>
        <v>0</v>
      </c>
      <c r="AE11" s="2642"/>
      <c r="AF11" s="2642"/>
      <c r="AG11" s="2642"/>
      <c r="AH11" s="2642"/>
      <c r="AI11" s="2642">
        <f>IF(Y7="",0,IF('Sources and Basis Breakdown'!I107+'Sources and Basis Breakdown'!J107='Sources and Basis Breakdown'!H107,'Sources and Basis Breakdown'!J107,0))</f>
        <v>0</v>
      </c>
      <c r="AJ11" s="2642"/>
      <c r="AK11" s="2642"/>
      <c r="AL11" s="2642"/>
      <c r="AM11" s="2642"/>
    </row>
    <row r="12" spans="1:40" ht="13" customHeight="1">
      <c r="B12" s="2634" t="s">
        <v>506</v>
      </c>
      <c r="C12" s="1285"/>
      <c r="D12" s="1285"/>
      <c r="E12" s="1285"/>
      <c r="F12" s="1285"/>
      <c r="G12" s="1285"/>
      <c r="H12" s="1285"/>
      <c r="I12" s="1285"/>
      <c r="J12" s="1285"/>
      <c r="K12" s="1285"/>
      <c r="L12" s="1285"/>
      <c r="M12" s="1285"/>
      <c r="N12" s="1285"/>
      <c r="O12" s="1285"/>
      <c r="P12" s="1285"/>
      <c r="Q12" s="1285"/>
      <c r="R12" s="1285"/>
      <c r="S12" s="2635"/>
      <c r="T12" s="2607"/>
      <c r="U12" s="2608"/>
      <c r="V12" s="2608"/>
      <c r="W12" s="2608"/>
      <c r="X12" s="2609"/>
      <c r="Y12" s="2607"/>
      <c r="Z12" s="2608"/>
      <c r="AA12" s="2608"/>
      <c r="AB12" s="2608"/>
      <c r="AC12" s="2609"/>
      <c r="AD12" s="2607"/>
      <c r="AE12" s="2608"/>
      <c r="AF12" s="2608"/>
      <c r="AG12" s="2608"/>
      <c r="AH12" s="2609"/>
      <c r="AI12" s="2607"/>
      <c r="AJ12" s="2608"/>
      <c r="AK12" s="2608"/>
      <c r="AL12" s="2608"/>
      <c r="AM12" s="2609"/>
    </row>
    <row r="13" spans="1:40" ht="13" customHeight="1">
      <c r="B13" s="467"/>
      <c r="C13" s="2636" t="s">
        <v>507</v>
      </c>
      <c r="D13" s="2636"/>
      <c r="E13" s="2636"/>
      <c r="F13" s="2636"/>
      <c r="G13" s="2636"/>
      <c r="H13" s="2636"/>
      <c r="I13" s="2636"/>
      <c r="J13" s="2636"/>
      <c r="K13" s="2636"/>
      <c r="L13" s="2636"/>
      <c r="M13" s="2636"/>
      <c r="N13" s="2636"/>
      <c r="O13" s="2636"/>
      <c r="P13" s="2636"/>
      <c r="Q13" s="2636"/>
      <c r="R13" s="2636"/>
      <c r="S13" s="2637"/>
      <c r="T13" s="2643"/>
      <c r="U13" s="2644"/>
      <c r="V13" s="2644"/>
      <c r="W13" s="2644"/>
      <c r="X13" s="2644"/>
      <c r="Y13" s="2643"/>
      <c r="Z13" s="2644"/>
      <c r="AA13" s="2644"/>
      <c r="AB13" s="2644"/>
      <c r="AC13" s="2644"/>
      <c r="AD13" s="2644"/>
      <c r="AE13" s="2644"/>
      <c r="AF13" s="2644"/>
      <c r="AG13" s="2644"/>
      <c r="AH13" s="2644"/>
      <c r="AI13" s="2644"/>
      <c r="AJ13" s="2644"/>
      <c r="AK13" s="2644"/>
      <c r="AL13" s="2644"/>
      <c r="AM13" s="2644"/>
    </row>
    <row r="14" spans="1:40" ht="13" customHeight="1">
      <c r="B14" s="467"/>
      <c r="C14" s="2636" t="s">
        <v>508</v>
      </c>
      <c r="D14" s="2636"/>
      <c r="E14" s="2636"/>
      <c r="F14" s="2636"/>
      <c r="G14" s="2636"/>
      <c r="H14" s="2636"/>
      <c r="I14" s="2636"/>
      <c r="J14" s="2636"/>
      <c r="K14" s="2636"/>
      <c r="L14" s="2636"/>
      <c r="M14" s="2636"/>
      <c r="N14" s="2636"/>
      <c r="O14" s="2636"/>
      <c r="P14" s="2636"/>
      <c r="Q14" s="2636"/>
      <c r="R14" s="2636"/>
      <c r="S14" s="2637"/>
      <c r="T14" s="2610"/>
      <c r="U14" s="2611"/>
      <c r="V14" s="2611"/>
      <c r="W14" s="2611"/>
      <c r="X14" s="2611"/>
      <c r="Y14" s="2610"/>
      <c r="Z14" s="2611"/>
      <c r="AA14" s="2611"/>
      <c r="AB14" s="2611"/>
      <c r="AC14" s="2611"/>
      <c r="AD14" s="2611"/>
      <c r="AE14" s="2611"/>
      <c r="AF14" s="2611"/>
      <c r="AG14" s="2611"/>
      <c r="AH14" s="2611"/>
      <c r="AI14" s="2611"/>
      <c r="AJ14" s="2611"/>
      <c r="AK14" s="2611"/>
      <c r="AL14" s="2611"/>
      <c r="AM14" s="2611"/>
    </row>
    <row r="15" spans="1:40" ht="13" customHeight="1">
      <c r="B15" s="467"/>
      <c r="C15" s="2636" t="s">
        <v>509</v>
      </c>
      <c r="D15" s="2636"/>
      <c r="E15" s="2636"/>
      <c r="F15" s="2636"/>
      <c r="G15" s="2636"/>
      <c r="H15" s="2636"/>
      <c r="I15" s="2636"/>
      <c r="J15" s="2636"/>
      <c r="K15" s="2636"/>
      <c r="L15" s="2636"/>
      <c r="M15" s="2636"/>
      <c r="N15" s="2636"/>
      <c r="O15" s="2636"/>
      <c r="P15" s="2636"/>
      <c r="Q15" s="2636"/>
      <c r="R15" s="2636"/>
      <c r="S15" s="2637"/>
      <c r="T15" s="2610"/>
      <c r="U15" s="2611"/>
      <c r="V15" s="2611"/>
      <c r="W15" s="2611"/>
      <c r="X15" s="2611"/>
      <c r="Y15" s="2610"/>
      <c r="Z15" s="2611"/>
      <c r="AA15" s="2611"/>
      <c r="AB15" s="2611"/>
      <c r="AC15" s="2611"/>
      <c r="AD15" s="2611"/>
      <c r="AE15" s="2611"/>
      <c r="AF15" s="2611"/>
      <c r="AG15" s="2611"/>
      <c r="AH15" s="2611"/>
      <c r="AI15" s="2611"/>
      <c r="AJ15" s="2611"/>
      <c r="AK15" s="2611"/>
      <c r="AL15" s="2611"/>
      <c r="AM15" s="2611"/>
    </row>
    <row r="16" spans="1:40" ht="13" customHeight="1">
      <c r="B16" s="467"/>
      <c r="C16" s="2636" t="s">
        <v>815</v>
      </c>
      <c r="D16" s="2636"/>
      <c r="E16" s="2636"/>
      <c r="F16" s="2636"/>
      <c r="G16" s="2636"/>
      <c r="H16" s="2636"/>
      <c r="I16" s="2636"/>
      <c r="J16" s="2636"/>
      <c r="K16" s="2636"/>
      <c r="L16" s="2636"/>
      <c r="M16" s="2636"/>
      <c r="N16" s="2636"/>
      <c r="O16" s="2636"/>
      <c r="P16" s="2636"/>
      <c r="Q16" s="2636"/>
      <c r="R16" s="2636"/>
      <c r="S16" s="2637"/>
      <c r="T16" s="2610"/>
      <c r="U16" s="2611"/>
      <c r="V16" s="2611"/>
      <c r="W16" s="2611"/>
      <c r="X16" s="2611"/>
      <c r="Y16" s="2610"/>
      <c r="Z16" s="2611"/>
      <c r="AA16" s="2611"/>
      <c r="AB16" s="2611"/>
      <c r="AC16" s="2611"/>
      <c r="AD16" s="2611"/>
      <c r="AE16" s="2611"/>
      <c r="AF16" s="2611"/>
      <c r="AG16" s="2611"/>
      <c r="AH16" s="2611"/>
      <c r="AI16" s="2611"/>
      <c r="AJ16" s="2611"/>
      <c r="AK16" s="2611"/>
      <c r="AL16" s="2611"/>
      <c r="AM16" s="2611"/>
    </row>
    <row r="17" spans="1:40" ht="13" customHeight="1">
      <c r="B17" s="467"/>
      <c r="C17" s="2636" t="s">
        <v>510</v>
      </c>
      <c r="D17" s="2636"/>
      <c r="E17" s="2636"/>
      <c r="F17" s="2636"/>
      <c r="G17" s="2636"/>
      <c r="H17" s="2636"/>
      <c r="I17" s="2636"/>
      <c r="J17" s="2636"/>
      <c r="K17" s="2636"/>
      <c r="L17" s="2636"/>
      <c r="M17" s="2636"/>
      <c r="N17" s="2636"/>
      <c r="O17" s="2636"/>
      <c r="P17" s="2636"/>
      <c r="Q17" s="2636"/>
      <c r="R17" s="2636"/>
      <c r="S17" s="2637"/>
      <c r="T17" s="2610"/>
      <c r="U17" s="2611"/>
      <c r="V17" s="2611"/>
      <c r="W17" s="2611"/>
      <c r="X17" s="2611"/>
      <c r="Y17" s="2610"/>
      <c r="Z17" s="2611"/>
      <c r="AA17" s="2611"/>
      <c r="AB17" s="2611"/>
      <c r="AC17" s="2611"/>
      <c r="AD17" s="2611"/>
      <c r="AE17" s="2611"/>
      <c r="AF17" s="2611"/>
      <c r="AG17" s="2611"/>
      <c r="AH17" s="2611"/>
      <c r="AI17" s="2611"/>
      <c r="AJ17" s="2611"/>
      <c r="AK17" s="2611"/>
      <c r="AL17" s="2611"/>
      <c r="AM17" s="2611"/>
    </row>
    <row r="18" spans="1:40" ht="13" customHeight="1">
      <c r="A18"/>
      <c r="B18" s="1194"/>
      <c r="C18" s="1741" t="s">
        <v>980</v>
      </c>
      <c r="D18" s="1741"/>
      <c r="E18" s="1741"/>
      <c r="F18" s="1741"/>
      <c r="G18" s="1741"/>
      <c r="H18" s="1741"/>
      <c r="I18" s="1741"/>
      <c r="J18" s="1741"/>
      <c r="K18" s="1741"/>
      <c r="L18" s="1741"/>
      <c r="M18" s="1741"/>
      <c r="N18" s="1741"/>
      <c r="O18" s="1741"/>
      <c r="P18" s="1741"/>
      <c r="Q18" s="1741"/>
      <c r="R18" s="1741"/>
      <c r="S18" s="1742"/>
      <c r="T18" s="2610"/>
      <c r="U18" s="2611"/>
      <c r="V18" s="2611"/>
      <c r="W18" s="2611"/>
      <c r="X18" s="2611"/>
      <c r="Y18" s="2610"/>
      <c r="Z18" s="2611"/>
      <c r="AA18" s="2611"/>
      <c r="AB18" s="2611"/>
      <c r="AC18" s="2611"/>
      <c r="AD18" s="2611"/>
      <c r="AE18" s="2611"/>
      <c r="AF18" s="2611"/>
      <c r="AG18" s="2611"/>
      <c r="AH18" s="2611"/>
      <c r="AI18" s="2611"/>
      <c r="AJ18" s="2611"/>
      <c r="AK18" s="2611"/>
      <c r="AL18" s="2611"/>
      <c r="AM18" s="2611"/>
    </row>
    <row r="19" spans="1:40" ht="13" customHeight="1">
      <c r="B19" s="1194"/>
      <c r="C19" s="1741" t="s">
        <v>980</v>
      </c>
      <c r="D19" s="1741"/>
      <c r="E19" s="1741"/>
      <c r="F19" s="1741"/>
      <c r="G19" s="1741"/>
      <c r="H19" s="1741"/>
      <c r="I19" s="1741"/>
      <c r="J19" s="1741"/>
      <c r="K19" s="1741"/>
      <c r="L19" s="1741"/>
      <c r="M19" s="1741"/>
      <c r="N19" s="1741"/>
      <c r="O19" s="1741"/>
      <c r="P19" s="1741"/>
      <c r="Q19" s="1741"/>
      <c r="R19" s="1741"/>
      <c r="S19" s="1742"/>
      <c r="T19" s="2610"/>
      <c r="U19" s="2611"/>
      <c r="V19" s="2611"/>
      <c r="W19" s="2611"/>
      <c r="X19" s="2611"/>
      <c r="Y19" s="2610"/>
      <c r="Z19" s="2611"/>
      <c r="AA19" s="2611"/>
      <c r="AB19" s="2611"/>
      <c r="AC19" s="2611"/>
      <c r="AD19" s="2611"/>
      <c r="AE19" s="2611"/>
      <c r="AF19" s="2611"/>
      <c r="AG19" s="2611"/>
      <c r="AH19" s="2611"/>
      <c r="AI19" s="2611"/>
      <c r="AJ19" s="2611"/>
      <c r="AK19" s="2611"/>
      <c r="AL19" s="2611"/>
      <c r="AM19" s="2611"/>
    </row>
    <row r="20" spans="1:40" ht="13" customHeight="1">
      <c r="B20" s="2619" t="s">
        <v>511</v>
      </c>
      <c r="C20" s="2620"/>
      <c r="D20" s="2620"/>
      <c r="E20" s="2620"/>
      <c r="F20" s="2620"/>
      <c r="G20" s="2620"/>
      <c r="H20" s="2620"/>
      <c r="I20" s="2620"/>
      <c r="J20" s="2620"/>
      <c r="K20" s="2620"/>
      <c r="L20" s="2620"/>
      <c r="M20" s="2620"/>
      <c r="N20" s="2620"/>
      <c r="O20" s="2620"/>
      <c r="P20" s="2620"/>
      <c r="Q20" s="2620"/>
      <c r="R20" s="2620"/>
      <c r="S20" s="2621"/>
      <c r="T20" s="2612">
        <f>SUM(T13:X19)</f>
        <v>0</v>
      </c>
      <c r="U20" s="2613"/>
      <c r="V20" s="2613"/>
      <c r="W20" s="2613"/>
      <c r="X20" s="2613"/>
      <c r="Y20" s="2612">
        <f>SUM(Y13:AC19)</f>
        <v>0</v>
      </c>
      <c r="Z20" s="2613"/>
      <c r="AA20" s="2613"/>
      <c r="AB20" s="2613"/>
      <c r="AC20" s="2613"/>
      <c r="AD20" s="2614">
        <f>SUM(AD13:AH19)</f>
        <v>0</v>
      </c>
      <c r="AE20" s="2615"/>
      <c r="AF20" s="2615"/>
      <c r="AG20" s="2615"/>
      <c r="AH20" s="2612"/>
      <c r="AI20" s="2614">
        <f>SUM(AI13:AM19)</f>
        <v>0</v>
      </c>
      <c r="AJ20" s="2615"/>
      <c r="AK20" s="2615"/>
      <c r="AL20" s="2615"/>
      <c r="AM20" s="2612"/>
    </row>
    <row r="21" spans="1:40" ht="13" customHeight="1">
      <c r="B21" s="2619" t="s">
        <v>1373</v>
      </c>
      <c r="C21" s="2620"/>
      <c r="D21" s="2620"/>
      <c r="E21" s="2620"/>
      <c r="F21" s="2620"/>
      <c r="G21" s="2620"/>
      <c r="H21" s="2620"/>
      <c r="I21" s="2620"/>
      <c r="J21" s="2620"/>
      <c r="K21" s="2620"/>
      <c r="L21" s="2620"/>
      <c r="M21" s="2620"/>
      <c r="N21" s="2620"/>
      <c r="O21" s="2620"/>
      <c r="P21" s="2620"/>
      <c r="Q21" s="2620"/>
      <c r="R21" s="2620"/>
      <c r="S21" s="2621"/>
      <c r="T21" s="2610"/>
      <c r="U21" s="2611"/>
      <c r="V21" s="2611"/>
      <c r="W21" s="2611"/>
      <c r="X21" s="2611"/>
      <c r="Y21" s="2610"/>
      <c r="Z21" s="2611"/>
      <c r="AA21" s="2611"/>
      <c r="AB21" s="2611"/>
      <c r="AC21" s="2611"/>
      <c r="AD21" s="2607"/>
      <c r="AE21" s="2608"/>
      <c r="AF21" s="2608"/>
      <c r="AG21" s="2608"/>
      <c r="AH21" s="2609"/>
      <c r="AI21" s="2607"/>
      <c r="AJ21" s="2608"/>
      <c r="AK21" s="2608"/>
      <c r="AL21" s="2608"/>
      <c r="AM21" s="2609"/>
    </row>
    <row r="22" spans="1:40" ht="13" customHeight="1">
      <c r="B22" s="2619" t="s">
        <v>512</v>
      </c>
      <c r="C22" s="2620"/>
      <c r="D22" s="2620"/>
      <c r="E22" s="2620"/>
      <c r="F22" s="2620"/>
      <c r="G22" s="2620"/>
      <c r="H22" s="2620"/>
      <c r="I22" s="2620"/>
      <c r="J22" s="2620"/>
      <c r="K22" s="2620"/>
      <c r="L22" s="2620"/>
      <c r="M22" s="2620"/>
      <c r="N22" s="2620"/>
      <c r="O22" s="2620"/>
      <c r="P22" s="2620"/>
      <c r="Q22" s="2620"/>
      <c r="R22" s="2620"/>
      <c r="S22" s="2621"/>
      <c r="T22" s="2645">
        <f>(ABS(T20)+ABS(T21))*-1</f>
        <v>0</v>
      </c>
      <c r="U22" s="2646"/>
      <c r="V22" s="2646"/>
      <c r="W22" s="2646"/>
      <c r="X22" s="2646"/>
      <c r="Y22" s="2645">
        <f>(Y20+Y21)*-1</f>
        <v>0</v>
      </c>
      <c r="Z22" s="2646"/>
      <c r="AA22" s="2646"/>
      <c r="AB22" s="2646"/>
      <c r="AC22" s="2646"/>
      <c r="AD22" s="2647">
        <f>(AD20)*-1</f>
        <v>0</v>
      </c>
      <c r="AE22" s="2648"/>
      <c r="AF22" s="2648"/>
      <c r="AG22" s="2648"/>
      <c r="AH22" s="2645"/>
      <c r="AI22" s="2647">
        <f>(AI20)*-1</f>
        <v>0</v>
      </c>
      <c r="AJ22" s="2648"/>
      <c r="AK22" s="2648"/>
      <c r="AL22" s="2648"/>
      <c r="AM22" s="2645"/>
    </row>
    <row r="23" spans="1:40" ht="13" customHeight="1">
      <c r="B23" s="2619" t="s">
        <v>513</v>
      </c>
      <c r="C23" s="2620"/>
      <c r="D23" s="2620"/>
      <c r="E23" s="2620"/>
      <c r="F23" s="2620"/>
      <c r="G23" s="2620"/>
      <c r="H23" s="2620"/>
      <c r="I23" s="2620"/>
      <c r="J23" s="2620"/>
      <c r="K23" s="2620"/>
      <c r="L23" s="2620"/>
      <c r="M23" s="2620"/>
      <c r="N23" s="2620"/>
      <c r="O23" s="2620"/>
      <c r="P23" s="2620"/>
      <c r="Q23" s="2620"/>
      <c r="R23" s="2620"/>
      <c r="S23" s="2621"/>
      <c r="T23" s="2612">
        <f>T11+T22</f>
        <v>52108819</v>
      </c>
      <c r="U23" s="2613"/>
      <c r="V23" s="2613"/>
      <c r="W23" s="2613"/>
      <c r="X23" s="2613"/>
      <c r="Y23" s="2612">
        <f>Y11+Y22</f>
        <v>0</v>
      </c>
      <c r="Z23" s="2613"/>
      <c r="AA23" s="2613"/>
      <c r="AB23" s="2613"/>
      <c r="AC23" s="2613"/>
      <c r="AD23" s="2612">
        <f>AD11+AD22</f>
        <v>0</v>
      </c>
      <c r="AE23" s="2613"/>
      <c r="AF23" s="2613"/>
      <c r="AG23" s="2613"/>
      <c r="AH23" s="2613"/>
      <c r="AI23" s="2612">
        <f>AI11+AI22</f>
        <v>0</v>
      </c>
      <c r="AJ23" s="2613"/>
      <c r="AK23" s="2613"/>
      <c r="AL23" s="2613"/>
      <c r="AM23" s="2613"/>
    </row>
    <row r="24" spans="1:40" ht="13" customHeight="1">
      <c r="B24" s="2619" t="s">
        <v>981</v>
      </c>
      <c r="C24" s="2620"/>
      <c r="D24" s="2620"/>
      <c r="E24" s="2620"/>
      <c r="F24" s="2620"/>
      <c r="G24" s="2620"/>
      <c r="H24" s="2620"/>
      <c r="I24" s="2620"/>
      <c r="J24" s="2620"/>
      <c r="K24" s="2620"/>
      <c r="L24" s="2620"/>
      <c r="M24" s="2620"/>
      <c r="N24" s="2620"/>
      <c r="O24" s="2620"/>
      <c r="P24" s="2620"/>
      <c r="Q24" s="2620"/>
      <c r="R24" s="2620"/>
      <c r="S24" s="2621"/>
      <c r="T24" s="2614">
        <f>Application!AJ1052</f>
        <v>75711388.960000008</v>
      </c>
      <c r="U24" s="2615"/>
      <c r="V24" s="2615"/>
      <c r="W24" s="2615"/>
      <c r="X24" s="2615"/>
      <c r="Y24" s="2615"/>
      <c r="Z24" s="2615"/>
      <c r="AA24" s="2615"/>
      <c r="AB24" s="2615"/>
      <c r="AC24" s="2615"/>
      <c r="AD24" s="2615"/>
      <c r="AE24" s="2615"/>
      <c r="AF24" s="2615"/>
      <c r="AG24" s="2615"/>
      <c r="AH24" s="2615"/>
      <c r="AI24" s="2615"/>
      <c r="AJ24" s="2615"/>
      <c r="AK24" s="2615"/>
      <c r="AL24" s="2615"/>
      <c r="AM24" s="2612"/>
    </row>
    <row r="25" spans="1:40" ht="13" customHeight="1">
      <c r="B25" s="2623" t="s">
        <v>1374</v>
      </c>
      <c r="C25" s="2624"/>
      <c r="D25" s="2624"/>
      <c r="E25" s="2624"/>
      <c r="F25" s="2624"/>
      <c r="G25" s="2624"/>
      <c r="H25" s="2624"/>
      <c r="I25" s="2624"/>
      <c r="J25" s="2624"/>
      <c r="K25" s="2624"/>
      <c r="L25" s="2624"/>
      <c r="M25" s="2624"/>
      <c r="N25" s="2624"/>
      <c r="O25" s="2624"/>
      <c r="P25" s="2624"/>
      <c r="Q25" s="2624"/>
      <c r="R25" s="2624"/>
      <c r="S25" s="2625"/>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3" customHeight="1">
      <c r="B26" s="2619" t="s">
        <v>514</v>
      </c>
      <c r="C26" s="2620"/>
      <c r="D26" s="2620"/>
      <c r="E26" s="2620"/>
      <c r="F26" s="2620"/>
      <c r="G26" s="2620"/>
      <c r="H26" s="2620"/>
      <c r="I26" s="2620"/>
      <c r="J26" s="2620"/>
      <c r="K26" s="2620"/>
      <c r="L26" s="2620"/>
      <c r="M26" s="2620"/>
      <c r="N26" s="2620"/>
      <c r="O26" s="2620"/>
      <c r="P26" s="2620"/>
      <c r="Q26" s="2620"/>
      <c r="R26" s="2620"/>
      <c r="S26" s="2621"/>
      <c r="T26" s="2612">
        <f>T23*T25</f>
        <v>67741464.700000003</v>
      </c>
      <c r="U26" s="2613"/>
      <c r="V26" s="2613"/>
      <c r="W26" s="2613"/>
      <c r="X26" s="2613"/>
      <c r="Y26" s="2612">
        <f>Y23*Y25</f>
        <v>0</v>
      </c>
      <c r="Z26" s="2613"/>
      <c r="AA26" s="2613"/>
      <c r="AB26" s="2613"/>
      <c r="AC26" s="2613"/>
      <c r="AD26" s="2612">
        <f>AD23*AD25</f>
        <v>0</v>
      </c>
      <c r="AE26" s="2613"/>
      <c r="AF26" s="2613"/>
      <c r="AG26" s="2613"/>
      <c r="AH26" s="2613"/>
      <c r="AI26" s="2612">
        <f>AI23*AI25</f>
        <v>0</v>
      </c>
      <c r="AJ26" s="2613"/>
      <c r="AK26" s="2613"/>
      <c r="AL26" s="2613"/>
      <c r="AM26" s="2613"/>
    </row>
    <row r="27" spans="1:40" ht="13" customHeight="1">
      <c r="A27" s="441"/>
      <c r="B27" s="2626" t="s">
        <v>427</v>
      </c>
      <c r="C27" s="2627"/>
      <c r="D27" s="2627"/>
      <c r="E27" s="2627"/>
      <c r="F27" s="2627"/>
      <c r="G27" s="2627"/>
      <c r="H27" s="2627"/>
      <c r="I27" s="2627"/>
      <c r="J27" s="2627"/>
      <c r="K27" s="2627"/>
      <c r="L27" s="2627"/>
      <c r="M27" s="2627"/>
      <c r="N27" s="2627"/>
      <c r="O27" s="2627"/>
      <c r="P27" s="2627"/>
      <c r="Q27" s="2627"/>
      <c r="R27" s="2627"/>
      <c r="S27" s="2628"/>
      <c r="T27" s="2632">
        <f>Application!$AG$445</f>
        <v>1</v>
      </c>
      <c r="U27" s="2633"/>
      <c r="V27" s="2633"/>
      <c r="W27" s="2633"/>
      <c r="X27" s="2633"/>
      <c r="Y27" s="2632">
        <f>Application!$AG$445</f>
        <v>1</v>
      </c>
      <c r="Z27" s="2633"/>
      <c r="AA27" s="2633"/>
      <c r="AB27" s="2633"/>
      <c r="AC27" s="2633"/>
      <c r="AD27" s="2632">
        <f>Application!$AG$445</f>
        <v>1</v>
      </c>
      <c r="AE27" s="2633"/>
      <c r="AF27" s="2633"/>
      <c r="AG27" s="2633"/>
      <c r="AH27" s="2633"/>
      <c r="AI27" s="2632">
        <f>Application!$AG$445</f>
        <v>1</v>
      </c>
      <c r="AJ27" s="2633"/>
      <c r="AK27" s="2633"/>
      <c r="AL27" s="2633"/>
      <c r="AM27" s="2633"/>
    </row>
    <row r="28" spans="1:40" ht="13" customHeight="1">
      <c r="A28" s="435"/>
      <c r="B28" s="2619" t="s">
        <v>515</v>
      </c>
      <c r="C28" s="2620"/>
      <c r="D28" s="2620"/>
      <c r="E28" s="2620"/>
      <c r="F28" s="2620"/>
      <c r="G28" s="2620"/>
      <c r="H28" s="2620"/>
      <c r="I28" s="2620"/>
      <c r="J28" s="2620"/>
      <c r="K28" s="2620"/>
      <c r="L28" s="2620"/>
      <c r="M28" s="2620"/>
      <c r="N28" s="2620"/>
      <c r="O28" s="2620"/>
      <c r="P28" s="2620"/>
      <c r="Q28" s="2620"/>
      <c r="R28" s="2620"/>
      <c r="S28" s="2621"/>
      <c r="T28" s="2612">
        <f>IF(ISERROR((T26*T27)),0,(T26*T27))</f>
        <v>67741464.700000003</v>
      </c>
      <c r="U28" s="2613"/>
      <c r="V28" s="2613"/>
      <c r="W28" s="2613"/>
      <c r="X28" s="2613"/>
      <c r="Y28" s="2612">
        <f>IF(ISERROR((Y26*Y27)),0,(Y26*Y27))</f>
        <v>0</v>
      </c>
      <c r="Z28" s="2613"/>
      <c r="AA28" s="2613"/>
      <c r="AB28" s="2613"/>
      <c r="AC28" s="2613"/>
      <c r="AD28" s="2612">
        <f>IF(ISERROR((AD26*AD27)),0,(AD26*AD27))</f>
        <v>0</v>
      </c>
      <c r="AE28" s="2613"/>
      <c r="AF28" s="2613"/>
      <c r="AG28" s="2613"/>
      <c r="AH28" s="2613"/>
      <c r="AI28" s="2612">
        <f>IF(ISERROR((AI26*AI27)),0,(AI26*AI27))</f>
        <v>0</v>
      </c>
      <c r="AJ28" s="2613"/>
      <c r="AK28" s="2613"/>
      <c r="AL28" s="2613"/>
      <c r="AM28" s="2613"/>
    </row>
    <row r="29" spans="1:40" ht="13" customHeight="1">
      <c r="B29" s="2619" t="s">
        <v>532</v>
      </c>
      <c r="C29" s="2620"/>
      <c r="D29" s="2620"/>
      <c r="E29" s="2620"/>
      <c r="F29" s="2620"/>
      <c r="G29" s="2620"/>
      <c r="H29" s="2620"/>
      <c r="I29" s="2620"/>
      <c r="J29" s="2620"/>
      <c r="K29" s="2620"/>
      <c r="L29" s="2620"/>
      <c r="M29" s="2620"/>
      <c r="N29" s="2620"/>
      <c r="O29" s="2620"/>
      <c r="P29" s="2620"/>
      <c r="Q29" s="2620"/>
      <c r="R29" s="2620"/>
      <c r="S29" s="2621"/>
      <c r="T29" s="2614">
        <f>T28+Y28+AD28+AI28</f>
        <v>67741464.700000003</v>
      </c>
      <c r="U29" s="2615"/>
      <c r="V29" s="2615"/>
      <c r="W29" s="2615"/>
      <c r="X29" s="2615"/>
      <c r="Y29" s="2615"/>
      <c r="Z29" s="2615"/>
      <c r="AA29" s="2615"/>
      <c r="AB29" s="2615"/>
      <c r="AC29" s="2615"/>
      <c r="AD29" s="2615"/>
      <c r="AE29" s="2615"/>
      <c r="AF29" s="2615"/>
      <c r="AG29" s="2615"/>
      <c r="AH29" s="2615"/>
      <c r="AI29" s="2615"/>
      <c r="AJ29" s="2615"/>
      <c r="AK29" s="2615"/>
      <c r="AL29" s="2615"/>
      <c r="AM29" s="2612"/>
    </row>
    <row r="30" spans="1:40" ht="13" customHeight="1">
      <c r="B30" s="2622" t="s">
        <v>1376</v>
      </c>
      <c r="C30" s="2622"/>
      <c r="D30" s="2622"/>
      <c r="E30" s="2622"/>
      <c r="F30" s="2622"/>
      <c r="G30" s="2622"/>
      <c r="H30" s="2622"/>
      <c r="I30" s="2622"/>
      <c r="J30" s="2622"/>
      <c r="K30" s="2622"/>
      <c r="L30" s="2622"/>
      <c r="M30" s="2622"/>
      <c r="N30" s="2622"/>
      <c r="O30" s="2622"/>
      <c r="P30" s="2622"/>
      <c r="Q30" s="2622"/>
      <c r="R30" s="2622"/>
      <c r="S30" s="2622"/>
      <c r="T30" s="2622"/>
      <c r="U30" s="2622"/>
      <c r="V30" s="2622"/>
      <c r="W30" s="2622"/>
      <c r="X30" s="2622"/>
      <c r="Y30" s="2622"/>
      <c r="Z30" s="2622"/>
      <c r="AA30" s="2622"/>
      <c r="AB30" s="2622"/>
      <c r="AC30" s="2622"/>
      <c r="AD30" s="2622"/>
      <c r="AE30" s="2622"/>
      <c r="AF30" s="2622"/>
      <c r="AG30" s="2622"/>
      <c r="AH30" s="2622"/>
      <c r="AI30" s="2622"/>
      <c r="AJ30" s="2622"/>
      <c r="AK30" s="2622"/>
      <c r="AL30" s="2622"/>
      <c r="AM30" s="2622"/>
    </row>
    <row r="31" spans="1:40" ht="13" customHeight="1">
      <c r="B31" s="2622" t="s">
        <v>1375</v>
      </c>
      <c r="C31" s="2622"/>
      <c r="D31" s="2622"/>
      <c r="E31" s="2622"/>
      <c r="F31" s="2622"/>
      <c r="G31" s="2622"/>
      <c r="H31" s="2622"/>
      <c r="I31" s="2622"/>
      <c r="J31" s="2622"/>
      <c r="K31" s="2622"/>
      <c r="L31" s="2622"/>
      <c r="M31" s="2622"/>
      <c r="N31" s="2622"/>
      <c r="O31" s="2622"/>
      <c r="P31" s="2622"/>
      <c r="Q31" s="2622"/>
      <c r="R31" s="2622"/>
      <c r="S31" s="2622"/>
      <c r="T31" s="2622"/>
      <c r="U31" s="2622"/>
      <c r="V31" s="2622"/>
      <c r="W31" s="2622"/>
      <c r="X31" s="2622"/>
      <c r="Y31" s="2622"/>
      <c r="Z31" s="2622"/>
      <c r="AA31" s="2622"/>
      <c r="AB31" s="2622"/>
      <c r="AC31" s="2622"/>
      <c r="AD31" s="2622"/>
      <c r="AE31" s="2622"/>
      <c r="AF31" s="2622"/>
      <c r="AG31" s="2622"/>
      <c r="AH31" s="2622"/>
      <c r="AI31" s="2622"/>
      <c r="AJ31" s="2622"/>
      <c r="AK31" s="2622"/>
      <c r="AL31" s="2622"/>
      <c r="AM31" s="2622"/>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585</v>
      </c>
      <c r="C34" s="435" t="s">
        <v>577</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1257</v>
      </c>
      <c r="Z35" s="2640"/>
      <c r="AA35" s="2640"/>
      <c r="AB35" s="2640"/>
      <c r="AC35" s="2640"/>
      <c r="AD35" s="2663" t="s">
        <v>370</v>
      </c>
      <c r="AE35" s="2663"/>
      <c r="AF35" s="2663"/>
      <c r="AG35" s="2663"/>
      <c r="AH35" s="2663"/>
    </row>
    <row r="36" spans="1:76" ht="13" customHeight="1">
      <c r="B36" s="438"/>
      <c r="X36" s="443"/>
      <c r="Y36" s="2640"/>
      <c r="Z36" s="2640"/>
      <c r="AA36" s="2640"/>
      <c r="AB36" s="2640"/>
      <c r="AC36" s="2640"/>
      <c r="AD36" s="2663"/>
      <c r="AE36" s="2663"/>
      <c r="AF36" s="2663"/>
      <c r="AG36" s="2663"/>
      <c r="AH36" s="2663"/>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63"/>
      <c r="AE37" s="2663"/>
      <c r="AF37" s="2663"/>
      <c r="AG37" s="2663"/>
      <c r="AH37" s="2663"/>
    </row>
    <row r="38" spans="1:76" ht="13" customHeight="1">
      <c r="A38" s="435"/>
      <c r="B38" s="2619" t="s">
        <v>515</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67741464.700000003</v>
      </c>
      <c r="Z38" s="2613"/>
      <c r="AA38" s="2613"/>
      <c r="AB38" s="2613"/>
      <c r="AC38" s="2613"/>
      <c r="AD38" s="2613">
        <f>IF(T24&gt;=(T23+Y23+AD23+AI23),AD28+AI28,0)</f>
        <v>0</v>
      </c>
      <c r="AE38" s="2613"/>
      <c r="AF38" s="2613"/>
      <c r="AG38" s="2613"/>
      <c r="AH38" s="2613"/>
    </row>
    <row r="39" spans="1:76" ht="13" customHeight="1">
      <c r="B39" s="2619" t="s">
        <v>1881</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64">
        <v>0.04</v>
      </c>
      <c r="Z39" s="2664"/>
      <c r="AA39" s="2664"/>
      <c r="AB39" s="2664"/>
      <c r="AC39" s="2664"/>
      <c r="AD39" s="2664">
        <v>0.04</v>
      </c>
      <c r="AE39" s="2664"/>
      <c r="AF39" s="2664"/>
      <c r="AG39" s="2664"/>
      <c r="AH39" s="2664"/>
    </row>
    <row r="40" spans="1:76" ht="13" customHeight="1">
      <c r="A40" s="435"/>
      <c r="B40" s="2619" t="s">
        <v>651</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2709659</v>
      </c>
      <c r="Z40" s="2613"/>
      <c r="AA40" s="2613"/>
      <c r="AB40" s="2613"/>
      <c r="AC40" s="2613"/>
      <c r="AD40" s="2612">
        <f>ROUND(AD38*AD39,0)</f>
        <v>0</v>
      </c>
      <c r="AE40" s="2613"/>
      <c r="AF40" s="2613"/>
      <c r="AG40" s="2613"/>
      <c r="AH40" s="2613"/>
    </row>
    <row r="41" spans="1:76" ht="13" customHeight="1">
      <c r="B41" s="2619" t="s">
        <v>652</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14">
        <f>Y40+AD40</f>
        <v>2709659</v>
      </c>
      <c r="Z41" s="2615"/>
      <c r="AA41" s="2615"/>
      <c r="AB41" s="2615"/>
      <c r="AC41" s="2615"/>
      <c r="AD41" s="2615"/>
      <c r="AE41" s="2615"/>
      <c r="AF41" s="2615"/>
      <c r="AG41" s="2615"/>
      <c r="AH41" s="2612"/>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17" t="s">
        <v>1386</v>
      </c>
      <c r="B44" s="2617"/>
      <c r="C44" s="2617"/>
      <c r="D44" s="2617"/>
      <c r="E44" s="2617"/>
      <c r="F44" s="2617"/>
      <c r="G44" s="2617"/>
      <c r="H44" s="2617"/>
      <c r="I44" s="2617"/>
      <c r="J44" s="2617"/>
      <c r="K44" s="2617"/>
      <c r="L44" s="2617"/>
      <c r="M44" s="2617"/>
      <c r="N44" s="2617"/>
      <c r="O44" s="2617"/>
      <c r="P44" s="2617"/>
      <c r="Q44" s="2617"/>
      <c r="R44" s="2617"/>
      <c r="S44" s="2617"/>
      <c r="T44" s="2617"/>
      <c r="U44" s="2617"/>
      <c r="V44" s="2617"/>
      <c r="W44" s="2617"/>
      <c r="X44" s="2617"/>
      <c r="Y44" s="2617"/>
      <c r="Z44" s="2617"/>
      <c r="AA44" s="2617"/>
      <c r="AB44" s="2617"/>
      <c r="AC44" s="2617"/>
      <c r="AD44" s="2617"/>
      <c r="AE44" s="2617"/>
      <c r="AF44" s="2617"/>
      <c r="AG44" s="2617"/>
      <c r="AH44" s="2617"/>
      <c r="AI44" s="2617"/>
      <c r="AJ44" s="2617"/>
      <c r="AK44" s="2617"/>
      <c r="AL44" s="2617"/>
      <c r="AM44" s="2617"/>
      <c r="AN44" s="2617"/>
      <c r="AO44" s="2617"/>
      <c r="AP44" s="2617"/>
      <c r="AQ44" s="2617"/>
      <c r="AR44" s="2617"/>
      <c r="AS44" s="2617"/>
      <c r="AT44" s="2617"/>
      <c r="AU44" s="2617"/>
      <c r="AV44" s="2617"/>
      <c r="AW44" s="2617"/>
      <c r="AX44" s="2617"/>
      <c r="AY44" s="2617"/>
      <c r="AZ44" s="2617"/>
      <c r="BA44" s="2617"/>
      <c r="BB44" s="2617"/>
      <c r="BC44" s="2617"/>
      <c r="BD44" s="2617"/>
      <c r="BE44" s="2617"/>
      <c r="BF44" s="2617"/>
      <c r="BG44" s="2617"/>
      <c r="BH44" s="2617"/>
      <c r="BI44" s="2617"/>
      <c r="BJ44" s="2617"/>
      <c r="BK44" s="2617"/>
      <c r="BL44" s="2617"/>
      <c r="BM44" s="2617"/>
      <c r="BN44" s="2617"/>
      <c r="BO44" s="2617"/>
      <c r="BP44" s="2617"/>
      <c r="BQ44" s="2617"/>
      <c r="BR44" s="2617"/>
      <c r="BS44" s="2617"/>
      <c r="BT44" s="2617"/>
      <c r="BU44" s="2617"/>
      <c r="BV44" s="2617"/>
      <c r="BW44" s="2617"/>
      <c r="BX44" s="2617"/>
    </row>
    <row r="45" spans="1:76" s="218" customFormat="1" ht="13" customHeight="1" thickTop="1"/>
    <row r="46" spans="1:76" ht="13" customHeight="1">
      <c r="A46" s="435" t="s">
        <v>595</v>
      </c>
      <c r="C46" s="435" t="s">
        <v>283</v>
      </c>
    </row>
    <row r="47" spans="1:76" ht="13" customHeight="1">
      <c r="D47" s="435" t="s">
        <v>284</v>
      </c>
      <c r="AB47" s="2629">
        <f>'Sources and Uses Budget'!B105-MAX(IF('Sources and Uses Budget'!B15="",0,'Sources and Uses Budget'!B15),IF(Application!AG394="",0,Application!AG394))</f>
        <v>57112449</v>
      </c>
      <c r="AC47" s="2630"/>
      <c r="AD47" s="2630"/>
      <c r="AE47" s="2630"/>
      <c r="AF47" s="2631"/>
    </row>
    <row r="48" spans="1:76" ht="13" customHeight="1">
      <c r="D48" s="435" t="s">
        <v>21</v>
      </c>
      <c r="AB48" s="2629">
        <f>Application!AO639-MAX(IF('Sources and Uses Budget'!B15="",0,'Sources and Uses Budget'!B15),IF(Application!AG394="",0,Application!AG394))</f>
        <v>31641654</v>
      </c>
      <c r="AC48" s="2630"/>
      <c r="AD48" s="2630"/>
      <c r="AE48" s="2630"/>
      <c r="AF48" s="2631"/>
    </row>
    <row r="49" spans="1:76" ht="13" customHeight="1">
      <c r="D49" s="435" t="s">
        <v>91</v>
      </c>
      <c r="AB49" s="2629">
        <f>AB47-AB48</f>
        <v>25470795</v>
      </c>
      <c r="AC49" s="2630"/>
      <c r="AD49" s="2630"/>
      <c r="AE49" s="2630"/>
      <c r="AF49" s="2631"/>
    </row>
    <row r="50" spans="1:76" ht="13" customHeight="1">
      <c r="D50" s="435" t="s">
        <v>690</v>
      </c>
      <c r="AA50" s="446"/>
      <c r="AB50" s="2656">
        <v>0.94</v>
      </c>
      <c r="AC50" s="2657"/>
      <c r="AD50" s="2657"/>
      <c r="AE50" s="2657"/>
      <c r="AF50" s="2658"/>
    </row>
    <row r="51" spans="1:76" s="448" customFormat="1" ht="13" customHeight="1">
      <c r="A51" s="433"/>
      <c r="B51" s="433"/>
      <c r="C51" s="433"/>
      <c r="D51" s="433"/>
      <c r="E51" s="2659" t="s">
        <v>2041</v>
      </c>
      <c r="F51" s="2659"/>
      <c r="G51" s="2659"/>
      <c r="H51" s="2659"/>
      <c r="I51" s="2659"/>
      <c r="J51" s="2659"/>
      <c r="K51" s="2659"/>
      <c r="L51" s="2659"/>
      <c r="M51" s="2659"/>
      <c r="N51" s="2659"/>
      <c r="O51" s="2659"/>
      <c r="P51" s="2659"/>
      <c r="Q51" s="2659"/>
      <c r="R51" s="2659"/>
      <c r="S51" s="2659"/>
      <c r="T51" s="2659"/>
      <c r="U51" s="2659"/>
      <c r="V51" s="2659"/>
      <c r="W51" s="2659"/>
      <c r="X51" s="2659"/>
      <c r="Y51" s="2659"/>
      <c r="Z51" s="2659"/>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59"/>
      <c r="F52" s="2659"/>
      <c r="G52" s="2659"/>
      <c r="H52" s="2659"/>
      <c r="I52" s="2659"/>
      <c r="J52" s="2659"/>
      <c r="K52" s="2659"/>
      <c r="L52" s="2659"/>
      <c r="M52" s="2659"/>
      <c r="N52" s="2659"/>
      <c r="O52" s="2659"/>
      <c r="P52" s="2659"/>
      <c r="Q52" s="2659"/>
      <c r="R52" s="2659"/>
      <c r="S52" s="2659"/>
      <c r="T52" s="2659"/>
      <c r="U52" s="2659"/>
      <c r="V52" s="2659"/>
      <c r="W52" s="2659"/>
      <c r="X52" s="2659"/>
      <c r="Y52" s="2659"/>
      <c r="Z52" s="2659"/>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29">
        <f>ROUND(IF(ISERROR((AB49/AB50)),0,(AB49/AB50)),0)</f>
        <v>27096590</v>
      </c>
      <c r="AC54" s="2630"/>
      <c r="AD54" s="2630"/>
      <c r="AE54" s="2630"/>
      <c r="AF54" s="2631"/>
    </row>
    <row r="55" spans="1:76" ht="13" customHeight="1">
      <c r="D55" s="435" t="s">
        <v>334</v>
      </c>
      <c r="AB55" s="2629">
        <f>(AB54/10)</f>
        <v>2709659</v>
      </c>
      <c r="AC55" s="2630"/>
      <c r="AD55" s="2630"/>
      <c r="AE55" s="2630"/>
      <c r="AF55" s="2631"/>
    </row>
    <row r="56" spans="1:76" ht="13" customHeight="1">
      <c r="D56" s="435" t="s">
        <v>766</v>
      </c>
      <c r="AB56" s="2660">
        <f>(IF((Y41&lt;AB55),Y41,AB55))</f>
        <v>2709659</v>
      </c>
      <c r="AC56" s="2661"/>
      <c r="AD56" s="2661"/>
      <c r="AE56" s="2661"/>
      <c r="AF56" s="2662"/>
    </row>
    <row r="57" spans="1:76" ht="13" customHeight="1">
      <c r="D57" s="435" t="s">
        <v>765</v>
      </c>
      <c r="AB57" s="2629">
        <f>ROUND((10*AB56*AB50),0)</f>
        <v>25470795</v>
      </c>
      <c r="AC57" s="2630"/>
      <c r="AD57" s="2630"/>
      <c r="AE57" s="2630"/>
      <c r="AF57" s="2631"/>
    </row>
    <row r="58" spans="1:76" ht="13" customHeight="1">
      <c r="D58" s="435"/>
      <c r="AB58" s="454"/>
      <c r="AC58" s="454"/>
      <c r="AD58" s="454"/>
      <c r="AE58" s="454"/>
      <c r="AF58" s="454"/>
    </row>
    <row r="59" spans="1:76" ht="13" customHeight="1">
      <c r="D59" s="435" t="s">
        <v>764</v>
      </c>
      <c r="AB59" s="2652">
        <f>AB49-AB57</f>
        <v>0</v>
      </c>
      <c r="AC59" s="2652"/>
      <c r="AD59" s="2652"/>
      <c r="AE59" s="2652"/>
      <c r="AF59" s="2652"/>
    </row>
    <row r="60" spans="1:76" ht="13" customHeight="1">
      <c r="D60" s="435"/>
      <c r="AB60" s="454"/>
      <c r="AC60" s="454"/>
      <c r="AD60" s="454"/>
      <c r="AE60" s="454"/>
      <c r="AF60" s="454"/>
    </row>
    <row r="61" spans="1:76" s="218" customFormat="1" ht="13" customHeight="1" thickBot="1">
      <c r="A61" s="2617" t="str">
        <f>IF(Application!AP205="yes","Farmworker State Credit", "State Credit" )</f>
        <v>State Credit</v>
      </c>
      <c r="B61" s="2617"/>
      <c r="C61" s="2617"/>
      <c r="D61" s="2617"/>
      <c r="E61" s="2617"/>
      <c r="F61" s="2617"/>
      <c r="G61" s="2617"/>
      <c r="H61" s="2617"/>
      <c r="I61" s="2617"/>
      <c r="J61" s="2617"/>
      <c r="K61" s="2617"/>
      <c r="L61" s="2617"/>
      <c r="M61" s="2617"/>
      <c r="N61" s="2617"/>
      <c r="O61" s="2617"/>
      <c r="P61" s="2617"/>
      <c r="Q61" s="2617"/>
      <c r="R61" s="2617"/>
      <c r="S61" s="2617"/>
      <c r="T61" s="2617"/>
      <c r="U61" s="2617"/>
      <c r="V61" s="2617"/>
      <c r="W61" s="2617"/>
      <c r="X61" s="2617"/>
      <c r="Y61" s="2617"/>
      <c r="Z61" s="2617"/>
      <c r="AA61" s="2617"/>
      <c r="AB61" s="2617"/>
      <c r="AC61" s="2617"/>
      <c r="AD61" s="2617"/>
      <c r="AE61" s="2617"/>
      <c r="AF61" s="2617"/>
      <c r="AG61" s="2617"/>
      <c r="AH61" s="2617"/>
      <c r="AI61" s="2617"/>
      <c r="AJ61" s="2617"/>
      <c r="AK61" s="2617"/>
      <c r="AL61" s="2617"/>
      <c r="AM61" s="2617"/>
      <c r="AN61" s="2617"/>
      <c r="AO61" s="2617"/>
      <c r="AP61" s="2617"/>
      <c r="AQ61" s="2617"/>
      <c r="AR61" s="2617"/>
      <c r="AS61" s="2617"/>
      <c r="AT61" s="2617"/>
      <c r="AU61" s="2617"/>
      <c r="AV61" s="2617"/>
      <c r="AW61" s="2617"/>
      <c r="AX61" s="2617"/>
      <c r="AY61" s="2617"/>
      <c r="AZ61" s="2617"/>
      <c r="BA61" s="2617"/>
      <c r="BB61" s="2617"/>
      <c r="BC61" s="2617"/>
      <c r="BD61" s="2617"/>
      <c r="BE61" s="2617"/>
      <c r="BF61" s="2617"/>
      <c r="BG61" s="2617"/>
      <c r="BH61" s="2617"/>
      <c r="BI61" s="2617"/>
      <c r="BJ61" s="2617"/>
      <c r="BK61" s="2617"/>
      <c r="BL61" s="2617"/>
      <c r="BM61" s="2617"/>
      <c r="BN61" s="2617"/>
      <c r="BO61" s="2617"/>
      <c r="BP61" s="2617"/>
      <c r="BQ61" s="2617"/>
      <c r="BR61" s="2617"/>
      <c r="BS61" s="2617"/>
      <c r="BT61" s="2617"/>
      <c r="BU61" s="2617"/>
      <c r="BV61" s="2617"/>
      <c r="BW61" s="2617"/>
      <c r="BX61" s="2617"/>
    </row>
    <row r="62" spans="1:76" s="218" customFormat="1" ht="13" customHeight="1" thickTop="1"/>
    <row r="63" spans="1:76" ht="13" customHeight="1">
      <c r="A63" s="435" t="s">
        <v>598</v>
      </c>
      <c r="C63" s="219" t="s">
        <v>1358</v>
      </c>
      <c r="Y63" s="2653" t="s">
        <v>1004</v>
      </c>
      <c r="Z63" s="2653"/>
      <c r="AA63" s="2653"/>
      <c r="AB63" s="2653"/>
      <c r="AC63" s="2653"/>
      <c r="AD63" s="2653" t="s">
        <v>370</v>
      </c>
      <c r="AE63" s="2653"/>
      <c r="AF63" s="2653"/>
      <c r="AG63" s="2653"/>
      <c r="AH63" s="2653"/>
    </row>
    <row r="64" spans="1:76" ht="13" customHeight="1">
      <c r="C64" s="435"/>
      <c r="D64" s="408" t="s">
        <v>1359</v>
      </c>
      <c r="E64" s="451"/>
      <c r="F64" s="451"/>
      <c r="G64" s="451"/>
      <c r="H64" s="451"/>
      <c r="I64" s="451"/>
      <c r="J64" s="451"/>
      <c r="K64" s="451"/>
      <c r="L64" s="451"/>
      <c r="M64" s="451"/>
      <c r="N64" s="451"/>
      <c r="O64" s="451"/>
      <c r="P64" s="451"/>
      <c r="Q64" s="451"/>
      <c r="R64" s="451"/>
      <c r="S64" s="451"/>
      <c r="T64" s="451"/>
      <c r="U64" s="451"/>
      <c r="V64" s="451"/>
      <c r="W64" s="451"/>
      <c r="X64" s="451"/>
      <c r="Y64" s="2614">
        <f>IF(Application!Z205="(select)",0,((T23*T27)+Y28))</f>
        <v>52108819</v>
      </c>
      <c r="Z64" s="2654"/>
      <c r="AA64" s="2654"/>
      <c r="AB64" s="2654"/>
      <c r="AC64" s="2655"/>
      <c r="AD64" s="2614">
        <f>IF(AND(OR(Application!D211="At-Risk",Application!D211="At-Risk and Special Needs"),Application!M358="yes"),AD28+AI28,0)</f>
        <v>0</v>
      </c>
      <c r="AE64" s="2654"/>
      <c r="AF64" s="2654"/>
      <c r="AG64" s="2654"/>
      <c r="AH64" s="2655"/>
    </row>
    <row r="65" spans="1:36" ht="13" customHeight="1">
      <c r="C65" s="435"/>
      <c r="E65" s="1052" t="s">
        <v>2039</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2040</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0">
        <f>IF(OR(Application!AP205="yes",Application!Z204="$500M (Farmworker Housing)"),0.75,IF(Application!Z204="15% set-aside",0.13,IF(Application!Z204="15% set-aside with qualifying low value rehab",0.95,0.3)))</f>
        <v>0.3</v>
      </c>
      <c r="Z67" s="2670"/>
      <c r="AA67" s="2670"/>
      <c r="AB67" s="2670"/>
      <c r="AC67" s="2670"/>
      <c r="AD67" s="2670">
        <f>IF(Application!Z204="15% set-aside with qualifying low value rehab", 0.95,0.13)</f>
        <v>0.13</v>
      </c>
      <c r="AE67" s="2670"/>
      <c r="AF67" s="2670"/>
      <c r="AG67" s="2670"/>
      <c r="AH67" s="2670"/>
    </row>
    <row r="68" spans="1:36" ht="13" customHeight="1">
      <c r="C68" s="435"/>
      <c r="D68" s="219" t="s">
        <v>2637</v>
      </c>
      <c r="Y68" s="2613">
        <f>ROUND(Y64*Y67,0)</f>
        <v>15632646</v>
      </c>
      <c r="Z68" s="2671"/>
      <c r="AA68" s="2671"/>
      <c r="AB68" s="2671"/>
      <c r="AC68" s="2671"/>
      <c r="AD68" s="2613">
        <f>ROUND(AD64*AD67,0)</f>
        <v>0</v>
      </c>
      <c r="AE68" s="2671"/>
      <c r="AF68" s="2671"/>
      <c r="AG68" s="2671"/>
      <c r="AH68" s="2671"/>
    </row>
    <row r="69" spans="1:36" ht="13" customHeight="1">
      <c r="C69" s="435"/>
      <c r="D69" s="219" t="s">
        <v>2638</v>
      </c>
      <c r="Y69" s="2613">
        <f>IF(OR(Application!AP205="yes",Application!Z204="$500M (Farmworker Housing)"),Y68+AD68,MIN(Y68+AD68,200000*(Application!G753+Application!O777)))</f>
        <v>15632646</v>
      </c>
      <c r="Z69" s="2613"/>
      <c r="AA69" s="2613"/>
      <c r="AB69" s="2613"/>
      <c r="AC69" s="2613"/>
      <c r="AD69" s="2613"/>
      <c r="AE69" s="2613"/>
      <c r="AF69" s="2613"/>
      <c r="AG69" s="2613"/>
      <c r="AH69" s="2613"/>
    </row>
    <row r="70" spans="1:36" ht="13" customHeight="1">
      <c r="C70" s="435"/>
      <c r="E70" s="435"/>
      <c r="AB70" s="453"/>
      <c r="AC70" s="453"/>
      <c r="AD70" s="453"/>
      <c r="AE70" s="453"/>
      <c r="AF70" s="453"/>
    </row>
    <row r="71" spans="1:36" ht="13" customHeight="1">
      <c r="A71" s="435" t="s">
        <v>599</v>
      </c>
      <c r="C71" s="219" t="s">
        <v>285</v>
      </c>
    </row>
    <row r="72" spans="1:36" ht="13" customHeight="1">
      <c r="A72" s="435"/>
      <c r="C72" s="435"/>
      <c r="D72" s="219" t="s">
        <v>1360</v>
      </c>
      <c r="AB72" s="2656">
        <v>0.9</v>
      </c>
      <c r="AC72" s="2657"/>
      <c r="AD72" s="2657"/>
      <c r="AE72" s="2657"/>
      <c r="AF72" s="2658"/>
    </row>
    <row r="73" spans="1:36" ht="13" customHeight="1">
      <c r="A73" s="435"/>
      <c r="C73" s="435"/>
      <c r="D73" s="435"/>
      <c r="E73" s="2672" t="s">
        <v>1361</v>
      </c>
      <c r="F73" s="2672"/>
      <c r="G73" s="2672"/>
      <c r="H73" s="2672"/>
      <c r="I73" s="2672"/>
      <c r="J73" s="2672"/>
      <c r="K73" s="2672"/>
      <c r="L73" s="2672"/>
      <c r="M73" s="2672"/>
      <c r="N73" s="2672"/>
      <c r="O73" s="2672"/>
      <c r="P73" s="2672"/>
      <c r="Q73" s="2672"/>
      <c r="R73" s="2672"/>
      <c r="S73" s="2672"/>
      <c r="T73" s="2672"/>
      <c r="U73" s="2672"/>
      <c r="V73" s="2672"/>
      <c r="W73" s="2672"/>
      <c r="X73" s="2672"/>
      <c r="Y73" s="2672"/>
      <c r="Z73" s="2672"/>
      <c r="AA73" s="2672"/>
      <c r="AB73" s="471"/>
      <c r="AC73" s="471"/>
    </row>
    <row r="74" spans="1:36" ht="13" customHeight="1">
      <c r="A74" s="435"/>
      <c r="C74" s="435"/>
      <c r="D74" s="435"/>
      <c r="E74" s="2672"/>
      <c r="F74" s="2672"/>
      <c r="G74" s="2672"/>
      <c r="H74" s="2672"/>
      <c r="I74" s="2672"/>
      <c r="J74" s="2672"/>
      <c r="K74" s="2672"/>
      <c r="L74" s="2672"/>
      <c r="M74" s="2672"/>
      <c r="N74" s="2672"/>
      <c r="O74" s="2672"/>
      <c r="P74" s="2672"/>
      <c r="Q74" s="2672"/>
      <c r="R74" s="2672"/>
      <c r="S74" s="2672"/>
      <c r="T74" s="2672"/>
      <c r="U74" s="2672"/>
      <c r="V74" s="2672"/>
      <c r="W74" s="2672"/>
      <c r="X74" s="2672"/>
      <c r="Y74" s="2672"/>
      <c r="Z74" s="2672"/>
      <c r="AA74" s="2672"/>
      <c r="AB74" s="471"/>
      <c r="AC74" s="471"/>
    </row>
    <row r="75" spans="1:36" ht="13" customHeight="1">
      <c r="A75" s="435"/>
      <c r="C75" s="435"/>
      <c r="D75" s="435"/>
      <c r="E75" s="2672"/>
      <c r="F75" s="2672"/>
      <c r="G75" s="2672"/>
      <c r="H75" s="2672"/>
      <c r="I75" s="2672"/>
      <c r="J75" s="2672"/>
      <c r="K75" s="2672"/>
      <c r="L75" s="2672"/>
      <c r="M75" s="2672"/>
      <c r="N75" s="2672"/>
      <c r="O75" s="2672"/>
      <c r="P75" s="2672"/>
      <c r="Q75" s="2672"/>
      <c r="R75" s="2672"/>
      <c r="S75" s="2672"/>
      <c r="T75" s="2672"/>
      <c r="U75" s="2672"/>
      <c r="V75" s="2672"/>
      <c r="W75" s="2672"/>
      <c r="X75" s="2672"/>
      <c r="Y75" s="2672"/>
      <c r="Z75" s="2672"/>
      <c r="AA75" s="2672"/>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1362</v>
      </c>
      <c r="AB77" s="2665">
        <f>ROUND(IF(ISERROR((AB59/AB72)),0,(AB59/AB72)),0)</f>
        <v>0</v>
      </c>
      <c r="AC77" s="2665"/>
      <c r="AD77" s="2665"/>
      <c r="AE77" s="2665"/>
      <c r="AF77" s="2665"/>
    </row>
    <row r="78" spans="1:36" ht="13" customHeight="1">
      <c r="C78" s="435"/>
      <c r="D78" s="219" t="s">
        <v>1363</v>
      </c>
      <c r="AB78" s="2666">
        <f>MIN(Y69,AB77)</f>
        <v>0</v>
      </c>
      <c r="AC78" s="2667"/>
      <c r="AD78" s="2667"/>
      <c r="AE78" s="2667"/>
      <c r="AF78" s="2668"/>
    </row>
    <row r="79" spans="1:36" ht="13" customHeight="1">
      <c r="C79" s="435"/>
      <c r="D79" s="219" t="s">
        <v>1364</v>
      </c>
      <c r="AB79" s="2669">
        <f>AB78*AB72</f>
        <v>0</v>
      </c>
      <c r="AC79" s="2669"/>
      <c r="AD79" s="2669"/>
      <c r="AE79" s="2669"/>
      <c r="AF79" s="2669"/>
    </row>
    <row r="80" spans="1:36" ht="13" customHeight="1">
      <c r="C80" s="435"/>
      <c r="D80" s="435"/>
      <c r="AB80" s="456"/>
      <c r="AC80" s="456"/>
      <c r="AD80" s="456"/>
      <c r="AE80" s="456"/>
      <c r="AF80" s="456"/>
    </row>
    <row r="81" spans="1:78" ht="13" customHeight="1">
      <c r="D81" s="435" t="s">
        <v>764</v>
      </c>
      <c r="AB81" s="2652">
        <f>AB49-(AB57+AB79)</f>
        <v>0</v>
      </c>
      <c r="AC81" s="2652"/>
      <c r="AD81" s="2652"/>
      <c r="AE81" s="2652"/>
      <c r="AF81" s="2652"/>
    </row>
    <row r="82" spans="1:78" ht="13" customHeight="1">
      <c r="F82" s="556"/>
      <c r="J82" s="556" t="str">
        <f>IF(AB81&gt;0,"FUNDING GAP MUST NOT EXCEED ZERO","")</f>
        <v/>
      </c>
    </row>
    <row r="83" spans="1:78" ht="13" customHeight="1">
      <c r="D83" s="557"/>
    </row>
    <row r="84" spans="1:78" ht="13" customHeight="1" thickBot="1">
      <c r="A84" s="2617"/>
      <c r="B84" s="2617"/>
      <c r="C84" s="2617"/>
      <c r="D84" s="2617"/>
      <c r="E84" s="2617"/>
      <c r="F84" s="2617"/>
      <c r="G84" s="2617"/>
      <c r="H84" s="2617"/>
      <c r="I84" s="2617"/>
      <c r="J84" s="2617"/>
      <c r="K84" s="2617"/>
      <c r="L84" s="2617"/>
      <c r="M84" s="2617"/>
      <c r="N84" s="2617"/>
      <c r="O84" s="2617"/>
      <c r="P84" s="2617"/>
      <c r="Q84" s="2617"/>
      <c r="R84" s="2617"/>
      <c r="S84" s="2617"/>
      <c r="T84" s="2617"/>
      <c r="U84" s="2617"/>
      <c r="V84" s="2617"/>
      <c r="W84" s="2617"/>
      <c r="X84" s="2617"/>
      <c r="Y84" s="2617"/>
      <c r="Z84" s="2617"/>
      <c r="AA84" s="2617"/>
      <c r="AB84" s="2617"/>
      <c r="AC84" s="2617"/>
      <c r="AD84" s="2617"/>
      <c r="AE84" s="2617"/>
      <c r="AF84" s="2617"/>
      <c r="AG84" s="2617"/>
      <c r="AH84" s="2617"/>
      <c r="AI84" s="2617"/>
      <c r="AJ84" s="2617"/>
      <c r="AK84" s="2617"/>
      <c r="AL84" s="2617"/>
      <c r="AM84" s="2617"/>
      <c r="AN84" s="2617"/>
      <c r="AO84" s="2617"/>
      <c r="AP84" s="2617"/>
      <c r="AQ84" s="2617"/>
      <c r="AR84" s="2617"/>
      <c r="AS84" s="2617"/>
      <c r="AT84" s="2617"/>
      <c r="AU84" s="2617"/>
      <c r="AV84" s="2617"/>
      <c r="AW84" s="2617"/>
      <c r="AX84" s="2617"/>
      <c r="AY84" s="2617"/>
      <c r="AZ84" s="2617"/>
      <c r="BA84" s="2617"/>
      <c r="BB84" s="2617"/>
      <c r="BC84" s="2617"/>
      <c r="BD84" s="2617"/>
      <c r="BE84" s="2617"/>
      <c r="BF84" s="2617"/>
      <c r="BG84" s="2617"/>
      <c r="BH84" s="2617"/>
      <c r="BI84" s="2617"/>
      <c r="BJ84" s="2617"/>
      <c r="BK84" s="2617"/>
      <c r="BL84" s="2617"/>
      <c r="BM84" s="2617"/>
      <c r="BN84" s="2617"/>
      <c r="BO84" s="2617"/>
      <c r="BP84" s="2617"/>
      <c r="BQ84" s="2617"/>
      <c r="BR84" s="2617"/>
      <c r="BS84" s="2617"/>
      <c r="BT84" s="2617"/>
      <c r="BU84" s="2617"/>
      <c r="BV84" s="2617"/>
      <c r="BW84" s="2617"/>
      <c r="BX84" s="2617"/>
    </row>
    <row r="85" spans="1:78" ht="13" customHeight="1" thickTop="1"/>
    <row r="86" spans="1:78" ht="13" customHeight="1">
      <c r="A86" s="435"/>
      <c r="C86" s="219"/>
    </row>
    <row r="87" spans="1:78" ht="13" customHeight="1">
      <c r="D87" s="219"/>
      <c r="AB87" s="2618"/>
      <c r="AC87" s="2618"/>
      <c r="AD87" s="2618"/>
      <c r="AE87" s="2618"/>
      <c r="AF87" s="2618"/>
    </row>
    <row r="88" spans="1:78" ht="13" customHeight="1" thickBot="1">
      <c r="D88" s="219"/>
      <c r="AB88" s="2616"/>
      <c r="AC88" s="2616"/>
      <c r="AD88" s="2616"/>
      <c r="AE88" s="2616"/>
      <c r="AF88" s="261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3" t="s">
        <v>925</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84">
      <c r="A3" s="457" t="s">
        <v>926</v>
      </c>
      <c r="B3" s="457" t="s">
        <v>927</v>
      </c>
      <c r="C3" s="457" t="s">
        <v>2258</v>
      </c>
      <c r="D3" s="1190" t="s">
        <v>928</v>
      </c>
      <c r="E3" s="218"/>
      <c r="F3" s="1190" t="s">
        <v>929</v>
      </c>
      <c r="G3" s="457" t="s">
        <v>930</v>
      </c>
      <c r="H3" s="458"/>
      <c r="I3" s="457" t="s">
        <v>931</v>
      </c>
      <c r="J3" s="457" t="s">
        <v>932</v>
      </c>
      <c r="K3" s="218"/>
      <c r="L3" s="328"/>
    </row>
    <row r="4" spans="1:12">
      <c r="A4" s="459" t="str">
        <f>Application!B718</f>
        <v>SRO/Studio</v>
      </c>
      <c r="B4" s="1121">
        <f>Application!G718</f>
        <v>9</v>
      </c>
      <c r="C4" s="1122"/>
      <c r="D4" s="459">
        <f>Application!O718</f>
        <v>743</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23</v>
      </c>
      <c r="C5" s="1122"/>
      <c r="D5" s="459">
        <f>Application!O719</f>
        <v>1288</v>
      </c>
      <c r="E5" s="460"/>
      <c r="F5" s="1123"/>
      <c r="G5" s="459">
        <f t="shared" ref="G5:G38" si="2">F5*B5</f>
        <v>0</v>
      </c>
      <c r="H5" s="460"/>
      <c r="I5" s="459" t="str">
        <f t="shared" si="0"/>
        <v/>
      </c>
      <c r="J5" s="459" t="str">
        <f t="shared" si="1"/>
        <v/>
      </c>
      <c r="K5" s="218"/>
      <c r="L5" s="328"/>
    </row>
    <row r="6" spans="1:12">
      <c r="A6" s="459" t="str">
        <f>Application!B720</f>
        <v>SRO/Studio</v>
      </c>
      <c r="B6" s="1121">
        <f>Application!G720</f>
        <v>12</v>
      </c>
      <c r="C6" s="1122"/>
      <c r="D6" s="459">
        <f>Application!O720</f>
        <v>1561</v>
      </c>
      <c r="E6" s="460"/>
      <c r="F6" s="1123"/>
      <c r="G6" s="459">
        <f t="shared" si="2"/>
        <v>0</v>
      </c>
      <c r="H6" s="460"/>
      <c r="I6" s="459" t="str">
        <f t="shared" si="0"/>
        <v/>
      </c>
      <c r="J6" s="459" t="str">
        <f t="shared" si="1"/>
        <v/>
      </c>
      <c r="K6" s="218"/>
      <c r="L6" s="328"/>
    </row>
    <row r="7" spans="1:12">
      <c r="A7" s="459" t="str">
        <f>Application!B721</f>
        <v>1 Bedroom</v>
      </c>
      <c r="B7" s="1121">
        <f>Application!G721</f>
        <v>8</v>
      </c>
      <c r="C7" s="1122"/>
      <c r="D7" s="459">
        <f>Application!O721</f>
        <v>1664</v>
      </c>
      <c r="E7" s="460"/>
      <c r="F7" s="1123"/>
      <c r="G7" s="459">
        <f t="shared" si="2"/>
        <v>0</v>
      </c>
      <c r="H7" s="460"/>
      <c r="I7" s="459" t="str">
        <f t="shared" si="0"/>
        <v/>
      </c>
      <c r="J7" s="459" t="str">
        <f t="shared" si="1"/>
        <v/>
      </c>
      <c r="K7" s="218"/>
      <c r="L7" s="328"/>
    </row>
    <row r="8" spans="1:12">
      <c r="A8" s="459" t="str">
        <f>Application!B722</f>
        <v>1 Bedroom</v>
      </c>
      <c r="B8" s="1121">
        <f>Application!G722</f>
        <v>16</v>
      </c>
      <c r="C8" s="1122"/>
      <c r="D8" s="459">
        <f>Application!O722</f>
        <v>2248</v>
      </c>
      <c r="E8" s="460"/>
      <c r="F8" s="1123"/>
      <c r="G8" s="459">
        <f t="shared" si="2"/>
        <v>0</v>
      </c>
      <c r="H8" s="460"/>
      <c r="I8" s="459" t="str">
        <f t="shared" si="0"/>
        <v/>
      </c>
      <c r="J8" s="459" t="str">
        <f t="shared" si="1"/>
        <v/>
      </c>
      <c r="K8" s="218"/>
      <c r="L8" s="328"/>
    </row>
    <row r="9" spans="1:12">
      <c r="A9" s="459" t="str">
        <f>Application!B723</f>
        <v>2 Bedrooms</v>
      </c>
      <c r="B9" s="1121">
        <f>Application!G723</f>
        <v>3</v>
      </c>
      <c r="C9" s="1122"/>
      <c r="D9" s="459">
        <f>Application!O723</f>
        <v>1979</v>
      </c>
      <c r="E9" s="460"/>
      <c r="F9" s="1123"/>
      <c r="G9" s="459">
        <f t="shared" si="2"/>
        <v>0</v>
      </c>
      <c r="H9" s="460"/>
      <c r="I9" s="459" t="str">
        <f t="shared" si="0"/>
        <v/>
      </c>
      <c r="J9" s="459" t="str">
        <f t="shared" si="1"/>
        <v/>
      </c>
      <c r="K9" s="218"/>
      <c r="L9" s="328"/>
    </row>
    <row r="10" spans="1:12">
      <c r="A10" s="459" t="str">
        <f>Application!B724</f>
        <v>2 Bedrooms</v>
      </c>
      <c r="B10" s="1121">
        <f>Application!G724</f>
        <v>8</v>
      </c>
      <c r="C10" s="1122"/>
      <c r="D10" s="459">
        <f>Application!O724</f>
        <v>2680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131700</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2419</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A67" sqref="A67"/>
    </sheetView>
  </sheetViews>
  <sheetFormatPr defaultColWidth="0" defaultRowHeight="12.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2410</v>
      </c>
      <c r="B1" s="226"/>
    </row>
    <row r="2" spans="1:34"/>
    <row r="3" spans="1:34" ht="15.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
      <c r="A4" s="235" t="s">
        <v>849</v>
      </c>
      <c r="C4" s="253">
        <v>1.0249999999999999</v>
      </c>
      <c r="E4" s="235">
        <f>Application!Y801</f>
        <v>1602972</v>
      </c>
      <c r="G4" s="235">
        <f>E4*$C$4</f>
        <v>1643046.2999999998</v>
      </c>
      <c r="I4" s="235">
        <f>G4*$C$4</f>
        <v>1684122.4574999996</v>
      </c>
      <c r="K4" s="235">
        <f>I4*$C$4</f>
        <v>1726225.5189374995</v>
      </c>
      <c r="M4" s="235">
        <f>K4*$C$4</f>
        <v>1769381.1569109368</v>
      </c>
      <c r="O4" s="235">
        <f>M4*$C$4</f>
        <v>1813615.68583371</v>
      </c>
      <c r="Q4" s="235">
        <f>O4*$C$4</f>
        <v>1858956.0779795526</v>
      </c>
      <c r="S4" s="235">
        <f>Q4*$C$4</f>
        <v>1905429.9799290411</v>
      </c>
      <c r="U4" s="235">
        <f>S4*$C$4</f>
        <v>1953065.7294272669</v>
      </c>
      <c r="W4" s="235">
        <f>U4*$C$4</f>
        <v>2001892.3726629484</v>
      </c>
      <c r="Y4" s="235">
        <f>W4*$C$4</f>
        <v>2051939.6819795219</v>
      </c>
      <c r="AA4" s="235">
        <f>Y4*$C$4</f>
        <v>2103238.1740290099</v>
      </c>
      <c r="AC4" s="235">
        <f>AA4*$C$4</f>
        <v>2155819.1283797352</v>
      </c>
      <c r="AE4" s="235">
        <f>AC4*$C$4</f>
        <v>2209714.6065892284</v>
      </c>
      <c r="AG4" s="235">
        <f>AE4*$C$4</f>
        <v>2264957.4717539591</v>
      </c>
    </row>
    <row r="5" spans="1:34" s="225" customFormat="1" ht="14">
      <c r="B5" s="225" t="s">
        <v>850</v>
      </c>
      <c r="C5" s="254">
        <f>IF(Application!$D$211="Special Needs",0.1,0.05)</f>
        <v>0.05</v>
      </c>
      <c r="E5" s="237">
        <f>-E4*$C$5</f>
        <v>-80148.600000000006</v>
      </c>
      <c r="F5" s="237"/>
      <c r="G5" s="237">
        <f>-G4*$C$5</f>
        <v>-82152.315000000002</v>
      </c>
      <c r="H5" s="237"/>
      <c r="I5" s="237">
        <f>-I4*$C$5</f>
        <v>-84206.122874999986</v>
      </c>
      <c r="J5" s="237"/>
      <c r="K5" s="237">
        <f>-K4*$C$5</f>
        <v>-86311.275946874986</v>
      </c>
      <c r="L5" s="237"/>
      <c r="M5" s="237">
        <f>-M4*$C$5</f>
        <v>-88469.057845546849</v>
      </c>
      <c r="N5" s="237"/>
      <c r="O5" s="237">
        <f>-O4*$C$5</f>
        <v>-90680.784291685501</v>
      </c>
      <c r="P5" s="237"/>
      <c r="Q5" s="237">
        <f>-Q4*$C$5</f>
        <v>-92947.80389897764</v>
      </c>
      <c r="R5" s="237"/>
      <c r="S5" s="237">
        <f>-S4*$C$5</f>
        <v>-95271.498996452065</v>
      </c>
      <c r="T5" s="237"/>
      <c r="U5" s="237">
        <f>-U4*$C$5</f>
        <v>-97653.286471363346</v>
      </c>
      <c r="V5" s="237"/>
      <c r="W5" s="237">
        <f>-W4*$C$5</f>
        <v>-100094.61863314743</v>
      </c>
      <c r="X5" s="237"/>
      <c r="Y5" s="237">
        <f>-Y4*$C$5</f>
        <v>-102596.9840989761</v>
      </c>
      <c r="Z5" s="237"/>
      <c r="AA5" s="237">
        <f>-AA4*$C$5</f>
        <v>-105161.90870145051</v>
      </c>
      <c r="AB5" s="237"/>
      <c r="AC5" s="237">
        <f>-AC4*$C$5</f>
        <v>-107790.95641898677</v>
      </c>
      <c r="AD5" s="237"/>
      <c r="AE5" s="237">
        <f>-AE4*$C$5</f>
        <v>-110485.73032946142</v>
      </c>
      <c r="AF5" s="237"/>
      <c r="AG5" s="237">
        <f>-AG4*$C$5</f>
        <v>-113247.87358769796</v>
      </c>
    </row>
    <row r="6" spans="1:34" s="225" customFormat="1" ht="14">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289</v>
      </c>
      <c r="C8" s="253">
        <v>1.0249999999999999</v>
      </c>
      <c r="E8" s="238">
        <f>Application!Z817</f>
        <v>29160</v>
      </c>
      <c r="F8" s="238"/>
      <c r="G8" s="238">
        <f>E8*$C$8</f>
        <v>29888.999999999996</v>
      </c>
      <c r="H8" s="238"/>
      <c r="I8" s="238">
        <f>G8*$C$8</f>
        <v>30636.224999999995</v>
      </c>
      <c r="J8" s="238"/>
      <c r="K8" s="238">
        <f>I8*$C$8</f>
        <v>31402.130624999991</v>
      </c>
      <c r="L8" s="238"/>
      <c r="M8" s="238">
        <f>K8*$C$8</f>
        <v>32187.183890624987</v>
      </c>
      <c r="N8" s="238"/>
      <c r="O8" s="238">
        <f>M8*$C$8</f>
        <v>32991.863487890609</v>
      </c>
      <c r="P8" s="238"/>
      <c r="Q8" s="238">
        <f>O8*$C$8</f>
        <v>33816.660075087872</v>
      </c>
      <c r="R8" s="238"/>
      <c r="S8" s="238">
        <f>Q8*$C$8</f>
        <v>34662.076576965068</v>
      </c>
      <c r="T8" s="238"/>
      <c r="U8" s="238">
        <f>S8*$C$8</f>
        <v>35528.628491389194</v>
      </c>
      <c r="V8" s="238"/>
      <c r="W8" s="238">
        <f>U8*$C$8</f>
        <v>36416.844203673922</v>
      </c>
      <c r="X8" s="238"/>
      <c r="Y8" s="238">
        <f>W8*$C$8</f>
        <v>37327.265308765767</v>
      </c>
      <c r="Z8" s="238"/>
      <c r="AA8" s="238">
        <f>Y8*$C$8</f>
        <v>38260.446941484908</v>
      </c>
      <c r="AB8" s="238"/>
      <c r="AC8" s="238">
        <f>AA8*$C$8</f>
        <v>39216.958115022026</v>
      </c>
      <c r="AD8" s="238"/>
      <c r="AE8" s="238">
        <f>AC8*$C$8</f>
        <v>40197.382067897575</v>
      </c>
      <c r="AF8" s="238"/>
      <c r="AG8" s="238">
        <f>AE8*$C$8</f>
        <v>41202.316619595011</v>
      </c>
    </row>
    <row r="9" spans="1:34" s="225" customFormat="1" ht="14">
      <c r="B9" s="225" t="s">
        <v>850</v>
      </c>
      <c r="C9" s="254">
        <f>IF(Application!$D$211="Special Needs",0.1,0.05)</f>
        <v>0.05</v>
      </c>
      <c r="E9" s="237">
        <f>-E8*$C$9</f>
        <v>-1458</v>
      </c>
      <c r="F9" s="237"/>
      <c r="G9" s="237">
        <f>-G8*$C$9</f>
        <v>-1494.4499999999998</v>
      </c>
      <c r="H9" s="237"/>
      <c r="I9" s="237">
        <f>-I8*$C$9</f>
        <v>-1531.8112499999997</v>
      </c>
      <c r="J9" s="237"/>
      <c r="K9" s="237">
        <f>-K8*$C$9</f>
        <v>-1570.1065312499995</v>
      </c>
      <c r="L9" s="237"/>
      <c r="M9" s="237">
        <f>-M8*$C$9</f>
        <v>-1609.3591945312494</v>
      </c>
      <c r="N9" s="237"/>
      <c r="O9" s="237">
        <f>-O8*$C$9</f>
        <v>-1649.5931743945305</v>
      </c>
      <c r="P9" s="237"/>
      <c r="Q9" s="237">
        <f>-Q8*$C$9</f>
        <v>-1690.8330037543938</v>
      </c>
      <c r="R9" s="237"/>
      <c r="S9" s="237">
        <f>-S8*$C$9</f>
        <v>-1733.1038288482534</v>
      </c>
      <c r="T9" s="237"/>
      <c r="U9" s="237">
        <f>-U8*$C$9</f>
        <v>-1776.4314245694598</v>
      </c>
      <c r="V9" s="237"/>
      <c r="W9" s="237">
        <f>-W8*$C$9</f>
        <v>-1820.8422101836961</v>
      </c>
      <c r="X9" s="237"/>
      <c r="Y9" s="237">
        <f>-Y8*$C$9</f>
        <v>-1866.3632654382884</v>
      </c>
      <c r="Z9" s="237"/>
      <c r="AA9" s="237">
        <f>-AA8*$C$9</f>
        <v>-1913.0223470742455</v>
      </c>
      <c r="AB9" s="237"/>
      <c r="AC9" s="237">
        <f>-AC8*$C$9</f>
        <v>-1960.8479057511013</v>
      </c>
      <c r="AD9" s="237"/>
      <c r="AE9" s="237">
        <f>-AE8*$C$9</f>
        <v>-2009.8691033948789</v>
      </c>
      <c r="AF9" s="237"/>
      <c r="AG9" s="237">
        <f>-AG8*$C$9</f>
        <v>-2060.1158309797506</v>
      </c>
    </row>
    <row r="10" spans="1:34" s="225" customFormat="1" ht="14">
      <c r="A10" s="1187" t="s">
        <v>2631</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871</v>
      </c>
      <c r="C11" s="231"/>
      <c r="E11" s="239">
        <f>SUM(E4:E10)</f>
        <v>1550525.4</v>
      </c>
      <c r="G11" s="239">
        <f>SUM(G4:G10)</f>
        <v>1589288.5349999999</v>
      </c>
      <c r="I11" s="239">
        <f>SUM(I4:I10)</f>
        <v>1629020.7483749997</v>
      </c>
      <c r="K11" s="239">
        <f>SUM(K4:K10)</f>
        <v>1669746.2670843746</v>
      </c>
      <c r="M11" s="239">
        <f>SUM(M4:M10)</f>
        <v>1711489.9237614835</v>
      </c>
      <c r="O11" s="239">
        <f>SUM(O4:O10)</f>
        <v>1754277.1718555207</v>
      </c>
      <c r="Q11" s="239">
        <f>SUM(Q4:Q10)</f>
        <v>1798134.1011519083</v>
      </c>
      <c r="S11" s="239">
        <f>SUM(S4:S10)</f>
        <v>1843087.453680706</v>
      </c>
      <c r="U11" s="239">
        <f>SUM(U4:U10)</f>
        <v>1889164.640022723</v>
      </c>
      <c r="W11" s="239">
        <f>SUM(W4:W10)</f>
        <v>1936393.7560232915</v>
      </c>
      <c r="Y11" s="239">
        <f>SUM(Y4:Y10)</f>
        <v>1984803.5999238733</v>
      </c>
      <c r="AA11" s="239">
        <f>SUM(AA4:AA10)</f>
        <v>2034423.68992197</v>
      </c>
      <c r="AC11" s="239">
        <f>SUM(AC4:AC10)</f>
        <v>2085284.2821700193</v>
      </c>
      <c r="AE11" s="239">
        <f>SUM(AE4:AE10)</f>
        <v>2137416.3892242694</v>
      </c>
      <c r="AG11" s="239">
        <f>SUM(AG4:AG10)</f>
        <v>2190851.7989548766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235">
        <f>Application!W847</f>
        <v>57900</v>
      </c>
      <c r="G15" s="235">
        <f>E15*$C$14</f>
        <v>59926.499999999993</v>
      </c>
      <c r="I15" s="235">
        <f>G15*$C$14</f>
        <v>62023.927499999991</v>
      </c>
      <c r="K15" s="235">
        <f>I15*$C$14</f>
        <v>64194.764962499983</v>
      </c>
      <c r="M15" s="235">
        <f>K15*$C$14</f>
        <v>66441.58173618748</v>
      </c>
      <c r="O15" s="235">
        <f>M15*$C$14</f>
        <v>68767.037096954038</v>
      </c>
      <c r="Q15" s="235">
        <f>O15*$C$14</f>
        <v>71173.883395347424</v>
      </c>
      <c r="S15" s="235">
        <f>Q15*$C$14</f>
        <v>73664.969314184578</v>
      </c>
      <c r="U15" s="235">
        <f>S15*$C$14</f>
        <v>76243.243240181037</v>
      </c>
      <c r="W15" s="235">
        <f>U15*$C$14</f>
        <v>78911.756753587368</v>
      </c>
      <c r="Y15" s="235">
        <f>W15*$C$14</f>
        <v>81673.668239962921</v>
      </c>
      <c r="AA15" s="235">
        <f>Y15*$C$14</f>
        <v>84532.246628361623</v>
      </c>
      <c r="AC15" s="235">
        <f>AA15*$C$14</f>
        <v>87490.875260354267</v>
      </c>
      <c r="AE15" s="235">
        <f>AC15*$C$14</f>
        <v>90553.055894466655</v>
      </c>
      <c r="AG15" s="235">
        <f>AE15*$C$14</f>
        <v>93722.412850772977</v>
      </c>
    </row>
    <row r="16" spans="1:34" s="225" customFormat="1" ht="14">
      <c r="A16" s="225" t="s">
        <v>345</v>
      </c>
      <c r="C16" s="249"/>
      <c r="E16" s="238">
        <f>Application!W849</f>
        <v>64118.880000000005</v>
      </c>
      <c r="F16" s="238"/>
      <c r="G16" s="238">
        <f t="shared" ref="G16:AG21" si="0">E16*$C$14</f>
        <v>66363.040800000002</v>
      </c>
      <c r="H16" s="238"/>
      <c r="I16" s="238">
        <f t="shared" si="0"/>
        <v>68685.747227999993</v>
      </c>
      <c r="J16" s="238"/>
      <c r="K16" s="238">
        <f t="shared" si="0"/>
        <v>71089.748380979989</v>
      </c>
      <c r="L16" s="238"/>
      <c r="M16" s="238">
        <f t="shared" si="0"/>
        <v>73577.889574314278</v>
      </c>
      <c r="N16" s="238"/>
      <c r="O16" s="238">
        <f t="shared" si="0"/>
        <v>76153.115709415273</v>
      </c>
      <c r="P16" s="238"/>
      <c r="Q16" s="238">
        <f t="shared" si="0"/>
        <v>78818.474759244797</v>
      </c>
      <c r="R16" s="238"/>
      <c r="S16" s="238">
        <f t="shared" si="0"/>
        <v>81577.121375818359</v>
      </c>
      <c r="T16" s="238"/>
      <c r="U16" s="238">
        <f t="shared" si="0"/>
        <v>84432.320623971988</v>
      </c>
      <c r="V16" s="238"/>
      <c r="W16" s="238">
        <f t="shared" si="0"/>
        <v>87387.451845810996</v>
      </c>
      <c r="X16" s="238"/>
      <c r="Y16" s="238">
        <f t="shared" si="0"/>
        <v>90446.012660414373</v>
      </c>
      <c r="Z16" s="238"/>
      <c r="AA16" s="238">
        <f t="shared" si="0"/>
        <v>93611.623103528866</v>
      </c>
      <c r="AB16" s="238"/>
      <c r="AC16" s="238">
        <f t="shared" si="0"/>
        <v>96888.029912152371</v>
      </c>
      <c r="AD16" s="238"/>
      <c r="AE16" s="238">
        <f t="shared" si="0"/>
        <v>100279.11095907769</v>
      </c>
      <c r="AF16" s="238"/>
      <c r="AG16" s="238">
        <f t="shared" si="0"/>
        <v>103788.8798426454</v>
      </c>
    </row>
    <row r="17" spans="1:33" s="225" customFormat="1" ht="14">
      <c r="A17" s="225" t="s">
        <v>570</v>
      </c>
      <c r="C17" s="249"/>
      <c r="E17" s="238">
        <f>Application!W855</f>
        <v>71292</v>
      </c>
      <c r="F17" s="238"/>
      <c r="G17" s="238">
        <f t="shared" si="0"/>
        <v>73787.22</v>
      </c>
      <c r="H17" s="238"/>
      <c r="I17" s="238">
        <f t="shared" si="0"/>
        <v>76369.772700000001</v>
      </c>
      <c r="J17" s="238"/>
      <c r="K17" s="238">
        <f t="shared" si="0"/>
        <v>79042.714744500001</v>
      </c>
      <c r="L17" s="238"/>
      <c r="M17" s="238">
        <f t="shared" si="0"/>
        <v>81809.209760557496</v>
      </c>
      <c r="N17" s="238"/>
      <c r="O17" s="238">
        <f t="shared" si="0"/>
        <v>84672.532102177007</v>
      </c>
      <c r="P17" s="238"/>
      <c r="Q17" s="238">
        <f t="shared" si="0"/>
        <v>87636.07072575319</v>
      </c>
      <c r="R17" s="238"/>
      <c r="S17" s="238">
        <f t="shared" si="0"/>
        <v>90703.333201154543</v>
      </c>
      <c r="T17" s="238"/>
      <c r="U17" s="238">
        <f t="shared" si="0"/>
        <v>93877.949863194939</v>
      </c>
      <c r="V17" s="238"/>
      <c r="W17" s="238">
        <f t="shared" si="0"/>
        <v>97163.678108406748</v>
      </c>
      <c r="X17" s="238"/>
      <c r="Y17" s="238">
        <f t="shared" si="0"/>
        <v>100564.40684220097</v>
      </c>
      <c r="Z17" s="238"/>
      <c r="AA17" s="238">
        <f t="shared" si="0"/>
        <v>104084.161081678</v>
      </c>
      <c r="AB17" s="238"/>
      <c r="AC17" s="238">
        <f t="shared" si="0"/>
        <v>107727.10671953672</v>
      </c>
      <c r="AD17" s="238"/>
      <c r="AE17" s="238">
        <f t="shared" si="0"/>
        <v>111497.5554547205</v>
      </c>
      <c r="AF17" s="238"/>
      <c r="AG17" s="238">
        <f t="shared" si="0"/>
        <v>115399.9698956357</v>
      </c>
    </row>
    <row r="18" spans="1:33" s="225" customFormat="1" ht="14">
      <c r="A18" s="225" t="s">
        <v>854</v>
      </c>
      <c r="C18" s="249"/>
      <c r="E18" s="238">
        <f>Application!W862</f>
        <v>197072</v>
      </c>
      <c r="F18" s="238"/>
      <c r="G18" s="238">
        <f t="shared" si="0"/>
        <v>203969.52</v>
      </c>
      <c r="H18" s="238"/>
      <c r="I18" s="238">
        <f t="shared" si="0"/>
        <v>211108.45319999996</v>
      </c>
      <c r="J18" s="238"/>
      <c r="K18" s="238">
        <f t="shared" si="0"/>
        <v>218497.24906199993</v>
      </c>
      <c r="L18" s="238"/>
      <c r="M18" s="238">
        <f t="shared" si="0"/>
        <v>226144.6527791699</v>
      </c>
      <c r="N18" s="238"/>
      <c r="O18" s="238">
        <f t="shared" si="0"/>
        <v>234059.71562644083</v>
      </c>
      <c r="P18" s="238"/>
      <c r="Q18" s="238">
        <f t="shared" si="0"/>
        <v>242251.80567336624</v>
      </c>
      <c r="R18" s="238"/>
      <c r="S18" s="238">
        <f t="shared" si="0"/>
        <v>250730.61887193404</v>
      </c>
      <c r="T18" s="238"/>
      <c r="U18" s="238">
        <f t="shared" si="0"/>
        <v>259506.19053245173</v>
      </c>
      <c r="V18" s="238"/>
      <c r="W18" s="238">
        <f t="shared" si="0"/>
        <v>268588.90720108751</v>
      </c>
      <c r="X18" s="238"/>
      <c r="Y18" s="238">
        <f t="shared" si="0"/>
        <v>277989.51895312557</v>
      </c>
      <c r="Z18" s="238"/>
      <c r="AA18" s="238">
        <f t="shared" si="0"/>
        <v>287719.15211648494</v>
      </c>
      <c r="AB18" s="238"/>
      <c r="AC18" s="238">
        <f t="shared" si="0"/>
        <v>297789.3224405619</v>
      </c>
      <c r="AD18" s="238"/>
      <c r="AE18" s="238">
        <f t="shared" si="0"/>
        <v>308211.94872598152</v>
      </c>
      <c r="AF18" s="238"/>
      <c r="AG18" s="238">
        <f t="shared" si="0"/>
        <v>318999.36693139083</v>
      </c>
    </row>
    <row r="19" spans="1:33" s="225" customFormat="1" ht="14">
      <c r="A19" s="225" t="s">
        <v>155</v>
      </c>
      <c r="C19" s="249"/>
      <c r="E19" s="238">
        <f>Application!W863</f>
        <v>0</v>
      </c>
      <c r="F19" s="238"/>
      <c r="G19" s="238">
        <f t="shared" si="0"/>
        <v>0</v>
      </c>
      <c r="H19" s="238"/>
      <c r="I19" s="238">
        <f t="shared" si="0"/>
        <v>0</v>
      </c>
      <c r="J19" s="238"/>
      <c r="K19" s="238">
        <f t="shared" si="0"/>
        <v>0</v>
      </c>
      <c r="L19" s="238"/>
      <c r="M19" s="238">
        <f t="shared" si="0"/>
        <v>0</v>
      </c>
      <c r="N19" s="238"/>
      <c r="O19" s="238">
        <f t="shared" si="0"/>
        <v>0</v>
      </c>
      <c r="P19" s="238"/>
      <c r="Q19" s="238">
        <f t="shared" si="0"/>
        <v>0</v>
      </c>
      <c r="R19" s="238"/>
      <c r="S19" s="238">
        <f t="shared" si="0"/>
        <v>0</v>
      </c>
      <c r="T19" s="238"/>
      <c r="U19" s="238">
        <f t="shared" si="0"/>
        <v>0</v>
      </c>
      <c r="V19" s="238"/>
      <c r="W19" s="238">
        <f t="shared" si="0"/>
        <v>0</v>
      </c>
      <c r="X19" s="238"/>
      <c r="Y19" s="238">
        <f t="shared" si="0"/>
        <v>0</v>
      </c>
      <c r="Z19" s="238"/>
      <c r="AA19" s="238">
        <f t="shared" si="0"/>
        <v>0</v>
      </c>
      <c r="AB19" s="238"/>
      <c r="AC19" s="238">
        <f t="shared" si="0"/>
        <v>0</v>
      </c>
      <c r="AD19" s="238"/>
      <c r="AE19" s="238">
        <f t="shared" si="0"/>
        <v>0</v>
      </c>
      <c r="AF19" s="238"/>
      <c r="AG19" s="238">
        <f t="shared" si="0"/>
        <v>0</v>
      </c>
    </row>
    <row r="20" spans="1:33" s="225" customFormat="1" ht="14">
      <c r="A20" s="225" t="s">
        <v>391</v>
      </c>
      <c r="C20" s="249"/>
      <c r="E20" s="238">
        <f>Application!W872</f>
        <v>180930</v>
      </c>
      <c r="F20" s="238"/>
      <c r="G20" s="238">
        <f t="shared" si="0"/>
        <v>187262.55</v>
      </c>
      <c r="H20" s="238"/>
      <c r="I20" s="238">
        <f t="shared" si="0"/>
        <v>193816.73924999998</v>
      </c>
      <c r="J20" s="238"/>
      <c r="K20" s="238">
        <f t="shared" si="0"/>
        <v>200600.32512374996</v>
      </c>
      <c r="L20" s="238"/>
      <c r="M20" s="238">
        <f t="shared" si="0"/>
        <v>207621.3365030812</v>
      </c>
      <c r="N20" s="238"/>
      <c r="O20" s="238">
        <f t="shared" si="0"/>
        <v>214888.08328068902</v>
      </c>
      <c r="P20" s="238"/>
      <c r="Q20" s="238">
        <f t="shared" si="0"/>
        <v>222409.16619551313</v>
      </c>
      <c r="R20" s="238"/>
      <c r="S20" s="238">
        <f t="shared" si="0"/>
        <v>230193.48701235608</v>
      </c>
      <c r="T20" s="238"/>
      <c r="U20" s="238">
        <f t="shared" si="0"/>
        <v>238250.25905778853</v>
      </c>
      <c r="V20" s="238"/>
      <c r="W20" s="238">
        <f t="shared" si="0"/>
        <v>246589.01812481112</v>
      </c>
      <c r="X20" s="238"/>
      <c r="Y20" s="238">
        <f t="shared" si="0"/>
        <v>255219.6337591795</v>
      </c>
      <c r="Z20" s="238"/>
      <c r="AA20" s="238">
        <f t="shared" si="0"/>
        <v>264152.32094075077</v>
      </c>
      <c r="AB20" s="238"/>
      <c r="AC20" s="238">
        <f t="shared" si="0"/>
        <v>273397.65217367705</v>
      </c>
      <c r="AD20" s="238"/>
      <c r="AE20" s="238">
        <f t="shared" si="0"/>
        <v>282966.56999975571</v>
      </c>
      <c r="AF20" s="238"/>
      <c r="AG20" s="238">
        <f t="shared" si="0"/>
        <v>292870.39994974714</v>
      </c>
    </row>
    <row r="21" spans="1:33" s="225" customFormat="1" ht="14">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4">
      <c r="A22" s="239" t="s">
        <v>855</v>
      </c>
      <c r="C22" s="249"/>
      <c r="E22" s="239">
        <f>SUM(E15:E21)</f>
        <v>571312.88</v>
      </c>
      <c r="G22" s="239">
        <f>SUM(G15:G21)</f>
        <v>591308.83079999988</v>
      </c>
      <c r="I22" s="239">
        <f>SUM(I15:I21)</f>
        <v>612004.6398779999</v>
      </c>
      <c r="K22" s="239">
        <f>SUM(K15:K21)</f>
        <v>633424.80227372982</v>
      </c>
      <c r="M22" s="239">
        <f>SUM(M15:M21)</f>
        <v>655594.67035331042</v>
      </c>
      <c r="O22" s="239">
        <f>SUM(O15:O21)</f>
        <v>678540.48381567607</v>
      </c>
      <c r="Q22" s="239">
        <f>SUM(Q15:Q21)</f>
        <v>702289.40074922482</v>
      </c>
      <c r="S22" s="239">
        <f>SUM(S15:S21)</f>
        <v>726869.52977544756</v>
      </c>
      <c r="U22" s="239">
        <f>SUM(U15:U21)</f>
        <v>752309.9633175882</v>
      </c>
      <c r="W22" s="239">
        <f>SUM(W15:W21)</f>
        <v>778640.81203370378</v>
      </c>
      <c r="Y22" s="239">
        <f>SUM(Y15:Y21)</f>
        <v>805893.24045488331</v>
      </c>
      <c r="AA22" s="239">
        <f>SUM(AA15:AA21)</f>
        <v>834099.50387080421</v>
      </c>
      <c r="AC22" s="239">
        <f>SUM(AC15:AC21)</f>
        <v>863292.98650628235</v>
      </c>
      <c r="AE22" s="239">
        <f>SUM(AE15:AE21)</f>
        <v>893508.24103400216</v>
      </c>
      <c r="AG22" s="239">
        <f>SUM(AG15:AG21)</f>
        <v>924781.02947019204</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1871</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3">
        <v>1.0349999999999999</v>
      </c>
      <c r="E27" s="238">
        <f>Application!AC888</f>
        <v>15000</v>
      </c>
      <c r="F27" s="238"/>
      <c r="G27" s="238">
        <f>E27*$C$27</f>
        <v>15524.999999999998</v>
      </c>
      <c r="H27" s="238"/>
      <c r="I27" s="238">
        <f>G27*$C$27</f>
        <v>16068.374999999996</v>
      </c>
      <c r="J27" s="238"/>
      <c r="K27" s="238">
        <f>I27*$C$27</f>
        <v>16630.768124999995</v>
      </c>
      <c r="L27" s="238"/>
      <c r="M27" s="238">
        <f>K27*$C$27</f>
        <v>17212.845009374993</v>
      </c>
      <c r="N27" s="238"/>
      <c r="O27" s="238">
        <f>M27*$C$27</f>
        <v>17815.294584703115</v>
      </c>
      <c r="P27" s="238"/>
      <c r="Q27" s="238">
        <f>O27*$C$27</f>
        <v>18438.829895167724</v>
      </c>
      <c r="R27" s="238"/>
      <c r="S27" s="238">
        <f>Q27*$C$27</f>
        <v>19084.188941498593</v>
      </c>
      <c r="T27" s="238"/>
      <c r="U27" s="238">
        <f>S27*$C$27</f>
        <v>19752.135554451041</v>
      </c>
      <c r="V27" s="238"/>
      <c r="W27" s="238">
        <f>U27*$C$27</f>
        <v>20443.460298856826</v>
      </c>
      <c r="X27" s="238"/>
      <c r="Y27" s="238">
        <f>W27*$C$27</f>
        <v>21158.981409316813</v>
      </c>
      <c r="Z27" s="238"/>
      <c r="AA27" s="238">
        <f>Y27*$C$27</f>
        <v>21899.5457586429</v>
      </c>
      <c r="AB27" s="238"/>
      <c r="AC27" s="238">
        <f>AA27*$C$27</f>
        <v>22666.029860195398</v>
      </c>
      <c r="AD27" s="238"/>
      <c r="AE27" s="238">
        <f>AC27*$C$27</f>
        <v>23459.340905302237</v>
      </c>
      <c r="AF27" s="238"/>
      <c r="AG27" s="238">
        <f>AE27*$C$27</f>
        <v>24280.417836987814</v>
      </c>
    </row>
    <row r="28" spans="1:33" s="225" customFormat="1" ht="14">
      <c r="A28" s="225" t="s">
        <v>858</v>
      </c>
      <c r="C28" s="253"/>
      <c r="E28" s="238">
        <f>Application!AC889</f>
        <v>24000</v>
      </c>
      <c r="F28" s="238"/>
      <c r="G28" s="238">
        <f>$E$28</f>
        <v>24000</v>
      </c>
      <c r="H28" s="238"/>
      <c r="I28" s="238">
        <f>$E$28</f>
        <v>24000</v>
      </c>
      <c r="J28" s="238"/>
      <c r="K28" s="238">
        <f>$E$28</f>
        <v>24000</v>
      </c>
      <c r="L28" s="238"/>
      <c r="M28" s="238">
        <f>$E$28</f>
        <v>24000</v>
      </c>
      <c r="N28" s="238"/>
      <c r="O28" s="238">
        <f>$E$28</f>
        <v>24000</v>
      </c>
      <c r="P28" s="238"/>
      <c r="Q28" s="238">
        <f>$E$28</f>
        <v>24000</v>
      </c>
      <c r="R28" s="238"/>
      <c r="S28" s="238">
        <f>$E$28</f>
        <v>24000</v>
      </c>
      <c r="T28" s="238"/>
      <c r="U28" s="238">
        <f>$E$28</f>
        <v>24000</v>
      </c>
      <c r="V28" s="238"/>
      <c r="W28" s="238">
        <f>$E$28</f>
        <v>24000</v>
      </c>
      <c r="X28" s="238"/>
      <c r="Y28" s="238">
        <f>$E$28</f>
        <v>24000</v>
      </c>
      <c r="Z28" s="238"/>
      <c r="AA28" s="238">
        <f>$E$28</f>
        <v>24000</v>
      </c>
      <c r="AB28" s="238"/>
      <c r="AC28" s="238">
        <f>$E$28</f>
        <v>24000</v>
      </c>
      <c r="AD28" s="238"/>
      <c r="AE28" s="238">
        <f>$E$28</f>
        <v>24000</v>
      </c>
      <c r="AF28" s="238"/>
      <c r="AG28" s="238">
        <f>$E$28</f>
        <v>24000</v>
      </c>
    </row>
    <row r="29" spans="1:33" s="225" customFormat="1" ht="14">
      <c r="A29" s="225" t="s">
        <v>1869</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4">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
      <c r="A31" s="225" t="s">
        <v>1870</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614312.88</v>
      </c>
      <c r="G35" s="239">
        <f>SUM(G22:G33)</f>
        <v>634833.83079999988</v>
      </c>
      <c r="I35" s="239">
        <f>SUM(I22:I33)</f>
        <v>656073.0148779999</v>
      </c>
      <c r="K35" s="239">
        <f>SUM(K22:K33)</f>
        <v>678055.57039872976</v>
      </c>
      <c r="M35" s="239">
        <f>SUM(M22:M33)</f>
        <v>700807.51536268543</v>
      </c>
      <c r="O35" s="239">
        <f>SUM(O22:O33)</f>
        <v>724355.77840037923</v>
      </c>
      <c r="Q35" s="239">
        <f>SUM(Q22:Q33)</f>
        <v>748728.23064439255</v>
      </c>
      <c r="S35" s="239">
        <f>SUM(S22:S33)</f>
        <v>773953.7187169462</v>
      </c>
      <c r="U35" s="239">
        <f>SUM(U22:U33)</f>
        <v>800062.09887203923</v>
      </c>
      <c r="W35" s="239">
        <f>SUM(W22:W33)</f>
        <v>827084.27233256062</v>
      </c>
      <c r="Y35" s="239">
        <f>SUM(Y22:Y33)</f>
        <v>855052.22186420008</v>
      </c>
      <c r="AA35" s="239">
        <f>SUM(AA22:AA33)</f>
        <v>883999.04962944717</v>
      </c>
      <c r="AC35" s="239">
        <f>SUM(AC22:AC33)</f>
        <v>913959.01636647771</v>
      </c>
      <c r="AE35" s="239">
        <f>SUM(AE22:AE33)</f>
        <v>944967.58193930436</v>
      </c>
      <c r="AG35" s="239">
        <f>SUM(AG22:AG33)</f>
        <v>977061.4473071798</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936212.5199999999</v>
      </c>
      <c r="G37" s="239">
        <f>G11-G35</f>
        <v>954454.70420000004</v>
      </c>
      <c r="I37" s="239">
        <f>I11-I35</f>
        <v>972947.73349699983</v>
      </c>
      <c r="K37" s="239">
        <f>K11-K35</f>
        <v>991690.6966856448</v>
      </c>
      <c r="M37" s="239">
        <f>M11-M35</f>
        <v>1010682.4083987981</v>
      </c>
      <c r="O37" s="239">
        <f>O11-O35</f>
        <v>1029921.3934551415</v>
      </c>
      <c r="Q37" s="239">
        <f>Q11-Q35</f>
        <v>1049405.8705075157</v>
      </c>
      <c r="S37" s="239">
        <f>S11-S35</f>
        <v>1069133.7349637598</v>
      </c>
      <c r="U37" s="239">
        <f>U11-U35</f>
        <v>1089102.5411506838</v>
      </c>
      <c r="W37" s="239">
        <f>W11-W35</f>
        <v>1109309.4836907308</v>
      </c>
      <c r="Y37" s="239">
        <f>Y11-Y35</f>
        <v>1129751.3780596731</v>
      </c>
      <c r="AA37" s="239">
        <f>AA11-AA35</f>
        <v>1150424.640292523</v>
      </c>
      <c r="AC37" s="239">
        <f>AC11-AC35</f>
        <v>1171325.2658035415</v>
      </c>
      <c r="AE37" s="239">
        <f>AE11-AE35</f>
        <v>1192448.8072849652</v>
      </c>
      <c r="AG37" s="239">
        <f>AG11-AG35</f>
        <v>1213790.3516476969</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GreyStone[GHI] - Tax Exempt</v>
      </c>
      <c r="B40" s="242"/>
      <c r="C40" s="236"/>
      <c r="E40" s="238">
        <f>Application!AF627</f>
        <v>789864.69390555052</v>
      </c>
      <c r="F40" s="238"/>
      <c r="G40" s="238">
        <f>$E$40</f>
        <v>789864.69390555052</v>
      </c>
      <c r="H40" s="238"/>
      <c r="I40" s="238">
        <f>$E$40</f>
        <v>789864.69390555052</v>
      </c>
      <c r="J40" s="238"/>
      <c r="K40" s="238">
        <f>$E$40</f>
        <v>789864.69390555052</v>
      </c>
      <c r="L40" s="238"/>
      <c r="M40" s="238">
        <f>$E$40</f>
        <v>789864.69390555052</v>
      </c>
      <c r="N40" s="238"/>
      <c r="O40" s="238">
        <f>$E$40</f>
        <v>789864.69390555052</v>
      </c>
      <c r="P40" s="238"/>
      <c r="Q40" s="238">
        <f>$E$40</f>
        <v>789864.69390555052</v>
      </c>
      <c r="R40" s="238"/>
      <c r="S40" s="238">
        <f>$E$40</f>
        <v>789864.69390555052</v>
      </c>
      <c r="T40" s="238"/>
      <c r="U40" s="238">
        <f>$E$40</f>
        <v>789864.69390555052</v>
      </c>
      <c r="V40" s="238"/>
      <c r="W40" s="238">
        <f>$E$40</f>
        <v>789864.69390555052</v>
      </c>
      <c r="X40" s="238"/>
      <c r="Y40" s="238">
        <f>$E$40</f>
        <v>789864.69390555052</v>
      </c>
      <c r="Z40" s="238"/>
      <c r="AA40" s="238">
        <f>$E$40</f>
        <v>789864.69390555052</v>
      </c>
      <c r="AB40" s="238"/>
      <c r="AC40" s="238">
        <f>$E$40</f>
        <v>789864.69390555052</v>
      </c>
      <c r="AD40" s="238"/>
      <c r="AE40" s="238">
        <f>$E$40</f>
        <v>789864.69390555052</v>
      </c>
      <c r="AF40" s="238"/>
      <c r="AG40" s="238">
        <f>$E$40</f>
        <v>789864.69390555052</v>
      </c>
    </row>
    <row r="41" spans="1:33" s="225" customFormat="1" ht="14">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860</v>
      </c>
      <c r="C43" s="240"/>
      <c r="E43" s="239">
        <f>SUM(E40:E42)</f>
        <v>789864.69390555052</v>
      </c>
      <c r="G43" s="239">
        <f>SUM(G40:G42)</f>
        <v>789864.69390555052</v>
      </c>
      <c r="I43" s="239">
        <f>SUM(I40:I42)</f>
        <v>789864.69390555052</v>
      </c>
      <c r="K43" s="239">
        <f>SUM(K40:K42)</f>
        <v>789864.69390555052</v>
      </c>
      <c r="M43" s="239">
        <f>SUM(M40:M42)</f>
        <v>789864.69390555052</v>
      </c>
      <c r="O43" s="239">
        <f>SUM(O40:O42)</f>
        <v>789864.69390555052</v>
      </c>
      <c r="Q43" s="239">
        <f>SUM(Q40:Q42)</f>
        <v>789864.69390555052</v>
      </c>
      <c r="S43" s="239">
        <f>SUM(S40:S42)</f>
        <v>789864.69390555052</v>
      </c>
      <c r="U43" s="239">
        <f>SUM(U40:U42)</f>
        <v>789864.69390555052</v>
      </c>
      <c r="W43" s="239">
        <f>SUM(W40:W42)</f>
        <v>789864.69390555052</v>
      </c>
      <c r="Y43" s="239">
        <f>SUM(Y40:Y42)</f>
        <v>789864.69390555052</v>
      </c>
      <c r="AA43" s="239">
        <f>SUM(AA40:AA42)</f>
        <v>789864.69390555052</v>
      </c>
      <c r="AC43" s="239">
        <f>SUM(AC40:AC42)</f>
        <v>789864.69390555052</v>
      </c>
      <c r="AE43" s="239">
        <f>SUM(AE40:AE42)</f>
        <v>789864.69390555052</v>
      </c>
      <c r="AG43" s="239">
        <f>SUM(AG40:AG42)</f>
        <v>789864.69390555052</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146347.82609444938</v>
      </c>
      <c r="G45" s="239">
        <f>G37-G43</f>
        <v>164590.01029444952</v>
      </c>
      <c r="I45" s="239">
        <f>I37-I43</f>
        <v>183083.03959144931</v>
      </c>
      <c r="K45" s="239">
        <f>K37-K43</f>
        <v>201826.00278009428</v>
      </c>
      <c r="M45" s="239">
        <f>M37-M43</f>
        <v>220817.71449324756</v>
      </c>
      <c r="O45" s="239">
        <f>O37-O43</f>
        <v>240056.69954959094</v>
      </c>
      <c r="Q45" s="239">
        <f>Q37-Q43</f>
        <v>259541.17660196521</v>
      </c>
      <c r="S45" s="239">
        <f>S37-S43</f>
        <v>279269.04105820926</v>
      </c>
      <c r="U45" s="239">
        <f>U37-U43</f>
        <v>299237.84724513325</v>
      </c>
      <c r="W45" s="239">
        <f>W37-W43</f>
        <v>319444.78978518024</v>
      </c>
      <c r="Y45" s="239">
        <f>Y37-Y43</f>
        <v>339886.6841541226</v>
      </c>
      <c r="AA45" s="239">
        <f>AA37-AA43</f>
        <v>360559.94638697244</v>
      </c>
      <c r="AC45" s="239">
        <f>AC37-AC43</f>
        <v>381460.571897991</v>
      </c>
      <c r="AE45" s="239">
        <f>AE37-AE43</f>
        <v>402584.11337941466</v>
      </c>
      <c r="AG45" s="239">
        <f>AG37-AG43</f>
        <v>423925.6577421464</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8.9666660597579967E-2</v>
      </c>
      <c r="G47" s="243">
        <f>G45/(G4+G6+G8)</f>
        <v>9.8383966370038059E-2</v>
      </c>
      <c r="I47" s="243">
        <f>I45/(I4+I6+I8)</f>
        <v>0.10676898239962657</v>
      </c>
      <c r="K47" s="243">
        <f>K45/(K4+K6+K8)</f>
        <v>0.11482864577735329</v>
      </c>
      <c r="M47" s="243">
        <f>M45/(M4+M6+M8)</f>
        <v>0.12256971300628006</v>
      </c>
      <c r="O47" s="243">
        <f>O45/(O4+O6+O8)</f>
        <v>0.12999876429498081</v>
      </c>
      <c r="Q47" s="243">
        <f>Q45/(Q4+Q6+Q8)</f>
        <v>0.13712220774519249</v>
      </c>
      <c r="S47" s="243">
        <f>S45/(S4+S6+S8)</f>
        <v>0.14394628343623894</v>
      </c>
      <c r="U47" s="243">
        <f>U45/(U4+U6+U8)</f>
        <v>0.15047706740872371</v>
      </c>
      <c r="W47" s="243">
        <f>W45/(W4+W6+W8)</f>
        <v>0.15672047554994853</v>
      </c>
      <c r="Y47" s="243">
        <f>Y45/(Y4+Y6+Y8)</f>
        <v>0.16268226738343328</v>
      </c>
      <c r="AA47" s="243">
        <f>AA45/(AA4+AA6+AA8)</f>
        <v>0.16836804976487549</v>
      </c>
      <c r="AC47" s="243">
        <f>AC45/(AC4+AC6+AC8)</f>
        <v>0.1737832804868113</v>
      </c>
      <c r="AE47" s="243">
        <f>AE45/(AE4+AE6+AE8)</f>
        <v>0.17893327179420007</v>
      </c>
      <c r="AG47" s="243">
        <f>AG45/(AG4+AG6+AG8)</f>
        <v>0.18382319381308998</v>
      </c>
    </row>
    <row r="48" spans="1:33" s="243" customFormat="1" ht="14">
      <c r="A48" s="243" t="s">
        <v>864</v>
      </c>
      <c r="C48" s="236"/>
      <c r="E48" s="243">
        <f>E45/E43</f>
        <v>0.18528214670644486</v>
      </c>
      <c r="G48" s="243">
        <f>G45/G43</f>
        <v>0.20837747473003351</v>
      </c>
      <c r="I48" s="243">
        <f>I45/I43</f>
        <v>0.2317903825858835</v>
      </c>
      <c r="K48" s="243">
        <f>K45/K43</f>
        <v>0.25551971665191048</v>
      </c>
      <c r="M48" s="243">
        <f>M45/M43</f>
        <v>0.27956397620635037</v>
      </c>
      <c r="O48" s="243">
        <f>O45/O43</f>
        <v>0.3039212936112019</v>
      </c>
      <c r="Q48" s="243">
        <f>Q45/Q43</f>
        <v>0.32858941361037758</v>
      </c>
      <c r="S48" s="243">
        <f>S45/S43</f>
        <v>0.35356567170680925</v>
      </c>
      <c r="U48" s="243">
        <f>U45/U43</f>
        <v>0.37884697158133157</v>
      </c>
      <c r="W48" s="243">
        <f>W45/W43</f>
        <v>0.40442976151479737</v>
      </c>
      <c r="Y48" s="243">
        <f>Y45/Y43</f>
        <v>0.43031000977335132</v>
      </c>
      <c r="AA48" s="243">
        <f>AA45/AA43</f>
        <v>0.45648317891530804</v>
      </c>
      <c r="AC48" s="243">
        <f>AC45/AC43</f>
        <v>0.48294419897644497</v>
      </c>
      <c r="AE48" s="243">
        <f>AE45/AE43</f>
        <v>0.50968743948891371</v>
      </c>
      <c r="AG48" s="243">
        <f>AG45/AG43</f>
        <v>0.53670668028724178</v>
      </c>
    </row>
    <row r="49" spans="1:35" s="244" customFormat="1" ht="14">
      <c r="A49" s="244" t="s">
        <v>862</v>
      </c>
      <c r="C49" s="245"/>
      <c r="E49" s="244">
        <f>E37/E43</f>
        <v>1.1852821467064449</v>
      </c>
      <c r="G49" s="244">
        <f>G37/G43</f>
        <v>1.2083774747300335</v>
      </c>
      <c r="I49" s="244">
        <f>I37/I43</f>
        <v>1.2317903825858836</v>
      </c>
      <c r="K49" s="244">
        <f>K37/K43</f>
        <v>1.2555197166519105</v>
      </c>
      <c r="M49" s="244">
        <f>M37/M43</f>
        <v>1.2795639762063504</v>
      </c>
      <c r="O49" s="244">
        <f>O37/O43</f>
        <v>1.3039212936112019</v>
      </c>
      <c r="Q49" s="244">
        <f>Q37/Q43</f>
        <v>1.3285894136103775</v>
      </c>
      <c r="S49" s="244">
        <f>S37/S43</f>
        <v>1.3535656717068092</v>
      </c>
      <c r="U49" s="244">
        <f>U37/U43</f>
        <v>1.3788469715813316</v>
      </c>
      <c r="W49" s="244">
        <f>W37/W43</f>
        <v>1.4044297615147974</v>
      </c>
      <c r="Y49" s="244">
        <f>Y37/Y43</f>
        <v>1.4303100097733514</v>
      </c>
      <c r="AA49" s="244">
        <f>AA37/AA43</f>
        <v>1.4564831789153081</v>
      </c>
      <c r="AC49" s="244">
        <f>AC37/AC43</f>
        <v>1.4829441989764449</v>
      </c>
      <c r="AE49" s="244">
        <f>AE37/AE43</f>
        <v>1.5096874394889137</v>
      </c>
      <c r="AG49" s="244">
        <f>AG37/AG43</f>
        <v>1.5367066802872418</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2746</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v>
      </c>
      <c r="E53" s="999">
        <v>9500</v>
      </c>
      <c r="G53" s="995">
        <f>E53*$C$53</f>
        <v>9500</v>
      </c>
      <c r="I53" s="995">
        <f>G53*$C$53</f>
        <v>9500</v>
      </c>
      <c r="K53" s="995">
        <f>I53*$C$53</f>
        <v>9500</v>
      </c>
      <c r="M53" s="995">
        <f>K53*$C$53</f>
        <v>9500</v>
      </c>
      <c r="O53" s="995">
        <f>M53*$C$53</f>
        <v>9500</v>
      </c>
      <c r="Q53" s="995">
        <f>O53*$C$53</f>
        <v>9500</v>
      </c>
      <c r="S53" s="995">
        <f>Q53*$C$53</f>
        <v>9500</v>
      </c>
      <c r="U53" s="995">
        <f>S53*$C$53</f>
        <v>9500</v>
      </c>
      <c r="W53" s="995">
        <f>U53*$C$53</f>
        <v>9500</v>
      </c>
      <c r="Y53" s="995">
        <f>W53*$C$53</f>
        <v>9500</v>
      </c>
      <c r="AA53" s="995">
        <f>Y53*$C$53</f>
        <v>9500</v>
      </c>
      <c r="AC53" s="995">
        <f>AA53*$C$53</f>
        <v>9500</v>
      </c>
      <c r="AE53" s="995">
        <f>AC53*$C$53</f>
        <v>9500</v>
      </c>
      <c r="AG53" s="995">
        <f>AE53*$C$53</f>
        <v>9500</v>
      </c>
    </row>
    <row r="54" spans="1:35" s="3" customFormat="1">
      <c r="A54" s="3" t="s">
        <v>867</v>
      </c>
      <c r="C54" s="993"/>
      <c r="E54" s="1000">
        <v>5000</v>
      </c>
      <c r="F54" s="995"/>
      <c r="G54" s="995">
        <f t="shared" ref="G54" si="1">E54*$C$53</f>
        <v>5000</v>
      </c>
      <c r="H54" s="995"/>
      <c r="I54" s="995">
        <f t="shared" ref="G54:AG57" si="2">G54*$C$53</f>
        <v>5000</v>
      </c>
      <c r="J54" s="995"/>
      <c r="K54" s="995">
        <f t="shared" si="2"/>
        <v>5000</v>
      </c>
      <c r="L54" s="995"/>
      <c r="M54" s="995">
        <f t="shared" si="2"/>
        <v>5000</v>
      </c>
      <c r="N54" s="995"/>
      <c r="O54" s="995">
        <f t="shared" si="2"/>
        <v>5000</v>
      </c>
      <c r="P54" s="995"/>
      <c r="Q54" s="995">
        <f t="shared" si="2"/>
        <v>5000</v>
      </c>
      <c r="R54" s="995"/>
      <c r="S54" s="995">
        <f t="shared" si="2"/>
        <v>5000</v>
      </c>
      <c r="T54" s="995"/>
      <c r="U54" s="995">
        <f t="shared" si="2"/>
        <v>5000</v>
      </c>
      <c r="V54" s="995"/>
      <c r="W54" s="995">
        <f t="shared" si="2"/>
        <v>5000</v>
      </c>
      <c r="X54" s="995"/>
      <c r="Y54" s="995">
        <f t="shared" si="2"/>
        <v>5000</v>
      </c>
      <c r="Z54" s="995"/>
      <c r="AA54" s="995">
        <f t="shared" si="2"/>
        <v>5000</v>
      </c>
      <c r="AB54" s="995"/>
      <c r="AC54" s="995">
        <f t="shared" si="2"/>
        <v>5000</v>
      </c>
      <c r="AD54" s="995"/>
      <c r="AE54" s="995">
        <f t="shared" si="2"/>
        <v>5000</v>
      </c>
      <c r="AF54" s="995"/>
      <c r="AG54" s="995">
        <f t="shared" si="2"/>
        <v>5000</v>
      </c>
      <c r="AH54" s="995"/>
      <c r="AI54" s="995"/>
    </row>
    <row r="55" spans="1:35" s="3" customFormat="1">
      <c r="A55" s="3" t="s">
        <v>868</v>
      </c>
      <c r="C55" s="993"/>
      <c r="E55" s="1000"/>
      <c r="F55" s="995"/>
      <c r="G55" s="995">
        <f t="shared" si="2"/>
        <v>0</v>
      </c>
      <c r="H55" s="995"/>
      <c r="I55" s="995">
        <f t="shared" si="2"/>
        <v>0</v>
      </c>
      <c r="J55" s="995"/>
      <c r="K55" s="995">
        <f t="shared" si="2"/>
        <v>0</v>
      </c>
      <c r="L55" s="995"/>
      <c r="M55" s="995">
        <f t="shared" si="2"/>
        <v>0</v>
      </c>
      <c r="N55" s="995"/>
      <c r="O55" s="995">
        <f t="shared" si="2"/>
        <v>0</v>
      </c>
      <c r="P55" s="995"/>
      <c r="Q55" s="995">
        <f t="shared" si="2"/>
        <v>0</v>
      </c>
      <c r="R55" s="995"/>
      <c r="S55" s="995">
        <f t="shared" si="2"/>
        <v>0</v>
      </c>
      <c r="T55" s="995"/>
      <c r="U55" s="995">
        <f t="shared" si="2"/>
        <v>0</v>
      </c>
      <c r="V55" s="995"/>
      <c r="W55" s="995">
        <f t="shared" si="2"/>
        <v>0</v>
      </c>
      <c r="X55" s="995"/>
      <c r="Y55" s="995">
        <f t="shared" si="2"/>
        <v>0</v>
      </c>
      <c r="Z55" s="995"/>
      <c r="AA55" s="995">
        <f t="shared" si="2"/>
        <v>0</v>
      </c>
      <c r="AB55" s="995"/>
      <c r="AC55" s="995">
        <f t="shared" si="2"/>
        <v>0</v>
      </c>
      <c r="AD55" s="995"/>
      <c r="AE55" s="995">
        <f t="shared" si="2"/>
        <v>0</v>
      </c>
      <c r="AF55" s="995"/>
      <c r="AG55" s="995">
        <f t="shared" si="2"/>
        <v>0</v>
      </c>
      <c r="AH55" s="995"/>
      <c r="AI55" s="995"/>
    </row>
    <row r="56" spans="1:35" s="3" customFormat="1">
      <c r="A56" s="1001"/>
      <c r="B56" s="1001"/>
      <c r="C56" s="993"/>
      <c r="E56" s="1000"/>
      <c r="F56" s="995"/>
      <c r="G56" s="995">
        <f t="shared" si="2"/>
        <v>0</v>
      </c>
      <c r="H56" s="995"/>
      <c r="I56" s="995">
        <f t="shared" si="2"/>
        <v>0</v>
      </c>
      <c r="J56" s="995"/>
      <c r="K56" s="995">
        <f t="shared" si="2"/>
        <v>0</v>
      </c>
      <c r="L56" s="995"/>
      <c r="M56" s="995">
        <f t="shared" si="2"/>
        <v>0</v>
      </c>
      <c r="N56" s="995"/>
      <c r="O56" s="995">
        <f t="shared" si="2"/>
        <v>0</v>
      </c>
      <c r="P56" s="995"/>
      <c r="Q56" s="995">
        <f t="shared" si="2"/>
        <v>0</v>
      </c>
      <c r="R56" s="995"/>
      <c r="S56" s="995">
        <f t="shared" si="2"/>
        <v>0</v>
      </c>
      <c r="T56" s="995"/>
      <c r="U56" s="995">
        <f t="shared" si="2"/>
        <v>0</v>
      </c>
      <c r="V56" s="995"/>
      <c r="W56" s="995">
        <f t="shared" si="2"/>
        <v>0</v>
      </c>
      <c r="X56" s="995"/>
      <c r="Y56" s="995">
        <f t="shared" si="2"/>
        <v>0</v>
      </c>
      <c r="Z56" s="995"/>
      <c r="AA56" s="995">
        <f t="shared" si="2"/>
        <v>0</v>
      </c>
      <c r="AB56" s="995"/>
      <c r="AC56" s="995">
        <f t="shared" si="2"/>
        <v>0</v>
      </c>
      <c r="AD56" s="995"/>
      <c r="AE56" s="995">
        <f t="shared" si="2"/>
        <v>0</v>
      </c>
      <c r="AF56" s="995"/>
      <c r="AG56" s="995">
        <f t="shared" si="2"/>
        <v>0</v>
      </c>
      <c r="AH56" s="995"/>
      <c r="AI56" s="995"/>
    </row>
    <row r="57" spans="1:35" s="3" customFormat="1">
      <c r="A57" s="1001"/>
      <c r="B57" s="1001"/>
      <c r="C57" s="993"/>
      <c r="E57" s="1002"/>
      <c r="F57" s="995"/>
      <c r="G57" s="1003">
        <f t="shared" si="2"/>
        <v>0</v>
      </c>
      <c r="H57" s="995"/>
      <c r="I57" s="1003">
        <f t="shared" si="2"/>
        <v>0</v>
      </c>
      <c r="J57" s="995"/>
      <c r="K57" s="1003">
        <f t="shared" si="2"/>
        <v>0</v>
      </c>
      <c r="L57" s="995"/>
      <c r="M57" s="1003">
        <f t="shared" si="2"/>
        <v>0</v>
      </c>
      <c r="N57" s="995"/>
      <c r="O57" s="1003">
        <f t="shared" si="2"/>
        <v>0</v>
      </c>
      <c r="P57" s="995"/>
      <c r="Q57" s="1003">
        <f t="shared" si="2"/>
        <v>0</v>
      </c>
      <c r="R57" s="995"/>
      <c r="S57" s="1003">
        <f t="shared" si="2"/>
        <v>0</v>
      </c>
      <c r="T57" s="995"/>
      <c r="U57" s="1003">
        <f t="shared" si="2"/>
        <v>0</v>
      </c>
      <c r="V57" s="995"/>
      <c r="W57" s="1003">
        <f t="shared" si="2"/>
        <v>0</v>
      </c>
      <c r="X57" s="995"/>
      <c r="Y57" s="1003">
        <f t="shared" si="2"/>
        <v>0</v>
      </c>
      <c r="Z57" s="995"/>
      <c r="AA57" s="1003">
        <f t="shared" si="2"/>
        <v>0</v>
      </c>
      <c r="AB57" s="995"/>
      <c r="AC57" s="1003">
        <f t="shared" si="2"/>
        <v>0</v>
      </c>
      <c r="AD57" s="995"/>
      <c r="AE57" s="1003">
        <f t="shared" si="2"/>
        <v>0</v>
      </c>
      <c r="AF57" s="995"/>
      <c r="AG57" s="1003">
        <f t="shared" si="2"/>
        <v>0</v>
      </c>
      <c r="AH57" s="995"/>
      <c r="AI57" s="995"/>
    </row>
    <row r="58" spans="1:35" s="3" customFormat="1">
      <c r="A58" s="997" t="s">
        <v>865</v>
      </c>
      <c r="C58" s="996"/>
      <c r="E58" s="995">
        <f>SUM(E53:E57)</f>
        <v>14500</v>
      </c>
      <c r="F58" s="995"/>
      <c r="G58" s="995">
        <f>SUM(G53:G57)</f>
        <v>14500</v>
      </c>
      <c r="H58" s="995"/>
      <c r="I58" s="995">
        <f>SUM(I53:I57)</f>
        <v>14500</v>
      </c>
      <c r="J58" s="995"/>
      <c r="K58" s="995">
        <f>SUM(K53:K57)</f>
        <v>14500</v>
      </c>
      <c r="L58" s="995"/>
      <c r="M58" s="995">
        <f>SUM(M53:M57)</f>
        <v>14500</v>
      </c>
      <c r="N58" s="995"/>
      <c r="O58" s="995">
        <f>SUM(O53:O57)</f>
        <v>14500</v>
      </c>
      <c r="P58" s="995"/>
      <c r="Q58" s="995">
        <f>SUM(Q53:Q57)</f>
        <v>14500</v>
      </c>
      <c r="R58" s="995"/>
      <c r="S58" s="995">
        <f>SUM(S53:S57)</f>
        <v>14500</v>
      </c>
      <c r="T58" s="995"/>
      <c r="U58" s="995">
        <f>SUM(U53:U57)</f>
        <v>14500</v>
      </c>
      <c r="V58" s="995"/>
      <c r="W58" s="995">
        <f>SUM(W53:W57)</f>
        <v>14500</v>
      </c>
      <c r="X58" s="995"/>
      <c r="Y58" s="995">
        <f>SUM(Y53:Y57)</f>
        <v>14500</v>
      </c>
      <c r="Z58" s="995"/>
      <c r="AA58" s="995">
        <f>SUM(AA53:AA57)</f>
        <v>14500</v>
      </c>
      <c r="AB58" s="995"/>
      <c r="AC58" s="995">
        <f>SUM(AC53:AC57)</f>
        <v>14500</v>
      </c>
      <c r="AD58" s="995"/>
      <c r="AE58" s="995">
        <f>SUM(AE53:AE57)</f>
        <v>14500</v>
      </c>
      <c r="AF58" s="995"/>
      <c r="AG58" s="995">
        <f>SUM(AG53:AG57)</f>
        <v>14500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131847.82609444938</v>
      </c>
      <c r="G60" s="997">
        <f>G45-G58</f>
        <v>150090.01029444952</v>
      </c>
      <c r="I60" s="997">
        <f>I45-I58</f>
        <v>168583.03959144931</v>
      </c>
      <c r="K60" s="997">
        <f>K45-K58</f>
        <v>187326.00278009428</v>
      </c>
      <c r="M60" s="997">
        <f>M45-M58</f>
        <v>206317.71449324756</v>
      </c>
      <c r="O60" s="997">
        <f>O45-O58</f>
        <v>225556.69954959094</v>
      </c>
      <c r="Q60" s="997">
        <f>Q45-Q58</f>
        <v>245041.17660196521</v>
      </c>
      <c r="S60" s="997">
        <f>S45-S58</f>
        <v>264769.04105820926</v>
      </c>
      <c r="U60" s="997">
        <f>U45-U58</f>
        <v>284737.84724513325</v>
      </c>
      <c r="W60" s="997">
        <f>W45-W58</f>
        <v>304944.78978518024</v>
      </c>
      <c r="Y60" s="997">
        <f>Y45-Y58</f>
        <v>325386.6841541226</v>
      </c>
      <c r="AA60" s="997">
        <f>AA45-AA58</f>
        <v>346059.94638697244</v>
      </c>
      <c r="AC60" s="997">
        <f>AC45-AC58</f>
        <v>366960.571897991</v>
      </c>
      <c r="AE60" s="997">
        <f>AE45-AE58</f>
        <v>388084.11337941466</v>
      </c>
      <c r="AG60" s="997">
        <f>AG45-AG58</f>
        <v>409425.6577421464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0.75</v>
      </c>
      <c r="E62" s="999">
        <f>E60*$C$62</f>
        <v>98885.869570837036</v>
      </c>
      <c r="G62" s="997">
        <f>G60*$C$62</f>
        <v>112567.50772083714</v>
      </c>
      <c r="I62" s="997">
        <f>I60*$C$62</f>
        <v>126437.27969358698</v>
      </c>
      <c r="K62" s="997">
        <f>K60*$C$62</f>
        <v>140494.50208507071</v>
      </c>
      <c r="M62" s="997">
        <f>M60*$C$62</f>
        <v>154738.28586993567</v>
      </c>
      <c r="O62" s="997">
        <f>O60*$C$62</f>
        <v>169167.5246621932</v>
      </c>
      <c r="Q62" s="997">
        <f>Q60*$C$62</f>
        <v>183780.88245147391</v>
      </c>
      <c r="S62" s="997">
        <f>S60*$C$62</f>
        <v>198576.78079365694</v>
      </c>
      <c r="U62" s="997">
        <f>U60*$C$62</f>
        <v>213553.38543384994</v>
      </c>
      <c r="W62" s="997">
        <f>W60*$C$62</f>
        <v>228708.59233888518</v>
      </c>
      <c r="Y62" s="997">
        <f>Y60*$C$62</f>
        <v>244040.01311559195</v>
      </c>
      <c r="AA62" s="997">
        <f>AA60*$C$62</f>
        <v>259544.95979022933</v>
      </c>
      <c r="AC62" s="997">
        <f>AC60*$C$62</f>
        <v>275220.42892349325</v>
      </c>
      <c r="AE62" s="997">
        <f>AE60*$C$62</f>
        <v>291063.08503456099</v>
      </c>
      <c r="AG62" s="997">
        <f>AG60*$C$62</f>
        <v>307069.2433066098</v>
      </c>
    </row>
    <row r="63" spans="1:35" s="997" customFormat="1">
      <c r="A63" s="2676" t="s">
        <v>2746</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f>1-C62</f>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tr">
        <f>Application!C628</f>
        <v>GreyStone[GHII] - B-Bond</v>
      </c>
      <c r="B66" s="999"/>
      <c r="C66" s="1263">
        <v>0.2</v>
      </c>
      <c r="E66" s="999">
        <f>$E60*$C$66</f>
        <v>26369.565218889878</v>
      </c>
      <c r="G66" s="995">
        <f>G$60*$C$66</f>
        <v>30018.002058889906</v>
      </c>
      <c r="I66" s="995">
        <f>I$60*$C$66</f>
        <v>33716.607918289861</v>
      </c>
      <c r="K66" s="995">
        <f>K$60*$C$66</f>
        <v>37465.200556018855</v>
      </c>
      <c r="M66" s="995">
        <f>M$60*$C$66</f>
        <v>41263.542898649517</v>
      </c>
      <c r="O66" s="995">
        <f>O$60*$C$66</f>
        <v>45111.339909918192</v>
      </c>
      <c r="Q66" s="995">
        <f>Q$60*$C$66</f>
        <v>49008.235320393047</v>
      </c>
      <c r="S66" s="995">
        <f>S$60*$C$66</f>
        <v>52953.808211641852</v>
      </c>
      <c r="U66" s="995">
        <f>U$60*$C$66</f>
        <v>56947.569449026654</v>
      </c>
      <c r="W66" s="995">
        <f>W$60*$C$66</f>
        <v>60988.957957036051</v>
      </c>
      <c r="Y66" s="995">
        <f>Y$60*$C$66</f>
        <v>65077.336830824526</v>
      </c>
      <c r="AA66" s="995">
        <f>AA$60*$C$66</f>
        <v>69211.989277394488</v>
      </c>
      <c r="AC66" s="995">
        <f>AC$60*$C$66</f>
        <v>73392.114379598206</v>
      </c>
      <c r="AE66" s="995">
        <f>AE$60*$C$66</f>
        <v>77616.822675882941</v>
      </c>
      <c r="AG66" s="995">
        <f>AG$60*$C$66</f>
        <v>81885.131548429286</v>
      </c>
    </row>
    <row r="67" spans="1:35" s="995" customFormat="1">
      <c r="A67" s="1000" t="str">
        <f>Application!C632</f>
        <v>Deferred Contractor Fee Loan - Private</v>
      </c>
      <c r="B67" s="1000"/>
      <c r="C67" s="1263">
        <f>C65-C66</f>
        <v>4.9999999999999989E-2</v>
      </c>
      <c r="E67" s="999">
        <f>$E60*$C$67</f>
        <v>6592.3913047224678</v>
      </c>
      <c r="G67" s="995">
        <f>G$60*$C$67</f>
        <v>7504.5005147224738</v>
      </c>
      <c r="I67" s="995">
        <f>I$60*$C$67</f>
        <v>8429.1519795724635</v>
      </c>
      <c r="K67" s="995">
        <f>K$60*$C$67</f>
        <v>9366.300139004712</v>
      </c>
      <c r="M67" s="995">
        <f>M$60*$C$67</f>
        <v>10315.885724662376</v>
      </c>
      <c r="O67" s="995">
        <f>O$60*$C$67</f>
        <v>11277.834977479544</v>
      </c>
      <c r="Q67" s="995">
        <f>Q$60*$C$67</f>
        <v>12252.058830098258</v>
      </c>
      <c r="S67" s="995">
        <f>S$60*$C$67</f>
        <v>13238.452052910459</v>
      </c>
      <c r="U67" s="995">
        <f>U$60*$C$67</f>
        <v>14236.89236225666</v>
      </c>
      <c r="W67" s="995">
        <f>W$60*$C$67</f>
        <v>15247.239489259009</v>
      </c>
      <c r="Y67" s="995">
        <f>Y$60*$C$67</f>
        <v>16269.334207706126</v>
      </c>
      <c r="AA67" s="995">
        <f>AA$60*$C$67</f>
        <v>17302.997319348618</v>
      </c>
      <c r="AC67" s="995">
        <f>AC$60*$C$67</f>
        <v>18348.028594899544</v>
      </c>
      <c r="AE67" s="995">
        <f>AE$60*$C$67</f>
        <v>19404.205668970728</v>
      </c>
      <c r="AG67" s="995">
        <f>AG$60*$C$67</f>
        <v>20471.282887107314</v>
      </c>
    </row>
    <row r="68" spans="1:35" s="995" customFormat="1">
      <c r="A68" s="1000"/>
      <c r="B68" s="1000"/>
      <c r="C68" s="1005"/>
      <c r="E68" s="1000"/>
      <c r="G68" s="995">
        <f t="shared" ref="G68:AG69" si="3">E68*$C$66</f>
        <v>0</v>
      </c>
      <c r="I68" s="995">
        <f t="shared" si="3"/>
        <v>0</v>
      </c>
      <c r="K68" s="995">
        <f t="shared" si="3"/>
        <v>0</v>
      </c>
      <c r="M68" s="995">
        <f t="shared" si="3"/>
        <v>0</v>
      </c>
      <c r="O68" s="995">
        <f t="shared" si="3"/>
        <v>0</v>
      </c>
      <c r="Q68" s="995">
        <f t="shared" si="3"/>
        <v>0</v>
      </c>
      <c r="S68" s="995">
        <f t="shared" si="3"/>
        <v>0</v>
      </c>
      <c r="U68" s="995">
        <f t="shared" si="3"/>
        <v>0</v>
      </c>
      <c r="W68" s="995">
        <f t="shared" si="3"/>
        <v>0</v>
      </c>
      <c r="Y68" s="995">
        <f t="shared" si="3"/>
        <v>0</v>
      </c>
      <c r="AA68" s="995">
        <f t="shared" si="3"/>
        <v>0</v>
      </c>
      <c r="AC68" s="995">
        <f t="shared" si="3"/>
        <v>0</v>
      </c>
      <c r="AE68" s="995">
        <f t="shared" si="3"/>
        <v>0</v>
      </c>
      <c r="AG68" s="995">
        <f t="shared" si="3"/>
        <v>0</v>
      </c>
    </row>
    <row r="69" spans="1:35" s="995" customFormat="1">
      <c r="A69" s="1000"/>
      <c r="B69" s="1000"/>
      <c r="C69" s="1005"/>
      <c r="E69" s="1002"/>
      <c r="G69" s="1003">
        <f t="shared" si="3"/>
        <v>0</v>
      </c>
      <c r="I69" s="1003">
        <f t="shared" si="3"/>
        <v>0</v>
      </c>
      <c r="K69" s="1003">
        <f t="shared" si="3"/>
        <v>0</v>
      </c>
      <c r="M69" s="1003">
        <f t="shared" si="3"/>
        <v>0</v>
      </c>
      <c r="O69" s="1003">
        <f t="shared" si="3"/>
        <v>0</v>
      </c>
      <c r="Q69" s="1003">
        <f t="shared" si="3"/>
        <v>0</v>
      </c>
      <c r="S69" s="1003">
        <f t="shared" si="3"/>
        <v>0</v>
      </c>
      <c r="U69" s="1003">
        <f t="shared" si="3"/>
        <v>0</v>
      </c>
      <c r="W69" s="1003">
        <f t="shared" si="3"/>
        <v>0</v>
      </c>
      <c r="Y69" s="1003">
        <f t="shared" si="3"/>
        <v>0</v>
      </c>
      <c r="AA69" s="1003">
        <f t="shared" si="3"/>
        <v>0</v>
      </c>
      <c r="AC69" s="1003">
        <f t="shared" si="3"/>
        <v>0</v>
      </c>
      <c r="AE69" s="1003">
        <f t="shared" si="3"/>
        <v>0</v>
      </c>
      <c r="AG69" s="1003">
        <f t="shared" si="3"/>
        <v>0</v>
      </c>
    </row>
    <row r="70" spans="1:35" s="995" customFormat="1">
      <c r="A70" s="997" t="s">
        <v>865</v>
      </c>
      <c r="C70" s="1005"/>
      <c r="E70" s="995">
        <f>SUM(E66:E69)</f>
        <v>32961.956523612345</v>
      </c>
      <c r="G70" s="995">
        <f>SUM(G66:G69)</f>
        <v>37522.502573612379</v>
      </c>
      <c r="I70" s="995">
        <f>SUM(I66:I69)</f>
        <v>42145.759897862328</v>
      </c>
      <c r="K70" s="995">
        <f>SUM(K66:K69)</f>
        <v>46831.500695023569</v>
      </c>
      <c r="M70" s="995">
        <f>SUM(M66:M69)</f>
        <v>51579.428623311891</v>
      </c>
      <c r="O70" s="995">
        <f>SUM(O66:O69)</f>
        <v>56389.174887397734</v>
      </c>
      <c r="Q70" s="995">
        <f>SUM(Q66:Q69)</f>
        <v>61260.294150491303</v>
      </c>
      <c r="S70" s="995">
        <f>SUM(S66:S69)</f>
        <v>66192.260264552315</v>
      </c>
      <c r="U70" s="995">
        <f>SUM(U66:U69)</f>
        <v>71184.461811283312</v>
      </c>
      <c r="W70" s="995">
        <f>SUM(W66:W69)</f>
        <v>76236.19744629506</v>
      </c>
      <c r="Y70" s="995">
        <f>SUM(Y66:Y69)</f>
        <v>81346.671038530651</v>
      </c>
      <c r="AA70" s="995">
        <f>SUM(AA66:AA69)</f>
        <v>86514.986596743111</v>
      </c>
      <c r="AC70" s="995">
        <f>SUM(AC66:AC69)</f>
        <v>91740.14297449775</v>
      </c>
      <c r="AE70" s="995">
        <f>SUM(AE66:AE69)</f>
        <v>97021.028344853665</v>
      </c>
      <c r="AG70" s="995">
        <f>SUM(AG66:AG69)</f>
        <v>102356.4144355366</v>
      </c>
    </row>
    <row r="71" spans="1:35" s="995" customFormat="1">
      <c r="A71" s="997"/>
      <c r="C71" s="1005"/>
    </row>
    <row r="72" spans="1:35" s="995" customFormat="1">
      <c r="A72" s="997" t="s">
        <v>1913</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1912</v>
      </c>
      <c r="C75" s="192"/>
    </row>
    <row r="76" spans="1:35" s="233" customFormat="1">
      <c r="C76" s="192"/>
    </row>
    <row r="77" spans="1:35" s="250" customFormat="1" ht="30" customHeight="1">
      <c r="A77" s="2674" t="s">
        <v>1911</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991</v>
      </c>
    </row>
    <row r="2" spans="1:1" ht="15.5">
      <c r="A2" s="338"/>
    </row>
    <row r="3" spans="1:1" ht="15.5">
      <c r="A3" s="339" t="s">
        <v>986</v>
      </c>
    </row>
    <row r="4" spans="1:1" ht="15.5">
      <c r="A4" s="339" t="s">
        <v>987</v>
      </c>
    </row>
    <row r="5" spans="1:1" ht="15.5">
      <c r="A5" s="339" t="s">
        <v>988</v>
      </c>
    </row>
    <row r="6" spans="1:1" ht="15.5">
      <c r="A6" s="339" t="s">
        <v>990</v>
      </c>
    </row>
    <row r="7" spans="1:1" ht="15.5">
      <c r="A7" s="339" t="s">
        <v>989</v>
      </c>
    </row>
    <row r="8" spans="1:1" ht="15.5">
      <c r="A8" s="374" t="s">
        <v>1049</v>
      </c>
    </row>
    <row r="9" spans="1:1" ht="15.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1324</v>
      </c>
      <c r="D1" s="301"/>
    </row>
    <row r="2" spans="1:7" s="296" customFormat="1" ht="13">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ht="13">
      <c r="A4" s="284" t="s">
        <v>26</v>
      </c>
      <c r="B4" s="284"/>
      <c r="C4" s="284"/>
      <c r="D4" s="284"/>
      <c r="E4" s="303"/>
      <c r="F4" s="284"/>
      <c r="G4" s="383"/>
    </row>
    <row r="5" spans="1:7" s="380" customFormat="1">
      <c r="A5" s="395" t="s">
        <v>27</v>
      </c>
      <c r="B5" s="286">
        <f>'Sources and Uses Budget'!$C4</f>
        <v>4510000</v>
      </c>
      <c r="C5" s="286">
        <f>'Sources and Uses Budget'!$C4</f>
        <v>4510000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4510000</v>
      </c>
      <c r="C9" s="290">
        <f>SUM(C5:C8)</f>
        <v>4510000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4510000</v>
      </c>
      <c r="C13" s="290">
        <f>SUM(C9+C12)</f>
        <v>4510000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3">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ht="13">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1753</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
      <c r="A27" s="1053" t="s">
        <v>133</v>
      </c>
      <c r="B27" s="290">
        <f>SUM(B18:B26)</f>
        <v>0</v>
      </c>
      <c r="C27" s="290">
        <f>SUM(C18:C26)</f>
        <v>0</v>
      </c>
      <c r="D27" s="290">
        <f>SUM(D18:D26)</f>
        <v>0</v>
      </c>
      <c r="E27" s="288"/>
      <c r="F27" s="287"/>
      <c r="G27" s="383"/>
    </row>
    <row r="28" spans="1:7" s="380" customFormat="1" ht="13">
      <c r="A28" s="291" t="s">
        <v>141</v>
      </c>
      <c r="B28" s="286">
        <f>'Sources and Uses Budget'!$C$27</f>
        <v>0</v>
      </c>
      <c r="C28" s="286">
        <f>'Sources and Uses Budget'!$C$27</f>
        <v>0</v>
      </c>
      <c r="D28" s="290">
        <f t="shared" si="0"/>
        <v>0</v>
      </c>
      <c r="E28" s="288"/>
      <c r="F28" s="287"/>
      <c r="G28" s="383"/>
    </row>
    <row r="29" spans="1:7" s="380" customFormat="1" ht="13">
      <c r="A29" s="284" t="s">
        <v>142</v>
      </c>
      <c r="B29" s="284"/>
      <c r="C29" s="284"/>
      <c r="D29" s="284"/>
      <c r="E29" s="303"/>
      <c r="F29" s="284"/>
      <c r="G29" s="383"/>
    </row>
    <row r="30" spans="1:7" s="380" customFormat="1">
      <c r="A30" s="145" t="s">
        <v>607</v>
      </c>
      <c r="B30" s="286">
        <f>'Sources and Uses Budget'!$C29</f>
        <v>718862</v>
      </c>
      <c r="C30" s="286">
        <f>'Sources and Uses Budget'!$C29</f>
        <v>718862</v>
      </c>
      <c r="D30" s="290">
        <f t="shared" si="0"/>
        <v>0</v>
      </c>
      <c r="E30" s="288"/>
      <c r="F30" s="287"/>
      <c r="G30" s="383"/>
    </row>
    <row r="31" spans="1:7" s="380" customFormat="1">
      <c r="A31" s="145" t="s">
        <v>608</v>
      </c>
      <c r="B31" s="286">
        <f>'Sources and Uses Budget'!$C30</f>
        <v>29339562</v>
      </c>
      <c r="C31" s="286">
        <f>'Sources and Uses Budget'!$C30</f>
        <v>29339562</v>
      </c>
      <c r="D31" s="290">
        <f t="shared" si="0"/>
        <v>0</v>
      </c>
      <c r="E31" s="288"/>
      <c r="F31" s="287"/>
      <c r="G31" s="383"/>
    </row>
    <row r="32" spans="1:7" s="380" customFormat="1">
      <c r="A32" s="145" t="s">
        <v>609</v>
      </c>
      <c r="B32" s="286">
        <f>'Sources and Uses Budget'!$C31</f>
        <v>1098985</v>
      </c>
      <c r="C32" s="286">
        <f>'Sources and Uses Budget'!$C31</f>
        <v>1098985</v>
      </c>
      <c r="D32" s="290">
        <f t="shared" si="0"/>
        <v>0</v>
      </c>
      <c r="E32" s="288"/>
      <c r="F32" s="287"/>
      <c r="G32" s="383"/>
    </row>
    <row r="33" spans="1:7" s="380" customFormat="1">
      <c r="A33" s="145" t="s">
        <v>137</v>
      </c>
      <c r="B33" s="286">
        <f>'Sources and Uses Budget'!$C32</f>
        <v>1432010</v>
      </c>
      <c r="C33" s="286">
        <f>'Sources and Uses Budget'!$C32</f>
        <v>1432010</v>
      </c>
      <c r="D33" s="290">
        <f t="shared" si="0"/>
        <v>0</v>
      </c>
      <c r="E33" s="288"/>
      <c r="F33" s="287"/>
      <c r="G33" s="383"/>
    </row>
    <row r="34" spans="1:7" s="380" customFormat="1">
      <c r="A34" s="145" t="s">
        <v>138</v>
      </c>
      <c r="B34" s="286">
        <f>'Sources and Uses Budget'!$C33</f>
        <v>1432010</v>
      </c>
      <c r="C34" s="286">
        <f>'Sources and Uses Budget'!$C33</f>
        <v>1432010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328451</v>
      </c>
      <c r="C36" s="286">
        <f>'Sources and Uses Budget'!$C35</f>
        <v>328451</v>
      </c>
      <c r="D36" s="290">
        <f t="shared" si="0"/>
        <v>0</v>
      </c>
      <c r="E36" s="288"/>
      <c r="F36" s="287"/>
      <c r="G36" s="383"/>
    </row>
    <row r="37" spans="1:7" s="380" customFormat="1">
      <c r="A37" s="304" t="s">
        <v>1753</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34349880</v>
      </c>
      <c r="C39" s="290">
        <f>SUM(C30:C38)</f>
        <v>34349880</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354000</v>
      </c>
      <c r="C41" s="286">
        <f>'Sources and Uses Budget'!$C40</f>
        <v>354000</v>
      </c>
      <c r="D41" s="290">
        <f t="shared" si="0"/>
        <v>0</v>
      </c>
      <c r="E41" s="288"/>
      <c r="F41" s="287"/>
      <c r="G41" s="383"/>
    </row>
    <row r="42" spans="1:7" s="380" customFormat="1">
      <c r="A42" s="289" t="s">
        <v>146</v>
      </c>
      <c r="B42" s="286">
        <f>'Sources and Uses Budget'!$C41</f>
        <v>188000</v>
      </c>
      <c r="C42" s="286">
        <f>'Sources and Uses Budget'!$C41</f>
        <v>188000</v>
      </c>
      <c r="D42" s="290">
        <f t="shared" si="0"/>
        <v>0</v>
      </c>
      <c r="E42" s="288"/>
      <c r="F42" s="287"/>
      <c r="G42" s="383"/>
    </row>
    <row r="43" spans="1:7" s="380" customFormat="1" ht="13">
      <c r="A43" s="291" t="s">
        <v>147</v>
      </c>
      <c r="B43" s="290">
        <f>SUM(B41:B42)</f>
        <v>542000</v>
      </c>
      <c r="C43" s="290">
        <f>SUM(C41:C42)</f>
        <v>542000</v>
      </c>
      <c r="D43" s="290">
        <f t="shared" si="0"/>
        <v>0</v>
      </c>
      <c r="E43" s="288"/>
      <c r="F43" s="287"/>
      <c r="G43" s="383"/>
    </row>
    <row r="44" spans="1:7" s="380" customFormat="1" ht="13">
      <c r="A44" s="291" t="s">
        <v>148</v>
      </c>
      <c r="B44" s="286">
        <f>'Sources and Uses Budget'!$C43</f>
        <v>262000</v>
      </c>
      <c r="C44" s="286">
        <f>'Sources and Uses Budget'!$C43</f>
        <v>262000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4835000</v>
      </c>
      <c r="C46" s="286">
        <f>'Sources and Uses Budget'!$C45</f>
        <v>4835000</v>
      </c>
      <c r="D46" s="290">
        <f t="shared" si="0"/>
        <v>0</v>
      </c>
      <c r="E46" s="288"/>
      <c r="F46" s="287"/>
      <c r="G46" s="383"/>
    </row>
    <row r="47" spans="1:7" s="380" customFormat="1">
      <c r="A47" s="145" t="s">
        <v>151</v>
      </c>
      <c r="B47" s="286">
        <f>'Sources and Uses Budget'!$C46</f>
        <v>234750</v>
      </c>
      <c r="C47" s="286">
        <f>'Sources and Uses Budget'!$C46</f>
        <v>234750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85000</v>
      </c>
      <c r="C50" s="286">
        <f>'Sources and Uses Budget'!$C49</f>
        <v>85000</v>
      </c>
      <c r="D50" s="290">
        <f t="shared" si="0"/>
        <v>0</v>
      </c>
      <c r="E50" s="288"/>
      <c r="F50" s="287"/>
      <c r="G50" s="383"/>
    </row>
    <row r="51" spans="1:7" s="380" customFormat="1">
      <c r="A51" s="145" t="s">
        <v>156</v>
      </c>
      <c r="B51" s="286">
        <f>'Sources and Uses Budget'!$C50</f>
        <v>75000</v>
      </c>
      <c r="C51" s="286">
        <f>'Sources and Uses Budget'!$C50</f>
        <v>75000</v>
      </c>
      <c r="D51" s="290">
        <f t="shared" si="0"/>
        <v>0</v>
      </c>
      <c r="E51" s="288"/>
      <c r="F51" s="287"/>
      <c r="G51" s="383"/>
    </row>
    <row r="52" spans="1:7" s="380" customFormat="1">
      <c r="A52" s="304" t="s">
        <v>154</v>
      </c>
      <c r="B52" s="286">
        <f>'Sources and Uses Budget'!$C51</f>
        <v>10000</v>
      </c>
      <c r="C52" s="286">
        <f>'Sources and Uses Budget'!$C51</f>
        <v>10000</v>
      </c>
      <c r="D52" s="290">
        <f t="shared" si="0"/>
        <v>0</v>
      </c>
      <c r="E52" s="288"/>
      <c r="F52" s="287"/>
      <c r="G52" s="383"/>
    </row>
    <row r="53" spans="1:7" s="380" customFormat="1">
      <c r="A53" s="145" t="s">
        <v>155</v>
      </c>
      <c r="B53" s="286">
        <f>'Sources and Uses Budget'!$C52</f>
        <v>350000</v>
      </c>
      <c r="C53" s="286">
        <f>'Sources and Uses Budget'!$C52</f>
        <v>350000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ht="13">
      <c r="A55" s="291" t="s">
        <v>157</v>
      </c>
      <c r="B55" s="293">
        <f>SUM(B46:B54)</f>
        <v>5589750</v>
      </c>
      <c r="C55" s="293">
        <f>SUM(C46:C54)</f>
        <v>5589750</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85000</v>
      </c>
      <c r="C57" s="286">
        <f>'Sources and Uses Budget'!$C56</f>
        <v>85000</v>
      </c>
      <c r="D57" s="290">
        <f t="shared" si="0"/>
        <v>0</v>
      </c>
      <c r="E57" s="288"/>
      <c r="F57" s="287"/>
      <c r="G57" s="383"/>
    </row>
    <row r="58" spans="1:7" s="380" customFormat="1" ht="12" customHeight="1">
      <c r="A58" s="289" t="s">
        <v>152</v>
      </c>
      <c r="B58" s="286">
        <f>'Sources and Uses Budget'!$C57</f>
        <v>15000</v>
      </c>
      <c r="C58" s="286">
        <f>'Sources and Uses Budget'!$C57</f>
        <v>15000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Legal for Perm Loan</v>
      </c>
      <c r="B62" s="286">
        <f>'Sources and Uses Budget'!$C61</f>
        <v>22000</v>
      </c>
      <c r="C62" s="286">
        <f>'Sources and Uses Budget'!$C61</f>
        <v>22000</v>
      </c>
      <c r="D62" s="290">
        <f t="shared" si="0"/>
        <v>0</v>
      </c>
      <c r="E62" s="288"/>
      <c r="F62" s="287"/>
      <c r="G62" s="383"/>
    </row>
    <row r="63" spans="1:7" s="380" customFormat="1" ht="13.75" customHeight="1">
      <c r="A63" s="291" t="s">
        <v>302</v>
      </c>
      <c r="B63" s="290">
        <f>SUM(B57:B62)</f>
        <v>132000</v>
      </c>
      <c r="C63" s="290">
        <f>SUM(C57:C62)</f>
        <v>132000</v>
      </c>
      <c r="D63" s="290">
        <f t="shared" si="0"/>
        <v>0</v>
      </c>
      <c r="E63" s="288"/>
      <c r="F63" s="287"/>
      <c r="G63" s="383"/>
    </row>
    <row r="64" spans="1:7" s="380" customFormat="1" ht="13">
      <c r="A64" s="294" t="s">
        <v>303</v>
      </c>
      <c r="B64" s="290">
        <f>SUM(B9+B12+B14+B15+B17+B26+B28+B39+B43+B44+B55+B63)</f>
        <v>45385630</v>
      </c>
      <c r="C64" s="290">
        <f>SUM(C9+C12+C14+C15+C17+C26+C28+C39+C43+C44+C55+C63)</f>
        <v>45385630</v>
      </c>
      <c r="D64" s="290">
        <f t="shared" si="0"/>
        <v>0</v>
      </c>
      <c r="E64" s="288"/>
      <c r="F64" s="287"/>
      <c r="G64" s="383"/>
    </row>
    <row r="65" spans="1:7" s="380" customFormat="1" ht="24">
      <c r="A65" s="141" t="s">
        <v>1757</v>
      </c>
      <c r="B65" s="284"/>
      <c r="C65" s="284"/>
      <c r="D65" s="284"/>
      <c r="E65" s="303"/>
      <c r="F65" s="284"/>
      <c r="G65" s="383"/>
    </row>
    <row r="66" spans="1:7" s="380" customFormat="1">
      <c r="A66" s="145" t="s">
        <v>171</v>
      </c>
      <c r="B66" s="286">
        <f>'Sources and Uses Budget'!$C65</f>
        <v>25000</v>
      </c>
      <c r="C66" s="286">
        <f>'Sources and Uses Budget'!$C65</f>
        <v>25000</v>
      </c>
      <c r="D66" s="290">
        <f t="shared" si="0"/>
        <v>0</v>
      </c>
      <c r="E66" s="288"/>
      <c r="F66" s="287"/>
      <c r="G66" s="383"/>
    </row>
    <row r="67" spans="1:7" s="380" customFormat="1" ht="23">
      <c r="A67" s="304" t="s">
        <v>1754</v>
      </c>
      <c r="B67" s="286">
        <f>'Sources and Uses Budget'!$C66</f>
        <v>0</v>
      </c>
      <c r="C67" s="286">
        <f>'Sources and Uses Budget'!$C66</f>
        <v>0</v>
      </c>
      <c r="D67" s="290"/>
      <c r="E67" s="288"/>
      <c r="F67" s="287"/>
      <c r="G67" s="383"/>
    </row>
    <row r="68" spans="1:7" s="380" customFormat="1" ht="23">
      <c r="A68" s="304" t="s">
        <v>1755</v>
      </c>
      <c r="B68" s="286">
        <f>'Sources and Uses Budget'!$C67</f>
        <v>0</v>
      </c>
      <c r="C68" s="286">
        <f>'Sources and Uses Budget'!$C67</f>
        <v>0</v>
      </c>
      <c r="D68" s="290"/>
      <c r="E68" s="288"/>
      <c r="F68" s="287"/>
      <c r="G68" s="383"/>
    </row>
    <row r="69" spans="1:7" s="380" customFormat="1">
      <c r="A69" s="304" t="s">
        <v>1761</v>
      </c>
      <c r="B69" s="286">
        <f>'Sources and Uses Budget'!$C68</f>
        <v>0</v>
      </c>
      <c r="C69" s="286">
        <f>'Sources and Uses Budget'!$C68</f>
        <v>0</v>
      </c>
      <c r="D69" s="290"/>
      <c r="E69" s="288"/>
      <c r="F69" s="287"/>
      <c r="G69" s="383"/>
    </row>
    <row r="70" spans="1:7" s="380" customFormat="1">
      <c r="A70" s="155" t="str">
        <f>'Sources and Uses Budget'!A69</f>
        <v>Other: Owner Legal</v>
      </c>
      <c r="B70" s="286">
        <f>'Sources and Uses Budget'!$C69</f>
        <v>60000</v>
      </c>
      <c r="C70" s="286">
        <f>'Sources and Uses Budget'!$C69</f>
        <v>60000</v>
      </c>
      <c r="D70" s="290">
        <f t="shared" si="0"/>
        <v>0</v>
      </c>
      <c r="E70" s="288"/>
      <c r="F70" s="287"/>
      <c r="G70" s="383"/>
    </row>
    <row r="71" spans="1:7" s="380" customFormat="1">
      <c r="A71" s="149" t="s">
        <v>1758</v>
      </c>
      <c r="B71" s="290">
        <f>SUM(B66:B70)</f>
        <v>85000</v>
      </c>
      <c r="C71" s="290">
        <f>SUM(C66:C70)</f>
        <v>85000</v>
      </c>
      <c r="D71" s="290">
        <f t="shared" si="0"/>
        <v>0</v>
      </c>
      <c r="E71" s="288"/>
      <c r="F71" s="287"/>
      <c r="G71" s="383"/>
    </row>
    <row r="72" spans="1:7" s="380" customFormat="1" ht="13">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276630</v>
      </c>
      <c r="C76" s="286">
        <f>'Sources and Uses Budget'!$C75</f>
        <v>276630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ht="13">
      <c r="A78" s="291" t="s">
        <v>615</v>
      </c>
      <c r="B78" s="290">
        <f>SUM(B73:B77)</f>
        <v>276630</v>
      </c>
      <c r="C78" s="290">
        <f>SUM(C73:C77)</f>
        <v>276630</v>
      </c>
      <c r="D78" s="290">
        <f t="shared" ref="D78:D106" si="1">C78-B78</f>
        <v>0</v>
      </c>
      <c r="E78" s="288"/>
      <c r="F78" s="287"/>
      <c r="G78" s="383"/>
    </row>
    <row r="79" spans="1:7" s="380" customFormat="1" ht="13">
      <c r="A79" s="284" t="s">
        <v>1317</v>
      </c>
      <c r="B79" s="284"/>
      <c r="C79" s="284"/>
      <c r="D79" s="284"/>
      <c r="E79" s="303"/>
      <c r="F79" s="284"/>
      <c r="G79" s="383"/>
    </row>
    <row r="80" spans="1:7" s="380" customFormat="1">
      <c r="A80" s="544" t="s">
        <v>1319</v>
      </c>
      <c r="B80" s="286">
        <f>'Sources and Uses Budget'!$C79</f>
        <v>1897068</v>
      </c>
      <c r="C80" s="286">
        <f>'Sources and Uses Budget'!$C79</f>
        <v>1897068</v>
      </c>
      <c r="D80" s="290">
        <f t="shared" si="1"/>
        <v>0</v>
      </c>
      <c r="E80" s="288"/>
      <c r="F80" s="287"/>
      <c r="G80" s="383"/>
    </row>
    <row r="81" spans="1:7" s="380" customFormat="1">
      <c r="A81" s="544" t="s">
        <v>58</v>
      </c>
      <c r="B81" s="286">
        <f>'Sources and Uses Budget'!$C80</f>
        <v>240000</v>
      </c>
      <c r="C81" s="286">
        <f>'Sources and Uses Budget'!$C80</f>
        <v>240000</v>
      </c>
      <c r="D81" s="290">
        <f>C81-B81</f>
        <v>0</v>
      </c>
      <c r="E81" s="288"/>
      <c r="F81" s="287"/>
      <c r="G81" s="383"/>
    </row>
    <row r="82" spans="1:7" s="380" customFormat="1" ht="13">
      <c r="A82" s="291" t="s">
        <v>1316</v>
      </c>
      <c r="B82" s="290">
        <f>SUM(B80:B81)</f>
        <v>2137068</v>
      </c>
      <c r="C82" s="290">
        <f>SUM(C80:C81)</f>
        <v>2137068</v>
      </c>
      <c r="D82" s="290">
        <f t="shared" si="1"/>
        <v>0</v>
      </c>
      <c r="E82" s="288"/>
      <c r="F82" s="287"/>
      <c r="G82" s="383"/>
    </row>
    <row r="83" spans="1:7" s="380" customFormat="1" ht="13">
      <c r="A83" s="284" t="s">
        <v>775</v>
      </c>
      <c r="B83" s="284"/>
      <c r="C83" s="284"/>
      <c r="D83" s="284"/>
      <c r="E83" s="303"/>
      <c r="F83" s="284"/>
      <c r="G83" s="383"/>
    </row>
    <row r="84" spans="1:7" s="380" customFormat="1" ht="13.75" customHeight="1">
      <c r="A84" s="289" t="s">
        <v>776</v>
      </c>
      <c r="B84" s="286">
        <f>'Sources and Uses Budget'!$C83</f>
        <v>85000</v>
      </c>
      <c r="C84" s="286">
        <f>'Sources and Uses Budget'!$C83</f>
        <v>85000</v>
      </c>
      <c r="D84" s="290">
        <f t="shared" si="1"/>
        <v>0</v>
      </c>
      <c r="E84" s="288"/>
      <c r="F84" s="287"/>
      <c r="G84" s="383"/>
    </row>
    <row r="85" spans="1:7" s="380" customFormat="1">
      <c r="A85" s="289" t="s">
        <v>777</v>
      </c>
      <c r="B85" s="286">
        <f>'Sources and Uses Budget'!$C84</f>
        <v>15000</v>
      </c>
      <c r="C85" s="286">
        <f>'Sources and Uses Budget'!$C84</f>
        <v>15000</v>
      </c>
      <c r="D85" s="290">
        <f t="shared" si="1"/>
        <v>0</v>
      </c>
      <c r="E85" s="288"/>
      <c r="F85" s="287"/>
      <c r="G85" s="383"/>
    </row>
    <row r="86" spans="1:7" s="380" customFormat="1">
      <c r="A86" s="289" t="s">
        <v>778</v>
      </c>
      <c r="B86" s="286">
        <f>'Sources and Uses Budget'!$C85</f>
        <v>161920</v>
      </c>
      <c r="C86" s="286">
        <f>'Sources and Uses Budget'!$C85</f>
        <v>161920</v>
      </c>
      <c r="D86" s="290">
        <f t="shared" si="1"/>
        <v>0</v>
      </c>
      <c r="E86" s="288"/>
      <c r="F86" s="287"/>
      <c r="G86" s="383"/>
    </row>
    <row r="87" spans="1:7" s="380" customFormat="1">
      <c r="A87" s="289" t="s">
        <v>779</v>
      </c>
      <c r="B87" s="286">
        <f>'Sources and Uses Budget'!$C86</f>
        <v>239048</v>
      </c>
      <c r="C87" s="286">
        <f>'Sources and Uses Budget'!$C86</f>
        <v>239048</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0</v>
      </c>
      <c r="C89" s="286">
        <f>'Sources and Uses Budget'!$C88</f>
        <v>0</v>
      </c>
      <c r="D89" s="290">
        <f t="shared" si="1"/>
        <v>0</v>
      </c>
      <c r="E89" s="288"/>
      <c r="F89" s="287"/>
      <c r="G89" s="383"/>
    </row>
    <row r="90" spans="1:7" s="380" customFormat="1">
      <c r="A90" s="289" t="s">
        <v>782</v>
      </c>
      <c r="B90" s="286">
        <f>'Sources and Uses Budget'!$C89</f>
        <v>30000</v>
      </c>
      <c r="C90" s="286">
        <f>'Sources and Uses Budget'!$C89</f>
        <v>30000</v>
      </c>
      <c r="D90" s="290">
        <f t="shared" si="1"/>
        <v>0</v>
      </c>
      <c r="E90" s="288"/>
      <c r="F90" s="287"/>
      <c r="G90" s="383"/>
    </row>
    <row r="91" spans="1:7" s="380" customFormat="1">
      <c r="A91" s="289" t="s">
        <v>783</v>
      </c>
      <c r="B91" s="286">
        <f>'Sources and Uses Budget'!$C90</f>
        <v>5750</v>
      </c>
      <c r="C91" s="286">
        <f>'Sources and Uses Budget'!$C90</f>
        <v>5750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6600</v>
      </c>
      <c r="C93" s="286">
        <f>'Sources and Uses Budget'!$C92</f>
        <v>6600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784</v>
      </c>
      <c r="B97" s="290">
        <f>SUM(B84:B96)</f>
        <v>543318</v>
      </c>
      <c r="C97" s="290">
        <f>SUM(C84:C96)</f>
        <v>543318</v>
      </c>
      <c r="D97" s="290">
        <f t="shared" si="1"/>
        <v>0</v>
      </c>
      <c r="E97" s="288"/>
      <c r="F97" s="287"/>
      <c r="G97" s="383"/>
    </row>
    <row r="98" spans="1:7" s="380" customFormat="1" ht="13">
      <c r="A98" s="291" t="s">
        <v>785</v>
      </c>
      <c r="B98" s="290">
        <f>SUM(B64+B71+B78+B82+B97)</f>
        <v>48427646</v>
      </c>
      <c r="C98" s="290">
        <f>SUM(C64+C71+C78+C82+C97)</f>
        <v>48427646</v>
      </c>
      <c r="D98" s="290">
        <f t="shared" si="1"/>
        <v>0</v>
      </c>
      <c r="E98" s="288"/>
      <c r="F98" s="287"/>
      <c r="G98" s="383"/>
    </row>
    <row r="99" spans="1:7" s="380" customFormat="1" ht="13">
      <c r="A99" s="284" t="s">
        <v>786</v>
      </c>
      <c r="B99" s="284"/>
      <c r="C99" s="284"/>
      <c r="D99" s="284"/>
      <c r="E99" s="303"/>
      <c r="F99" s="284"/>
      <c r="G99" s="383"/>
    </row>
    <row r="100" spans="1:7" s="380" customFormat="1">
      <c r="A100" s="145" t="s">
        <v>787</v>
      </c>
      <c r="B100" s="286">
        <f>'Sources and Uses Budget'!$C99</f>
        <v>8684803</v>
      </c>
      <c r="C100" s="286">
        <f>'Sources and Uses Budget'!$C99</f>
        <v>8684803</v>
      </c>
      <c r="D100" s="290">
        <f t="shared" si="1"/>
        <v>0</v>
      </c>
      <c r="E100" s="288"/>
      <c r="F100" s="287"/>
      <c r="G100" s="383"/>
    </row>
    <row r="101" spans="1:7" s="380" customFormat="1">
      <c r="A101" s="304" t="s">
        <v>1759</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1760</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789</v>
      </c>
      <c r="B105" s="290">
        <f>SUM(B100:B104)</f>
        <v>8684803</v>
      </c>
      <c r="C105" s="290">
        <f>SUM(C100:C104)</f>
        <v>8684803</v>
      </c>
      <c r="D105" s="290">
        <f t="shared" si="1"/>
        <v>0</v>
      </c>
      <c r="E105" s="288"/>
      <c r="F105" s="287"/>
      <c r="G105" s="383"/>
    </row>
    <row r="106" spans="1:7" s="380" customFormat="1" ht="13">
      <c r="A106" s="291" t="s">
        <v>790</v>
      </c>
      <c r="B106" s="293">
        <f>SUM(B98+B105)</f>
        <v>57112449</v>
      </c>
      <c r="C106" s="293">
        <f>SUM(C98+C105)</f>
        <v>57112449</v>
      </c>
      <c r="D106" s="290">
        <f t="shared" si="1"/>
        <v>0</v>
      </c>
      <c r="E106" s="288"/>
      <c r="F106" s="287"/>
      <c r="G106" s="383"/>
    </row>
    <row r="107" spans="1:7" s="380" customFormat="1" ht="13">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2" t="s">
        <v>1069</v>
      </c>
      <c r="B2" s="1302"/>
      <c r="C2" s="1266"/>
      <c r="D2" s="1266"/>
      <c r="E2" s="1266"/>
      <c r="F2" s="1266"/>
      <c r="G2" s="1266"/>
    </row>
    <row r="3" spans="1:9" s="173" customFormat="1" ht="13">
      <c r="A3" s="1302" t="s">
        <v>1010</v>
      </c>
      <c r="B3" s="1302"/>
      <c r="C3" s="1266"/>
      <c r="D3" s="1266"/>
      <c r="E3" s="1266"/>
      <c r="F3" s="1266"/>
      <c r="G3" s="1266"/>
      <c r="I3" t="s">
        <v>308</v>
      </c>
    </row>
    <row r="4" spans="1:9">
      <c r="I4" s="3" t="s">
        <v>1070</v>
      </c>
    </row>
    <row r="5" spans="1:9" ht="13">
      <c r="A5" s="1304" t="s">
        <v>1011</v>
      </c>
      <c r="B5" s="1304"/>
      <c r="C5" s="1266"/>
      <c r="D5" s="1266"/>
      <c r="E5" s="1266"/>
      <c r="F5" s="1266"/>
      <c r="G5" s="1266"/>
      <c r="I5" s="3" t="s">
        <v>1071</v>
      </c>
    </row>
    <row r="6" spans="1:9" ht="13">
      <c r="A6" s="1304" t="s">
        <v>829</v>
      </c>
      <c r="B6" s="1304"/>
      <c r="C6" s="1266"/>
      <c r="D6" s="1266"/>
      <c r="E6" s="1266"/>
      <c r="F6" s="1266"/>
      <c r="G6" s="1266"/>
      <c r="I6" t="s">
        <v>600</v>
      </c>
    </row>
    <row r="7" spans="1:9" ht="11.9" customHeight="1"/>
    <row r="8" spans="1:9" ht="13">
      <c r="A8" s="1302" t="s">
        <v>1166</v>
      </c>
      <c r="B8" s="1302"/>
      <c r="C8" s="1303"/>
      <c r="D8" s="1303"/>
      <c r="E8" s="1303"/>
      <c r="F8" s="1303"/>
      <c r="G8" s="1303"/>
    </row>
    <row r="9" spans="1:9" ht="13">
      <c r="A9" s="1302" t="s">
        <v>1167</v>
      </c>
      <c r="B9" s="1302"/>
      <c r="C9" s="1303"/>
      <c r="D9" s="1303"/>
      <c r="E9" s="1303"/>
      <c r="F9" s="1303"/>
      <c r="G9" s="1303"/>
    </row>
    <row r="10" spans="1:9" ht="13">
      <c r="A10" s="174"/>
      <c r="B10" s="174"/>
      <c r="C10" s="172"/>
      <c r="D10" s="172"/>
      <c r="E10" s="172"/>
      <c r="F10" s="172"/>
    </row>
    <row r="11" spans="1:9" ht="13">
      <c r="A11" s="1285" t="s">
        <v>1169</v>
      </c>
      <c r="B11" s="1285"/>
      <c r="C11" s="1285"/>
      <c r="D11" s="1285"/>
      <c r="E11" s="1285"/>
      <c r="F11" s="1285"/>
      <c r="G11" s="1285"/>
    </row>
    <row r="12" spans="1:9" ht="13">
      <c r="A12" s="172"/>
      <c r="B12" s="172"/>
      <c r="E12" s="2"/>
    </row>
    <row r="13" spans="1:9" ht="13.15" customHeight="1">
      <c r="C13" s="172"/>
      <c r="D13" s="1287" t="s">
        <v>1168</v>
      </c>
      <c r="E13" s="1287"/>
      <c r="F13" s="1287"/>
    </row>
    <row r="14" spans="1:9" ht="13">
      <c r="C14" s="172"/>
      <c r="D14" s="1287"/>
      <c r="E14" s="1287"/>
      <c r="F14" s="1287"/>
    </row>
    <row r="15" spans="1:9" ht="13">
      <c r="A15" s="175"/>
      <c r="B15" s="175"/>
      <c r="C15" s="175"/>
      <c r="D15" s="1284" t="s">
        <v>1151</v>
      </c>
      <c r="E15" s="1284"/>
      <c r="F15" s="1284"/>
    </row>
    <row r="16" spans="1:9" ht="13">
      <c r="A16" s="175"/>
      <c r="B16" s="175"/>
      <c r="C16" s="175"/>
      <c r="D16" s="218"/>
    </row>
    <row r="17" spans="1:6" ht="13">
      <c r="A17" s="176"/>
      <c r="B17" s="468" t="s">
        <v>308</v>
      </c>
      <c r="C17" s="175"/>
      <c r="D17" s="1264" t="s">
        <v>1152</v>
      </c>
      <c r="E17" s="1264"/>
      <c r="F17" s="1264"/>
    </row>
    <row r="18" spans="1:6" ht="13">
      <c r="A18" s="175"/>
      <c r="B18" s="175"/>
      <c r="C18" s="175"/>
      <c r="D18" s="1264"/>
      <c r="E18" s="1264"/>
      <c r="F18" s="1264"/>
    </row>
    <row r="19" spans="1:6" ht="13">
      <c r="A19" s="175"/>
      <c r="B19" s="175"/>
      <c r="C19" s="175"/>
      <c r="D19" s="1264"/>
      <c r="E19" s="1264"/>
      <c r="F19" s="1264"/>
    </row>
    <row r="20" spans="1:6" ht="13">
      <c r="A20" s="175"/>
      <c r="B20" s="175"/>
      <c r="C20" s="175"/>
    </row>
    <row r="21" spans="1:6" ht="13">
      <c r="A21" s="176"/>
      <c r="B21" s="468" t="s">
        <v>308</v>
      </c>
      <c r="D21" s="1288" t="s">
        <v>1153</v>
      </c>
      <c r="E21" s="1288"/>
      <c r="F21" s="1288"/>
    </row>
    <row r="22" spans="1:6" ht="13">
      <c r="A22" s="176"/>
      <c r="B22" s="176"/>
      <c r="D22" s="35"/>
    </row>
    <row r="23" spans="1:6" ht="13">
      <c r="A23" s="176"/>
      <c r="B23" s="468" t="s">
        <v>308</v>
      </c>
      <c r="D23" s="1264" t="s">
        <v>1154</v>
      </c>
      <c r="E23" s="1264"/>
      <c r="F23" s="1264"/>
    </row>
    <row r="24" spans="1:6" ht="13">
      <c r="A24" s="176"/>
      <c r="B24" s="176"/>
      <c r="D24" s="1264"/>
      <c r="E24" s="1264"/>
      <c r="F24" s="1264"/>
    </row>
    <row r="25" spans="1:6"/>
    <row r="26" spans="1:6" ht="13">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3">
      <c r="A34" s="176"/>
      <c r="B34" s="176"/>
      <c r="D34" s="220"/>
    </row>
    <row r="35" spans="1:6" ht="14.5" customHeight="1">
      <c r="A35" s="176"/>
      <c r="B35" s="468" t="s">
        <v>308</v>
      </c>
      <c r="D35" s="1264" t="s">
        <v>1157</v>
      </c>
      <c r="E35" s="1264"/>
      <c r="F35" s="1264"/>
    </row>
    <row r="36" spans="1:6" ht="13">
      <c r="A36" s="176"/>
      <c r="B36" s="176"/>
      <c r="D36" s="1264"/>
      <c r="E36" s="1264"/>
      <c r="F36" s="1264"/>
    </row>
    <row r="37" spans="1:6" ht="13">
      <c r="A37" s="176"/>
      <c r="B37" s="176"/>
      <c r="D37" s="1264"/>
      <c r="E37" s="1264"/>
      <c r="F37" s="1264"/>
    </row>
    <row r="38" spans="1:6" ht="13">
      <c r="A38" s="176"/>
      <c r="B38" s="176"/>
      <c r="D38"/>
    </row>
    <row r="39" spans="1:6" ht="13">
      <c r="A39" s="176"/>
      <c r="B39" s="468" t="s">
        <v>308</v>
      </c>
      <c r="D39" s="1264" t="s">
        <v>1158</v>
      </c>
      <c r="E39" s="1264"/>
      <c r="F39" s="1264"/>
    </row>
    <row r="40" spans="1:6" ht="13">
      <c r="A40" s="176"/>
      <c r="B40" s="176"/>
      <c r="D40" s="1264"/>
      <c r="E40" s="1264"/>
      <c r="F40" s="1264"/>
    </row>
    <row r="41" spans="1:6" ht="13">
      <c r="A41" s="176"/>
      <c r="B41" s="176"/>
      <c r="D41" s="1264"/>
      <c r="E41" s="1264"/>
      <c r="F41" s="1264"/>
    </row>
    <row r="42" spans="1:6" ht="13">
      <c r="A42" s="176"/>
      <c r="B42" s="176"/>
      <c r="D42" s="1264"/>
      <c r="E42" s="1264"/>
      <c r="F42" s="1264"/>
    </row>
    <row r="43" spans="1:6" ht="13">
      <c r="A43" s="176"/>
      <c r="B43" s="176"/>
      <c r="D43" s="1264"/>
      <c r="E43" s="1264"/>
      <c r="F43" s="1264"/>
    </row>
    <row r="44" spans="1:6" ht="13">
      <c r="A44" s="176"/>
      <c r="B44" s="176"/>
      <c r="D44" s="474"/>
      <c r="E44" s="474"/>
      <c r="F44" s="474"/>
    </row>
    <row r="45" spans="1:6" ht="13">
      <c r="A45" s="176"/>
      <c r="B45" s="468" t="s">
        <v>308</v>
      </c>
      <c r="D45" s="1264" t="s">
        <v>1159</v>
      </c>
      <c r="E45" s="1264"/>
      <c r="F45" s="1264"/>
    </row>
    <row r="46" spans="1:6" ht="13">
      <c r="A46" s="176"/>
      <c r="B46" s="176"/>
      <c r="D46" s="1264"/>
      <c r="E46" s="1264"/>
      <c r="F46" s="1264"/>
    </row>
    <row r="47" spans="1:6" ht="13">
      <c r="A47" s="176"/>
      <c r="B47" s="176"/>
      <c r="D47" s="1264"/>
      <c r="E47" s="1264"/>
      <c r="F47" s="1264"/>
    </row>
    <row r="48" spans="1:6" ht="23.25" customHeight="1">
      <c r="A48" s="176"/>
      <c r="B48" s="176"/>
      <c r="D48" s="1264"/>
      <c r="E48" s="1264"/>
      <c r="F48" s="1264"/>
    </row>
    <row r="49" spans="1:7" ht="13">
      <c r="A49" s="176"/>
      <c r="B49" s="176"/>
      <c r="D49" s="35"/>
    </row>
    <row r="50" spans="1:7" ht="14.5" customHeight="1">
      <c r="A50" s="176"/>
      <c r="B50" s="468" t="s">
        <v>308</v>
      </c>
      <c r="D50" s="1264" t="s">
        <v>1160</v>
      </c>
      <c r="E50" s="1264"/>
      <c r="F50" s="1264"/>
    </row>
    <row r="51" spans="1:7" ht="13">
      <c r="A51" s="176"/>
      <c r="B51" s="176"/>
      <c r="D51" s="1264"/>
      <c r="E51" s="1264"/>
      <c r="F51" s="1264"/>
    </row>
    <row r="52" spans="1:7" ht="13">
      <c r="A52" s="176"/>
      <c r="B52" s="176"/>
      <c r="D52" s="1264"/>
      <c r="E52" s="1264"/>
      <c r="F52" s="1264"/>
    </row>
    <row r="53" spans="1:7" ht="13">
      <c r="A53" s="176"/>
      <c r="B53" s="176"/>
      <c r="C53" s="385"/>
      <c r="D53" s="3"/>
      <c r="E53" s="3"/>
      <c r="F53" s="3"/>
      <c r="G53" s="3"/>
    </row>
    <row r="54" spans="1:7" ht="13">
      <c r="A54" s="176"/>
      <c r="B54" s="468" t="s">
        <v>308</v>
      </c>
      <c r="C54" s="385"/>
      <c r="D54" s="1264" t="s">
        <v>1161</v>
      </c>
      <c r="E54" s="1264"/>
      <c r="F54" s="1264"/>
      <c r="G54" s="3"/>
    </row>
    <row r="55" spans="1:7" ht="13">
      <c r="A55" s="176"/>
      <c r="B55" s="176"/>
      <c r="C55" s="385"/>
      <c r="D55" s="1264"/>
      <c r="E55" s="1264"/>
      <c r="F55" s="1264"/>
      <c r="G55" s="3"/>
    </row>
    <row r="56" spans="1:7">
      <c r="D56" s="220"/>
    </row>
    <row r="57" spans="1:7" ht="13">
      <c r="A57" s="176"/>
      <c r="B57" s="468" t="s">
        <v>308</v>
      </c>
      <c r="D57" s="1264" t="s">
        <v>1162</v>
      </c>
      <c r="E57" s="1264"/>
      <c r="F57" s="1264"/>
    </row>
    <row r="58" spans="1:7">
      <c r="D58" s="1264"/>
      <c r="E58" s="1264"/>
      <c r="F58" s="1264"/>
    </row>
    <row r="59" spans="1:7">
      <c r="D59" s="1264"/>
      <c r="E59" s="1264"/>
      <c r="F59" s="1264"/>
    </row>
    <row r="60" spans="1:7">
      <c r="D60" s="3"/>
    </row>
    <row r="61" spans="1:7" ht="13">
      <c r="A61" s="176"/>
      <c r="B61" s="468" t="s">
        <v>308</v>
      </c>
      <c r="D61" s="1264" t="s">
        <v>1163</v>
      </c>
      <c r="E61" s="1264"/>
      <c r="F61" s="1264"/>
    </row>
    <row r="62" spans="1:7">
      <c r="D62" s="1264"/>
      <c r="E62" s="1264"/>
      <c r="F62" s="1264"/>
    </row>
    <row r="63" spans="1:7"/>
    <row r="64" spans="1:7" ht="13">
      <c r="A64" s="176"/>
      <c r="B64" s="468" t="s">
        <v>308</v>
      </c>
      <c r="D64" s="1264" t="s">
        <v>1164</v>
      </c>
      <c r="E64" s="1264"/>
      <c r="F64" s="1264"/>
    </row>
    <row r="65" spans="1:7">
      <c r="D65" s="1264"/>
      <c r="E65" s="1264"/>
      <c r="F65" s="1264"/>
    </row>
    <row r="66" spans="1:7">
      <c r="D66" s="1264"/>
      <c r="E66" s="1264"/>
      <c r="F66" s="1264"/>
    </row>
    <row r="67" spans="1:7">
      <c r="D67"/>
    </row>
    <row r="68" spans="1:7" ht="13">
      <c r="A68" s="176"/>
      <c r="B68" s="468" t="s">
        <v>308</v>
      </c>
      <c r="D68" s="1264" t="s">
        <v>1165</v>
      </c>
      <c r="E68" s="1264"/>
      <c r="F68" s="1264"/>
    </row>
    <row r="69" spans="1:7">
      <c r="D69" s="1264"/>
      <c r="E69" s="1264"/>
      <c r="F69" s="1264"/>
    </row>
    <row r="70" spans="1:7" ht="13">
      <c r="A70" s="176"/>
      <c r="B70" s="176"/>
      <c r="D70" s="35"/>
    </row>
    <row r="71" spans="1:7" ht="13">
      <c r="A71" s="1285" t="s">
        <v>1072</v>
      </c>
      <c r="B71" s="1285"/>
      <c r="C71" s="1285"/>
      <c r="D71" s="1285"/>
      <c r="E71" s="1285"/>
      <c r="F71" s="1285"/>
      <c r="G71" s="1285"/>
    </row>
    <row r="72" spans="1:7"/>
    <row r="73" spans="1:7" ht="13">
      <c r="C73" s="177"/>
      <c r="D73" s="1296" t="s">
        <v>1170</v>
      </c>
      <c r="E73" s="1296"/>
      <c r="F73" s="1296"/>
    </row>
    <row r="74" spans="1:7">
      <c r="A74" s="35"/>
      <c r="B74" s="35"/>
      <c r="D74" s="1264" t="s">
        <v>1197</v>
      </c>
      <c r="E74" s="1264"/>
      <c r="F74" s="1264"/>
    </row>
    <row r="75" spans="1:7">
      <c r="A75" s="35"/>
      <c r="B75" s="35"/>
    </row>
    <row r="76" spans="1:7" ht="13">
      <c r="A76" s="176"/>
      <c r="B76" s="468" t="s">
        <v>308</v>
      </c>
      <c r="D76" s="1264" t="s">
        <v>1171</v>
      </c>
      <c r="E76" s="1264"/>
      <c r="F76" s="1264"/>
    </row>
    <row r="77" spans="1:7" ht="13">
      <c r="A77" s="176"/>
      <c r="B77" s="176"/>
      <c r="D77" s="1264"/>
      <c r="E77" s="1264"/>
      <c r="F77" s="1264"/>
    </row>
    <row r="78" spans="1:7" ht="13">
      <c r="A78" s="176"/>
      <c r="B78" s="176"/>
      <c r="D78" s="1264"/>
      <c r="E78" s="1264"/>
      <c r="F78" s="1264"/>
    </row>
    <row r="79" spans="1:7" ht="13">
      <c r="A79" s="176"/>
      <c r="B79" s="176"/>
      <c r="D79" s="1264"/>
      <c r="E79" s="1264"/>
      <c r="F79" s="1264"/>
    </row>
    <row r="80" spans="1:7" ht="13">
      <c r="A80" s="176"/>
      <c r="B80" s="176"/>
      <c r="D80" s="1264"/>
      <c r="E80" s="1264"/>
      <c r="F80" s="1264"/>
    </row>
    <row r="81" spans="1:6" ht="13">
      <c r="A81" s="176"/>
      <c r="B81" s="176"/>
      <c r="D81" s="1264"/>
      <c r="E81" s="1264"/>
      <c r="F81" s="1264"/>
    </row>
    <row r="82" spans="1:6" ht="13">
      <c r="A82" s="176"/>
      <c r="B82" s="176"/>
      <c r="D82" s="474"/>
      <c r="E82" s="474"/>
      <c r="F82" s="474"/>
    </row>
    <row r="83" spans="1:6" ht="14.5" customHeight="1">
      <c r="A83" s="176"/>
      <c r="B83" s="468" t="s">
        <v>308</v>
      </c>
      <c r="D83" s="1267" t="s">
        <v>1270</v>
      </c>
      <c r="E83" s="1267"/>
      <c r="F83" s="1267"/>
    </row>
    <row r="84" spans="1:6" ht="13">
      <c r="A84" s="176"/>
      <c r="B84" s="176"/>
      <c r="D84" s="1267"/>
      <c r="E84" s="1267"/>
      <c r="F84" s="1267"/>
    </row>
    <row r="85" spans="1:6" ht="13">
      <c r="A85" s="176"/>
      <c r="B85" s="176"/>
      <c r="D85" s="1267"/>
      <c r="E85" s="1267"/>
      <c r="F85" s="1267"/>
    </row>
    <row r="86" spans="1:6" ht="13">
      <c r="A86" s="176"/>
      <c r="B86" s="176"/>
      <c r="D86" s="1267"/>
      <c r="E86" s="1267"/>
      <c r="F86" s="1267"/>
    </row>
    <row r="87" spans="1:6" ht="13">
      <c r="A87" s="176"/>
      <c r="B87" s="176"/>
      <c r="D87" s="1267"/>
      <c r="E87" s="1267"/>
      <c r="F87" s="1267"/>
    </row>
    <row r="88" spans="1:6" ht="13">
      <c r="A88" s="176"/>
      <c r="B88" s="176"/>
      <c r="D88" s="1267"/>
      <c r="E88" s="1267"/>
      <c r="F88" s="1267"/>
    </row>
    <row r="89" spans="1:6" ht="13">
      <c r="A89" s="176"/>
      <c r="B89" s="176"/>
      <c r="D89" s="1267"/>
      <c r="E89" s="1267"/>
      <c r="F89" s="1267"/>
    </row>
    <row r="90" spans="1:6" ht="13">
      <c r="A90" s="176"/>
      <c r="B90" s="176"/>
      <c r="D90" s="1267"/>
      <c r="E90" s="1267"/>
      <c r="F90" s="1267"/>
    </row>
    <row r="91" spans="1:6" ht="13">
      <c r="A91" s="176"/>
      <c r="B91" s="176"/>
      <c r="D91" s="1267"/>
      <c r="E91" s="1267"/>
      <c r="F91" s="1267"/>
    </row>
    <row r="92" spans="1:6" ht="13">
      <c r="A92" s="176"/>
      <c r="B92" s="176"/>
      <c r="D92" s="1267"/>
      <c r="E92" s="1267"/>
      <c r="F92" s="1267"/>
    </row>
    <row r="93" spans="1:6" ht="13">
      <c r="A93" s="176"/>
      <c r="B93" s="176"/>
      <c r="D93" s="1267"/>
      <c r="E93" s="1267"/>
      <c r="F93" s="1267"/>
    </row>
    <row r="94" spans="1:6" ht="13">
      <c r="A94" s="176"/>
      <c r="B94" s="176"/>
      <c r="D94" s="1267"/>
      <c r="E94" s="1267"/>
      <c r="F94" s="1267"/>
    </row>
    <row r="95" spans="1:6" ht="13">
      <c r="A95" s="176"/>
      <c r="B95" s="176"/>
      <c r="D95" s="1267"/>
      <c r="E95" s="1267"/>
      <c r="F95" s="1267"/>
    </row>
    <row r="96" spans="1:6" ht="13">
      <c r="A96" s="176"/>
      <c r="B96" s="176"/>
      <c r="D96" s="1267"/>
      <c r="E96" s="1267"/>
      <c r="F96" s="1267"/>
    </row>
    <row r="97" spans="1:11" ht="13">
      <c r="A97" s="176"/>
      <c r="B97" s="468" t="s">
        <v>308</v>
      </c>
      <c r="D97" s="1264" t="s">
        <v>1172</v>
      </c>
      <c r="E97" s="1264"/>
      <c r="F97" s="1264"/>
    </row>
    <row r="98" spans="1:11" ht="13">
      <c r="A98" s="176"/>
      <c r="B98" s="176"/>
      <c r="D98" s="1264"/>
      <c r="E98" s="1264"/>
      <c r="F98" s="1264"/>
    </row>
    <row r="99" spans="1:11" ht="13">
      <c r="A99" s="176"/>
      <c r="B99" s="176"/>
      <c r="D99" s="1264"/>
      <c r="E99" s="1264"/>
      <c r="F99" s="1264"/>
    </row>
    <row r="100" spans="1:11" ht="13">
      <c r="A100" s="176"/>
      <c r="B100" s="176"/>
      <c r="D100" s="1264"/>
      <c r="E100" s="1264"/>
      <c r="F100" s="1264"/>
    </row>
    <row r="101" spans="1:11" ht="13">
      <c r="A101" s="176"/>
      <c r="B101" s="176"/>
      <c r="D101" s="1264"/>
      <c r="E101" s="1264"/>
      <c r="F101" s="1264"/>
    </row>
    <row r="102" spans="1:11" ht="13">
      <c r="A102" s="176"/>
      <c r="B102" s="176"/>
      <c r="D102" s="1264"/>
      <c r="E102" s="1264"/>
      <c r="F102" s="1264"/>
    </row>
    <row r="103" spans="1:11" ht="13">
      <c r="A103" s="176"/>
      <c r="B103" s="176"/>
      <c r="D103" s="1264"/>
      <c r="E103" s="1264"/>
      <c r="F103" s="1264"/>
    </row>
    <row r="104" spans="1:11" ht="13">
      <c r="A104" s="176"/>
      <c r="B104" s="176"/>
      <c r="D104" s="1264"/>
      <c r="E104" s="1264"/>
      <c r="F104" s="1264"/>
    </row>
    <row r="105" spans="1:11" ht="13">
      <c r="A105" s="176"/>
      <c r="B105" s="176"/>
      <c r="D105" s="474"/>
      <c r="E105" s="474"/>
      <c r="F105" s="474"/>
    </row>
    <row r="106" spans="1:11" ht="13">
      <c r="A106" s="176"/>
      <c r="B106" s="468" t="s">
        <v>308</v>
      </c>
      <c r="C106" s="179"/>
      <c r="D106" s="1305" t="s">
        <v>1173</v>
      </c>
      <c r="E106" s="1305"/>
      <c r="F106" s="1305"/>
      <c r="G106" s="183"/>
      <c r="H106" s="181"/>
      <c r="I106" s="181"/>
      <c r="J106" s="181"/>
      <c r="K106" s="181"/>
    </row>
    <row r="107" spans="1:11" ht="13">
      <c r="A107" s="176"/>
      <c r="B107" s="176"/>
      <c r="C107" s="179"/>
      <c r="D107" s="1305"/>
      <c r="E107" s="1305"/>
      <c r="F107" s="1305"/>
      <c r="G107" s="183"/>
      <c r="H107" s="181"/>
      <c r="I107" s="181"/>
      <c r="J107" s="181"/>
      <c r="K107" s="181"/>
    </row>
    <row r="108" spans="1:11" ht="13">
      <c r="A108" s="176"/>
      <c r="B108" s="176"/>
      <c r="C108" s="179"/>
      <c r="D108" s="1305"/>
      <c r="E108" s="1305"/>
      <c r="F108" s="1305"/>
      <c r="G108" s="183"/>
      <c r="H108" s="181"/>
      <c r="I108" s="181"/>
      <c r="J108" s="181"/>
      <c r="K108" s="181"/>
    </row>
    <row r="109" spans="1:11" ht="13">
      <c r="A109" s="176"/>
      <c r="B109" s="176"/>
      <c r="C109" s="179"/>
      <c r="D109" s="1305"/>
      <c r="E109" s="1305"/>
      <c r="F109" s="1305"/>
      <c r="G109" s="183"/>
      <c r="H109" s="181"/>
      <c r="I109" s="181"/>
      <c r="J109" s="181"/>
      <c r="K109" s="181"/>
    </row>
    <row r="110" spans="1:11" ht="13">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
      <c r="A114" s="176"/>
      <c r="B114" s="468" t="s">
        <v>308</v>
      </c>
      <c r="C114"/>
      <c r="D114" s="1306" t="s">
        <v>1174</v>
      </c>
      <c r="E114" s="1306"/>
      <c r="F114" s="1306"/>
      <c r="G114"/>
    </row>
    <row r="115" spans="1:7" ht="13">
      <c r="A115" s="176"/>
      <c r="B115" s="176"/>
      <c r="C115"/>
      <c r="D115" s="1306"/>
      <c r="E115" s="1306"/>
      <c r="F115" s="1306"/>
      <c r="G115"/>
    </row>
    <row r="116" spans="1:7"/>
    <row r="117" spans="1:7" ht="13">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
      <c r="A123" s="176"/>
      <c r="B123" s="468" t="s">
        <v>308</v>
      </c>
      <c r="D123" s="1264" t="s">
        <v>1176</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308</v>
      </c>
      <c r="D136" s="1264" t="s">
        <v>1284</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308</v>
      </c>
      <c r="C156" s="218"/>
      <c r="D156" s="1267" t="s">
        <v>1177</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308</v>
      </c>
      <c r="C159" s="218"/>
      <c r="D159" s="1267" t="s">
        <v>1178</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308</v>
      </c>
      <c r="D164" s="1301" t="s">
        <v>1179</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ht="13">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ht="13">
      <c r="A172" s="1285" t="s">
        <v>1074</v>
      </c>
      <c r="B172" s="1285"/>
      <c r="C172" s="1285"/>
      <c r="D172" s="1285"/>
      <c r="E172" s="1285"/>
      <c r="F172" s="1285"/>
      <c r="G172" s="1285"/>
    </row>
    <row r="173" spans="1:7" ht="12" customHeight="1">
      <c r="A173" s="2"/>
      <c r="B173" s="2"/>
      <c r="E173" s="2"/>
    </row>
    <row r="174" spans="1:7" ht="13.15" customHeight="1">
      <c r="A174" s="2"/>
      <c r="B174" s="2"/>
      <c r="D174" s="1307" t="s">
        <v>1182</v>
      </c>
      <c r="E174" s="1307"/>
      <c r="F174" s="1307"/>
    </row>
    <row r="175" spans="1:7" ht="13">
      <c r="A175" s="2"/>
      <c r="B175" s="2"/>
      <c r="D175" s="1307"/>
      <c r="E175" s="1307"/>
      <c r="F175" s="1307"/>
    </row>
    <row r="176" spans="1:7" ht="13">
      <c r="A176" s="2"/>
      <c r="B176" s="2"/>
      <c r="D176" s="1294" t="s">
        <v>1183</v>
      </c>
      <c r="E176" s="1294"/>
      <c r="F176" s="1294"/>
    </row>
    <row r="177" spans="1:7" ht="12" customHeight="1">
      <c r="A177" s="2"/>
      <c r="B177" s="2"/>
      <c r="E177" s="2"/>
    </row>
    <row r="178" spans="1:7" ht="13">
      <c r="A178" s="176"/>
      <c r="B178" s="468" t="s">
        <v>308</v>
      </c>
      <c r="D178" s="1279" t="s">
        <v>1181</v>
      </c>
      <c r="E178" s="1279"/>
      <c r="F178" s="1279"/>
    </row>
    <row r="179" spans="1:7" ht="13">
      <c r="A179" s="176"/>
      <c r="B179" s="176"/>
      <c r="D179" s="1279"/>
      <c r="E179" s="1279"/>
      <c r="F179" s="1279"/>
    </row>
    <row r="180" spans="1:7" ht="13">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3">
      <c r="A186" s="176"/>
      <c r="B186" s="468" t="s">
        <v>308</v>
      </c>
      <c r="C186" s="385"/>
      <c r="D186" s="1264" t="s">
        <v>1180</v>
      </c>
      <c r="E186" s="1264"/>
      <c r="F186" s="1264"/>
      <c r="G186" s="3"/>
    </row>
    <row r="187" spans="1:7" ht="14.5" customHeight="1">
      <c r="A187" s="176"/>
      <c r="B187"/>
      <c r="C187" s="385"/>
      <c r="D187" s="1264"/>
      <c r="E187" s="1264"/>
      <c r="F187" s="1264"/>
      <c r="G187" s="3"/>
    </row>
    <row r="188" spans="1:7" ht="13">
      <c r="A188" s="176"/>
      <c r="B188" s="385"/>
      <c r="C188" s="385"/>
      <c r="D188" s="1264"/>
      <c r="E188" s="1264"/>
      <c r="F188" s="1264"/>
      <c r="G188" s="3"/>
    </row>
    <row r="189" spans="1:7" ht="13">
      <c r="A189" s="176"/>
      <c r="B189" s="385"/>
      <c r="C189" s="385"/>
      <c r="D189" s="1264"/>
      <c r="E189" s="1264"/>
      <c r="F189" s="1264"/>
      <c r="G189" s="3"/>
    </row>
    <row r="190" spans="1:7">
      <c r="D190" s="475"/>
      <c r="E190" s="475"/>
      <c r="F190" s="475"/>
    </row>
    <row r="191" spans="1:7" ht="13">
      <c r="A191" s="1285" t="s">
        <v>1075</v>
      </c>
      <c r="B191" s="1285"/>
      <c r="C191" s="1285"/>
      <c r="D191" s="1285"/>
      <c r="E191" s="1285"/>
      <c r="F191" s="1285"/>
      <c r="G191" s="1285"/>
    </row>
    <row r="192" spans="1:7" ht="12" customHeight="1">
      <c r="D192" s="35"/>
      <c r="E192" s="35"/>
      <c r="F192" s="35"/>
    </row>
    <row r="193" spans="1:6" ht="13">
      <c r="C193" s="177"/>
      <c r="D193" s="1283" t="s">
        <v>209</v>
      </c>
      <c r="E193" s="1283"/>
      <c r="F193" s="1283"/>
    </row>
    <row r="194" spans="1:6" ht="13">
      <c r="A194" s="172"/>
      <c r="B194" s="172"/>
      <c r="C194" s="172"/>
      <c r="D194" s="1284" t="s">
        <v>1204</v>
      </c>
      <c r="E194" s="1290"/>
      <c r="F194" s="1290"/>
    </row>
    <row r="195" spans="1:6" ht="12" customHeight="1">
      <c r="A195" s="13"/>
      <c r="B195" s="13"/>
      <c r="C195" s="13"/>
    </row>
    <row r="196" spans="1:6" ht="13.15" customHeight="1">
      <c r="A196" s="13"/>
      <c r="C196" s="13"/>
      <c r="D196" s="1283" t="s">
        <v>555</v>
      </c>
      <c r="E196" s="1283"/>
      <c r="F196" s="1283"/>
    </row>
    <row r="197" spans="1:6" ht="13">
      <c r="A197" s="176"/>
      <c r="B197" s="468" t="s">
        <v>308</v>
      </c>
      <c r="D197" s="1264" t="s">
        <v>1198</v>
      </c>
      <c r="E197" s="1264"/>
      <c r="F197" s="1264"/>
    </row>
    <row r="198" spans="1:6" ht="13">
      <c r="A198" s="176"/>
      <c r="B198" s="176"/>
      <c r="D198" s="1264"/>
      <c r="E198" s="1264"/>
      <c r="F198" s="1264"/>
    </row>
    <row r="199" spans="1:6"/>
    <row r="200" spans="1:6" ht="13">
      <c r="A200" s="176"/>
      <c r="B200" s="468" t="s">
        <v>308</v>
      </c>
      <c r="D200" s="1264" t="s">
        <v>1199</v>
      </c>
      <c r="E200" s="1264"/>
      <c r="F200" s="1264"/>
    </row>
    <row r="201" spans="1:6" ht="13">
      <c r="A201" s="176"/>
      <c r="B201" s="176"/>
      <c r="D201" s="1264"/>
      <c r="E201" s="1264"/>
      <c r="F201" s="1264"/>
    </row>
    <row r="202" spans="1:6" ht="13">
      <c r="A202" s="176"/>
      <c r="B202" s="176"/>
      <c r="D202" s="1264"/>
      <c r="E202" s="1264"/>
      <c r="F202" s="1264"/>
    </row>
    <row r="203" spans="1:6" ht="5.15" customHeight="1">
      <c r="A203" s="176"/>
      <c r="B203" s="176"/>
      <c r="D203" s="35"/>
      <c r="E203" s="35"/>
      <c r="F203" s="35"/>
    </row>
    <row r="204" spans="1:6" ht="13">
      <c r="A204" s="176"/>
      <c r="B204" s="176"/>
      <c r="D204" s="1264" t="s">
        <v>1200</v>
      </c>
      <c r="E204" s="1264"/>
      <c r="F204" s="1264"/>
    </row>
    <row r="205" spans="1:6" ht="13">
      <c r="A205" s="176"/>
      <c r="B205" s="176"/>
      <c r="D205" s="1264"/>
      <c r="E205" s="1264"/>
      <c r="F205" s="1264"/>
    </row>
    <row r="206" spans="1:6" ht="13">
      <c r="A206" s="176"/>
      <c r="B206" s="176"/>
      <c r="D206" s="1264"/>
      <c r="E206" s="1264"/>
      <c r="F206" s="1264"/>
    </row>
    <row r="207" spans="1:6" ht="13">
      <c r="A207" s="176"/>
      <c r="B207" s="176"/>
      <c r="D207" s="1264"/>
      <c r="E207" s="1264"/>
      <c r="F207" s="1264"/>
    </row>
    <row r="208" spans="1:6" ht="13">
      <c r="A208" s="176"/>
      <c r="B208" s="176"/>
      <c r="D208" s="1264"/>
      <c r="E208" s="1264"/>
      <c r="F208" s="1264"/>
    </row>
    <row r="209" spans="1:7" ht="13">
      <c r="A209" s="176"/>
      <c r="B209" s="176"/>
      <c r="D209" s="35"/>
      <c r="E209" s="35"/>
      <c r="F209" s="35"/>
    </row>
    <row r="210" spans="1:7" ht="13">
      <c r="A210" s="176"/>
      <c r="B210" s="468" t="s">
        <v>308</v>
      </c>
      <c r="D210" s="1264" t="s">
        <v>1201</v>
      </c>
      <c r="E210" s="1264"/>
      <c r="F210" s="1264"/>
    </row>
    <row r="211" spans="1:7" ht="13">
      <c r="A211" s="176"/>
      <c r="B211" s="176"/>
      <c r="D211" s="1264"/>
      <c r="E211" s="1264"/>
      <c r="F211" s="1264"/>
    </row>
    <row r="212" spans="1:7" ht="13">
      <c r="A212" s="176"/>
      <c r="B212" s="176"/>
      <c r="D212" s="1282" t="s">
        <v>910</v>
      </c>
      <c r="E212" s="1282"/>
      <c r="F212" s="1282"/>
    </row>
    <row r="213" spans="1:7" ht="13">
      <c r="A213" s="176"/>
      <c r="B213" s="176"/>
      <c r="D213" s="35"/>
      <c r="E213" s="35"/>
      <c r="F213" s="35"/>
    </row>
    <row r="214" spans="1:7" ht="14.5" customHeight="1">
      <c r="A214" s="176"/>
      <c r="B214" s="468" t="s">
        <v>308</v>
      </c>
      <c r="D214" s="1264" t="s">
        <v>1203</v>
      </c>
      <c r="E214" s="1264"/>
      <c r="F214" s="1264"/>
    </row>
    <row r="215" spans="1:7" ht="13">
      <c r="A215" s="176"/>
      <c r="B215" s="176"/>
      <c r="D215" s="1264"/>
      <c r="E215" s="1264"/>
      <c r="F215" s="1264"/>
    </row>
    <row r="216" spans="1:7" ht="13">
      <c r="A216" s="176"/>
      <c r="B216" s="176"/>
      <c r="D216" s="1264"/>
      <c r="E216" s="1264"/>
      <c r="F216" s="1264"/>
    </row>
    <row r="217" spans="1:7" ht="13">
      <c r="A217" s="176"/>
      <c r="B217" s="176"/>
      <c r="D217" s="1264"/>
      <c r="E217" s="1264"/>
      <c r="F217" s="1264"/>
    </row>
    <row r="218" spans="1:7" ht="13">
      <c r="A218" s="176"/>
      <c r="B218" s="176"/>
      <c r="D218" s="1264"/>
      <c r="E218" s="1264"/>
      <c r="F218" s="1264"/>
    </row>
    <row r="219" spans="1:7">
      <c r="D219" s="35"/>
      <c r="E219" s="35"/>
      <c r="F219" s="35"/>
    </row>
    <row r="220" spans="1:7" ht="13">
      <c r="A220" s="176"/>
      <c r="B220" s="468" t="s">
        <v>308</v>
      </c>
      <c r="D220" s="1264" t="s">
        <v>1202</v>
      </c>
      <c r="E220" s="1264"/>
      <c r="F220" s="1264"/>
    </row>
    <row r="221" spans="1:7" ht="13">
      <c r="A221" s="176"/>
      <c r="B221" s="176"/>
      <c r="D221" s="1264"/>
      <c r="E221" s="1264"/>
      <c r="F221" s="1264"/>
    </row>
    <row r="222" spans="1:7">
      <c r="D222" s="19"/>
    </row>
    <row r="223" spans="1:7" ht="13">
      <c r="A223" s="1285" t="s">
        <v>1076</v>
      </c>
      <c r="B223" s="1285"/>
      <c r="C223" s="1285"/>
      <c r="D223" s="1285"/>
      <c r="E223" s="1285"/>
      <c r="F223" s="1285"/>
      <c r="G223" s="1285"/>
    </row>
    <row r="224" spans="1:7">
      <c r="D224" s="19"/>
    </row>
    <row r="225" spans="1:6" ht="13">
      <c r="C225" s="177"/>
      <c r="D225" s="1283" t="s">
        <v>1205</v>
      </c>
      <c r="E225" s="1283"/>
      <c r="F225" s="1283"/>
    </row>
    <row r="226" spans="1:6" ht="13">
      <c r="A226" s="172"/>
      <c r="B226" s="172"/>
      <c r="C226" s="172"/>
      <c r="D226" s="35"/>
      <c r="E226" s="35"/>
      <c r="F226" s="35"/>
    </row>
    <row r="227" spans="1:6" ht="13">
      <c r="A227" s="175"/>
      <c r="B227" s="175"/>
      <c r="C227" s="175"/>
      <c r="D227" s="1283" t="s">
        <v>270</v>
      </c>
      <c r="E227" s="1283"/>
      <c r="F227" s="1283"/>
    </row>
    <row r="228" spans="1:6" ht="13">
      <c r="A228" s="176"/>
      <c r="B228" s="468" t="s">
        <v>308</v>
      </c>
      <c r="D228" s="1313" t="s">
        <v>1206</v>
      </c>
      <c r="E228" s="1313"/>
      <c r="F228" s="1313"/>
    </row>
    <row r="229" spans="1:6" ht="13">
      <c r="A229" s="176"/>
      <c r="B229" s="176"/>
      <c r="D229" s="1313"/>
      <c r="E229" s="1313"/>
      <c r="F229" s="1313"/>
    </row>
    <row r="230" spans="1:6">
      <c r="D230" s="35"/>
      <c r="E230" s="35"/>
      <c r="F230" s="35"/>
    </row>
    <row r="231" spans="1:6" ht="14.5" customHeight="1">
      <c r="A231" s="176"/>
      <c r="B231" s="468" t="s">
        <v>308</v>
      </c>
      <c r="D231" s="1264" t="s">
        <v>1207</v>
      </c>
      <c r="E231" s="1264"/>
      <c r="F231" s="1264"/>
    </row>
    <row r="232" spans="1:6">
      <c r="D232" s="1264"/>
      <c r="E232" s="1264"/>
      <c r="F232" s="1264"/>
    </row>
    <row r="233" spans="1:6" ht="13">
      <c r="D233" s="1290" t="s">
        <v>902</v>
      </c>
      <c r="E233" s="1290"/>
      <c r="F233" s="1290"/>
    </row>
    <row r="234" spans="1:6">
      <c r="D234" s="35"/>
      <c r="E234" s="35"/>
      <c r="F234" s="35"/>
    </row>
    <row r="235" spans="1:6" ht="14.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ht="13">
      <c r="A245" s="1285" t="s">
        <v>1077</v>
      </c>
      <c r="B245" s="1285"/>
      <c r="C245" s="1285"/>
      <c r="D245" s="1285"/>
      <c r="E245" s="1285"/>
      <c r="F245" s="1285"/>
      <c r="G245" s="1285"/>
    </row>
    <row r="246" spans="1:7">
      <c r="D246" s="178"/>
      <c r="E246" s="35"/>
      <c r="F246" s="35"/>
    </row>
    <row r="247" spans="1:7" ht="13">
      <c r="C247" s="172"/>
      <c r="D247" s="1296" t="s">
        <v>1210</v>
      </c>
      <c r="E247" s="1296"/>
      <c r="F247" s="1296"/>
    </row>
    <row r="248" spans="1:7" ht="13">
      <c r="C248" s="172"/>
      <c r="D248" s="1296"/>
      <c r="E248" s="1296"/>
      <c r="F248" s="1296"/>
    </row>
    <row r="249" spans="1:7" ht="13">
      <c r="A249" s="175"/>
      <c r="B249" s="175"/>
      <c r="C249" s="175"/>
      <c r="D249" s="2"/>
      <c r="E249" s="3"/>
      <c r="F249" s="3"/>
    </row>
    <row r="250" spans="1:7" ht="13">
      <c r="C250" s="175"/>
      <c r="D250" s="1283" t="s">
        <v>210</v>
      </c>
      <c r="E250" s="1283"/>
      <c r="F250" s="1283"/>
    </row>
    <row r="251" spans="1:7" ht="15.75" customHeight="1">
      <c r="A251" s="176"/>
      <c r="B251" s="176"/>
      <c r="D251" s="1289" t="s">
        <v>1211</v>
      </c>
      <c r="E251" s="1289"/>
      <c r="F251" s="1289"/>
    </row>
    <row r="252" spans="1:7">
      <c r="E252" s="35"/>
      <c r="F252" s="35"/>
    </row>
    <row r="253" spans="1:7" ht="13">
      <c r="A253" s="176"/>
      <c r="B253" s="468" t="s">
        <v>308</v>
      </c>
      <c r="D253" s="1264" t="s">
        <v>1212</v>
      </c>
      <c r="E253" s="1264"/>
      <c r="F253" s="1264"/>
    </row>
    <row r="254" spans="1:7" ht="13">
      <c r="A254" s="176"/>
      <c r="B254" s="176"/>
      <c r="D254" s="1264"/>
      <c r="E254" s="1264"/>
      <c r="F254" s="1264"/>
    </row>
    <row r="255" spans="1:7">
      <c r="D255" s="35"/>
      <c r="E255" s="35"/>
      <c r="F255" s="35"/>
    </row>
    <row r="256" spans="1:7" ht="13">
      <c r="A256" s="176"/>
      <c r="B256" s="468" t="s">
        <v>308</v>
      </c>
      <c r="D256" s="1264" t="s">
        <v>1213</v>
      </c>
      <c r="E256" s="1264"/>
      <c r="F256" s="1264"/>
    </row>
    <row r="257" spans="1:7" ht="13">
      <c r="A257" s="176"/>
      <c r="B257" s="176"/>
      <c r="D257" s="1264"/>
      <c r="E257" s="1264"/>
      <c r="F257" s="1264"/>
    </row>
    <row r="258" spans="1:7" ht="13">
      <c r="A258" s="176"/>
      <c r="B258" s="176"/>
      <c r="D258" s="1264"/>
      <c r="E258" s="1264"/>
      <c r="F258" s="1264"/>
    </row>
    <row r="259" spans="1:7">
      <c r="D259" s="35"/>
      <c r="E259" s="35"/>
      <c r="F259" s="35"/>
    </row>
    <row r="260" spans="1:7" ht="13">
      <c r="A260" s="176"/>
      <c r="B260" s="468" t="s">
        <v>308</v>
      </c>
      <c r="D260" s="1264" t="s">
        <v>1214</v>
      </c>
      <c r="E260" s="1264"/>
      <c r="F260" s="1264"/>
    </row>
    <row r="261" spans="1:7" ht="13">
      <c r="A261" s="176"/>
      <c r="B261" s="176"/>
      <c r="D261" s="1264"/>
      <c r="E261" s="1264"/>
      <c r="F261" s="1264"/>
    </row>
    <row r="262" spans="1:7" ht="13">
      <c r="A262" s="13"/>
      <c r="B262" s="13"/>
      <c r="E262" s="35"/>
      <c r="F262" s="35"/>
    </row>
    <row r="263" spans="1:7" ht="13">
      <c r="A263" s="1285" t="s">
        <v>1078</v>
      </c>
      <c r="B263" s="1285"/>
      <c r="C263" s="1285"/>
      <c r="D263" s="1285"/>
      <c r="E263" s="1285"/>
      <c r="F263" s="1285"/>
      <c r="G263" s="1285"/>
    </row>
    <row r="264" spans="1:7" ht="13">
      <c r="A264" s="13"/>
      <c r="B264" s="13"/>
      <c r="D264" s="35"/>
      <c r="E264" s="35"/>
      <c r="F264" s="35"/>
    </row>
    <row r="265" spans="1:7" ht="13">
      <c r="C265" s="13"/>
      <c r="D265" s="1283" t="s">
        <v>691</v>
      </c>
      <c r="E265" s="1283"/>
      <c r="F265" s="1283"/>
    </row>
    <row r="266" spans="1:7" ht="13">
      <c r="C266" s="13"/>
      <c r="D266" s="1284" t="s">
        <v>1215</v>
      </c>
      <c r="E266" s="1284"/>
      <c r="F266" s="1284"/>
    </row>
    <row r="267" spans="1:7" ht="13">
      <c r="C267" s="13"/>
      <c r="D267" s="173"/>
    </row>
    <row r="268" spans="1:7">
      <c r="B268" s="468" t="s">
        <v>308</v>
      </c>
      <c r="D268" s="1284" t="s">
        <v>1216</v>
      </c>
      <c r="E268" s="1284"/>
      <c r="F268" s="1284"/>
    </row>
    <row r="269" spans="1:7" ht="13">
      <c r="A269" s="176"/>
      <c r="B269" s="176"/>
      <c r="D269" s="341"/>
      <c r="E269" s="342"/>
      <c r="F269" s="342"/>
    </row>
    <row r="270" spans="1:7" ht="13.15" customHeight="1">
      <c r="B270" s="468" t="s">
        <v>308</v>
      </c>
      <c r="D270" s="1314" t="s">
        <v>1217</v>
      </c>
      <c r="E270" s="1314"/>
      <c r="F270" s="1314"/>
    </row>
    <row r="271" spans="1:7" ht="13">
      <c r="A271" s="176"/>
      <c r="B271" s="176"/>
      <c r="D271" s="1314"/>
      <c r="E271" s="1314"/>
      <c r="F271" s="1314"/>
    </row>
    <row r="272" spans="1:7" ht="13">
      <c r="A272" s="176"/>
      <c r="B272" s="176"/>
      <c r="D272" s="1314"/>
      <c r="E272" s="1314"/>
      <c r="F272" s="1314"/>
    </row>
    <row r="273" spans="1:6" ht="13">
      <c r="A273" s="176"/>
      <c r="B273" s="176"/>
      <c r="D273" s="1314"/>
      <c r="E273" s="1314"/>
      <c r="F273" s="1314"/>
    </row>
    <row r="274" spans="1:6" ht="13">
      <c r="A274" s="176"/>
      <c r="B274" s="176"/>
      <c r="D274" s="1314"/>
      <c r="E274" s="1314"/>
      <c r="F274" s="1314"/>
    </row>
    <row r="275" spans="1:6" ht="13">
      <c r="A275" s="176"/>
      <c r="B275" s="176"/>
      <c r="D275" s="341"/>
      <c r="E275" s="342"/>
      <c r="F275" s="342"/>
    </row>
    <row r="276" spans="1:6" ht="13.15" customHeight="1">
      <c r="B276" s="468" t="s">
        <v>308</v>
      </c>
      <c r="D276" s="1314" t="s">
        <v>1218</v>
      </c>
      <c r="E276" s="1314"/>
      <c r="F276" s="1314"/>
    </row>
    <row r="277" spans="1:6">
      <c r="D277" s="1314"/>
      <c r="E277" s="1314"/>
      <c r="F277" s="1314"/>
    </row>
    <row r="278" spans="1:6" ht="13">
      <c r="A278" s="176"/>
      <c r="B278" s="176"/>
      <c r="D278" s="341"/>
      <c r="E278" s="342"/>
      <c r="F278" s="342"/>
    </row>
    <row r="279" spans="1:6">
      <c r="B279" s="468" t="s">
        <v>308</v>
      </c>
      <c r="D279" s="1284" t="s">
        <v>1219</v>
      </c>
      <c r="E279" s="1284"/>
      <c r="F279" s="1284"/>
    </row>
    <row r="280" spans="1:6">
      <c r="E280" s="35"/>
      <c r="F280" s="35"/>
    </row>
    <row r="281" spans="1:6" ht="13">
      <c r="A281" s="176"/>
      <c r="B281" s="468" t="s">
        <v>308</v>
      </c>
      <c r="D281" s="1264" t="s">
        <v>1220</v>
      </c>
      <c r="E281" s="1264"/>
      <c r="F281" s="1264"/>
    </row>
    <row r="282" spans="1:6" ht="13">
      <c r="A282" s="176"/>
      <c r="B282" s="176"/>
      <c r="D282" s="1264"/>
      <c r="E282" s="1264"/>
      <c r="F282" s="1264"/>
    </row>
    <row r="283" spans="1:6" ht="13">
      <c r="A283" s="176"/>
      <c r="B283" s="176"/>
      <c r="D283" s="1264"/>
      <c r="E283" s="1264"/>
      <c r="F283" s="1264"/>
    </row>
    <row r="284" spans="1:6" ht="13">
      <c r="A284" s="176"/>
      <c r="B284" s="176"/>
      <c r="D284" s="1264"/>
      <c r="E284" s="1264"/>
      <c r="F284" s="1264"/>
    </row>
    <row r="285" spans="1:6" ht="13">
      <c r="A285" s="176"/>
      <c r="B285" s="176"/>
      <c r="D285" s="1264"/>
      <c r="E285" s="1264"/>
      <c r="F285" s="1264"/>
    </row>
    <row r="286" spans="1:6" ht="13">
      <c r="A286" s="176"/>
      <c r="B286" s="176"/>
      <c r="D286" s="1264"/>
      <c r="E286" s="1264"/>
      <c r="F286" s="1264"/>
    </row>
    <row r="287" spans="1:6" ht="13">
      <c r="A287" s="176"/>
      <c r="B287" s="176"/>
      <c r="D287" s="1264"/>
      <c r="E287" s="1264"/>
      <c r="F287" s="1264"/>
    </row>
    <row r="288" spans="1:6" ht="13">
      <c r="A288" s="176"/>
      <c r="B288" s="176"/>
      <c r="D288" s="1264"/>
      <c r="E288" s="1264"/>
      <c r="F288" s="1264"/>
    </row>
    <row r="289" spans="1:6" ht="13">
      <c r="A289" s="176"/>
      <c r="B289" s="176"/>
      <c r="D289" s="1264"/>
      <c r="E289" s="1264"/>
      <c r="F289" s="1264"/>
    </row>
    <row r="290" spans="1:6" ht="13">
      <c r="A290" s="176"/>
      <c r="B290" s="176"/>
      <c r="D290" s="1264"/>
      <c r="E290" s="1264"/>
      <c r="F290" s="1264"/>
    </row>
    <row r="291" spans="1:6" ht="13">
      <c r="A291" s="176"/>
      <c r="B291" s="176"/>
      <c r="D291" s="1264"/>
      <c r="E291" s="1264"/>
      <c r="F291" s="1264"/>
    </row>
    <row r="292" spans="1:6" ht="13">
      <c r="A292" s="176"/>
      <c r="B292" s="176"/>
      <c r="D292" s="1264"/>
      <c r="E292" s="1264"/>
      <c r="F292" s="1264"/>
    </row>
    <row r="293" spans="1:6" ht="13">
      <c r="A293" s="176"/>
      <c r="B293" s="176"/>
      <c r="D293" s="1264"/>
      <c r="E293" s="1264"/>
      <c r="F293" s="1264"/>
    </row>
    <row r="294" spans="1:6" ht="13">
      <c r="A294" s="176"/>
      <c r="B294" s="176"/>
      <c r="D294" s="1264"/>
      <c r="E294" s="1264"/>
      <c r="F294" s="1264"/>
    </row>
    <row r="295" spans="1:6" ht="13">
      <c r="A295" s="176"/>
      <c r="B295" s="176"/>
      <c r="D295" s="1264"/>
      <c r="E295" s="1264"/>
      <c r="F295" s="1264"/>
    </row>
    <row r="296" spans="1:6">
      <c r="D296" s="35"/>
      <c r="E296" s="35"/>
      <c r="F296" s="35"/>
    </row>
    <row r="297" spans="1:6" ht="13">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999</v>
      </c>
      <c r="E314" s="1310"/>
      <c r="F314" s="1310"/>
      <c r="G314"/>
    </row>
    <row r="315" spans="1:7" ht="13" thickTop="1">
      <c r="D315" s="1311" t="s">
        <v>1223</v>
      </c>
      <c r="E315" s="1311"/>
      <c r="F315" s="1311"/>
      <c r="G315"/>
    </row>
    <row r="316" spans="1:7">
      <c r="A316" s="218"/>
      <c r="B316" s="218"/>
      <c r="C316" s="218"/>
      <c r="D316" s="220"/>
      <c r="E316" s="220"/>
      <c r="F316" s="35"/>
      <c r="G316"/>
    </row>
    <row r="317" spans="1:7" ht="13">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
      <c r="A367" s="176"/>
      <c r="B367" s="468" t="s">
        <v>308</v>
      </c>
      <c r="C367" s="218"/>
      <c r="D367" s="1267" t="s">
        <v>1230</v>
      </c>
      <c r="E367" s="1267"/>
      <c r="F367" s="1267"/>
      <c r="G367"/>
    </row>
    <row r="368" spans="1:7" ht="13">
      <c r="A368" s="346"/>
      <c r="B368" s="346"/>
      <c r="C368" s="218"/>
      <c r="D368" s="1267"/>
      <c r="E368" s="1267"/>
      <c r="F368" s="1267"/>
      <c r="G368"/>
    </row>
    <row r="369" spans="1:7" ht="13">
      <c r="A369" s="346"/>
      <c r="B369" s="346"/>
      <c r="C369" s="218"/>
      <c r="D369" s="1267"/>
      <c r="E369" s="1267"/>
      <c r="F369" s="1267"/>
      <c r="G369"/>
    </row>
    <row r="370" spans="1:7" ht="13">
      <c r="A370" s="346"/>
      <c r="B370" s="346"/>
      <c r="C370" s="218"/>
      <c r="D370" s="1267"/>
      <c r="E370" s="1267"/>
      <c r="F370" s="1267"/>
      <c r="G370"/>
    </row>
    <row r="371" spans="1:7" ht="13">
      <c r="A371" s="346"/>
      <c r="B371" s="346"/>
      <c r="C371" s="218"/>
      <c r="D371" s="1267"/>
      <c r="E371" s="1267"/>
      <c r="F371" s="1267"/>
      <c r="G371"/>
    </row>
    <row r="372" spans="1:7">
      <c r="D372" s="35"/>
      <c r="E372" s="35"/>
      <c r="F372" s="35"/>
      <c r="G372"/>
    </row>
    <row r="373" spans="1:7" ht="13">
      <c r="A373" s="176"/>
      <c r="B373" s="468" t="s">
        <v>308</v>
      </c>
      <c r="C373" s="179"/>
      <c r="D373" s="1264" t="s">
        <v>1231</v>
      </c>
      <c r="E373" s="1264"/>
      <c r="F373" s="1264"/>
      <c r="G373"/>
    </row>
    <row r="374" spans="1:7" ht="13">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5" customHeight="1">
      <c r="D403" s="1264"/>
      <c r="E403" s="1264"/>
      <c r="F403" s="1264"/>
    </row>
    <row r="404" spans="1:7">
      <c r="D404" s="35"/>
      <c r="E404" s="35"/>
      <c r="F404" s="35"/>
    </row>
    <row r="405" spans="1:7" ht="13">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3">
      <c r="B416" s="468" t="s">
        <v>308</v>
      </c>
      <c r="C416" s="176"/>
      <c r="D416" s="1264" t="s">
        <v>1235</v>
      </c>
      <c r="E416" s="1264"/>
      <c r="F416" s="1264"/>
      <c r="G416"/>
    </row>
    <row r="417" spans="1:7">
      <c r="D417" s="1264"/>
      <c r="E417" s="1264"/>
      <c r="F417" s="1264"/>
      <c r="G417"/>
    </row>
    <row r="418" spans="1:7">
      <c r="D418" s="35"/>
      <c r="E418" s="35"/>
      <c r="F418" s="35"/>
      <c r="G418"/>
    </row>
    <row r="419" spans="1:7" ht="13">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ht="13">
      <c r="A442" s="1285" t="s">
        <v>1079</v>
      </c>
      <c r="B442" s="1285"/>
      <c r="C442" s="1285"/>
      <c r="D442" s="1285"/>
      <c r="E442" s="1285"/>
      <c r="F442" s="1285"/>
      <c r="G442" s="1285"/>
    </row>
    <row r="443" spans="1:7">
      <c r="A443" s="35"/>
      <c r="B443" s="35"/>
    </row>
    <row r="444" spans="1:7" ht="13">
      <c r="D444" s="1315" t="s">
        <v>896</v>
      </c>
      <c r="E444" s="1315"/>
      <c r="F444" s="1315"/>
    </row>
    <row r="445" spans="1:7" ht="13">
      <c r="A445" s="176"/>
      <c r="B445" s="176"/>
      <c r="D445" s="1312" t="s">
        <v>1239</v>
      </c>
      <c r="E445" s="1312"/>
      <c r="F445" s="1312"/>
    </row>
    <row r="446" spans="1:7" ht="13">
      <c r="A446" s="176"/>
      <c r="B446" s="176"/>
      <c r="D446" s="481"/>
      <c r="E446" s="3"/>
      <c r="F446" s="3"/>
    </row>
    <row r="447" spans="1:7" ht="13">
      <c r="A447" s="176"/>
      <c r="B447" s="468" t="s">
        <v>308</v>
      </c>
      <c r="D447" s="1267" t="s">
        <v>1240</v>
      </c>
      <c r="E447" s="1267"/>
      <c r="F447" s="1267"/>
    </row>
    <row r="448" spans="1:7" ht="13">
      <c r="A448" s="176"/>
      <c r="B448" s="176"/>
      <c r="D448" s="1267"/>
      <c r="E448" s="1267"/>
      <c r="F448" s="1267"/>
    </row>
    <row r="449" spans="1:7" ht="13">
      <c r="A449" s="176"/>
      <c r="B449" s="176"/>
      <c r="D449" s="118"/>
      <c r="E449" s="3"/>
      <c r="F449" s="3"/>
    </row>
    <row r="450" spans="1:7">
      <c r="B450" s="468" t="s">
        <v>308</v>
      </c>
      <c r="D450" s="1301" t="s">
        <v>1241</v>
      </c>
      <c r="E450" s="1301"/>
      <c r="F450" s="1301"/>
    </row>
    <row r="451" spans="1:7" ht="13">
      <c r="A451" s="176"/>
      <c r="D451" s="1301"/>
      <c r="E451" s="1301"/>
      <c r="F451" s="1301"/>
    </row>
    <row r="452" spans="1:7" ht="13">
      <c r="A452" s="176"/>
      <c r="B452" s="176"/>
      <c r="D452" s="1301"/>
      <c r="E452" s="1301"/>
      <c r="F452" s="1301"/>
    </row>
    <row r="453" spans="1:7" ht="13">
      <c r="A453" s="176"/>
      <c r="B453" s="176"/>
      <c r="D453" s="1301"/>
      <c r="E453" s="1301"/>
      <c r="F453" s="1301"/>
    </row>
    <row r="454" spans="1:7">
      <c r="D454" s="3"/>
      <c r="E454" s="3"/>
      <c r="F454" s="3"/>
      <c r="G454"/>
    </row>
    <row r="455" spans="1:7" ht="13">
      <c r="A455" s="176"/>
      <c r="B455" s="468" t="s">
        <v>308</v>
      </c>
      <c r="D455" s="1264" t="s">
        <v>1242</v>
      </c>
      <c r="E455" s="1264"/>
      <c r="F455" s="1264"/>
      <c r="G455"/>
    </row>
    <row r="456" spans="1:7" ht="13">
      <c r="A456" s="176"/>
      <c r="B456" s="176"/>
      <c r="D456" s="1264"/>
      <c r="E456" s="1264"/>
      <c r="F456" s="1264"/>
      <c r="G456"/>
    </row>
    <row r="457" spans="1:7" ht="13">
      <c r="A457" s="176"/>
      <c r="D457" s="1264"/>
      <c r="E457" s="1264"/>
      <c r="F457" s="1264"/>
      <c r="G457"/>
    </row>
    <row r="458" spans="1:7" ht="13">
      <c r="A458" s="176"/>
      <c r="B458" s="176"/>
      <c r="D458" s="3"/>
      <c r="E458" s="3"/>
      <c r="F458" s="3"/>
      <c r="G458"/>
    </row>
    <row r="459" spans="1:7" ht="13">
      <c r="A459" s="176"/>
      <c r="B459" s="468" t="s">
        <v>308</v>
      </c>
      <c r="D459" s="1284" t="s">
        <v>1243</v>
      </c>
      <c r="E459" s="1284"/>
      <c r="F459" s="1284"/>
      <c r="G459"/>
    </row>
    <row r="460" spans="1:7" ht="13">
      <c r="A460" s="176"/>
      <c r="B460" s="176"/>
      <c r="D460" s="118"/>
      <c r="E460" s="3"/>
      <c r="F460" s="3"/>
      <c r="G460"/>
    </row>
    <row r="461" spans="1:7" ht="13">
      <c r="A461" s="176"/>
      <c r="B461" s="468" t="s">
        <v>308</v>
      </c>
      <c r="D461" s="1264" t="s">
        <v>1244</v>
      </c>
      <c r="E461" s="1264"/>
      <c r="F461" s="1264"/>
      <c r="G461"/>
    </row>
    <row r="462" spans="1:7" ht="13">
      <c r="A462" s="176"/>
      <c r="D462" s="1264"/>
      <c r="E462" s="1264"/>
      <c r="F462" s="1264"/>
      <c r="G462"/>
    </row>
    <row r="463" spans="1:7" ht="13">
      <c r="A463" s="13"/>
      <c r="B463" s="13"/>
      <c r="D463" s="481"/>
      <c r="E463" s="3"/>
      <c r="F463" s="3"/>
      <c r="G463"/>
    </row>
    <row r="464" spans="1:7" ht="13">
      <c r="A464" s="13"/>
      <c r="B464" s="468" t="s">
        <v>308</v>
      </c>
      <c r="D464" s="1284" t="s">
        <v>1245</v>
      </c>
      <c r="E464" s="1284"/>
      <c r="F464" s="1284"/>
      <c r="G464"/>
    </row>
    <row r="465" spans="1:7" ht="13">
      <c r="A465" s="176"/>
      <c r="B465" s="176"/>
      <c r="D465" s="35"/>
    </row>
    <row r="466" spans="1:7" ht="13">
      <c r="A466" s="1285" t="s">
        <v>1080</v>
      </c>
      <c r="B466" s="1285"/>
      <c r="C466" s="1285"/>
      <c r="D466" s="1285"/>
      <c r="E466" s="1285"/>
      <c r="F466" s="1285"/>
      <c r="G466" s="1285"/>
    </row>
    <row r="467" spans="1:7" ht="12" customHeight="1">
      <c r="A467" s="176"/>
      <c r="B467" s="176"/>
      <c r="D467" s="35"/>
    </row>
    <row r="468" spans="1:7" ht="13">
      <c r="C468" s="172"/>
      <c r="D468" s="1283" t="s">
        <v>803</v>
      </c>
      <c r="E468" s="1283"/>
      <c r="F468" s="1283"/>
    </row>
    <row r="469" spans="1:7" ht="13.15" customHeight="1">
      <c r="A469" s="175"/>
      <c r="B469" s="175"/>
      <c r="C469" s="175"/>
      <c r="D469" s="1316" t="s">
        <v>1123</v>
      </c>
      <c r="E469" s="1316"/>
      <c r="F469" s="1316"/>
    </row>
    <row r="470" spans="1:7" ht="13">
      <c r="A470" s="175"/>
      <c r="B470" s="175"/>
      <c r="C470" s="175"/>
      <c r="D470" s="1316"/>
      <c r="E470" s="1316"/>
      <c r="F470" s="1316"/>
    </row>
    <row r="471" spans="1:7" ht="13">
      <c r="A471" s="175"/>
      <c r="B471" s="175"/>
      <c r="C471" s="175"/>
      <c r="D471" s="1316"/>
      <c r="E471" s="1316"/>
      <c r="F471" s="1316"/>
    </row>
    <row r="472" spans="1:7" ht="13">
      <c r="A472" s="175"/>
      <c r="B472" s="175"/>
      <c r="C472" s="175"/>
      <c r="D472" s="1316"/>
      <c r="E472" s="1316"/>
      <c r="F472" s="1316"/>
    </row>
    <row r="473" spans="1:7" ht="13">
      <c r="A473" s="175"/>
      <c r="B473" s="175"/>
      <c r="C473" s="175"/>
      <c r="D473" s="1316"/>
      <c r="E473" s="1316"/>
      <c r="F473" s="1316"/>
    </row>
    <row r="474" spans="1:7" ht="13">
      <c r="A474" s="175"/>
      <c r="B474" s="175"/>
      <c r="C474" s="175"/>
      <c r="D474" s="326"/>
      <c r="F474" s="35"/>
    </row>
    <row r="475" spans="1:7" ht="14.5" customHeight="1">
      <c r="A475" s="176"/>
      <c r="B475" s="468" t="s">
        <v>308</v>
      </c>
      <c r="C475" s="175"/>
      <c r="D475" s="1300" t="s">
        <v>1114</v>
      </c>
      <c r="E475" s="1300"/>
      <c r="F475" s="1300"/>
    </row>
    <row r="476" spans="1:7" ht="13">
      <c r="A476" s="175"/>
      <c r="B476" s="175"/>
      <c r="C476" s="175"/>
      <c r="D476" s="1300"/>
      <c r="E476" s="1300"/>
      <c r="F476" s="1300"/>
    </row>
    <row r="477" spans="1:7" ht="13">
      <c r="A477" s="175"/>
      <c r="B477" s="175"/>
      <c r="C477" s="175"/>
      <c r="D477" s="1300"/>
      <c r="E477" s="1300"/>
      <c r="F477" s="1300"/>
    </row>
    <row r="478" spans="1:7" ht="13">
      <c r="A478" s="175"/>
      <c r="B478" s="175"/>
      <c r="C478" s="175"/>
      <c r="D478" s="1300"/>
      <c r="E478" s="1300"/>
      <c r="F478" s="1300"/>
    </row>
    <row r="479" spans="1:7" ht="13">
      <c r="A479" s="175"/>
      <c r="B479" s="175"/>
      <c r="C479" s="175"/>
      <c r="D479" s="1300"/>
      <c r="E479" s="1300"/>
      <c r="F479" s="1300"/>
    </row>
    <row r="480" spans="1:7" ht="13">
      <c r="A480" s="175"/>
      <c r="B480" s="175"/>
      <c r="C480" s="175"/>
      <c r="D480" s="220"/>
      <c r="F480" s="35"/>
    </row>
    <row r="481" spans="1:6" ht="14.5" customHeight="1">
      <c r="A481" s="176"/>
      <c r="B481" s="468" t="s">
        <v>308</v>
      </c>
      <c r="C481" s="175"/>
      <c r="D481" s="1300" t="s">
        <v>1117</v>
      </c>
      <c r="E481" s="1300"/>
      <c r="F481" s="1300"/>
    </row>
    <row r="482" spans="1:6" ht="13">
      <c r="A482" s="175"/>
      <c r="B482" s="175"/>
      <c r="C482" s="175"/>
      <c r="D482" s="1300"/>
      <c r="E482" s="1300"/>
      <c r="F482" s="1300"/>
    </row>
    <row r="483" spans="1:6" ht="13">
      <c r="A483" s="175"/>
      <c r="B483" s="175"/>
      <c r="C483" s="175"/>
      <c r="D483" s="1300"/>
      <c r="E483" s="1300"/>
      <c r="F483" s="1300"/>
    </row>
    <row r="484" spans="1:6" ht="13">
      <c r="A484" s="175"/>
      <c r="B484" s="175"/>
      <c r="C484" s="175"/>
      <c r="D484" s="1300"/>
      <c r="E484" s="1300"/>
      <c r="F484" s="1300"/>
    </row>
    <row r="485" spans="1:6" ht="10" customHeight="1">
      <c r="A485" s="175"/>
      <c r="B485" s="175"/>
      <c r="C485" s="175"/>
      <c r="D485" s="220"/>
      <c r="F485" s="35"/>
    </row>
    <row r="486" spans="1:6" ht="14.5" customHeight="1">
      <c r="A486" s="176"/>
      <c r="B486" s="468" t="s">
        <v>308</v>
      </c>
      <c r="C486" s="175"/>
      <c r="D486" s="1300" t="s">
        <v>1115</v>
      </c>
      <c r="E486" s="1300"/>
      <c r="F486" s="1300"/>
    </row>
    <row r="487" spans="1:6" ht="13">
      <c r="A487" s="175"/>
      <c r="B487" s="175"/>
      <c r="C487" s="175"/>
      <c r="D487" s="1300"/>
      <c r="E487" s="1300"/>
      <c r="F487" s="1300"/>
    </row>
    <row r="488" spans="1:6" ht="13">
      <c r="A488" s="175"/>
      <c r="B488" s="175"/>
      <c r="C488" s="175"/>
      <c r="D488" s="1300"/>
      <c r="E488" s="1300"/>
      <c r="F488" s="1300"/>
    </row>
    <row r="489" spans="1:6" ht="13">
      <c r="A489" s="175"/>
      <c r="B489" s="175"/>
      <c r="C489" s="175"/>
      <c r="D489" s="475"/>
      <c r="E489" s="475"/>
      <c r="F489" s="475"/>
    </row>
    <row r="490" spans="1:6" ht="14.5" customHeight="1">
      <c r="A490" s="176"/>
      <c r="B490" s="468" t="s">
        <v>308</v>
      </c>
      <c r="C490" s="175"/>
      <c r="D490" s="1300" t="s">
        <v>1116</v>
      </c>
      <c r="E490" s="1300"/>
      <c r="F490" s="1300"/>
    </row>
    <row r="491" spans="1:6" ht="13">
      <c r="A491" s="175"/>
      <c r="B491" s="175"/>
      <c r="C491" s="175"/>
      <c r="D491" s="1300"/>
      <c r="E491" s="1300"/>
      <c r="F491" s="1300"/>
    </row>
    <row r="492" spans="1:6" ht="13">
      <c r="A492" s="175"/>
      <c r="B492" s="175"/>
      <c r="C492" s="175"/>
      <c r="D492" s="1300"/>
      <c r="E492" s="1300"/>
      <c r="F492" s="1300"/>
    </row>
    <row r="493" spans="1:6" ht="13">
      <c r="A493" s="175"/>
      <c r="B493" s="175"/>
      <c r="C493" s="175"/>
      <c r="D493" s="1300"/>
      <c r="E493" s="1300"/>
      <c r="F493" s="1300"/>
    </row>
    <row r="494" spans="1:6" ht="13">
      <c r="A494" s="175"/>
      <c r="B494" s="175"/>
      <c r="C494" s="175"/>
      <c r="D494" s="1300"/>
      <c r="E494" s="1300"/>
      <c r="F494" s="1300"/>
    </row>
    <row r="495" spans="1:6" ht="13">
      <c r="A495" s="175"/>
      <c r="B495" s="175"/>
      <c r="C495" s="175"/>
      <c r="D495" s="1300"/>
      <c r="E495" s="1300"/>
      <c r="F495" s="1300"/>
    </row>
    <row r="496" spans="1:6" ht="13">
      <c r="A496" s="175"/>
      <c r="B496" s="175"/>
      <c r="C496" s="175"/>
      <c r="D496" s="1300"/>
      <c r="E496" s="1300"/>
      <c r="F496" s="1300"/>
    </row>
    <row r="497" spans="1:7" ht="13">
      <c r="A497" s="175"/>
      <c r="B497" s="175"/>
      <c r="C497" s="175"/>
      <c r="D497" s="1300"/>
      <c r="E497" s="1300"/>
      <c r="F497" s="1300"/>
    </row>
    <row r="498" spans="1:7" ht="13">
      <c r="A498" s="175"/>
      <c r="B498" s="175"/>
      <c r="C498" s="175"/>
      <c r="D498" s="1300"/>
      <c r="E498" s="1300"/>
      <c r="F498" s="1300"/>
    </row>
    <row r="499" spans="1:7" ht="13">
      <c r="A499" s="175"/>
      <c r="B499" s="175"/>
      <c r="C499" s="175"/>
      <c r="D499" s="220"/>
      <c r="F499" s="35"/>
    </row>
    <row r="500" spans="1:7" ht="13.15" customHeight="1">
      <c r="A500" s="175"/>
      <c r="B500" s="468" t="s">
        <v>308</v>
      </c>
      <c r="C500" s="175"/>
      <c r="D500" s="1267" t="s">
        <v>1260</v>
      </c>
      <c r="E500" s="1267"/>
      <c r="F500" s="1267"/>
    </row>
    <row r="501" spans="1:7" ht="13">
      <c r="A501" s="175"/>
      <c r="B501" s="175"/>
      <c r="C501" s="175"/>
      <c r="D501" s="1267"/>
      <c r="E501" s="1267"/>
      <c r="F501" s="1267"/>
    </row>
    <row r="502" spans="1:7" ht="13">
      <c r="A502" s="175"/>
      <c r="B502" s="175"/>
      <c r="C502" s="175"/>
      <c r="D502" s="1267"/>
      <c r="E502" s="1267"/>
      <c r="F502" s="1267"/>
    </row>
    <row r="503" spans="1:7" ht="13">
      <c r="A503" s="175"/>
      <c r="B503" s="175"/>
      <c r="C503" s="175"/>
      <c r="D503" s="1267"/>
      <c r="E503" s="1267"/>
      <c r="F503" s="1267"/>
    </row>
    <row r="504" spans="1:7" ht="13">
      <c r="A504" s="175"/>
      <c r="B504" s="175"/>
      <c r="C504" s="175"/>
      <c r="D504" s="1267"/>
      <c r="E504" s="1267"/>
      <c r="F504" s="1267"/>
    </row>
    <row r="505" spans="1:7" ht="13">
      <c r="A505" s="175"/>
      <c r="B505" s="175"/>
      <c r="C505" s="175"/>
      <c r="D505" s="485"/>
      <c r="E505" s="485"/>
      <c r="F505" s="485"/>
    </row>
    <row r="506" spans="1:7" ht="14.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ht="13">
      <c r="A510" s="1285" t="s">
        <v>1081</v>
      </c>
      <c r="B510" s="1285"/>
      <c r="C510" s="1285"/>
      <c r="D510" s="1285"/>
      <c r="E510" s="1285"/>
      <c r="F510" s="1285"/>
      <c r="G510" s="1285"/>
    </row>
    <row r="511" spans="1:7" ht="13">
      <c r="A511" s="35"/>
      <c r="B511" s="35"/>
      <c r="C511" s="179"/>
      <c r="F511" s="57"/>
    </row>
    <row r="512" spans="1:7">
      <c r="B512" s="1282" t="s">
        <v>449</v>
      </c>
      <c r="C512" s="1282"/>
      <c r="D512" s="1282"/>
      <c r="E512" s="1282"/>
      <c r="F512" s="1282"/>
    </row>
    <row r="513" spans="1:7">
      <c r="A513" s="35"/>
      <c r="B513" s="35"/>
      <c r="C513" s="179"/>
      <c r="D513" s="35"/>
      <c r="F513" s="35"/>
    </row>
    <row r="514" spans="1:7" ht="13">
      <c r="A514" s="1286" t="s">
        <v>1082</v>
      </c>
      <c r="B514" s="1286"/>
      <c r="C514" s="1286"/>
      <c r="D514" s="1286"/>
      <c r="E514" s="1286"/>
      <c r="F514" s="1286"/>
      <c r="G514" s="1286"/>
    </row>
    <row r="515" spans="1:7">
      <c r="A515" s="35"/>
      <c r="B515" s="35"/>
      <c r="C515" s="179"/>
      <c r="D515" s="35"/>
      <c r="F515" s="35"/>
    </row>
    <row r="516" spans="1:7" ht="13">
      <c r="C516" s="179"/>
      <c r="D516" s="1283" t="s">
        <v>692</v>
      </c>
      <c r="E516" s="1283"/>
      <c r="F516" s="1283"/>
    </row>
    <row r="517" spans="1:7">
      <c r="C517" s="179"/>
      <c r="D517" s="1284" t="s">
        <v>1139</v>
      </c>
      <c r="E517" s="1284"/>
      <c r="F517" s="1284"/>
    </row>
    <row r="518" spans="1:7">
      <c r="C518" s="179"/>
      <c r="D518" s="118"/>
      <c r="E518" s="118"/>
      <c r="F518" s="118"/>
    </row>
    <row r="519" spans="1:7" ht="13.15" customHeight="1">
      <c r="A519" s="176"/>
      <c r="B519" s="468" t="s">
        <v>308</v>
      </c>
      <c r="C519" s="179"/>
      <c r="D519" s="1284" t="s">
        <v>897</v>
      </c>
      <c r="E519" s="1284"/>
      <c r="F519" s="1284"/>
      <c r="G519"/>
    </row>
    <row r="520" spans="1:7" ht="13.15" customHeight="1">
      <c r="A520" s="179"/>
      <c r="B520" s="179"/>
      <c r="C520" s="179"/>
      <c r="D520" s="118"/>
      <c r="E520"/>
      <c r="F520"/>
      <c r="G520"/>
    </row>
    <row r="521" spans="1:7" ht="13">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3">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3">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3">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3">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3">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3">
      <c r="A543" s="176"/>
      <c r="B543" s="468" t="s">
        <v>308</v>
      </c>
      <c r="C543" s="179"/>
      <c r="D543" s="1284" t="s">
        <v>1146</v>
      </c>
      <c r="E543" s="1284"/>
      <c r="F543" s="1284"/>
    </row>
    <row r="544" spans="1:7" ht="13">
      <c r="A544" s="13"/>
      <c r="B544" s="13"/>
      <c r="C544" s="179"/>
      <c r="D544" s="1284" t="s">
        <v>830</v>
      </c>
      <c r="E544" s="1284"/>
      <c r="F544" s="1284"/>
    </row>
    <row r="545" spans="1:7" ht="13">
      <c r="A545" s="13"/>
      <c r="B545" s="13"/>
      <c r="C545" s="179"/>
      <c r="D545" s="3"/>
      <c r="E545" s="1289" t="s">
        <v>1147</v>
      </c>
      <c r="F545" s="1289"/>
    </row>
    <row r="546" spans="1:7" ht="13">
      <c r="A546" s="176"/>
      <c r="B546" s="176"/>
      <c r="C546" s="179"/>
      <c r="E546" s="35"/>
      <c r="F546" s="35"/>
    </row>
    <row r="547" spans="1:7" ht="13">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
      <c r="A552" s="176"/>
      <c r="B552" s="468" t="s">
        <v>308</v>
      </c>
      <c r="C552" s="179"/>
      <c r="D552" s="1264" t="s">
        <v>1150</v>
      </c>
      <c r="E552" s="1264"/>
      <c r="F552" s="1264"/>
    </row>
    <row r="553" spans="1:7" ht="13">
      <c r="A553" s="176"/>
      <c r="B553" s="176"/>
      <c r="C553" s="179"/>
      <c r="D553" s="1264"/>
      <c r="E553" s="1264"/>
      <c r="F553" s="1264"/>
    </row>
    <row r="554" spans="1:7" ht="13">
      <c r="A554" s="176"/>
      <c r="B554" s="176"/>
      <c r="C554" s="179"/>
      <c r="D554" s="1264"/>
      <c r="E554" s="1264"/>
      <c r="F554" s="1264"/>
    </row>
    <row r="555" spans="1:7" ht="13">
      <c r="A555" s="176"/>
      <c r="B555" s="176"/>
      <c r="C555" s="179"/>
      <c r="D555" s="1264"/>
      <c r="E555" s="1264"/>
      <c r="F555" s="1264"/>
    </row>
    <row r="556" spans="1:7" ht="13">
      <c r="A556" s="176"/>
      <c r="B556" s="176"/>
      <c r="C556" s="179"/>
      <c r="D556" s="35"/>
      <c r="E556" s="35"/>
      <c r="F556" s="35"/>
    </row>
    <row r="557" spans="1:7" ht="13">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ht="13">
      <c r="A560" s="175"/>
      <c r="B560" s="175"/>
      <c r="C560" s="175"/>
      <c r="D560" s="1301" t="s">
        <v>1099</v>
      </c>
      <c r="E560" s="1301"/>
      <c r="F560" s="1301"/>
    </row>
    <row r="561" spans="1:6" ht="13">
      <c r="A561"/>
      <c r="B561"/>
      <c r="C561" s="175"/>
      <c r="D561" s="255"/>
    </row>
    <row r="562" spans="1:6" ht="13">
      <c r="A562" s="175"/>
      <c r="B562" s="468" t="s">
        <v>308</v>
      </c>
      <c r="D562" s="1301" t="s">
        <v>903</v>
      </c>
      <c r="E562" s="1301"/>
      <c r="F562" s="1301"/>
    </row>
    <row r="563" spans="1:6" ht="13">
      <c r="A563" s="13"/>
      <c r="B563" s="13"/>
      <c r="D563" s="218"/>
    </row>
    <row r="564" spans="1:6" ht="13">
      <c r="A564" s="13"/>
      <c r="B564" s="468" t="s">
        <v>308</v>
      </c>
      <c r="D564" s="1301" t="s">
        <v>1100</v>
      </c>
      <c r="E564" s="1301"/>
      <c r="F564" s="1301"/>
    </row>
    <row r="565" spans="1:6" ht="13">
      <c r="A565" s="13"/>
      <c r="B565" s="13"/>
      <c r="D565" s="1301"/>
      <c r="E565" s="1301"/>
      <c r="F565" s="1301"/>
    </row>
    <row r="566" spans="1:6" ht="13">
      <c r="A566" s="13"/>
      <c r="B566" s="13"/>
      <c r="D566" s="1301"/>
      <c r="E566" s="1301"/>
      <c r="F566" s="1301"/>
    </row>
    <row r="567" spans="1:6" ht="13">
      <c r="A567" s="13"/>
      <c r="B567" s="13"/>
      <c r="D567" s="255"/>
    </row>
    <row r="568" spans="1:6" ht="13">
      <c r="A568" s="13"/>
      <c r="B568" s="468" t="s">
        <v>308</v>
      </c>
      <c r="D568" s="1301" t="s">
        <v>1101</v>
      </c>
      <c r="E568" s="1301"/>
      <c r="F568" s="1301"/>
    </row>
    <row r="569" spans="1:6" ht="13">
      <c r="A569" s="13"/>
      <c r="B569" s="13"/>
      <c r="D569" s="1301"/>
      <c r="E569" s="1301"/>
      <c r="F569" s="1301"/>
    </row>
    <row r="570" spans="1:6" ht="13">
      <c r="A570" s="13"/>
      <c r="B570" s="13"/>
      <c r="D570" s="1301"/>
      <c r="E570" s="1301"/>
      <c r="F570" s="1301"/>
    </row>
    <row r="571" spans="1:6" ht="13">
      <c r="A571" s="13"/>
      <c r="B571" s="13"/>
      <c r="D571" s="1301"/>
      <c r="E571" s="1301"/>
      <c r="F571" s="1301"/>
    </row>
    <row r="572" spans="1:6" ht="13">
      <c r="A572" s="13"/>
      <c r="B572" s="13"/>
      <c r="D572" s="473"/>
      <c r="E572" s="473"/>
      <c r="F572" s="473"/>
    </row>
    <row r="573" spans="1:6" ht="13">
      <c r="A573" s="13"/>
      <c r="B573" s="468" t="s">
        <v>308</v>
      </c>
      <c r="D573" s="1301" t="s">
        <v>1102</v>
      </c>
      <c r="E573" s="1301"/>
      <c r="F573" s="1301"/>
    </row>
    <row r="574" spans="1:6" ht="13">
      <c r="A574" s="13"/>
      <c r="B574" s="13"/>
      <c r="D574" s="1301"/>
      <c r="E574" s="1301"/>
      <c r="F574" s="1301"/>
    </row>
    <row r="575" spans="1:6" ht="13">
      <c r="A575" s="13"/>
      <c r="B575" s="13"/>
      <c r="D575" s="255"/>
    </row>
    <row r="576" spans="1:6" ht="13">
      <c r="A576" s="13"/>
      <c r="B576" s="468" t="s">
        <v>308</v>
      </c>
      <c r="D576" s="1301" t="s">
        <v>1103</v>
      </c>
      <c r="E576" s="1301"/>
      <c r="F576" s="1301"/>
    </row>
    <row r="577" spans="1:7" ht="13">
      <c r="A577" s="13"/>
      <c r="B577" s="13"/>
      <c r="D577" s="1301"/>
      <c r="E577" s="1301"/>
      <c r="F577" s="1301"/>
    </row>
    <row r="578" spans="1:7" ht="13">
      <c r="A578" s="13"/>
      <c r="B578" s="13"/>
      <c r="D578" s="255"/>
    </row>
    <row r="579" spans="1:7" ht="13">
      <c r="A579" s="176"/>
      <c r="B579" s="468" t="s">
        <v>308</v>
      </c>
      <c r="D579" s="1301" t="s">
        <v>898</v>
      </c>
      <c r="E579" s="1301"/>
      <c r="F579" s="1301"/>
    </row>
    <row r="580" spans="1:7" ht="13">
      <c r="A580" s="176"/>
      <c r="B580" s="176"/>
      <c r="D580" s="255"/>
    </row>
    <row r="581" spans="1:7" ht="13">
      <c r="A581" s="176"/>
      <c r="B581" s="468" t="s">
        <v>308</v>
      </c>
      <c r="D581" s="1301" t="s">
        <v>1104</v>
      </c>
      <c r="E581" s="1301"/>
      <c r="F581" s="1301"/>
    </row>
    <row r="582" spans="1:7" ht="13">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ht="13">
      <c r="A588" s="1285" t="s">
        <v>1084</v>
      </c>
      <c r="B588" s="1285"/>
      <c r="C588" s="1285"/>
      <c r="D588" s="1285"/>
      <c r="E588" s="1285"/>
      <c r="F588" s="1285"/>
      <c r="G588" s="1285"/>
    </row>
    <row r="589" spans="1:7"/>
    <row r="590" spans="1:7" ht="13">
      <c r="D590" s="1277" t="s">
        <v>1184</v>
      </c>
      <c r="E590" s="1277"/>
      <c r="F590" s="1277"/>
    </row>
    <row r="591" spans="1:7">
      <c r="D591" s="1278" t="s">
        <v>1185</v>
      </c>
      <c r="E591" s="1278"/>
      <c r="F591" s="1278"/>
    </row>
    <row r="592" spans="1:7">
      <c r="D592" s="478"/>
      <c r="E592" s="433"/>
      <c r="F592" s="433"/>
    </row>
    <row r="593" spans="1:7" ht="13">
      <c r="A593" s="176"/>
      <c r="B593" s="468" t="s">
        <v>308</v>
      </c>
      <c r="D593" s="1279" t="s">
        <v>1186</v>
      </c>
      <c r="E593" s="1279"/>
      <c r="F593" s="1279"/>
    </row>
    <row r="594" spans="1:7">
      <c r="D594" s="1279"/>
      <c r="E594" s="1279"/>
      <c r="F594" s="1279"/>
    </row>
    <row r="595" spans="1:7">
      <c r="D595" s="1279"/>
      <c r="E595" s="1279"/>
      <c r="F595" s="1279"/>
    </row>
    <row r="596" spans="1:7"/>
    <row r="597" spans="1:7" ht="13">
      <c r="A597" s="1285" t="s">
        <v>1085</v>
      </c>
      <c r="B597" s="1285"/>
      <c r="C597" s="1285"/>
      <c r="D597" s="1285"/>
      <c r="E597" s="1285"/>
      <c r="F597" s="1285"/>
      <c r="G597" s="1285"/>
    </row>
    <row r="598" spans="1:7">
      <c r="A598" s="35"/>
      <c r="B598" s="35"/>
    </row>
    <row r="599" spans="1:7" ht="13">
      <c r="A599" s="172"/>
      <c r="B599" s="172"/>
      <c r="C599" s="172"/>
      <c r="D599" s="1280" t="s">
        <v>1187</v>
      </c>
      <c r="E599" s="1280"/>
      <c r="F599" s="1280"/>
    </row>
    <row r="600" spans="1:7" ht="13">
      <c r="A600" s="172"/>
      <c r="B600" s="172"/>
      <c r="C600" s="172"/>
      <c r="D600" s="1280"/>
      <c r="E600" s="1280"/>
      <c r="F600" s="1280"/>
    </row>
    <row r="601" spans="1:7" ht="13">
      <c r="C601" s="175"/>
      <c r="D601" s="1278" t="s">
        <v>1188</v>
      </c>
      <c r="E601" s="1278"/>
      <c r="F601" s="1278"/>
    </row>
    <row r="602" spans="1:7" ht="13">
      <c r="C602" s="175"/>
      <c r="D602" s="478"/>
      <c r="E602" s="478"/>
      <c r="F602" s="478"/>
    </row>
    <row r="603" spans="1:7" ht="13">
      <c r="A603" s="13"/>
      <c r="B603" s="468" t="s">
        <v>308</v>
      </c>
      <c r="D603" s="1278" t="s">
        <v>433</v>
      </c>
      <c r="E603" s="1278"/>
      <c r="F603" s="1278"/>
    </row>
    <row r="604" spans="1:7" ht="13">
      <c r="C604" s="180"/>
      <c r="E604"/>
    </row>
    <row r="605" spans="1:7" ht="13">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ht="13">
      <c r="C609" s="180"/>
      <c r="D609" s="1281"/>
      <c r="E609" s="1281"/>
      <c r="F609" s="1281"/>
    </row>
    <row r="610" spans="1:7" ht="13">
      <c r="C610" s="180"/>
    </row>
    <row r="611" spans="1:7" ht="13">
      <c r="B611" s="468" t="s">
        <v>308</v>
      </c>
      <c r="C611" s="180"/>
      <c r="D611" s="1281" t="s">
        <v>1191</v>
      </c>
      <c r="E611" s="1281"/>
      <c r="F611" s="1281"/>
    </row>
    <row r="612" spans="1:7" ht="13">
      <c r="C612" s="180"/>
      <c r="D612" s="1281"/>
      <c r="E612" s="1281"/>
      <c r="F612" s="1281"/>
    </row>
    <row r="613" spans="1:7" ht="13">
      <c r="C613" s="180"/>
    </row>
    <row r="614" spans="1:7" ht="13">
      <c r="A614" s="1285" t="s">
        <v>1086</v>
      </c>
      <c r="B614" s="1285"/>
      <c r="C614" s="1285"/>
      <c r="D614" s="1285"/>
      <c r="E614" s="1285"/>
      <c r="F614" s="1285"/>
      <c r="G614" s="1285"/>
    </row>
    <row r="615" spans="1:7" ht="13">
      <c r="A615" s="172"/>
      <c r="B615" s="172"/>
      <c r="C615" s="172"/>
    </row>
    <row r="616" spans="1:7" ht="13">
      <c r="C616" s="13"/>
      <c r="D616" s="1277" t="s">
        <v>1192</v>
      </c>
      <c r="E616" s="1277"/>
      <c r="F616" s="1277"/>
    </row>
    <row r="617" spans="1:7" ht="13">
      <c r="A617" s="13"/>
      <c r="B617" s="13"/>
      <c r="D617" s="2"/>
    </row>
    <row r="618" spans="1:7" ht="13">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3">
      <c r="A628" s="176"/>
      <c r="B628" s="468" t="s">
        <v>308</v>
      </c>
      <c r="C628" s="179"/>
      <c r="D628" s="1279" t="s">
        <v>1195</v>
      </c>
      <c r="E628" s="1279"/>
      <c r="F628" s="1279"/>
    </row>
    <row r="629" spans="1:7" ht="13">
      <c r="A629" s="176"/>
      <c r="B629" s="176"/>
      <c r="C629" s="179"/>
      <c r="D629" s="1279"/>
      <c r="E629" s="1279"/>
      <c r="F629" s="1279"/>
    </row>
    <row r="630" spans="1:7" ht="13">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ht="13">
      <c r="A635" s="1285" t="s">
        <v>1087</v>
      </c>
      <c r="B635" s="1285"/>
      <c r="C635" s="1285"/>
      <c r="D635" s="1285"/>
      <c r="E635" s="1285"/>
      <c r="F635" s="1285"/>
      <c r="G635" s="1285"/>
    </row>
    <row r="636" spans="1:7">
      <c r="A636" s="35"/>
      <c r="B636" s="35"/>
      <c r="C636" s="179"/>
      <c r="D636" s="35"/>
      <c r="E636" s="35"/>
      <c r="F636" s="35"/>
    </row>
    <row r="637" spans="1:7" ht="13">
      <c r="C637" s="172"/>
      <c r="D637" s="1283" t="s">
        <v>1246</v>
      </c>
      <c r="E637" s="1283"/>
      <c r="F637" s="1283"/>
    </row>
    <row r="638" spans="1:7" ht="13">
      <c r="A638" s="175"/>
      <c r="B638" s="175"/>
      <c r="C638" s="175"/>
      <c r="D638" s="1284" t="s">
        <v>1247</v>
      </c>
      <c r="E638" s="1284"/>
      <c r="F638" s="1284"/>
    </row>
    <row r="639" spans="1:7" ht="13">
      <c r="A639" s="175"/>
      <c r="B639" s="175"/>
      <c r="C639" s="175"/>
      <c r="D639" s="118"/>
      <c r="E639" s="118"/>
      <c r="F639" s="118"/>
    </row>
    <row r="640" spans="1:7" ht="14.5" customHeight="1">
      <c r="A640" s="176"/>
      <c r="B640" s="468" t="s">
        <v>308</v>
      </c>
      <c r="C640" s="179"/>
      <c r="D640" s="1264" t="s">
        <v>1248</v>
      </c>
      <c r="E640" s="1264"/>
      <c r="F640" s="1264"/>
    </row>
    <row r="641" spans="1:11" ht="13">
      <c r="A641" s="176"/>
      <c r="B641" s="176"/>
      <c r="C641" s="179"/>
      <c r="D641" s="1264"/>
      <c r="E641" s="1264"/>
      <c r="F641" s="1264"/>
    </row>
    <row r="642" spans="1:11" ht="13">
      <c r="A642" s="176"/>
      <c r="B642" s="176"/>
      <c r="C642" s="179"/>
      <c r="D642" s="1264"/>
      <c r="E642" s="1264"/>
      <c r="F642" s="1264"/>
    </row>
    <row r="643" spans="1:11" ht="13">
      <c r="A643" s="176"/>
      <c r="B643" s="176"/>
      <c r="C643" s="179"/>
      <c r="D643" s="1264"/>
      <c r="E643" s="1264"/>
      <c r="F643" s="1264"/>
    </row>
    <row r="644" spans="1:11" ht="13">
      <c r="A644" s="176"/>
      <c r="B644" s="176"/>
      <c r="C644" s="179"/>
      <c r="D644" s="1264"/>
      <c r="E644" s="1264"/>
      <c r="F644" s="1264"/>
    </row>
    <row r="645" spans="1:11" ht="13">
      <c r="A645" s="176"/>
      <c r="B645" s="176"/>
      <c r="C645" s="179"/>
      <c r="D645" s="474"/>
      <c r="E645" s="474"/>
      <c r="F645" s="474"/>
    </row>
    <row r="646" spans="1:11" ht="13">
      <c r="A646" s="176"/>
      <c r="B646" s="468" t="s">
        <v>308</v>
      </c>
      <c r="C646" s="179"/>
      <c r="D646" s="1298" t="s">
        <v>1098</v>
      </c>
      <c r="E646" s="1298"/>
      <c r="F646" s="1298"/>
    </row>
    <row r="647" spans="1:11" ht="13">
      <c r="A647" s="176"/>
      <c r="B647" s="176"/>
      <c r="C647" s="179"/>
      <c r="D647" s="1297" t="s">
        <v>1249</v>
      </c>
      <c r="E647" s="1297"/>
      <c r="F647" s="1297"/>
    </row>
    <row r="648" spans="1:11" ht="13">
      <c r="A648" s="176"/>
      <c r="B648" s="176"/>
      <c r="C648" s="179"/>
      <c r="D648" s="1297"/>
      <c r="E648" s="1297"/>
      <c r="F648" s="1297"/>
    </row>
    <row r="649" spans="1:11" ht="13">
      <c r="A649" s="176"/>
      <c r="B649" s="176"/>
      <c r="C649" s="179"/>
      <c r="D649" s="1297"/>
      <c r="E649" s="1297"/>
      <c r="F649" s="1297"/>
    </row>
    <row r="650" spans="1:11" ht="13">
      <c r="A650" s="176"/>
      <c r="B650" s="176"/>
      <c r="C650" s="179"/>
      <c r="D650" s="1297"/>
      <c r="E650" s="1297"/>
      <c r="F650" s="1297"/>
    </row>
    <row r="651" spans="1:11" ht="13">
      <c r="A651" s="176"/>
      <c r="B651" s="176"/>
      <c r="C651" s="179"/>
      <c r="D651" s="1297"/>
      <c r="E651" s="1297"/>
      <c r="F651" s="1297"/>
    </row>
    <row r="652" spans="1:11" ht="13">
      <c r="A652" s="176"/>
      <c r="B652" s="176"/>
      <c r="C652" s="179"/>
      <c r="D652" s="1299" t="s">
        <v>1250</v>
      </c>
      <c r="E652" s="1299"/>
      <c r="F652" s="1299"/>
    </row>
    <row r="653" spans="1:11">
      <c r="A653" s="179"/>
      <c r="B653" s="179"/>
      <c r="C653" s="179"/>
      <c r="D653" s="35"/>
      <c r="E653" s="35"/>
      <c r="F653" s="35"/>
    </row>
    <row r="654" spans="1:11" ht="13">
      <c r="A654" s="1285" t="s">
        <v>1088</v>
      </c>
      <c r="B654" s="1285"/>
      <c r="C654" s="1285"/>
      <c r="D654" s="1285"/>
      <c r="E654" s="1285"/>
      <c r="F654" s="1285"/>
      <c r="G654" s="1285"/>
      <c r="H654" s="181"/>
      <c r="I654" s="181"/>
      <c r="J654" s="181"/>
      <c r="K654" s="181"/>
    </row>
    <row r="655" spans="1:11" ht="13">
      <c r="A655" s="482"/>
      <c r="B655" s="482"/>
      <c r="C655" s="482"/>
      <c r="D655" s="482"/>
      <c r="E655" s="482"/>
      <c r="F655" s="482"/>
      <c r="G655" s="482"/>
      <c r="H655" s="181"/>
      <c r="I655" s="181"/>
      <c r="J655" s="181"/>
      <c r="K655" s="181"/>
    </row>
    <row r="656" spans="1:11" ht="13">
      <c r="C656" s="172"/>
      <c r="D656" s="1283" t="s">
        <v>99</v>
      </c>
      <c r="E656" s="1283"/>
      <c r="F656" s="1283"/>
      <c r="H656" s="181"/>
      <c r="I656" s="181"/>
      <c r="J656" s="181"/>
      <c r="K656" s="181"/>
    </row>
    <row r="657" spans="1:11" ht="13">
      <c r="A657" s="172"/>
      <c r="B657" s="172"/>
      <c r="C657" s="172"/>
      <c r="D657" s="1283" t="s">
        <v>123</v>
      </c>
      <c r="E657" s="1283"/>
      <c r="F657" s="1283"/>
      <c r="H657" s="181"/>
      <c r="I657" s="181"/>
      <c r="J657" s="181"/>
      <c r="K657" s="181"/>
    </row>
    <row r="658" spans="1:11" ht="13">
      <c r="A658" s="175"/>
      <c r="B658" s="175"/>
      <c r="C658" s="175"/>
      <c r="D658" s="1284" t="s">
        <v>1124</v>
      </c>
      <c r="E658" s="1284"/>
      <c r="F658" s="1284"/>
      <c r="H658" s="181"/>
      <c r="I658" s="181"/>
      <c r="J658" s="181"/>
      <c r="K658" s="181"/>
    </row>
    <row r="659" spans="1:11" ht="13">
      <c r="A659" s="175"/>
      <c r="B659" s="175"/>
      <c r="C659" s="175"/>
      <c r="H659" s="181"/>
      <c r="I659" s="181"/>
      <c r="J659" s="181"/>
      <c r="K659" s="181"/>
    </row>
    <row r="660" spans="1:11" ht="13">
      <c r="A660" s="176"/>
      <c r="B660" s="468" t="s">
        <v>308</v>
      </c>
      <c r="C660" s="175"/>
      <c r="D660" s="1284" t="s">
        <v>899</v>
      </c>
      <c r="E660" s="1284"/>
      <c r="F660" s="1284"/>
      <c r="H660" s="181"/>
      <c r="I660" s="181"/>
      <c r="J660" s="181"/>
      <c r="K660" s="181"/>
    </row>
    <row r="661" spans="1:11" ht="13">
      <c r="A661" s="175"/>
      <c r="B661" s="175"/>
      <c r="C661" s="175"/>
      <c r="D661" s="1284" t="s">
        <v>909</v>
      </c>
      <c r="E661" s="1284"/>
      <c r="F661" s="1284"/>
      <c r="H661" s="181"/>
      <c r="I661" s="181"/>
      <c r="J661" s="181"/>
      <c r="K661" s="181"/>
    </row>
    <row r="662" spans="1:11" ht="13">
      <c r="A662" s="175"/>
      <c r="B662" s="175"/>
      <c r="C662" s="175"/>
      <c r="D662" s="3"/>
      <c r="E662" s="1268" t="s">
        <v>1125</v>
      </c>
      <c r="F662" s="1268"/>
      <c r="H662" s="181"/>
      <c r="I662" s="181"/>
      <c r="J662" s="181"/>
      <c r="K662" s="181"/>
    </row>
    <row r="663" spans="1:11" ht="13">
      <c r="A663" s="175"/>
      <c r="B663" s="175"/>
      <c r="C663" s="175"/>
      <c r="D663" s="3"/>
      <c r="E663" s="1268"/>
      <c r="F663" s="1268"/>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4" t="s">
        <v>1126</v>
      </c>
      <c r="E665" s="1264"/>
      <c r="F665" s="1264"/>
      <c r="H665" s="181"/>
      <c r="I665" s="181"/>
      <c r="J665" s="181"/>
      <c r="K665" s="181"/>
    </row>
    <row r="666" spans="1:11" ht="13">
      <c r="A666" s="13"/>
      <c r="B666" s="13"/>
      <c r="C666" s="175"/>
      <c r="D666" s="1264"/>
      <c r="E666" s="1264"/>
      <c r="F666" s="1264"/>
      <c r="H666" s="181"/>
      <c r="I666" s="181"/>
      <c r="J666" s="181"/>
      <c r="K666" s="181"/>
    </row>
    <row r="667" spans="1:11" ht="13">
      <c r="A667" s="175"/>
      <c r="B667" s="175"/>
      <c r="C667" s="175"/>
      <c r="D667" s="1264"/>
      <c r="E667" s="1264"/>
      <c r="F667" s="1264"/>
      <c r="H667" s="181"/>
      <c r="I667" s="181"/>
      <c r="J667" s="181"/>
      <c r="K667" s="181"/>
    </row>
    <row r="668" spans="1:11" ht="13">
      <c r="A668" s="175"/>
      <c r="B668" s="175"/>
      <c r="C668" s="175"/>
      <c r="H668" s="181"/>
      <c r="I668" s="181"/>
      <c r="J668" s="181"/>
      <c r="K668" s="181"/>
    </row>
    <row r="669" spans="1:11" ht="13">
      <c r="A669" s="176"/>
      <c r="B669" s="468" t="s">
        <v>308</v>
      </c>
      <c r="C669" s="175"/>
      <c r="D669" s="1284" t="s">
        <v>937</v>
      </c>
      <c r="E669" s="1284"/>
      <c r="F669" s="1284"/>
      <c r="H669" s="181"/>
      <c r="I669" s="181"/>
      <c r="J669" s="181"/>
      <c r="K669" s="181"/>
    </row>
    <row r="670" spans="1:11" ht="13">
      <c r="A670" s="176"/>
      <c r="B670" s="176"/>
      <c r="C670" s="175"/>
      <c r="D670" s="1284" t="s">
        <v>909</v>
      </c>
      <c r="E670" s="1284"/>
      <c r="F670" s="1284"/>
      <c r="H670" s="181"/>
      <c r="I670" s="181"/>
      <c r="J670" s="181"/>
      <c r="K670" s="181"/>
    </row>
    <row r="671" spans="1:11" ht="13">
      <c r="A671" s="175"/>
      <c r="B671" s="175"/>
      <c r="C671" s="175"/>
      <c r="D671" s="3"/>
      <c r="E671" s="1289" t="s">
        <v>1127</v>
      </c>
      <c r="F671" s="1289"/>
      <c r="H671" s="181"/>
      <c r="I671" s="181"/>
      <c r="J671" s="181"/>
      <c r="K671" s="181"/>
    </row>
    <row r="672" spans="1:11" ht="13">
      <c r="A672" s="175"/>
      <c r="B672" s="175"/>
      <c r="C672" s="175"/>
      <c r="D672" s="2"/>
      <c r="H672" s="181"/>
      <c r="I672" s="181"/>
      <c r="J672" s="181"/>
      <c r="K672" s="181"/>
    </row>
    <row r="673" spans="1:11" ht="13">
      <c r="A673" s="176"/>
      <c r="B673" s="468" t="s">
        <v>308</v>
      </c>
      <c r="C673" s="175"/>
      <c r="D673" s="1264" t="s">
        <v>1137</v>
      </c>
      <c r="E673" s="1264"/>
      <c r="F673" s="1264"/>
      <c r="H673" s="181"/>
      <c r="I673" s="181"/>
      <c r="J673" s="181"/>
      <c r="K673" s="181"/>
    </row>
    <row r="674" spans="1:11" ht="13">
      <c r="A674" s="175"/>
      <c r="B674" s="175"/>
      <c r="C674" s="175"/>
      <c r="D674" s="1264"/>
      <c r="E674" s="1264"/>
      <c r="F674" s="1264"/>
      <c r="H674" s="181"/>
      <c r="I674" s="181"/>
      <c r="J674" s="181"/>
      <c r="K674" s="181"/>
    </row>
    <row r="675" spans="1:11" ht="13">
      <c r="A675" s="175"/>
      <c r="B675" s="175"/>
      <c r="C675" s="175"/>
      <c r="D675" s="1264"/>
      <c r="E675" s="1264"/>
      <c r="F675" s="1264"/>
      <c r="H675" s="181"/>
      <c r="I675" s="181"/>
      <c r="J675" s="181"/>
      <c r="K675" s="181"/>
    </row>
    <row r="676" spans="1:11" ht="13">
      <c r="A676" s="175"/>
      <c r="B676" s="175"/>
      <c r="C676" s="175"/>
      <c r="D676" s="1264"/>
      <c r="E676" s="1264"/>
      <c r="F676" s="1264"/>
      <c r="H676" s="181"/>
      <c r="I676" s="181"/>
      <c r="J676" s="181"/>
      <c r="K676" s="181"/>
    </row>
    <row r="677" spans="1:11" ht="13">
      <c r="A677" s="175"/>
      <c r="B677" s="175"/>
      <c r="C677" s="175"/>
      <c r="D677" s="1264"/>
      <c r="E677" s="1264"/>
      <c r="F677" s="1264"/>
      <c r="H677" s="181"/>
      <c r="I677" s="181"/>
      <c r="J677" s="181"/>
      <c r="K677" s="181"/>
    </row>
    <row r="678" spans="1:11" ht="13">
      <c r="A678" s="175"/>
      <c r="B678" s="175"/>
      <c r="C678" s="175"/>
      <c r="D678" s="1264"/>
      <c r="E678" s="1264"/>
      <c r="F678" s="1264"/>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4" t="s">
        <v>1128</v>
      </c>
      <c r="E680" s="1264"/>
      <c r="F680" s="1264"/>
      <c r="H680" s="181"/>
      <c r="I680" s="181"/>
      <c r="J680" s="181"/>
      <c r="K680" s="181"/>
    </row>
    <row r="681" spans="1:11" ht="13">
      <c r="A681" s="175"/>
      <c r="B681" s="175"/>
      <c r="C681" s="175"/>
      <c r="D681" s="1264"/>
      <c r="E681" s="1264"/>
      <c r="F681" s="1264"/>
      <c r="H681" s="181"/>
      <c r="I681" s="181"/>
      <c r="J681" s="181"/>
      <c r="K681" s="181"/>
    </row>
    <row r="682" spans="1:11" ht="13">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ht="13">
      <c r="A685" s="175"/>
      <c r="B685" s="175"/>
      <c r="C685" s="175"/>
      <c r="D685" s="1264"/>
      <c r="E685" s="1264"/>
      <c r="F685" s="1264"/>
      <c r="H685" s="181"/>
      <c r="I685" s="181"/>
      <c r="J685" s="181"/>
      <c r="K685" s="181"/>
    </row>
    <row r="686" spans="1:11" ht="13">
      <c r="A686" s="175"/>
      <c r="B686" s="175"/>
      <c r="C686" s="175"/>
      <c r="D686" s="1264"/>
      <c r="E686" s="1264"/>
      <c r="F686" s="1264"/>
      <c r="H686" s="181"/>
      <c r="I686" s="181"/>
      <c r="J686" s="181"/>
      <c r="K686" s="181"/>
    </row>
    <row r="687" spans="1:11" ht="13">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ht="13">
      <c r="A689" s="175"/>
      <c r="B689" s="175"/>
      <c r="C689" s="175"/>
      <c r="D689" s="1264"/>
      <c r="E689" s="1264"/>
      <c r="F689" s="1264"/>
      <c r="H689" s="181"/>
      <c r="I689" s="181"/>
      <c r="J689" s="181"/>
      <c r="K689" s="181"/>
    </row>
    <row r="690" spans="1:11" ht="13">
      <c r="A690" s="175"/>
      <c r="B690" s="175"/>
      <c r="C690" s="175"/>
      <c r="D690" s="1264"/>
      <c r="E690" s="1264"/>
      <c r="F690" s="1264"/>
      <c r="H690" s="181"/>
      <c r="I690" s="181"/>
      <c r="J690" s="181"/>
      <c r="K690" s="181"/>
    </row>
    <row r="691" spans="1:11" ht="13">
      <c r="A691" s="175"/>
      <c r="B691" s="175"/>
      <c r="C691" s="175"/>
      <c r="D691" s="1264"/>
      <c r="E691" s="1264"/>
      <c r="F691" s="1264"/>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4" t="s">
        <v>1138</v>
      </c>
      <c r="E693" s="1264"/>
      <c r="F693" s="1264"/>
      <c r="H693" s="181"/>
      <c r="I693" s="181"/>
      <c r="J693" s="181"/>
      <c r="K693" s="181"/>
    </row>
    <row r="694" spans="1:11" ht="13">
      <c r="A694" s="175"/>
      <c r="B694" s="175"/>
      <c r="C694" s="175"/>
      <c r="D694" s="1264"/>
      <c r="E694" s="1264"/>
      <c r="F694" s="1264"/>
      <c r="H694" s="181"/>
      <c r="I694" s="181"/>
      <c r="J694" s="181"/>
      <c r="K694" s="181"/>
    </row>
    <row r="695" spans="1:11" ht="13">
      <c r="A695" s="175"/>
      <c r="B695" s="175"/>
      <c r="C695" s="175"/>
      <c r="D695" s="1264"/>
      <c r="E695" s="1264"/>
      <c r="F695" s="1264"/>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4" t="s">
        <v>1135</v>
      </c>
      <c r="E697" s="1264"/>
      <c r="F697" s="1264"/>
      <c r="H697" s="181"/>
      <c r="I697" s="181"/>
      <c r="J697" s="181"/>
      <c r="K697" s="181"/>
    </row>
    <row r="698" spans="1:11" ht="13">
      <c r="A698" s="175"/>
      <c r="B698" s="175"/>
      <c r="C698" s="175"/>
      <c r="D698" s="1264"/>
      <c r="E698" s="1264"/>
      <c r="F698" s="1264"/>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4" t="s">
        <v>1136</v>
      </c>
      <c r="E700" s="1264"/>
      <c r="F700" s="1264"/>
      <c r="H700" s="181"/>
      <c r="I700" s="181"/>
      <c r="J700" s="181"/>
      <c r="K700" s="181"/>
    </row>
    <row r="701" spans="1:11" ht="13">
      <c r="A701" s="175"/>
      <c r="B701" s="175"/>
      <c r="C701" s="175"/>
      <c r="D701" s="1264"/>
      <c r="E701" s="1264"/>
      <c r="F701" s="1264"/>
      <c r="H701" s="181"/>
      <c r="I701" s="181"/>
      <c r="J701" s="181"/>
      <c r="K701" s="181"/>
    </row>
    <row r="702" spans="1:11" ht="13">
      <c r="A702" s="175"/>
      <c r="B702" s="175"/>
      <c r="C702" s="175"/>
      <c r="D702" s="1264"/>
      <c r="E702" s="1264"/>
      <c r="F702" s="1264"/>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4" t="s">
        <v>1129</v>
      </c>
      <c r="E704" s="1264"/>
      <c r="F704" s="1264"/>
      <c r="H704" s="181"/>
      <c r="I704" s="181"/>
      <c r="J704" s="181"/>
      <c r="K704" s="181"/>
    </row>
    <row r="705" spans="1:11" ht="13">
      <c r="A705" s="175"/>
      <c r="B705" s="175"/>
      <c r="C705" s="175"/>
      <c r="D705" s="1264"/>
      <c r="E705" s="1264"/>
      <c r="F705" s="1264"/>
      <c r="H705" s="181"/>
      <c r="I705" s="181"/>
      <c r="J705" s="181"/>
      <c r="K705" s="181"/>
    </row>
    <row r="706" spans="1:11" ht="13">
      <c r="A706" s="175"/>
      <c r="B706" s="175"/>
      <c r="C706" s="175"/>
      <c r="D706" s="1264"/>
      <c r="E706" s="1264"/>
      <c r="F706" s="1264"/>
      <c r="H706" s="181"/>
      <c r="I706" s="181"/>
      <c r="J706" s="181"/>
      <c r="K706" s="181"/>
    </row>
    <row r="707" spans="1:11" ht="13">
      <c r="A707" s="175"/>
      <c r="B707" s="175"/>
      <c r="C707" s="175"/>
      <c r="H707" s="181"/>
      <c r="I707" s="181"/>
      <c r="J707" s="181"/>
      <c r="K707" s="181"/>
    </row>
    <row r="708" spans="1:11" ht="13">
      <c r="A708" s="175"/>
      <c r="B708" s="468" t="s">
        <v>308</v>
      </c>
      <c r="C708" s="175"/>
      <c r="D708" s="1264" t="s">
        <v>1130</v>
      </c>
      <c r="E708" s="1264"/>
      <c r="F708" s="1264"/>
      <c r="H708" s="181"/>
      <c r="I708" s="181"/>
      <c r="J708" s="181"/>
      <c r="K708" s="181"/>
    </row>
    <row r="709" spans="1:11" ht="13">
      <c r="A709" s="175"/>
      <c r="B709" s="175"/>
      <c r="C709" s="175"/>
      <c r="D709" s="1264"/>
      <c r="E709" s="1264"/>
      <c r="F709" s="1264"/>
      <c r="H709" s="181"/>
      <c r="I709" s="181"/>
      <c r="J709" s="181"/>
      <c r="K709" s="181"/>
    </row>
    <row r="710" spans="1:11" ht="13">
      <c r="A710" s="175"/>
      <c r="B710" s="175"/>
      <c r="C710" s="175"/>
      <c r="D710" s="1264"/>
      <c r="E710" s="1264"/>
      <c r="F710" s="1264"/>
      <c r="H710" s="181"/>
      <c r="I710" s="181"/>
      <c r="J710" s="181"/>
      <c r="K710" s="181"/>
    </row>
    <row r="711" spans="1:11" ht="13">
      <c r="A711" s="175"/>
      <c r="B711" s="175"/>
      <c r="C711" s="175"/>
      <c r="D711"/>
      <c r="H711" s="181"/>
      <c r="I711" s="181"/>
      <c r="J711" s="181"/>
      <c r="K711" s="181"/>
    </row>
    <row r="712" spans="1:11" ht="13">
      <c r="A712" s="176"/>
      <c r="B712" s="468" t="s">
        <v>308</v>
      </c>
      <c r="C712" s="175"/>
      <c r="D712" s="1264" t="s">
        <v>1131</v>
      </c>
      <c r="E712" s="1264"/>
      <c r="F712" s="1264"/>
      <c r="H712" s="181"/>
      <c r="I712" s="181"/>
      <c r="J712" s="181"/>
      <c r="K712" s="181"/>
    </row>
    <row r="713" spans="1:11" ht="13">
      <c r="A713" s="175"/>
      <c r="B713" s="175"/>
      <c r="C713" s="175"/>
      <c r="D713" s="1264"/>
      <c r="E713" s="1264"/>
      <c r="F713" s="1264"/>
      <c r="H713" s="181"/>
      <c r="I713" s="181"/>
      <c r="J713" s="181"/>
      <c r="K713" s="181"/>
    </row>
    <row r="714" spans="1:11" ht="13">
      <c r="A714" s="175"/>
      <c r="B714" s="175"/>
      <c r="C714" s="175"/>
      <c r="D714" s="1264"/>
      <c r="E714" s="1264"/>
      <c r="F714" s="1264"/>
      <c r="H714" s="181"/>
      <c r="I714" s="181"/>
      <c r="J714" s="181"/>
      <c r="K714" s="181"/>
    </row>
    <row r="715" spans="1:11" ht="13">
      <c r="A715" s="175"/>
      <c r="B715" s="175"/>
      <c r="C715" s="175"/>
      <c r="D715" s="1264"/>
      <c r="E715" s="1264"/>
      <c r="F715" s="1264"/>
      <c r="H715" s="181"/>
      <c r="I715" s="181"/>
      <c r="J715" s="181"/>
      <c r="K715" s="181"/>
    </row>
    <row r="716" spans="1:11" ht="13">
      <c r="A716" s="175"/>
      <c r="B716" s="175"/>
      <c r="C716" s="175"/>
      <c r="D716" s="178"/>
      <c r="H716" s="181"/>
      <c r="I716" s="181"/>
      <c r="J716" s="181"/>
      <c r="K716" s="181"/>
    </row>
    <row r="717" spans="1:11" ht="13">
      <c r="A717" s="176"/>
      <c r="B717" s="468" t="s">
        <v>308</v>
      </c>
      <c r="C717" s="175"/>
      <c r="D717" s="1264" t="s">
        <v>1264</v>
      </c>
      <c r="E717" s="1264"/>
      <c r="F717" s="1264"/>
      <c r="H717" s="181"/>
      <c r="I717" s="181"/>
      <c r="J717" s="181"/>
      <c r="K717" s="181"/>
    </row>
    <row r="718" spans="1:11" ht="13">
      <c r="A718" s="175"/>
      <c r="B718" s="175"/>
      <c r="C718" s="175"/>
      <c r="D718" s="1264"/>
      <c r="E718" s="1264"/>
      <c r="F718" s="1264"/>
      <c r="H718" s="181"/>
      <c r="I718" s="181"/>
      <c r="J718" s="181"/>
      <c r="K718" s="181"/>
    </row>
    <row r="719" spans="1:11" ht="13">
      <c r="A719" s="175"/>
      <c r="B719" s="175"/>
      <c r="C719" s="175"/>
      <c r="D719" s="1264"/>
      <c r="E719" s="1264"/>
      <c r="F719" s="1264"/>
      <c r="H719" s="181"/>
      <c r="I719" s="181"/>
      <c r="J719" s="181"/>
      <c r="K719" s="181"/>
    </row>
    <row r="720" spans="1:11" ht="13">
      <c r="A720" s="175"/>
      <c r="B720" s="175"/>
      <c r="C720" s="175"/>
      <c r="D720" s="1264"/>
      <c r="E720" s="1264"/>
      <c r="F720" s="1264"/>
      <c r="H720" s="181"/>
      <c r="I720" s="181"/>
      <c r="J720" s="181"/>
      <c r="K720" s="181"/>
    </row>
    <row r="721" spans="1:11" ht="13">
      <c r="A721" s="175"/>
      <c r="B721" s="175"/>
      <c r="C721" s="175"/>
      <c r="D721" s="1264"/>
      <c r="E721" s="1264"/>
      <c r="F721" s="1264"/>
      <c r="H721" s="181"/>
      <c r="I721" s="181"/>
      <c r="J721" s="181"/>
      <c r="K721" s="181"/>
    </row>
    <row r="722" spans="1:11" ht="13">
      <c r="A722" s="175"/>
      <c r="B722" s="175"/>
      <c r="C722" s="175"/>
      <c r="D722" s="1264"/>
      <c r="E722" s="1264"/>
      <c r="F722" s="1264"/>
      <c r="H722" s="181"/>
      <c r="I722" s="181"/>
      <c r="J722" s="181"/>
      <c r="K722" s="181"/>
    </row>
    <row r="723" spans="1:11" ht="13">
      <c r="A723" s="175"/>
      <c r="B723" s="175"/>
      <c r="C723" s="175"/>
      <c r="D723" s="1264"/>
      <c r="E723" s="1264"/>
      <c r="F723" s="1264"/>
      <c r="H723" s="181"/>
      <c r="I723" s="181"/>
      <c r="J723" s="181"/>
      <c r="K723" s="181"/>
    </row>
    <row r="724" spans="1:11" ht="13">
      <c r="A724" s="175"/>
      <c r="B724" s="175"/>
      <c r="C724" s="175"/>
      <c r="D724" s="1291" t="s">
        <v>1132</v>
      </c>
      <c r="E724" s="1291"/>
      <c r="F724" s="1291"/>
      <c r="H724" s="181"/>
      <c r="I724" s="181"/>
      <c r="J724" s="181"/>
      <c r="K724" s="181"/>
    </row>
    <row r="725" spans="1:11" ht="13">
      <c r="A725" s="175"/>
      <c r="B725" s="175"/>
      <c r="C725" s="175"/>
      <c r="D725" s="369"/>
      <c r="H725" s="181"/>
      <c r="I725" s="181"/>
      <c r="J725" s="181"/>
      <c r="K725" s="181"/>
    </row>
    <row r="726" spans="1:11" ht="13">
      <c r="A726" s="1286" t="s">
        <v>1089</v>
      </c>
      <c r="B726" s="1286"/>
      <c r="C726" s="1286"/>
      <c r="D726" s="1286"/>
      <c r="E726" s="1286"/>
      <c r="F726" s="1286"/>
      <c r="G726" s="1286"/>
      <c r="H726" s="181"/>
      <c r="I726" s="181"/>
      <c r="J726" s="181"/>
      <c r="K726" s="181"/>
    </row>
    <row r="727" spans="1:11" ht="13">
      <c r="A727" s="175"/>
      <c r="B727" s="175"/>
      <c r="C727" s="175"/>
      <c r="D727" s="178"/>
      <c r="G727" s="183"/>
      <c r="H727" s="181"/>
      <c r="I727" s="181"/>
      <c r="J727" s="181"/>
      <c r="K727" s="181"/>
    </row>
    <row r="728" spans="1:11" ht="13.15" customHeight="1">
      <c r="C728" s="175"/>
      <c r="D728" s="1296" t="s">
        <v>1105</v>
      </c>
      <c r="E728" s="1296"/>
      <c r="F728" s="1296"/>
      <c r="G728" s="183"/>
      <c r="H728" s="181"/>
      <c r="I728" s="181"/>
      <c r="J728" s="181"/>
      <c r="K728" s="181"/>
    </row>
    <row r="729" spans="1:11" ht="13">
      <c r="A729" s="175"/>
      <c r="B729" s="175"/>
      <c r="C729" s="175"/>
      <c r="D729" s="1288" t="s">
        <v>1106</v>
      </c>
      <c r="E729" s="1288"/>
      <c r="F729" s="1288"/>
      <c r="G729" s="183"/>
      <c r="H729" s="181"/>
      <c r="I729" s="181"/>
      <c r="J729" s="181"/>
      <c r="K729" s="181"/>
    </row>
    <row r="730" spans="1:11" ht="13">
      <c r="A730" s="175"/>
      <c r="B730" s="175"/>
      <c r="C730" s="175"/>
      <c r="G730" s="183"/>
      <c r="H730" s="181"/>
      <c r="I730" s="181"/>
      <c r="J730" s="181"/>
      <c r="K730" s="181"/>
    </row>
    <row r="731" spans="1:11" ht="13">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ht="13">
      <c r="A754" s="1285" t="s">
        <v>1112</v>
      </c>
      <c r="B754" s="1285"/>
      <c r="C754" s="1285"/>
      <c r="D754" s="1285"/>
      <c r="E754" s="1285"/>
      <c r="F754" s="1285"/>
      <c r="G754" s="1285"/>
    </row>
    <row r="755" spans="1:11" ht="13">
      <c r="A755" s="175"/>
      <c r="B755" s="175"/>
      <c r="C755" s="175"/>
      <c r="D755" s="184"/>
      <c r="F755" s="35"/>
      <c r="G755" s="183"/>
    </row>
    <row r="756" spans="1:11" ht="13">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3">
      <c r="A759" s="176"/>
      <c r="B759" s="468" t="s">
        <v>308</v>
      </c>
      <c r="D759" s="1294" t="s">
        <v>1006</v>
      </c>
      <c r="E759" s="1294"/>
      <c r="F759" s="1294"/>
      <c r="G759" s="183"/>
    </row>
    <row r="760" spans="1:11" ht="13">
      <c r="D760" s="433"/>
      <c r="E760" s="1295" t="s">
        <v>1097</v>
      </c>
      <c r="F760" s="1295"/>
      <c r="G760" s="183"/>
    </row>
    <row r="761" spans="1:11" ht="13">
      <c r="A761" s="172"/>
      <c r="B761" s="172"/>
      <c r="C761" s="172"/>
      <c r="D761" s="35"/>
      <c r="G761" s="183"/>
    </row>
    <row r="762" spans="1:11" ht="13">
      <c r="A762" s="1292" t="s">
        <v>450</v>
      </c>
      <c r="B762" s="1292"/>
      <c r="C762" s="1292"/>
      <c r="D762" s="1292"/>
      <c r="E762" s="1292"/>
      <c r="F762" s="1292"/>
      <c r="G762" s="1292"/>
    </row>
    <row r="763" spans="1:11" ht="13">
      <c r="A763" s="172"/>
      <c r="B763" s="172"/>
      <c r="C763" s="179"/>
      <c r="D763" s="183"/>
      <c r="E763" s="183"/>
      <c r="F763" s="183"/>
      <c r="G763" s="183"/>
    </row>
    <row r="764" spans="1:11">
      <c r="A764" s="35"/>
      <c r="B764" s="1288" t="s">
        <v>1005</v>
      </c>
      <c r="C764" s="1288"/>
      <c r="D764" s="1288"/>
      <c r="E764" s="1288"/>
      <c r="F764" s="1288"/>
      <c r="G764" s="183"/>
    </row>
    <row r="765" spans="1:11" ht="13">
      <c r="A765" s="13"/>
      <c r="B765" s="13"/>
      <c r="G765" s="183"/>
    </row>
    <row r="766" spans="1:11" ht="13">
      <c r="A766" s="1292" t="s">
        <v>451</v>
      </c>
      <c r="B766" s="1292"/>
      <c r="C766" s="1292"/>
      <c r="D766" s="1292"/>
      <c r="E766" s="1292"/>
      <c r="F766" s="1292"/>
      <c r="G766" s="1292"/>
    </row>
    <row r="767" spans="1:11" ht="13">
      <c r="A767" s="172"/>
      <c r="B767" s="172"/>
      <c r="C767" s="172"/>
      <c r="D767" s="178"/>
      <c r="G767" s="183"/>
    </row>
    <row r="768" spans="1:11">
      <c r="A768" s="35"/>
      <c r="B768" s="1284" t="s">
        <v>449</v>
      </c>
      <c r="C768" s="1284"/>
      <c r="D768" s="1284"/>
      <c r="E768" s="1284"/>
      <c r="F768" s="1284"/>
      <c r="G768" s="183"/>
    </row>
    <row r="769" spans="1:7" ht="13">
      <c r="A769" s="176"/>
      <c r="B769" s="176"/>
      <c r="D769" s="35"/>
      <c r="E769" s="35"/>
      <c r="F769" s="183"/>
      <c r="G769" s="183"/>
    </row>
    <row r="770" spans="1:7" ht="13">
      <c r="A770" s="1292" t="s">
        <v>452</v>
      </c>
      <c r="B770" s="1292"/>
      <c r="C770" s="1292"/>
      <c r="D770" s="1292"/>
      <c r="E770" s="1292"/>
      <c r="F770" s="1292"/>
      <c r="G770" s="1292"/>
    </row>
    <row r="771" spans="1:7" ht="13">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ht="13">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ht="13">
      <c r="A777" s="179"/>
      <c r="B777" s="179"/>
      <c r="C777" s="179"/>
      <c r="D777" s="174"/>
      <c r="F777" s="183"/>
    </row>
    <row r="778" spans="1:7" ht="13">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ht="13">
      <c r="A781" s="179"/>
      <c r="B781" s="179"/>
      <c r="C781" s="179"/>
      <c r="D781" s="174"/>
      <c r="F781" s="183"/>
    </row>
    <row r="782" spans="1:7" ht="13">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ht="13">
      <c r="D785" s="174"/>
    </row>
    <row r="786" spans="1:7" ht="13">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ht="13">
      <c r="A789" s="35"/>
      <c r="B789" s="35"/>
      <c r="D789" s="174"/>
    </row>
    <row r="790" spans="1:7" ht="13">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4"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57" workbookViewId="0">
      <selection activeCell="A2" sqref="A2:J2"/>
    </sheetView>
  </sheetViews>
  <sheetFormatPr defaultColWidth="0" defaultRowHeight="12.4" customHeight="1" zeroHeight="1"/>
  <cols>
    <col min="1" max="10" width="10.7265625" style="433" customWidth="1"/>
    <col min="11" max="16384" width="8.81640625" style="433" hidden="1"/>
  </cols>
  <sheetData>
    <row r="1" spans="1:10" ht="14.25" customHeight="1"/>
    <row r="2" spans="1:10" ht="15.5">
      <c r="A2" s="1317" t="s">
        <v>2060</v>
      </c>
      <c r="B2" s="1318"/>
      <c r="C2" s="1318"/>
      <c r="D2" s="1318"/>
      <c r="E2" s="1318"/>
      <c r="F2" s="1318"/>
      <c r="G2" s="1318"/>
      <c r="H2" s="1318"/>
      <c r="I2" s="1318"/>
      <c r="J2" s="1318"/>
    </row>
    <row r="3" spans="1:10" ht="15.5">
      <c r="A3" s="1321" t="s">
        <v>1378</v>
      </c>
      <c r="B3" s="1322"/>
      <c r="C3" s="1322"/>
      <c r="D3" s="1322"/>
      <c r="E3" s="1322"/>
      <c r="F3" s="1322"/>
      <c r="G3" s="1322"/>
      <c r="H3" s="1322"/>
      <c r="I3" s="1322"/>
      <c r="J3" s="1322"/>
    </row>
    <row r="4" spans="1:10" ht="12.5"/>
    <row r="5" spans="1:10" ht="12.75" customHeight="1">
      <c r="A5" s="1319" t="s">
        <v>2361</v>
      </c>
      <c r="B5" s="1319"/>
      <c r="C5" s="1319"/>
      <c r="D5" s="1319"/>
      <c r="E5" s="1319"/>
      <c r="F5" s="1319"/>
      <c r="G5" s="1319"/>
      <c r="H5" s="1319"/>
      <c r="I5" s="1319"/>
      <c r="J5" s="1319"/>
    </row>
    <row r="6" spans="1:10" ht="12.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5">
      <c r="A8" s="447"/>
      <c r="B8" s="447"/>
      <c r="C8" s="447"/>
      <c r="D8" s="447"/>
      <c r="E8" s="447"/>
      <c r="F8" s="447"/>
      <c r="G8" s="447"/>
      <c r="H8" s="447"/>
      <c r="I8" s="447"/>
      <c r="J8" s="447"/>
    </row>
    <row r="9" spans="1:10" ht="12.75" customHeight="1">
      <c r="A9" s="433" t="s">
        <v>2063</v>
      </c>
      <c r="B9" s="447"/>
      <c r="C9" s="447"/>
      <c r="D9" s="447"/>
      <c r="E9" s="447"/>
      <c r="F9" s="447"/>
      <c r="G9" s="447"/>
      <c r="H9" s="447"/>
      <c r="I9" s="447"/>
      <c r="J9" s="447"/>
    </row>
    <row r="10" spans="1:10" ht="12.5"/>
    <row r="11" spans="1:10" ht="12.75" customHeight="1">
      <c r="A11" s="1323" t="s">
        <v>2065</v>
      </c>
      <c r="B11" s="1323"/>
      <c r="C11" s="1323"/>
      <c r="D11" s="1323"/>
      <c r="E11" s="1323"/>
      <c r="F11" s="1323"/>
      <c r="G11" s="1323"/>
      <c r="H11" s="1323"/>
      <c r="I11" s="1323"/>
      <c r="J11" s="1323"/>
    </row>
    <row r="12" spans="1:10" ht="12.5">
      <c r="A12" s="1323"/>
      <c r="B12" s="1323"/>
      <c r="C12" s="1323"/>
      <c r="D12" s="1323"/>
      <c r="E12" s="1323"/>
      <c r="F12" s="1323"/>
      <c r="G12" s="1323"/>
      <c r="H12" s="1323"/>
      <c r="I12" s="1323"/>
      <c r="J12" s="1323"/>
    </row>
    <row r="13" spans="1:10" ht="12.5">
      <c r="A13" s="1323"/>
      <c r="B13" s="1323"/>
      <c r="C13" s="1323"/>
      <c r="D13" s="1323"/>
      <c r="E13" s="1323"/>
      <c r="F13" s="1323"/>
      <c r="G13" s="1323"/>
      <c r="H13" s="1323"/>
      <c r="I13" s="1323"/>
      <c r="J13" s="1323"/>
    </row>
    <row r="14" spans="1:10" ht="12.5">
      <c r="A14" s="1323"/>
      <c r="B14" s="1323"/>
      <c r="C14" s="1323"/>
      <c r="D14" s="1323"/>
      <c r="E14" s="1323"/>
      <c r="F14" s="1323"/>
      <c r="G14" s="1323"/>
      <c r="H14" s="1323"/>
      <c r="I14" s="1323"/>
      <c r="J14" s="1323"/>
    </row>
    <row r="15" spans="1:10" ht="12.5">
      <c r="A15" s="1323"/>
      <c r="B15" s="1323"/>
      <c r="C15" s="1323"/>
      <c r="D15" s="1323"/>
      <c r="E15" s="1323"/>
      <c r="F15" s="1323"/>
      <c r="G15" s="1323"/>
      <c r="H15" s="1323"/>
      <c r="I15" s="1323"/>
      <c r="J15" s="1323"/>
    </row>
    <row r="16" spans="1:10" ht="12.5">
      <c r="A16" s="1323"/>
      <c r="B16" s="1323"/>
      <c r="C16" s="1323"/>
      <c r="D16" s="1323"/>
      <c r="E16" s="1323"/>
      <c r="F16" s="1323"/>
      <c r="G16" s="1323"/>
      <c r="H16" s="1323"/>
      <c r="I16" s="1323"/>
      <c r="J16" s="1323"/>
    </row>
    <row r="17" spans="1:10" ht="12.5">
      <c r="A17" s="558"/>
      <c r="B17" s="558"/>
      <c r="C17" s="558"/>
      <c r="D17" s="558"/>
      <c r="E17" s="558"/>
      <c r="F17" s="558"/>
      <c r="G17" s="558"/>
      <c r="H17" s="558"/>
      <c r="I17" s="558"/>
      <c r="J17" s="558"/>
    </row>
    <row r="18" spans="1:10" ht="12.5">
      <c r="A18" s="510" t="s">
        <v>2064</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22" t="s">
        <v>1296</v>
      </c>
      <c r="B20" s="1322"/>
      <c r="C20" s="1322"/>
      <c r="D20" s="1322"/>
      <c r="E20" s="1322"/>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19" t="s">
        <v>1297</v>
      </c>
      <c r="B57" s="1319"/>
      <c r="C57" s="1319"/>
      <c r="D57" s="1319"/>
      <c r="E57" s="1319"/>
      <c r="F57" s="1319"/>
      <c r="G57" s="1319"/>
      <c r="H57" s="1319"/>
      <c r="I57" s="1319"/>
      <c r="J57" s="1319"/>
    </row>
    <row r="58" spans="1:10" ht="12.5">
      <c r="A58" s="1319"/>
      <c r="B58" s="1319"/>
      <c r="C58" s="1319"/>
      <c r="D58" s="1319"/>
      <c r="E58" s="1319"/>
      <c r="F58" s="1319"/>
      <c r="G58" s="1319"/>
      <c r="H58" s="1319"/>
      <c r="I58" s="1319"/>
      <c r="J58" s="1319"/>
    </row>
    <row r="59" spans="1:10" ht="12.5">
      <c r="A59" s="1319"/>
      <c r="B59" s="1319"/>
      <c r="C59" s="1319"/>
      <c r="D59" s="1319"/>
      <c r="E59" s="1319"/>
      <c r="F59" s="1319"/>
      <c r="G59" s="1319"/>
      <c r="H59" s="1319"/>
      <c r="I59" s="1319"/>
      <c r="J59" s="1319"/>
    </row>
    <row r="60" spans="1:10" ht="12.5"/>
    <row r="61" spans="1:10" ht="12.5">
      <c r="A61" s="433" t="s">
        <v>1296</v>
      </c>
    </row>
    <row r="62" spans="1:10" ht="12.5"/>
    <row r="63" spans="1:10" ht="12.5"/>
    <row r="64" spans="1:10" ht="12.5"/>
    <row r="65" spans="1:9" ht="12.5"/>
    <row r="66" spans="1:9" ht="12.5"/>
    <row r="67" spans="1:9" ht="12.5"/>
    <row r="68" spans="1:9" ht="12.5"/>
    <row r="69" spans="1:9" ht="12.5"/>
    <row r="70" spans="1:9" ht="12.5"/>
    <row r="71" spans="1:9" ht="12.5"/>
    <row r="72" spans="1:9" ht="13">
      <c r="A72" s="1320" t="s">
        <v>2061</v>
      </c>
      <c r="B72" s="1320"/>
      <c r="C72" s="1320"/>
      <c r="D72" s="1320"/>
      <c r="E72" s="1320"/>
      <c r="F72" s="1320"/>
      <c r="G72" s="1320"/>
      <c r="H72" s="1320"/>
      <c r="I72" s="1320"/>
    </row>
    <row r="73" spans="1:9" ht="12.5">
      <c r="A73" s="1271" t="s">
        <v>2359</v>
      </c>
      <c r="B73" s="1271"/>
      <c r="C73" s="1271"/>
      <c r="D73" s="1271"/>
      <c r="E73" s="1271"/>
    </row>
    <row r="74" spans="1:9" ht="12.5">
      <c r="A74" s="1271" t="s">
        <v>2360</v>
      </c>
      <c r="B74" s="1271"/>
      <c r="C74" s="1271"/>
      <c r="D74" s="1271"/>
      <c r="E74" s="1271"/>
    </row>
    <row r="75" spans="1:9" ht="12.5">
      <c r="A75" s="1271" t="s">
        <v>2062</v>
      </c>
      <c r="B75" s="1271"/>
      <c r="C75" s="1271"/>
      <c r="D75" s="1271"/>
      <c r="E75" s="1271"/>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6" workbookViewId="0">
      <selection activeCell="B15" sqref="B15"/>
    </sheetView>
  </sheetViews>
  <sheetFormatPr defaultColWidth="0" defaultRowHeight="13"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2581</v>
      </c>
      <c r="B2" s="1324"/>
      <c r="C2" s="1324"/>
      <c r="D2" s="1324"/>
      <c r="E2" s="1324"/>
      <c r="F2" s="1324"/>
      <c r="G2" s="1324"/>
      <c r="H2" s="1324"/>
      <c r="I2" s="1324"/>
    </row>
    <row r="3" spans="1:13">
      <c r="A3" s="1325" t="s">
        <v>2627</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2626</v>
      </c>
      <c r="B6" s="1339"/>
      <c r="C6" s="1339"/>
      <c r="D6" s="1339"/>
      <c r="E6" s="1339"/>
      <c r="F6" s="1339"/>
      <c r="G6" s="1339"/>
      <c r="I6" s="524" t="s">
        <v>2071</v>
      </c>
    </row>
    <row r="7" spans="1:13">
      <c r="A7" s="1339"/>
      <c r="B7" s="1339"/>
      <c r="C7" s="1339"/>
      <c r="D7" s="1339"/>
      <c r="E7" s="1339"/>
      <c r="F7" s="1339"/>
      <c r="G7" s="1339"/>
      <c r="I7" s="524" t="s">
        <v>2072</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75"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c r="A15" s="518"/>
      <c r="B15" s="519" t="s">
        <v>308</v>
      </c>
      <c r="C15" s="517"/>
      <c r="D15" s="1279" t="s">
        <v>2222</v>
      </c>
      <c r="E15" s="1279"/>
      <c r="F15" s="1279"/>
      <c r="I15" s="524" t="s">
        <v>2073</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2220</v>
      </c>
      <c r="F18" s="479"/>
      <c r="I18" s="524"/>
    </row>
    <row r="19" spans="1:9">
      <c r="A19" s="517"/>
      <c r="B19" s="517"/>
      <c r="C19" s="517"/>
      <c r="I19" s="524"/>
    </row>
    <row r="20" spans="1:9">
      <c r="A20" s="518"/>
      <c r="B20" s="519" t="s">
        <v>2753</v>
      </c>
      <c r="D20" s="1279" t="s">
        <v>2223</v>
      </c>
      <c r="E20" s="1279"/>
      <c r="F20" s="1279"/>
      <c r="I20" s="524" t="s">
        <v>2074</v>
      </c>
    </row>
    <row r="21" spans="1:9">
      <c r="A21" s="518"/>
      <c r="D21" s="1279"/>
      <c r="E21" s="1279"/>
      <c r="F21" s="1279"/>
      <c r="I21" s="524"/>
    </row>
    <row r="22" spans="1:9">
      <c r="A22" s="518"/>
      <c r="D22" s="423"/>
      <c r="E22" s="96" t="s">
        <v>2219</v>
      </c>
      <c r="F22" s="423"/>
      <c r="I22" s="524"/>
    </row>
    <row r="23" spans="1:9">
      <c r="A23" s="518"/>
      <c r="B23" s="518"/>
      <c r="D23" s="480"/>
      <c r="I23" s="524"/>
    </row>
    <row r="24" spans="1:9">
      <c r="A24" s="518"/>
      <c r="B24" s="519" t="s">
        <v>2700</v>
      </c>
      <c r="D24" s="1279" t="s">
        <v>1154</v>
      </c>
      <c r="E24" s="1279"/>
      <c r="F24" s="1279"/>
      <c r="I24" s="524" t="s">
        <v>2074</v>
      </c>
    </row>
    <row r="25" spans="1:9">
      <c r="A25" s="518"/>
      <c r="B25" s="518"/>
      <c r="D25" s="1279"/>
      <c r="E25" s="1279"/>
      <c r="F25" s="1279"/>
      <c r="I25" s="524"/>
    </row>
    <row r="26" spans="1:9">
      <c r="I26" s="524"/>
    </row>
    <row r="27" spans="1:9">
      <c r="A27" s="518"/>
      <c r="B27" s="519" t="s">
        <v>2753</v>
      </c>
      <c r="D27" s="1279" t="s">
        <v>2362</v>
      </c>
      <c r="E27" s="1279"/>
      <c r="F27" s="1279"/>
      <c r="I27" s="524" t="s">
        <v>2077</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308</v>
      </c>
      <c r="D33" s="1279" t="s">
        <v>2363</v>
      </c>
      <c r="E33" s="1279"/>
      <c r="F33" s="1279"/>
      <c r="I33" s="524" t="s">
        <v>2073</v>
      </c>
    </row>
    <row r="34" spans="1:9">
      <c r="D34" s="1279"/>
      <c r="E34" s="1279"/>
      <c r="F34" s="1279"/>
      <c r="I34" s="524"/>
    </row>
    <row r="35" spans="1:9">
      <c r="A35" s="518"/>
      <c r="B35" s="518"/>
      <c r="D35" s="481"/>
      <c r="I35" s="524"/>
    </row>
    <row r="36" spans="1:9" ht="14.5" customHeight="1">
      <c r="A36" s="518"/>
      <c r="B36" s="519" t="s">
        <v>2753</v>
      </c>
      <c r="D36" s="1279" t="s">
        <v>1321</v>
      </c>
      <c r="E36" s="1279"/>
      <c r="F36" s="1279"/>
      <c r="I36" s="524" t="s">
        <v>2144</v>
      </c>
    </row>
    <row r="37" spans="1:9">
      <c r="A37" s="518"/>
      <c r="B37" s="518"/>
      <c r="D37" s="1279"/>
      <c r="E37" s="1279"/>
      <c r="F37" s="1279"/>
      <c r="I37" s="524"/>
    </row>
    <row r="38" spans="1:9">
      <c r="A38" s="518"/>
      <c r="B38" s="518"/>
      <c r="D38" s="1279"/>
      <c r="E38" s="1279"/>
      <c r="F38" s="1279"/>
      <c r="I38" s="524"/>
    </row>
    <row r="39" spans="1:9">
      <c r="A39" s="518"/>
      <c r="B39" s="518"/>
      <c r="D39" s="1279"/>
      <c r="E39" s="1279"/>
      <c r="F39" s="1279"/>
      <c r="I39" s="524"/>
    </row>
    <row r="40" spans="1:9">
      <c r="A40" s="518"/>
      <c r="B40" s="518"/>
      <c r="I40" s="524"/>
    </row>
    <row r="41" spans="1:9">
      <c r="A41" s="518"/>
      <c r="B41" s="519" t="s">
        <v>2700</v>
      </c>
      <c r="D41" s="1279" t="s">
        <v>1158</v>
      </c>
      <c r="E41" s="1279"/>
      <c r="F41" s="1279"/>
      <c r="I41" s="524"/>
    </row>
    <row r="42" spans="1:9">
      <c r="A42" s="518"/>
      <c r="B42" s="518"/>
      <c r="D42" s="1279"/>
      <c r="E42" s="1279"/>
      <c r="F42" s="1279"/>
      <c r="I42" s="524"/>
    </row>
    <row r="43" spans="1:9">
      <c r="A43" s="518"/>
      <c r="B43" s="518"/>
      <c r="D43" s="1279"/>
      <c r="E43" s="1279"/>
      <c r="F43" s="1279"/>
      <c r="I43" s="524"/>
    </row>
    <row r="44" spans="1:9">
      <c r="A44" s="518"/>
      <c r="B44" s="518"/>
      <c r="D44" s="1279"/>
      <c r="E44" s="1279"/>
      <c r="F44" s="1279"/>
      <c r="I44" s="524"/>
    </row>
    <row r="45" spans="1:9">
      <c r="A45" s="518"/>
      <c r="B45" s="518"/>
      <c r="D45" s="1279"/>
      <c r="E45" s="1279"/>
      <c r="F45" s="1279"/>
      <c r="I45" s="524"/>
    </row>
    <row r="46" spans="1:9">
      <c r="A46" s="518"/>
      <c r="B46" s="518"/>
      <c r="D46" s="479"/>
      <c r="E46" s="479"/>
      <c r="F46" s="479"/>
      <c r="I46" s="524"/>
    </row>
    <row r="47" spans="1:9">
      <c r="A47" s="518"/>
      <c r="B47" s="519" t="s">
        <v>2753</v>
      </c>
      <c r="D47" s="1279" t="s">
        <v>1159</v>
      </c>
      <c r="E47" s="1279"/>
      <c r="F47" s="1279"/>
      <c r="I47" s="524" t="s">
        <v>2144</v>
      </c>
    </row>
    <row r="48" spans="1:9">
      <c r="A48" s="518"/>
      <c r="B48" s="518"/>
      <c r="D48" s="1279"/>
      <c r="E48" s="1279"/>
      <c r="F48" s="1279"/>
      <c r="I48" s="524"/>
    </row>
    <row r="49" spans="1:9">
      <c r="A49" s="518"/>
      <c r="B49" s="518"/>
      <c r="D49" s="1279"/>
      <c r="E49" s="1279"/>
      <c r="F49" s="1279"/>
      <c r="I49" s="524"/>
    </row>
    <row r="50" spans="1:9" ht="23.25" customHeight="1">
      <c r="A50" s="518"/>
      <c r="B50" s="518"/>
      <c r="D50" s="1279"/>
      <c r="E50" s="1279"/>
      <c r="F50" s="1279"/>
      <c r="I50" s="524"/>
    </row>
    <row r="51" spans="1:9">
      <c r="A51" s="518"/>
      <c r="B51" s="518"/>
      <c r="D51" s="480"/>
      <c r="I51" s="524"/>
    </row>
    <row r="52" spans="1:9" ht="14.5" customHeight="1">
      <c r="A52" s="518"/>
      <c r="B52" s="519" t="s">
        <v>308</v>
      </c>
      <c r="D52" s="1279" t="s">
        <v>1160</v>
      </c>
      <c r="E52" s="1279"/>
      <c r="F52" s="1279"/>
      <c r="I52" s="524" t="s">
        <v>2144</v>
      </c>
    </row>
    <row r="53" spans="1:9">
      <c r="A53" s="518"/>
      <c r="B53" s="518"/>
      <c r="D53" s="1279"/>
      <c r="E53" s="1279"/>
      <c r="F53" s="1279"/>
      <c r="I53" s="524"/>
    </row>
    <row r="54" spans="1:9">
      <c r="A54" s="518"/>
      <c r="B54" s="518"/>
      <c r="D54" s="1279"/>
      <c r="E54" s="1279"/>
      <c r="F54" s="1279"/>
      <c r="I54" s="524"/>
    </row>
    <row r="55" spans="1:9">
      <c r="A55" s="518"/>
      <c r="B55" s="518"/>
      <c r="I55" s="524"/>
    </row>
    <row r="56" spans="1:9">
      <c r="A56" s="518"/>
      <c r="B56" s="519" t="s">
        <v>2753</v>
      </c>
      <c r="D56" s="1335" t="s">
        <v>1161</v>
      </c>
      <c r="E56" s="1335"/>
      <c r="F56" s="1335"/>
      <c r="I56" s="524"/>
    </row>
    <row r="57" spans="1:9">
      <c r="A57" s="518"/>
      <c r="B57" s="518"/>
      <c r="D57" s="1335"/>
      <c r="E57" s="1335"/>
      <c r="F57" s="1335"/>
      <c r="I57" s="524"/>
    </row>
    <row r="58" spans="1:9">
      <c r="A58" s="518"/>
      <c r="B58" s="518"/>
      <c r="D58" s="423" t="s">
        <v>2221</v>
      </c>
      <c r="E58" s="479"/>
      <c r="F58" s="479"/>
      <c r="I58" s="524"/>
    </row>
    <row r="59" spans="1:9">
      <c r="A59" s="518"/>
      <c r="B59" s="518"/>
      <c r="D59" s="479"/>
      <c r="E59" s="336" t="s">
        <v>2220</v>
      </c>
      <c r="F59" s="479"/>
      <c r="I59" s="524"/>
    </row>
    <row r="60" spans="1:9">
      <c r="D60" s="481"/>
      <c r="I60" s="524"/>
    </row>
    <row r="61" spans="1:9">
      <c r="A61" s="518"/>
      <c r="B61" s="519" t="s">
        <v>308</v>
      </c>
      <c r="D61" s="1279" t="s">
        <v>1162</v>
      </c>
      <c r="E61" s="1279"/>
      <c r="F61" s="1279"/>
      <c r="I61" s="524" t="s">
        <v>2075</v>
      </c>
    </row>
    <row r="62" spans="1:9">
      <c r="D62" s="1279"/>
      <c r="E62" s="1279"/>
      <c r="F62" s="1279"/>
      <c r="I62" s="524"/>
    </row>
    <row r="63" spans="1:9">
      <c r="D63" s="1279"/>
      <c r="E63" s="1279"/>
      <c r="F63" s="1279"/>
      <c r="I63" s="524"/>
    </row>
    <row r="64" spans="1:9">
      <c r="I64" s="524"/>
    </row>
    <row r="65" spans="1:9">
      <c r="A65" s="518"/>
      <c r="B65" s="519" t="s">
        <v>308</v>
      </c>
      <c r="D65" s="1279" t="s">
        <v>1163</v>
      </c>
      <c r="E65" s="1279"/>
      <c r="F65" s="1279"/>
      <c r="I65" s="524" t="s">
        <v>2076</v>
      </c>
    </row>
    <row r="66" spans="1:9">
      <c r="D66" s="1279"/>
      <c r="E66" s="1279"/>
      <c r="F66" s="1279"/>
      <c r="I66" s="524"/>
    </row>
    <row r="67" spans="1:9">
      <c r="I67" s="524"/>
    </row>
    <row r="68" spans="1:9">
      <c r="A68" s="518"/>
      <c r="B68" s="519" t="s">
        <v>2753</v>
      </c>
      <c r="D68" s="1279" t="s">
        <v>1164</v>
      </c>
      <c r="E68" s="1279"/>
      <c r="F68" s="1279"/>
      <c r="I68" s="524"/>
    </row>
    <row r="69" spans="1:9">
      <c r="D69" s="1279"/>
      <c r="E69" s="1279"/>
      <c r="F69" s="1279"/>
      <c r="I69" s="524" t="s">
        <v>2077</v>
      </c>
    </row>
    <row r="70" spans="1:9">
      <c r="D70" s="1279"/>
      <c r="E70" s="1279"/>
      <c r="F70" s="1279"/>
      <c r="I70" s="524"/>
    </row>
    <row r="71" spans="1:9">
      <c r="I71" s="524"/>
    </row>
    <row r="72" spans="1:9">
      <c r="A72" s="518"/>
      <c r="B72" s="519" t="s">
        <v>2753</v>
      </c>
      <c r="D72" s="1279" t="s">
        <v>1165</v>
      </c>
      <c r="E72" s="1279"/>
      <c r="F72" s="1279"/>
      <c r="I72" s="524" t="s">
        <v>2077</v>
      </c>
    </row>
    <row r="73" spans="1:9">
      <c r="D73" s="1279"/>
      <c r="E73" s="1279"/>
      <c r="F73" s="1279"/>
      <c r="I73" s="524"/>
    </row>
    <row r="74" spans="1:9">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75" customHeight="1">
      <c r="A80" s="518"/>
      <c r="B80" s="519" t="s">
        <v>2753</v>
      </c>
      <c r="D80" s="1279" t="s">
        <v>1354</v>
      </c>
      <c r="E80" s="1279"/>
      <c r="F80" s="1279"/>
      <c r="I80" s="524" t="s">
        <v>2078</v>
      </c>
    </row>
    <row r="81" spans="1:9">
      <c r="A81" s="518"/>
      <c r="B81" s="518"/>
      <c r="D81" s="1279"/>
      <c r="E81" s="1279"/>
      <c r="F81" s="1279"/>
      <c r="I81" s="524"/>
    </row>
    <row r="82" spans="1:9">
      <c r="A82" s="518"/>
      <c r="B82" s="518"/>
      <c r="D82" s="1279"/>
      <c r="E82" s="1279"/>
      <c r="F82" s="1279"/>
      <c r="I82" s="524"/>
    </row>
    <row r="83" spans="1:9">
      <c r="A83" s="518"/>
      <c r="B83" s="518"/>
      <c r="D83" s="1279"/>
      <c r="E83" s="1279"/>
      <c r="F83" s="1279"/>
      <c r="I83" s="524"/>
    </row>
    <row r="84" spans="1:9">
      <c r="A84" s="518"/>
      <c r="B84" s="518"/>
      <c r="D84" s="1279"/>
      <c r="E84" s="1279"/>
      <c r="F84" s="1279"/>
      <c r="I84" s="524"/>
    </row>
    <row r="85" spans="1:9">
      <c r="A85" s="518"/>
      <c r="B85" s="518"/>
      <c r="D85" s="1279"/>
      <c r="E85" s="1279"/>
      <c r="F85" s="1279"/>
      <c r="I85" s="524"/>
    </row>
    <row r="86" spans="1:9">
      <c r="A86" s="518"/>
      <c r="B86" s="518"/>
      <c r="D86" s="1279"/>
      <c r="E86" s="1279"/>
      <c r="F86" s="1279"/>
      <c r="I86" s="524"/>
    </row>
    <row r="87" spans="1:9">
      <c r="A87" s="518"/>
      <c r="B87" s="518"/>
      <c r="D87" s="1279"/>
      <c r="E87" s="1279"/>
      <c r="F87" s="1279"/>
      <c r="I87" s="524"/>
    </row>
    <row r="88" spans="1:9">
      <c r="A88" s="518"/>
      <c r="B88" s="518"/>
      <c r="D88" s="416"/>
      <c r="E88" s="416"/>
      <c r="F88" s="416"/>
      <c r="I88" s="524"/>
    </row>
    <row r="89" spans="1:9" ht="15" customHeight="1">
      <c r="A89" s="518"/>
      <c r="B89" s="519" t="s">
        <v>2753</v>
      </c>
      <c r="D89" s="1279" t="s">
        <v>1932</v>
      </c>
      <c r="E89" s="1279"/>
      <c r="F89" s="1279"/>
      <c r="I89" s="524" t="s">
        <v>2079</v>
      </c>
    </row>
    <row r="90" spans="1:9">
      <c r="A90" s="518"/>
      <c r="B90" s="518"/>
      <c r="D90" s="1279"/>
      <c r="E90" s="1279"/>
      <c r="F90" s="1279"/>
      <c r="I90" s="524"/>
    </row>
    <row r="91" spans="1:9">
      <c r="A91" s="518"/>
      <c r="B91" s="518"/>
      <c r="D91" s="479"/>
      <c r="E91" s="479"/>
      <c r="F91" s="479"/>
      <c r="I91" s="524"/>
    </row>
    <row r="92" spans="1:9">
      <c r="A92" s="518"/>
      <c r="B92" s="519" t="s">
        <v>2753</v>
      </c>
      <c r="D92" s="1279" t="s">
        <v>1935</v>
      </c>
      <c r="E92" s="1279"/>
      <c r="F92" s="1279"/>
      <c r="I92" s="524" t="s">
        <v>2080</v>
      </c>
    </row>
    <row r="93" spans="1:9">
      <c r="A93" s="518"/>
      <c r="B93" s="518"/>
      <c r="D93" s="1279"/>
      <c r="E93" s="1279"/>
      <c r="F93" s="1279"/>
      <c r="I93" s="524"/>
    </row>
    <row r="94" spans="1:9">
      <c r="A94" s="518"/>
      <c r="B94" s="518"/>
      <c r="D94" s="1279"/>
      <c r="E94" s="1279"/>
      <c r="F94" s="1279"/>
      <c r="I94" s="524"/>
    </row>
    <row r="95" spans="1:9">
      <c r="A95" s="518"/>
      <c r="B95" s="518"/>
      <c r="D95" s="479"/>
      <c r="E95" s="479"/>
      <c r="F95" s="479"/>
      <c r="I95" s="524"/>
    </row>
    <row r="96" spans="1:9">
      <c r="A96" s="518"/>
      <c r="B96" s="519" t="s">
        <v>2753</v>
      </c>
      <c r="D96" s="1279" t="s">
        <v>1934</v>
      </c>
      <c r="E96" s="1279"/>
      <c r="F96" s="1279"/>
      <c r="I96" s="524" t="s">
        <v>2125</v>
      </c>
    </row>
    <row r="97" spans="1:9" s="1022" customFormat="1">
      <c r="A97" s="1020"/>
      <c r="B97" s="1020"/>
      <c r="C97" s="1021"/>
      <c r="D97" s="1279"/>
      <c r="E97" s="1279"/>
      <c r="F97" s="1279"/>
      <c r="I97" s="1257"/>
    </row>
    <row r="98" spans="1:9">
      <c r="A98" s="518"/>
      <c r="B98" s="518"/>
      <c r="D98" s="423"/>
      <c r="E98" s="336" t="s">
        <v>2224</v>
      </c>
      <c r="F98" s="479"/>
      <c r="I98" s="524"/>
    </row>
    <row r="99" spans="1:9">
      <c r="A99" s="518"/>
      <c r="B99" s="518"/>
      <c r="D99" s="416"/>
      <c r="E99" s="416"/>
      <c r="F99" s="416"/>
      <c r="I99" s="524"/>
    </row>
    <row r="100" spans="1:9">
      <c r="A100" s="518"/>
      <c r="B100" s="519" t="s">
        <v>2700</v>
      </c>
      <c r="D100" s="1279" t="s">
        <v>1933</v>
      </c>
      <c r="E100" s="1279"/>
      <c r="F100" s="1279"/>
      <c r="I100" s="524" t="s">
        <v>2081</v>
      </c>
    </row>
    <row r="101" spans="1:9">
      <c r="A101" s="518"/>
      <c r="B101" s="518"/>
      <c r="D101" s="1279"/>
      <c r="E101" s="1279"/>
      <c r="F101" s="1279"/>
      <c r="I101" s="524"/>
    </row>
    <row r="102" spans="1:9">
      <c r="A102" s="518"/>
      <c r="B102" s="518"/>
      <c r="D102" s="479"/>
      <c r="E102" s="479"/>
      <c r="F102" s="479"/>
      <c r="I102" s="524"/>
    </row>
    <row r="103" spans="1:9" ht="14.5" customHeight="1">
      <c r="A103" s="518"/>
      <c r="B103" s="519" t="s">
        <v>2700</v>
      </c>
      <c r="D103" s="1279" t="s">
        <v>1301</v>
      </c>
      <c r="E103" s="1279"/>
      <c r="F103" s="1279"/>
      <c r="I103" s="524" t="s">
        <v>2082</v>
      </c>
    </row>
    <row r="104" spans="1:9">
      <c r="A104" s="518"/>
      <c r="B104" s="518"/>
      <c r="D104" s="1279"/>
      <c r="E104" s="1279"/>
      <c r="F104" s="1279"/>
      <c r="I104" s="524"/>
    </row>
    <row r="105" spans="1:9">
      <c r="A105" s="518"/>
      <c r="B105" s="518"/>
      <c r="D105" s="1279"/>
      <c r="E105" s="1279"/>
      <c r="F105" s="1279"/>
      <c r="I105" s="524"/>
    </row>
    <row r="106" spans="1:9">
      <c r="A106" s="518"/>
      <c r="B106" s="518"/>
      <c r="D106" s="1279"/>
      <c r="E106" s="1279"/>
      <c r="F106" s="1279"/>
      <c r="I106" s="524"/>
    </row>
    <row r="107" spans="1:9">
      <c r="A107" s="518"/>
      <c r="B107" s="518"/>
      <c r="D107" s="1279"/>
      <c r="E107" s="1279"/>
      <c r="F107" s="1279"/>
      <c r="I107" s="524"/>
    </row>
    <row r="108" spans="1:9">
      <c r="A108" s="518"/>
      <c r="B108" s="518"/>
      <c r="D108" s="1279"/>
      <c r="E108" s="1279"/>
      <c r="F108" s="1279"/>
      <c r="I108" s="524"/>
    </row>
    <row r="109" spans="1:9">
      <c r="A109" s="518"/>
      <c r="B109" s="518"/>
      <c r="D109" s="1279"/>
      <c r="E109" s="1279"/>
      <c r="F109" s="1279"/>
      <c r="I109" s="524"/>
    </row>
    <row r="110" spans="1:9">
      <c r="A110" s="518"/>
      <c r="B110" s="518"/>
      <c r="D110" s="1279"/>
      <c r="E110" s="1279"/>
      <c r="F110" s="1279"/>
      <c r="I110" s="524"/>
    </row>
    <row r="111" spans="1:9">
      <c r="A111" s="518"/>
      <c r="B111" s="518"/>
      <c r="D111" s="1279"/>
      <c r="E111" s="1279"/>
      <c r="F111" s="1279"/>
      <c r="I111" s="524"/>
    </row>
    <row r="112" spans="1:9">
      <c r="A112" s="518"/>
      <c r="B112" s="518"/>
      <c r="D112" s="1279"/>
      <c r="E112" s="1279"/>
      <c r="F112" s="1279"/>
      <c r="I112" s="524"/>
    </row>
    <row r="113" spans="1:9">
      <c r="A113" s="518"/>
      <c r="B113" s="518"/>
      <c r="D113" s="1279"/>
      <c r="E113" s="1279"/>
      <c r="F113" s="1279"/>
      <c r="I113" s="524"/>
    </row>
    <row r="114" spans="1:9">
      <c r="A114" s="518"/>
      <c r="B114" s="518"/>
      <c r="D114" s="1279"/>
      <c r="E114" s="1279"/>
      <c r="F114" s="1279"/>
      <c r="I114" s="524"/>
    </row>
    <row r="115" spans="1:9">
      <c r="A115" s="518"/>
      <c r="B115" s="518"/>
      <c r="D115" s="1279"/>
      <c r="E115" s="1279"/>
      <c r="F115" s="1279"/>
      <c r="I115" s="524"/>
    </row>
    <row r="116" spans="1:9">
      <c r="A116" s="518"/>
      <c r="B116" s="518"/>
      <c r="D116" s="1279"/>
      <c r="E116" s="1279"/>
      <c r="F116" s="1279"/>
      <c r="I116" s="524"/>
    </row>
    <row r="117" spans="1:9">
      <c r="A117" s="518"/>
      <c r="B117" s="518"/>
      <c r="D117" s="1279"/>
      <c r="E117" s="1279"/>
      <c r="F117" s="1279"/>
      <c r="I117" s="524"/>
    </row>
    <row r="118" spans="1:9">
      <c r="A118" s="518"/>
      <c r="B118" s="518"/>
      <c r="D118" s="558"/>
      <c r="E118" s="558"/>
      <c r="F118" s="558"/>
      <c r="I118" s="524"/>
    </row>
    <row r="119" spans="1:9" ht="14.25" customHeight="1">
      <c r="A119" s="518"/>
      <c r="B119" s="519" t="s">
        <v>2700</v>
      </c>
      <c r="D119" s="1306" t="s">
        <v>1172</v>
      </c>
      <c r="E119" s="1306"/>
      <c r="F119" s="1306"/>
      <c r="I119" s="524"/>
    </row>
    <row r="120" spans="1:9">
      <c r="A120" s="518"/>
      <c r="B120" s="518"/>
      <c r="D120" s="1306"/>
      <c r="E120" s="1306"/>
      <c r="F120" s="1306"/>
      <c r="I120" s="524"/>
    </row>
    <row r="121" spans="1:9">
      <c r="A121" s="518"/>
      <c r="B121" s="518"/>
      <c r="D121" s="1306"/>
      <c r="E121" s="1306"/>
      <c r="F121" s="1306"/>
      <c r="I121" s="524"/>
    </row>
    <row r="122" spans="1:9">
      <c r="A122" s="518"/>
      <c r="B122" s="518"/>
      <c r="D122" s="1306"/>
      <c r="E122" s="1306"/>
      <c r="F122" s="1306"/>
      <c r="I122" s="524"/>
    </row>
    <row r="123" spans="1:9">
      <c r="A123" s="518"/>
      <c r="B123" s="518"/>
      <c r="D123" s="1306"/>
      <c r="E123" s="1306"/>
      <c r="F123" s="1306"/>
      <c r="I123" s="524"/>
    </row>
    <row r="124" spans="1:9">
      <c r="A124" s="518"/>
      <c r="B124" s="518"/>
      <c r="D124" s="1306"/>
      <c r="E124" s="1306"/>
      <c r="F124" s="1306"/>
      <c r="I124" s="524"/>
    </row>
    <row r="125" spans="1:9">
      <c r="A125" s="518"/>
      <c r="B125" s="518"/>
      <c r="D125" s="1306"/>
      <c r="E125" s="1306"/>
      <c r="F125" s="1306"/>
      <c r="I125" s="524"/>
    </row>
    <row r="126" spans="1:9">
      <c r="A126" s="518"/>
      <c r="B126" s="518"/>
      <c r="D126" s="1306"/>
      <c r="E126" s="1306"/>
      <c r="F126" s="1306"/>
      <c r="I126" s="524"/>
    </row>
    <row r="127" spans="1:9">
      <c r="C127" s="433"/>
      <c r="D127" s="559"/>
      <c r="E127" s="559"/>
      <c r="F127" s="559"/>
      <c r="I127" s="524"/>
    </row>
    <row r="128" spans="1:9">
      <c r="A128" s="518"/>
      <c r="B128" s="519" t="s">
        <v>2753</v>
      </c>
      <c r="C128" s="433"/>
      <c r="D128" s="1306" t="s">
        <v>2364</v>
      </c>
      <c r="E128" s="1306"/>
      <c r="F128" s="1306"/>
      <c r="I128" s="524" t="s">
        <v>2083</v>
      </c>
    </row>
    <row r="129" spans="1:9">
      <c r="A129" s="518"/>
      <c r="B129" s="518"/>
      <c r="C129" s="433"/>
      <c r="D129" s="1306"/>
      <c r="E129" s="1306"/>
      <c r="F129" s="1306"/>
      <c r="I129" s="524"/>
    </row>
    <row r="130" spans="1:9">
      <c r="I130" s="524"/>
    </row>
    <row r="131" spans="1:9">
      <c r="A131" s="518"/>
      <c r="B131" s="519" t="s">
        <v>2753</v>
      </c>
      <c r="D131" s="1279" t="s">
        <v>1175</v>
      </c>
      <c r="E131" s="1279"/>
      <c r="F131" s="1279"/>
      <c r="I131" s="524" t="s">
        <v>2083</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c r="A137" s="518"/>
      <c r="B137" s="519" t="s">
        <v>2753</v>
      </c>
      <c r="D137" s="1279" t="s">
        <v>1176</v>
      </c>
      <c r="E137" s="1279"/>
      <c r="F137" s="1279"/>
      <c r="I137" s="524" t="s">
        <v>2084</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2700</v>
      </c>
      <c r="D151" s="1279" t="s">
        <v>1284</v>
      </c>
      <c r="E151" s="1279"/>
      <c r="F151" s="1279"/>
      <c r="I151" s="524" t="s">
        <v>2085</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2388</v>
      </c>
      <c r="E169" s="1337"/>
      <c r="F169" s="1337"/>
      <c r="G169" s="541"/>
      <c r="I169" s="524"/>
    </row>
    <row r="170" spans="1:9" ht="13.75" customHeight="1">
      <c r="D170" s="1312"/>
      <c r="E170" s="1312"/>
      <c r="F170" s="1312"/>
      <c r="G170" s="1312"/>
      <c r="I170" s="524"/>
    </row>
    <row r="171" spans="1:9" ht="14.5" customHeight="1">
      <c r="A171" s="523"/>
      <c r="B171" s="519" t="s">
        <v>2700</v>
      </c>
      <c r="C171" s="510"/>
      <c r="D171" s="1267" t="s">
        <v>2576</v>
      </c>
      <c r="E171" s="1267"/>
      <c r="F171" s="1267"/>
      <c r="G171" s="510"/>
      <c r="I171" s="524" t="s">
        <v>2080</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2753</v>
      </c>
      <c r="C177" s="510"/>
      <c r="D177" s="1267" t="s">
        <v>1178</v>
      </c>
      <c r="E177" s="1267"/>
      <c r="F177" s="1267"/>
      <c r="G177" s="510"/>
      <c r="I177" s="524" t="s">
        <v>2086</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2700</v>
      </c>
      <c r="D182" s="1301" t="s">
        <v>2365</v>
      </c>
      <c r="E182" s="1301"/>
      <c r="F182" s="1301"/>
      <c r="I182" s="524" t="s">
        <v>2087</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2366</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2066</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75" customHeight="1">
      <c r="A193" s="435"/>
      <c r="B193" s="435"/>
      <c r="D193" s="1307" t="s">
        <v>1936</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2700</v>
      </c>
      <c r="D197" s="1284" t="s">
        <v>1937</v>
      </c>
      <c r="E197" s="1284"/>
      <c r="F197" s="1284"/>
      <c r="I197" s="524" t="s">
        <v>2136</v>
      </c>
    </row>
    <row r="198" spans="1:9">
      <c r="A198" s="435"/>
      <c r="B198" s="435"/>
      <c r="D198" s="1288" t="s">
        <v>2202</v>
      </c>
      <c r="E198" s="1288"/>
      <c r="F198" s="1288"/>
      <c r="I198" s="524"/>
    </row>
    <row r="199" spans="1:9">
      <c r="A199" s="435"/>
      <c r="B199" s="435"/>
      <c r="D199" s="96" t="s">
        <v>1938</v>
      </c>
      <c r="E199" s="1336" t="s">
        <v>2225</v>
      </c>
      <c r="F199" s="1336"/>
      <c r="I199" s="524"/>
    </row>
    <row r="200" spans="1:9">
      <c r="A200" s="435"/>
      <c r="B200" s="435"/>
      <c r="D200" s="3"/>
      <c r="E200" s="3"/>
      <c r="F200" s="3"/>
      <c r="I200" s="524"/>
    </row>
    <row r="201" spans="1:9">
      <c r="A201" s="435"/>
      <c r="B201" s="519" t="s">
        <v>2700</v>
      </c>
      <c r="D201" s="1288" t="s">
        <v>1939</v>
      </c>
      <c r="E201" s="1288"/>
      <c r="F201" s="1288"/>
      <c r="I201" s="524" t="s">
        <v>2137</v>
      </c>
    </row>
    <row r="202" spans="1:9">
      <c r="A202" s="435"/>
      <c r="B202" s="435"/>
      <c r="D202" s="1284" t="s">
        <v>2202</v>
      </c>
      <c r="E202" s="1284"/>
      <c r="F202" s="1284"/>
      <c r="I202" s="524"/>
    </row>
    <row r="203" spans="1:9">
      <c r="A203" s="435"/>
      <c r="B203" s="435"/>
      <c r="D203" s="57" t="s">
        <v>1940</v>
      </c>
      <c r="E203" s="1336" t="s">
        <v>2226</v>
      </c>
      <c r="F203" s="1336"/>
      <c r="I203" s="524"/>
    </row>
    <row r="204" spans="1:9">
      <c r="A204" s="435"/>
      <c r="B204" s="435"/>
      <c r="D204" s="3"/>
      <c r="E204" s="3"/>
      <c r="F204" s="3"/>
      <c r="I204" s="524"/>
    </row>
    <row r="205" spans="1:9">
      <c r="A205" s="435"/>
      <c r="B205" s="519" t="s">
        <v>2700</v>
      </c>
      <c r="D205" s="1288" t="s">
        <v>1941</v>
      </c>
      <c r="E205" s="1288"/>
      <c r="F205" s="1288"/>
      <c r="I205" s="524" t="s">
        <v>2138</v>
      </c>
    </row>
    <row r="206" spans="1:9">
      <c r="A206" s="435"/>
      <c r="B206" s="435"/>
      <c r="D206" s="1284" t="s">
        <v>2202</v>
      </c>
      <c r="E206" s="1284"/>
      <c r="F206" s="1284"/>
      <c r="I206" s="524"/>
    </row>
    <row r="207" spans="1:9">
      <c r="A207" s="435"/>
      <c r="B207" s="435"/>
      <c r="D207" s="57" t="s">
        <v>1938</v>
      </c>
      <c r="E207" s="1336" t="s">
        <v>2227</v>
      </c>
      <c r="F207" s="1336"/>
      <c r="I207" s="524"/>
    </row>
    <row r="208" spans="1:9">
      <c r="A208" s="435"/>
      <c r="B208" s="435"/>
      <c r="D208" s="423"/>
      <c r="E208" s="423"/>
      <c r="F208" s="423"/>
      <c r="I208" s="524"/>
    </row>
    <row r="209" spans="1:9" ht="14.25" customHeight="1">
      <c r="A209" s="518"/>
      <c r="B209" s="519" t="s">
        <v>2700</v>
      </c>
      <c r="D209" s="417" t="s">
        <v>2195</v>
      </c>
      <c r="E209" s="416"/>
      <c r="F209" s="416"/>
      <c r="I209" s="524" t="s">
        <v>2139</v>
      </c>
    </row>
    <row r="210" spans="1:9">
      <c r="A210" s="518"/>
      <c r="B210" s="518"/>
      <c r="D210" s="1284" t="s">
        <v>2202</v>
      </c>
      <c r="E210" s="1284"/>
      <c r="F210" s="1284"/>
      <c r="I210" s="524"/>
    </row>
    <row r="211" spans="1:9">
      <c r="D211" s="416"/>
      <c r="E211" s="1336" t="s">
        <v>2228</v>
      </c>
      <c r="F211" s="1336"/>
      <c r="I211" s="524"/>
    </row>
    <row r="212" spans="1:9">
      <c r="D212" s="481"/>
      <c r="I212" s="524"/>
    </row>
    <row r="213" spans="1:9">
      <c r="B213" s="519" t="s">
        <v>2700</v>
      </c>
      <c r="D213" s="1288" t="s">
        <v>1942</v>
      </c>
      <c r="E213" s="1288"/>
      <c r="F213" s="1288"/>
      <c r="I213" s="524" t="s">
        <v>2140</v>
      </c>
    </row>
    <row r="214" spans="1:9">
      <c r="D214" s="1284" t="s">
        <v>2202</v>
      </c>
      <c r="E214" s="1284"/>
      <c r="F214" s="1284"/>
      <c r="I214" s="524"/>
    </row>
    <row r="215" spans="1:9">
      <c r="D215" s="57" t="s">
        <v>1938</v>
      </c>
      <c r="E215" s="1336" t="s">
        <v>2229</v>
      </c>
      <c r="F215" s="1336"/>
      <c r="I215" s="524"/>
    </row>
    <row r="216" spans="1:9">
      <c r="D216" s="485"/>
      <c r="E216" s="485"/>
      <c r="F216" s="485"/>
      <c r="I216" s="524"/>
    </row>
    <row r="217" spans="1:9">
      <c r="A217" s="518"/>
      <c r="B217" s="519" t="s">
        <v>2700</v>
      </c>
      <c r="D217" s="1279" t="s">
        <v>1323</v>
      </c>
      <c r="E217" s="1279"/>
      <c r="F217" s="1279"/>
      <c r="I217" s="524"/>
    </row>
    <row r="218" spans="1:9" ht="14.5" customHeight="1">
      <c r="A218" s="518"/>
      <c r="B218" s="433"/>
      <c r="D218" s="1279"/>
      <c r="E218" s="1279"/>
      <c r="F218" s="1279"/>
      <c r="I218" s="524"/>
    </row>
    <row r="219" spans="1:9">
      <c r="A219" s="518"/>
      <c r="D219" s="1279"/>
      <c r="E219" s="1279"/>
      <c r="F219" s="1279"/>
      <c r="I219" s="524"/>
    </row>
    <row r="220" spans="1:9">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75" customHeight="1">
      <c r="A227" s="524"/>
      <c r="C227" s="524"/>
      <c r="D227" s="1277" t="s">
        <v>555</v>
      </c>
      <c r="E227" s="1277"/>
      <c r="F227" s="1277"/>
      <c r="I227" s="524" t="s">
        <v>2088</v>
      </c>
    </row>
    <row r="228" spans="1:9">
      <c r="A228" s="518"/>
      <c r="B228" s="519" t="s">
        <v>2753</v>
      </c>
      <c r="D228" s="1279" t="s">
        <v>1943</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c r="A231" s="518"/>
      <c r="B231" s="518"/>
      <c r="D231" s="1279"/>
      <c r="E231" s="1279"/>
      <c r="F231" s="1279"/>
      <c r="I231" s="524"/>
    </row>
    <row r="232" spans="1:9">
      <c r="A232" s="518"/>
      <c r="B232" s="518"/>
      <c r="D232" s="479"/>
      <c r="E232" s="479"/>
      <c r="F232" s="479"/>
      <c r="I232" s="524"/>
    </row>
    <row r="233" spans="1:9">
      <c r="A233" s="518"/>
      <c r="B233" s="519" t="s">
        <v>2753</v>
      </c>
      <c r="D233" s="1279" t="s">
        <v>1944</v>
      </c>
      <c r="E233" s="1279"/>
      <c r="F233" s="1279"/>
      <c r="I233" s="524" t="s">
        <v>2089</v>
      </c>
    </row>
    <row r="234" spans="1:9">
      <c r="A234" s="518"/>
      <c r="B234" s="518"/>
      <c r="D234" s="1279"/>
      <c r="E234" s="1279"/>
      <c r="F234" s="1279"/>
      <c r="I234" s="524"/>
    </row>
    <row r="235" spans="1:9">
      <c r="A235" s="518"/>
      <c r="B235" s="518"/>
      <c r="D235" s="1279"/>
      <c r="E235" s="1279"/>
      <c r="F235" s="1279"/>
      <c r="I235" s="524"/>
    </row>
    <row r="236" spans="1:9">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c r="A239" s="518"/>
      <c r="B239" s="518"/>
      <c r="D239" s="1279" t="s">
        <v>1200</v>
      </c>
      <c r="E239" s="1279"/>
      <c r="F239" s="1279"/>
      <c r="I239" s="524" t="s">
        <v>2088</v>
      </c>
    </row>
    <row r="240" spans="1:9">
      <c r="A240" s="518"/>
      <c r="B240" s="518"/>
      <c r="D240" s="1279"/>
      <c r="E240" s="1279"/>
      <c r="F240" s="1279"/>
      <c r="I240" s="524"/>
    </row>
    <row r="241" spans="1:9">
      <c r="A241" s="518"/>
      <c r="B241" s="518"/>
      <c r="D241" s="1279"/>
      <c r="E241" s="1279"/>
      <c r="F241" s="1279"/>
      <c r="I241" s="524"/>
    </row>
    <row r="242" spans="1:9">
      <c r="A242" s="518"/>
      <c r="B242" s="518"/>
      <c r="D242" s="1279"/>
      <c r="E242" s="1279"/>
      <c r="F242" s="1279"/>
      <c r="I242" s="524"/>
    </row>
    <row r="243" spans="1:9">
      <c r="A243" s="518"/>
      <c r="B243" s="518"/>
      <c r="D243" s="1279"/>
      <c r="E243" s="1279"/>
      <c r="F243" s="1279"/>
      <c r="I243" s="524"/>
    </row>
    <row r="244" spans="1:9">
      <c r="A244" s="518"/>
      <c r="B244" s="518"/>
      <c r="D244" s="480"/>
      <c r="E244" s="480"/>
      <c r="F244" s="480"/>
      <c r="I244" s="524"/>
    </row>
    <row r="245" spans="1:9">
      <c r="A245" s="518"/>
      <c r="B245" s="519" t="s">
        <v>2753</v>
      </c>
      <c r="D245" s="1279" t="s">
        <v>2367</v>
      </c>
      <c r="E245" s="1279"/>
      <c r="F245" s="1279"/>
      <c r="I245" s="524" t="s">
        <v>2127</v>
      </c>
    </row>
    <row r="246" spans="1:9">
      <c r="A246" s="518"/>
      <c r="B246" s="518"/>
      <c r="D246" s="1279"/>
      <c r="E246" s="1279"/>
      <c r="F246" s="1279"/>
      <c r="I246" s="524"/>
    </row>
    <row r="247" spans="1:9">
      <c r="A247" s="518"/>
      <c r="B247" s="518"/>
      <c r="D247" s="1279"/>
      <c r="E247" s="1279"/>
      <c r="F247" s="1279"/>
      <c r="I247" s="524"/>
    </row>
    <row r="248" spans="1:9">
      <c r="A248" s="518"/>
      <c r="B248" s="518"/>
      <c r="E248" s="1071" t="s">
        <v>2196</v>
      </c>
      <c r="I248" s="524"/>
    </row>
    <row r="249" spans="1:9">
      <c r="A249" s="518"/>
      <c r="B249" s="518"/>
      <c r="D249" s="480"/>
      <c r="E249" s="480"/>
      <c r="F249" s="480"/>
      <c r="I249" s="524"/>
    </row>
    <row r="250" spans="1:9" ht="14.5" customHeight="1">
      <c r="A250" s="518"/>
      <c r="B250" s="519" t="s">
        <v>2753</v>
      </c>
      <c r="D250" s="1279" t="s">
        <v>2368</v>
      </c>
      <c r="E250" s="1279"/>
      <c r="F250" s="1279"/>
      <c r="I250" s="524" t="s">
        <v>2145</v>
      </c>
    </row>
    <row r="251" spans="1:9">
      <c r="A251" s="518"/>
      <c r="B251" s="518"/>
      <c r="D251" s="1279"/>
      <c r="E251" s="1279"/>
      <c r="F251" s="1279"/>
      <c r="I251" s="524"/>
    </row>
    <row r="252" spans="1:9">
      <c r="A252" s="518"/>
      <c r="B252" s="518"/>
      <c r="D252" s="1279"/>
      <c r="E252" s="1279"/>
      <c r="F252" s="1279"/>
      <c r="I252" s="524"/>
    </row>
    <row r="253" spans="1:9">
      <c r="A253" s="518"/>
      <c r="B253" s="518"/>
      <c r="D253" s="1279"/>
      <c r="E253" s="1279"/>
      <c r="F253" s="1279"/>
      <c r="I253" s="524"/>
    </row>
    <row r="254" spans="1:9">
      <c r="A254" s="518"/>
      <c r="B254" s="518"/>
      <c r="D254" s="1279"/>
      <c r="E254" s="1279"/>
      <c r="F254" s="1279"/>
      <c r="I254" s="524"/>
    </row>
    <row r="255" spans="1:9">
      <c r="A255" s="518"/>
      <c r="B255" s="518"/>
      <c r="D255" s="479"/>
      <c r="E255" s="479"/>
      <c r="F255" s="479"/>
      <c r="I255" s="524"/>
    </row>
    <row r="256" spans="1:9">
      <c r="A256" s="518"/>
      <c r="B256" s="519" t="s">
        <v>2753</v>
      </c>
      <c r="D256" s="423" t="s">
        <v>2369</v>
      </c>
      <c r="E256" s="479"/>
      <c r="F256" s="479"/>
      <c r="I256" s="524" t="s">
        <v>2126</v>
      </c>
    </row>
    <row r="257" spans="1:9">
      <c r="A257" s="518"/>
      <c r="B257" s="518"/>
      <c r="E257" s="1071" t="s">
        <v>2197</v>
      </c>
      <c r="I257" s="524"/>
    </row>
    <row r="258" spans="1:9">
      <c r="D258" s="480"/>
      <c r="E258" s="480"/>
      <c r="F258" s="480"/>
      <c r="I258" s="524"/>
    </row>
    <row r="259" spans="1:9">
      <c r="A259" s="518"/>
      <c r="B259" s="519" t="s">
        <v>2753</v>
      </c>
      <c r="D259" s="1279" t="s">
        <v>1202</v>
      </c>
      <c r="E259" s="1279"/>
      <c r="F259" s="1279"/>
      <c r="I259" s="524"/>
    </row>
    <row r="260" spans="1:9">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2128</v>
      </c>
    </row>
    <row r="267" spans="1:9" ht="14.5" customHeight="1">
      <c r="A267" s="518"/>
      <c r="B267" s="519" t="s">
        <v>2753</v>
      </c>
      <c r="D267" s="1279" t="s">
        <v>1303</v>
      </c>
      <c r="E267" s="1279"/>
      <c r="F267" s="1279"/>
      <c r="I267" s="524"/>
    </row>
    <row r="268" spans="1:9">
      <c r="D268" s="1279"/>
      <c r="E268" s="1279"/>
      <c r="F268" s="1279"/>
      <c r="I268" s="524"/>
    </row>
    <row r="269" spans="1:9">
      <c r="E269" s="1071" t="s">
        <v>2198</v>
      </c>
      <c r="I269" s="524"/>
    </row>
    <row r="270" spans="1:9">
      <c r="D270" s="480"/>
      <c r="E270" s="480"/>
      <c r="F270" s="480"/>
      <c r="I270" s="524"/>
    </row>
    <row r="271" spans="1:9" ht="14.5" customHeight="1">
      <c r="A271" s="518"/>
      <c r="B271" s="519" t="s">
        <v>2700</v>
      </c>
      <c r="D271" s="1279" t="s">
        <v>2370</v>
      </c>
      <c r="E271" s="1279"/>
      <c r="F271" s="1279"/>
      <c r="I271" s="524" t="s">
        <v>2146</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c r="A278" s="518"/>
      <c r="B278" s="519" t="s">
        <v>2700</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c r="A290" s="518"/>
      <c r="B290" s="519" t="s">
        <v>2700</v>
      </c>
      <c r="D290" s="1279" t="s">
        <v>1212</v>
      </c>
      <c r="E290" s="1279"/>
      <c r="F290" s="1279"/>
      <c r="I290" s="524" t="s">
        <v>2090</v>
      </c>
    </row>
    <row r="291" spans="1:9">
      <c r="A291" s="518"/>
      <c r="B291" s="518"/>
      <c r="D291" s="1279"/>
      <c r="E291" s="1279"/>
      <c r="F291" s="1279"/>
      <c r="I291" s="524"/>
    </row>
    <row r="292" spans="1:9">
      <c r="D292" s="480"/>
      <c r="E292" s="480"/>
      <c r="F292" s="480"/>
      <c r="I292" s="524"/>
    </row>
    <row r="293" spans="1:9">
      <c r="A293" s="518"/>
      <c r="B293" s="519" t="s">
        <v>2700</v>
      </c>
      <c r="D293" s="1279" t="s">
        <v>1213</v>
      </c>
      <c r="E293" s="1279"/>
      <c r="F293" s="1279"/>
      <c r="I293" s="524" t="s">
        <v>2090</v>
      </c>
    </row>
    <row r="294" spans="1:9">
      <c r="A294" s="518"/>
      <c r="B294" s="518"/>
      <c r="D294" s="1279"/>
      <c r="E294" s="1279"/>
      <c r="F294" s="1279"/>
      <c r="I294" s="524"/>
    </row>
    <row r="295" spans="1:9">
      <c r="A295" s="518"/>
      <c r="B295" s="518"/>
      <c r="D295" s="1279"/>
      <c r="E295" s="1279"/>
      <c r="F295" s="1279"/>
      <c r="I295" s="524"/>
    </row>
    <row r="296" spans="1:9">
      <c r="D296" s="480"/>
      <c r="E296" s="480"/>
      <c r="F296" s="480"/>
      <c r="I296" s="524"/>
    </row>
    <row r="297" spans="1:9">
      <c r="A297" s="518"/>
      <c r="B297" s="519" t="s">
        <v>2700</v>
      </c>
      <c r="D297" s="1279" t="s">
        <v>1214</v>
      </c>
      <c r="E297" s="1279"/>
      <c r="F297" s="1279"/>
      <c r="I297" s="524" t="s">
        <v>2090</v>
      </c>
    </row>
    <row r="298" spans="1:9">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2700</v>
      </c>
      <c r="D305" s="1308" t="s">
        <v>1216</v>
      </c>
      <c r="E305" s="1308"/>
      <c r="F305" s="1308"/>
      <c r="I305" s="524" t="s">
        <v>2091</v>
      </c>
    </row>
    <row r="306" spans="1:9">
      <c r="A306" s="518"/>
      <c r="B306" s="518"/>
      <c r="D306" s="528"/>
      <c r="E306" s="529"/>
      <c r="F306" s="529"/>
      <c r="I306" s="524"/>
    </row>
    <row r="307" spans="1:9" ht="13.75" customHeight="1">
      <c r="B307" s="519" t="s">
        <v>2700</v>
      </c>
      <c r="D307" s="1329" t="s">
        <v>1326</v>
      </c>
      <c r="E307" s="1329"/>
      <c r="F307" s="1329"/>
      <c r="I307" s="524" t="s">
        <v>2091</v>
      </c>
    </row>
    <row r="308" spans="1:9">
      <c r="A308" s="518"/>
      <c r="B308" s="518"/>
      <c r="D308" s="1329"/>
      <c r="E308" s="1329"/>
      <c r="F308" s="1329"/>
      <c r="I308" s="524"/>
    </row>
    <row r="309" spans="1:9">
      <c r="A309" s="518"/>
      <c r="B309" s="518"/>
      <c r="D309" s="1329"/>
      <c r="E309" s="1329"/>
      <c r="F309" s="1329"/>
      <c r="I309" s="524"/>
    </row>
    <row r="310" spans="1:9">
      <c r="A310" s="518"/>
      <c r="B310" s="518"/>
      <c r="D310" s="1329"/>
      <c r="E310" s="1329"/>
      <c r="F310" s="1329"/>
      <c r="I310" s="524"/>
    </row>
    <row r="311" spans="1:9">
      <c r="A311" s="518"/>
      <c r="B311" s="518"/>
      <c r="D311" s="1329"/>
      <c r="E311" s="1329"/>
      <c r="F311" s="1329"/>
      <c r="I311" s="524"/>
    </row>
    <row r="312" spans="1:9">
      <c r="A312" s="518"/>
      <c r="B312" s="518"/>
      <c r="D312" s="528"/>
      <c r="E312" s="529"/>
      <c r="F312" s="529"/>
      <c r="I312" s="524"/>
    </row>
    <row r="313" spans="1:9" ht="13.75" customHeight="1">
      <c r="B313" s="519" t="s">
        <v>2700</v>
      </c>
      <c r="D313" s="1329" t="s">
        <v>1218</v>
      </c>
      <c r="E313" s="1329"/>
      <c r="F313" s="1329"/>
      <c r="I313" s="524" t="s">
        <v>2091</v>
      </c>
    </row>
    <row r="314" spans="1:9">
      <c r="D314" s="1329"/>
      <c r="E314" s="1329"/>
      <c r="F314" s="1329"/>
      <c r="I314" s="524"/>
    </row>
    <row r="315" spans="1:9">
      <c r="A315" s="518"/>
      <c r="B315" s="518"/>
      <c r="D315" s="528"/>
      <c r="E315" s="529"/>
      <c r="F315" s="529"/>
      <c r="I315" s="524"/>
    </row>
    <row r="316" spans="1:9">
      <c r="B316" s="519" t="s">
        <v>2700</v>
      </c>
      <c r="D316" s="1308" t="s">
        <v>1219</v>
      </c>
      <c r="E316" s="1308"/>
      <c r="F316" s="1308"/>
      <c r="I316" s="524" t="s">
        <v>2077</v>
      </c>
    </row>
    <row r="317" spans="1:9">
      <c r="E317" s="480"/>
      <c r="F317" s="480"/>
      <c r="I317" s="524"/>
    </row>
    <row r="318" spans="1:9">
      <c r="A318" s="518"/>
      <c r="B318" s="519" t="s">
        <v>2700</v>
      </c>
      <c r="D318" s="1279" t="s">
        <v>2389</v>
      </c>
      <c r="E318" s="1279"/>
      <c r="F318" s="1279"/>
      <c r="I318" s="524" t="s">
        <v>2092</v>
      </c>
    </row>
    <row r="319" spans="1:9">
      <c r="A319" s="518"/>
      <c r="B319" s="518"/>
      <c r="D319" s="1279"/>
      <c r="E319" s="1279"/>
      <c r="F319" s="1279"/>
      <c r="I319" s="524"/>
    </row>
    <row r="320" spans="1:9">
      <c r="A320" s="518"/>
      <c r="B320" s="518"/>
      <c r="D320" s="1279"/>
      <c r="E320" s="1279"/>
      <c r="F320" s="1279"/>
      <c r="I320" s="524"/>
    </row>
    <row r="321" spans="1:9">
      <c r="A321" s="518"/>
      <c r="B321" s="518"/>
      <c r="D321" s="1279"/>
      <c r="E321" s="1279"/>
      <c r="F321" s="1279"/>
      <c r="I321" s="524"/>
    </row>
    <row r="322" spans="1:9">
      <c r="A322" s="518"/>
      <c r="B322" s="518"/>
      <c r="D322" s="1279"/>
      <c r="E322" s="1279"/>
      <c r="F322" s="1279"/>
      <c r="I322" s="524"/>
    </row>
    <row r="323" spans="1:9">
      <c r="A323" s="518"/>
      <c r="B323" s="518"/>
      <c r="D323" s="1279"/>
      <c r="E323" s="1279"/>
      <c r="F323" s="1279"/>
      <c r="I323" s="524"/>
    </row>
    <row r="324" spans="1:9">
      <c r="A324" s="518"/>
      <c r="B324" s="518"/>
      <c r="D324" s="1279"/>
      <c r="E324" s="1279"/>
      <c r="F324" s="1279"/>
      <c r="I324" s="524"/>
    </row>
    <row r="325" spans="1:9">
      <c r="A325" s="518"/>
      <c r="B325" s="518"/>
      <c r="D325" s="1279"/>
      <c r="E325" s="1279"/>
      <c r="F325" s="1279"/>
      <c r="I325" s="524"/>
    </row>
    <row r="326" spans="1:9">
      <c r="A326" s="518"/>
      <c r="B326" s="518"/>
      <c r="D326" s="1279"/>
      <c r="E326" s="1279"/>
      <c r="F326" s="1279"/>
      <c r="I326" s="524"/>
    </row>
    <row r="327" spans="1:9">
      <c r="A327" s="518"/>
      <c r="B327" s="518"/>
      <c r="D327" s="1279"/>
      <c r="E327" s="1279"/>
      <c r="F327" s="1279"/>
      <c r="I327" s="524"/>
    </row>
    <row r="328" spans="1:9">
      <c r="A328" s="518"/>
      <c r="B328" s="518"/>
      <c r="D328" s="1279"/>
      <c r="E328" s="1279"/>
      <c r="F328" s="1279"/>
      <c r="I328" s="524"/>
    </row>
    <row r="329" spans="1:9">
      <c r="A329" s="518"/>
      <c r="B329" s="518"/>
      <c r="D329" s="1279"/>
      <c r="E329" s="1279"/>
      <c r="F329" s="1279"/>
      <c r="I329" s="524"/>
    </row>
    <row r="330" spans="1:9">
      <c r="A330" s="518"/>
      <c r="B330" s="518"/>
      <c r="D330" s="1279"/>
      <c r="E330" s="1279"/>
      <c r="F330" s="1279"/>
      <c r="I330" s="524"/>
    </row>
    <row r="331" spans="1:9">
      <c r="A331" s="518"/>
      <c r="B331" s="518"/>
      <c r="D331" s="1279"/>
      <c r="E331" s="1279"/>
      <c r="F331" s="1279"/>
      <c r="I331" s="524"/>
    </row>
    <row r="332" spans="1:9">
      <c r="A332" s="518"/>
      <c r="B332" s="518"/>
      <c r="D332" s="1279"/>
      <c r="E332" s="1279"/>
      <c r="F332" s="1279"/>
      <c r="I332" s="524"/>
    </row>
    <row r="333" spans="1:9">
      <c r="D333" s="480"/>
      <c r="E333" s="480"/>
      <c r="F333" s="480"/>
      <c r="I333" s="524"/>
    </row>
    <row r="334" spans="1:9">
      <c r="A334" s="518"/>
      <c r="B334" s="519" t="s">
        <v>2700</v>
      </c>
      <c r="D334" s="1279" t="s">
        <v>1221</v>
      </c>
      <c r="E334" s="1279"/>
      <c r="F334" s="1279"/>
      <c r="I334" s="524" t="s">
        <v>2092</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2700</v>
      </c>
      <c r="D344" s="1279" t="s">
        <v>2203</v>
      </c>
      <c r="E344" s="1279"/>
      <c r="F344" s="1279"/>
      <c r="I344" s="524" t="s">
        <v>2129</v>
      </c>
    </row>
    <row r="345" spans="1:9">
      <c r="D345" s="1279"/>
      <c r="E345" s="1279"/>
      <c r="F345" s="1279"/>
      <c r="I345" s="524"/>
    </row>
    <row r="346" spans="1:9">
      <c r="D346" s="1279"/>
      <c r="E346" s="1279"/>
      <c r="F346" s="1279"/>
      <c r="I346" s="524"/>
    </row>
    <row r="347" spans="1:9">
      <c r="D347" s="1279"/>
      <c r="E347" s="1279"/>
      <c r="F347" s="1279"/>
      <c r="I347" s="524"/>
    </row>
    <row r="348" spans="1:9">
      <c r="D348" s="417" t="s">
        <v>2202</v>
      </c>
      <c r="E348" s="416"/>
      <c r="F348" s="416"/>
      <c r="I348" s="524"/>
    </row>
    <row r="349" spans="1:9">
      <c r="D349" s="416"/>
      <c r="E349" s="96" t="s">
        <v>2199</v>
      </c>
      <c r="G349" s="96"/>
      <c r="I349" s="524"/>
    </row>
    <row r="350" spans="1:9">
      <c r="D350" s="479"/>
      <c r="E350" s="479"/>
      <c r="F350" s="479"/>
      <c r="I350" s="524"/>
    </row>
    <row r="351" spans="1:9" ht="13.5" thickBot="1">
      <c r="A351" s="1057"/>
      <c r="B351" s="1057"/>
      <c r="C351" s="1057"/>
      <c r="D351" s="1334" t="s">
        <v>999</v>
      </c>
      <c r="E351" s="1334"/>
      <c r="F351" s="1334"/>
      <c r="G351" s="1062"/>
      <c r="H351" s="1062"/>
      <c r="I351" s="1259"/>
    </row>
    <row r="352" spans="1:9" ht="13.5" thickTop="1">
      <c r="D352" s="1330" t="s">
        <v>1223</v>
      </c>
      <c r="E352" s="1330"/>
      <c r="F352" s="1330"/>
      <c r="I352" s="524"/>
    </row>
    <row r="353" spans="1:9">
      <c r="D353" s="480"/>
      <c r="E353" s="480"/>
      <c r="F353" s="480"/>
      <c r="I353" s="524"/>
    </row>
    <row r="354" spans="1:9">
      <c r="A354" s="510"/>
      <c r="B354" s="510"/>
      <c r="C354" s="510"/>
      <c r="D354" s="481"/>
      <c r="E354" s="481"/>
      <c r="F354" s="480"/>
      <c r="I354" s="524" t="s">
        <v>2093</v>
      </c>
    </row>
    <row r="355" spans="1:9">
      <c r="A355" s="518"/>
      <c r="B355" s="519" t="s">
        <v>2700</v>
      </c>
      <c r="C355" s="521"/>
      <c r="D355" s="1308" t="s">
        <v>2201</v>
      </c>
      <c r="E355" s="1308"/>
      <c r="F355" s="1308"/>
      <c r="I355" s="1326" t="s">
        <v>2143</v>
      </c>
    </row>
    <row r="356" spans="1:9" ht="12.75" customHeight="1">
      <c r="D356" s="1072"/>
      <c r="E356" s="96" t="s">
        <v>2200</v>
      </c>
      <c r="F356" s="1072"/>
      <c r="I356" s="1327"/>
    </row>
    <row r="357" spans="1:9" ht="12.5">
      <c r="D357" s="1279" t="s">
        <v>1347</v>
      </c>
      <c r="E357" s="1279"/>
      <c r="F357" s="1279"/>
      <c r="I357" s="1327"/>
    </row>
    <row r="358" spans="1:9" ht="12.5">
      <c r="D358" s="1279"/>
      <c r="E358" s="1279"/>
      <c r="F358" s="1279"/>
      <c r="I358" s="1327"/>
    </row>
    <row r="359" spans="1:9" ht="12.5">
      <c r="D359" s="1279"/>
      <c r="E359" s="1279"/>
      <c r="F359" s="1279"/>
      <c r="I359" s="1328"/>
    </row>
    <row r="360" spans="1:9">
      <c r="A360" s="518"/>
      <c r="B360" s="519" t="s">
        <v>2700</v>
      </c>
      <c r="C360" s="510"/>
      <c r="D360" s="1312" t="s">
        <v>2371</v>
      </c>
      <c r="E360" s="1312"/>
      <c r="F360" s="1312"/>
      <c r="I360" s="514"/>
    </row>
    <row r="361" spans="1:9">
      <c r="A361" s="510"/>
      <c r="B361" s="510"/>
      <c r="C361" s="510"/>
      <c r="D361" s="481"/>
      <c r="E361" s="481"/>
      <c r="F361" s="480"/>
      <c r="I361" s="524"/>
    </row>
    <row r="362" spans="1:9">
      <c r="A362" s="510"/>
      <c r="B362" s="519" t="s">
        <v>2700</v>
      </c>
      <c r="C362" s="510"/>
      <c r="D362" s="1267" t="s">
        <v>2372</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2700</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2700</v>
      </c>
      <c r="C380" s="510"/>
      <c r="D380" s="433" t="s">
        <v>2025</v>
      </c>
      <c r="E380" s="558"/>
      <c r="F380" s="558"/>
      <c r="I380" s="524"/>
    </row>
    <row r="381" spans="1:9">
      <c r="A381" s="510"/>
      <c r="B381" s="510"/>
      <c r="C381" s="510"/>
      <c r="D381" s="433" t="s">
        <v>2026</v>
      </c>
      <c r="E381" s="558"/>
      <c r="F381" s="558"/>
      <c r="I381" s="524"/>
    </row>
    <row r="382" spans="1:9">
      <c r="A382" s="510"/>
      <c r="B382" s="510"/>
      <c r="C382" s="510"/>
      <c r="D382" s="433" t="s">
        <v>2027</v>
      </c>
      <c r="E382" s="558"/>
      <c r="F382" s="558"/>
      <c r="I382" s="524"/>
    </row>
    <row r="383" spans="1:9">
      <c r="A383" s="510"/>
      <c r="B383" s="510"/>
      <c r="C383" s="510"/>
      <c r="D383" s="433" t="s">
        <v>2028</v>
      </c>
      <c r="E383" s="558"/>
      <c r="F383" s="558"/>
      <c r="I383" s="524"/>
    </row>
    <row r="384" spans="1:9">
      <c r="A384" s="510"/>
      <c r="B384" s="510"/>
      <c r="C384" s="510"/>
      <c r="D384" s="433" t="s">
        <v>2029</v>
      </c>
      <c r="E384" s="558"/>
      <c r="F384" s="558"/>
      <c r="I384" s="524"/>
    </row>
    <row r="385" spans="1:9">
      <c r="A385" s="510"/>
      <c r="B385" s="510"/>
      <c r="C385" s="510"/>
      <c r="D385" s="433" t="s">
        <v>2030</v>
      </c>
      <c r="E385" s="558"/>
      <c r="F385" s="558"/>
      <c r="I385" s="524"/>
    </row>
    <row r="386" spans="1:9">
      <c r="A386" s="510"/>
      <c r="B386" s="510"/>
      <c r="C386" s="510"/>
      <c r="E386" s="481"/>
      <c r="F386" s="480"/>
      <c r="I386" s="524"/>
    </row>
    <row r="387" spans="1:9">
      <c r="A387" s="518"/>
      <c r="B387" s="519" t="s">
        <v>2700</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5"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2700</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2700</v>
      </c>
      <c r="D423" s="1267" t="s">
        <v>2130</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2700</v>
      </c>
      <c r="C429" s="510"/>
      <c r="D429" s="1267" t="s">
        <v>1348</v>
      </c>
      <c r="E429" s="1267"/>
      <c r="F429" s="1267"/>
      <c r="I429" s="524"/>
    </row>
    <row r="430" spans="1:9">
      <c r="A430" s="531"/>
      <c r="B430" s="531"/>
      <c r="C430" s="510"/>
      <c r="D430" s="1267"/>
      <c r="E430" s="1267"/>
      <c r="F430" s="1267"/>
      <c r="I430" s="524"/>
    </row>
    <row r="431" spans="1:9">
      <c r="A431" s="531"/>
      <c r="B431" s="531"/>
      <c r="C431" s="510"/>
      <c r="D431" s="1267"/>
      <c r="E431" s="1267"/>
      <c r="F431" s="1267"/>
      <c r="I431" s="524"/>
    </row>
    <row r="432" spans="1:9">
      <c r="A432" s="531"/>
      <c r="B432" s="531"/>
      <c r="C432" s="510"/>
      <c r="D432" s="1267"/>
      <c r="E432" s="1267"/>
      <c r="F432" s="1267"/>
      <c r="I432" s="524"/>
    </row>
    <row r="433" spans="1:9" ht="15.75" customHeight="1">
      <c r="A433" s="531"/>
      <c r="B433" s="531"/>
      <c r="C433" s="510"/>
      <c r="D433" s="1331" t="s">
        <v>2390</v>
      </c>
      <c r="E433" s="1267"/>
      <c r="F433" s="1267"/>
      <c r="I433" s="524"/>
    </row>
    <row r="434" spans="1:9">
      <c r="D434" s="480"/>
      <c r="E434" s="480"/>
      <c r="F434" s="480"/>
      <c r="I434" s="524"/>
    </row>
    <row r="435" spans="1:9">
      <c r="A435" s="518"/>
      <c r="B435" s="519" t="s">
        <v>2700</v>
      </c>
      <c r="C435" s="521"/>
      <c r="D435" s="1279" t="s">
        <v>2373</v>
      </c>
      <c r="E435" s="1279"/>
      <c r="F435" s="1279"/>
      <c r="I435" s="524"/>
    </row>
    <row r="436" spans="1:9">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5" customHeight="1">
      <c r="D465" s="1279"/>
      <c r="E465" s="1279"/>
      <c r="F465" s="1279"/>
      <c r="I465" s="524"/>
    </row>
    <row r="466" spans="1:9">
      <c r="D466" s="480"/>
      <c r="E466" s="480"/>
      <c r="F466" s="480"/>
      <c r="I466" s="524"/>
    </row>
    <row r="467" spans="1:9">
      <c r="A467" s="518"/>
      <c r="B467" s="519" t="s">
        <v>2700</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c r="B471" s="519" t="s">
        <v>2700</v>
      </c>
      <c r="C471" s="518"/>
      <c r="D471" s="1279" t="s">
        <v>1304</v>
      </c>
      <c r="E471" s="1279"/>
      <c r="F471" s="1279"/>
      <c r="I471" s="524"/>
    </row>
    <row r="472" spans="1:9">
      <c r="D472" s="1279"/>
      <c r="E472" s="1279"/>
      <c r="F472" s="1279"/>
      <c r="I472" s="524"/>
    </row>
    <row r="473" spans="1:9">
      <c r="D473" s="480"/>
      <c r="E473" s="480"/>
      <c r="F473" s="480"/>
      <c r="I473" s="524"/>
    </row>
    <row r="474" spans="1:9">
      <c r="B474" s="519" t="s">
        <v>2700</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2700</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2700</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2700</v>
      </c>
      <c r="C486" s="433"/>
      <c r="D486" s="1279"/>
      <c r="E486" s="1279"/>
      <c r="F486" s="1279"/>
      <c r="I486" s="524"/>
    </row>
    <row r="487" spans="1:9">
      <c r="A487" s="433"/>
      <c r="C487" s="433"/>
      <c r="D487" s="1279"/>
      <c r="E487" s="1279"/>
      <c r="F487" s="1279"/>
      <c r="I487" s="524"/>
    </row>
    <row r="488" spans="1:9">
      <c r="A488" s="433"/>
      <c r="B488" s="519" t="s">
        <v>2700</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2700</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c r="A499" s="518"/>
      <c r="B499" s="518"/>
      <c r="D499" s="1312" t="s">
        <v>1239</v>
      </c>
      <c r="E499" s="1312"/>
      <c r="F499" s="1312"/>
      <c r="I499" s="524"/>
    </row>
    <row r="500" spans="1:9">
      <c r="A500" s="518"/>
      <c r="B500" s="518"/>
      <c r="D500" s="481"/>
      <c r="I500" s="524"/>
    </row>
    <row r="501" spans="1:9">
      <c r="A501" s="518"/>
      <c r="B501" s="519" t="s">
        <v>2700</v>
      </c>
      <c r="D501" s="1267" t="s">
        <v>1240</v>
      </c>
      <c r="E501" s="1267"/>
      <c r="F501" s="1267"/>
      <c r="I501" s="524" t="s">
        <v>2094</v>
      </c>
    </row>
    <row r="502" spans="1:9">
      <c r="A502" s="518"/>
      <c r="B502" s="518"/>
      <c r="D502" s="1267"/>
      <c r="E502" s="1267"/>
      <c r="F502" s="1267"/>
      <c r="I502" s="524"/>
    </row>
    <row r="503" spans="1:9">
      <c r="A503" s="518"/>
      <c r="B503" s="518"/>
      <c r="D503" s="480"/>
      <c r="I503" s="524"/>
    </row>
    <row r="504" spans="1:9" ht="12.75" customHeight="1">
      <c r="B504" s="519" t="s">
        <v>2700</v>
      </c>
      <c r="D504" s="1301" t="s">
        <v>1383</v>
      </c>
      <c r="E504" s="1301"/>
      <c r="F504" s="1301"/>
      <c r="I504" s="524" t="s">
        <v>2095</v>
      </c>
    </row>
    <row r="505" spans="1:9">
      <c r="A505" s="518"/>
      <c r="D505" s="1301"/>
      <c r="E505" s="1301"/>
      <c r="F505" s="1301"/>
      <c r="I505" s="524"/>
    </row>
    <row r="506" spans="1:9">
      <c r="A506" s="518"/>
      <c r="B506" s="518"/>
      <c r="D506" s="1301"/>
      <c r="E506" s="1301"/>
      <c r="F506" s="1301"/>
      <c r="I506" s="524"/>
    </row>
    <row r="507" spans="1:9">
      <c r="A507" s="518"/>
      <c r="B507" s="518"/>
      <c r="D507" s="1301"/>
      <c r="E507" s="1301"/>
      <c r="F507" s="1301"/>
      <c r="I507" s="524"/>
    </row>
    <row r="508" spans="1:9">
      <c r="A508" s="518"/>
      <c r="D508" s="554"/>
      <c r="E508" s="554"/>
      <c r="F508" s="554"/>
      <c r="I508" s="524"/>
    </row>
    <row r="509" spans="1:9">
      <c r="A509" s="518"/>
      <c r="B509" s="519" t="s">
        <v>2700</v>
      </c>
      <c r="D509" s="1308" t="s">
        <v>1243</v>
      </c>
      <c r="E509" s="1308"/>
      <c r="F509" s="1308"/>
      <c r="I509" s="524" t="s">
        <v>2096</v>
      </c>
    </row>
    <row r="510" spans="1:9">
      <c r="A510" s="518"/>
      <c r="B510" s="518"/>
      <c r="D510" s="480"/>
      <c r="I510" s="524"/>
    </row>
    <row r="511" spans="1:9">
      <c r="A511" s="518"/>
      <c r="B511" s="519" t="s">
        <v>2700</v>
      </c>
      <c r="D511" s="1279" t="s">
        <v>1244</v>
      </c>
      <c r="E511" s="1279"/>
      <c r="F511" s="1279"/>
      <c r="I511" s="524" t="s">
        <v>2096</v>
      </c>
    </row>
    <row r="512" spans="1:9">
      <c r="A512" s="518"/>
      <c r="D512" s="1279"/>
      <c r="E512" s="1279"/>
      <c r="F512" s="1279"/>
      <c r="I512" s="524"/>
    </row>
    <row r="513" spans="1:9">
      <c r="A513" s="524"/>
      <c r="B513" s="524"/>
      <c r="D513" s="481"/>
      <c r="I513" s="524"/>
    </row>
    <row r="514" spans="1:9">
      <c r="A514" s="524"/>
      <c r="B514" s="519" t="s">
        <v>2700</v>
      </c>
      <c r="D514" s="1308" t="s">
        <v>1245</v>
      </c>
      <c r="E514" s="1308"/>
      <c r="F514" s="1308"/>
      <c r="I514" s="524" t="s">
        <v>2149</v>
      </c>
    </row>
    <row r="515" spans="1:9">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5" customHeight="1">
      <c r="A522" s="517"/>
      <c r="B522" s="519" t="s">
        <v>2753</v>
      </c>
      <c r="C522" s="517"/>
      <c r="D522" s="1267" t="s">
        <v>2374</v>
      </c>
      <c r="E522" s="1267"/>
      <c r="F522" s="1267"/>
      <c r="I522" s="524" t="s">
        <v>2131</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2700</v>
      </c>
      <c r="D525" s="417" t="s">
        <v>2204</v>
      </c>
      <c r="E525" s="416"/>
      <c r="F525" s="416"/>
      <c r="I525" s="524" t="s">
        <v>2097</v>
      </c>
    </row>
    <row r="526" spans="1:9">
      <c r="A526" s="517"/>
      <c r="B526" s="517"/>
      <c r="C526" s="517"/>
      <c r="D526" s="416"/>
      <c r="E526" s="96" t="s">
        <v>2205</v>
      </c>
      <c r="I526" s="524"/>
    </row>
    <row r="527" spans="1:9">
      <c r="A527" s="517"/>
      <c r="B527" s="517"/>
      <c r="D527" s="1323" t="s">
        <v>2375</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2700</v>
      </c>
      <c r="C531" s="517"/>
      <c r="D531" s="1279" t="s">
        <v>2376</v>
      </c>
      <c r="E531" s="1279"/>
      <c r="F531" s="1279"/>
      <c r="I531" s="524" t="s">
        <v>2097</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75" customHeight="1">
      <c r="A543" s="518"/>
      <c r="B543" s="519" t="s">
        <v>2753</v>
      </c>
      <c r="C543" s="521"/>
      <c r="D543" s="1308" t="s">
        <v>897</v>
      </c>
      <c r="E543" s="1308"/>
      <c r="F543" s="1308"/>
      <c r="I543" s="524" t="s">
        <v>2147</v>
      </c>
    </row>
    <row r="544" spans="1:9" ht="13.75" customHeight="1">
      <c r="A544" s="521"/>
      <c r="B544" s="521"/>
      <c r="C544" s="521"/>
      <c r="D544" s="480"/>
      <c r="I544" s="524"/>
    </row>
    <row r="545" spans="1:9">
      <c r="A545" s="518"/>
      <c r="B545" s="519" t="s">
        <v>2753</v>
      </c>
      <c r="C545" s="521"/>
      <c r="D545" s="1279" t="s">
        <v>1140</v>
      </c>
      <c r="E545" s="1279"/>
      <c r="F545" s="1279"/>
      <c r="I545" s="524" t="s">
        <v>2147</v>
      </c>
    </row>
    <row r="546" spans="1:9">
      <c r="A546" s="521"/>
      <c r="B546" s="521"/>
      <c r="C546" s="521"/>
      <c r="D546" s="1279"/>
      <c r="E546" s="1279"/>
      <c r="F546" s="1279"/>
      <c r="I546" s="524"/>
    </row>
    <row r="547" spans="1:9">
      <c r="A547" s="521"/>
      <c r="B547" s="521"/>
      <c r="C547" s="521"/>
      <c r="D547" s="480"/>
      <c r="E547" s="480"/>
      <c r="F547" s="480"/>
      <c r="I547" s="524"/>
    </row>
    <row r="548" spans="1:9">
      <c r="A548" s="518"/>
      <c r="B548" s="519" t="s">
        <v>2753</v>
      </c>
      <c r="C548" s="521"/>
      <c r="D548" s="1279" t="s">
        <v>1141</v>
      </c>
      <c r="E548" s="1279"/>
      <c r="F548" s="1279"/>
      <c r="I548" s="524" t="s">
        <v>2098</v>
      </c>
    </row>
    <row r="549" spans="1:9">
      <c r="A549" s="521"/>
      <c r="B549" s="521"/>
      <c r="C549" s="521"/>
      <c r="D549" s="1279"/>
      <c r="E549" s="1279"/>
      <c r="F549" s="1279"/>
      <c r="I549" s="524"/>
    </row>
    <row r="550" spans="1:9">
      <c r="A550" s="521"/>
      <c r="B550" s="521"/>
      <c r="C550" s="521"/>
      <c r="D550" s="480"/>
      <c r="E550" s="480"/>
      <c r="F550" s="480"/>
      <c r="I550" s="524"/>
    </row>
    <row r="551" spans="1:9">
      <c r="A551" s="518"/>
      <c r="B551" s="519" t="s">
        <v>2753</v>
      </c>
      <c r="C551" s="521"/>
      <c r="D551" s="1279" t="s">
        <v>1142</v>
      </c>
      <c r="E551" s="1279"/>
      <c r="F551" s="1279"/>
      <c r="I551" s="524" t="s">
        <v>2099</v>
      </c>
    </row>
    <row r="552" spans="1:9">
      <c r="A552" s="521"/>
      <c r="B552" s="521"/>
      <c r="C552" s="521"/>
      <c r="D552" s="1279"/>
      <c r="E552" s="1279"/>
      <c r="F552" s="1279"/>
      <c r="I552" s="524"/>
    </row>
    <row r="553" spans="1:9">
      <c r="A553" s="521"/>
      <c r="B553" s="521"/>
      <c r="C553" s="521"/>
      <c r="D553" s="480"/>
      <c r="E553" s="480"/>
      <c r="F553" s="480"/>
      <c r="I553" s="524"/>
    </row>
    <row r="554" spans="1:9">
      <c r="A554" s="518"/>
      <c r="B554" s="519" t="s">
        <v>2753</v>
      </c>
      <c r="C554" s="521"/>
      <c r="D554" s="1279" t="s">
        <v>1143</v>
      </c>
      <c r="E554" s="1279"/>
      <c r="F554" s="1279"/>
      <c r="I554" s="524" t="s">
        <v>2148</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c r="A558" s="518"/>
      <c r="B558" s="519" t="s">
        <v>2700</v>
      </c>
      <c r="C558" s="521"/>
      <c r="D558" s="1279" t="s">
        <v>1261</v>
      </c>
      <c r="E558" s="1279"/>
      <c r="F558" s="1279"/>
      <c r="I558" s="524" t="s">
        <v>2147</v>
      </c>
    </row>
    <row r="559" spans="1:9">
      <c r="A559" s="521"/>
      <c r="B559" s="521"/>
      <c r="C559" s="521"/>
      <c r="D559" s="1279"/>
      <c r="E559" s="1279"/>
      <c r="F559" s="1279"/>
      <c r="I559" s="524"/>
    </row>
    <row r="560" spans="1:9">
      <c r="A560" s="521"/>
      <c r="B560" s="521"/>
      <c r="C560" s="521"/>
      <c r="D560" s="480"/>
      <c r="E560" s="480"/>
      <c r="F560" s="480"/>
      <c r="I560" s="524"/>
    </row>
    <row r="561" spans="1:9">
      <c r="A561" s="518"/>
      <c r="B561" s="519" t="s">
        <v>2753</v>
      </c>
      <c r="C561" s="521"/>
      <c r="D561" s="1279" t="s">
        <v>1145</v>
      </c>
      <c r="E561" s="1279"/>
      <c r="F561" s="1279"/>
      <c r="I561" s="524" t="s">
        <v>2147</v>
      </c>
    </row>
    <row r="562" spans="1:9">
      <c r="A562" s="521"/>
      <c r="B562" s="521"/>
      <c r="C562" s="521"/>
      <c r="D562" s="1279"/>
      <c r="E562" s="1279"/>
      <c r="F562" s="1279"/>
      <c r="I562" s="524"/>
    </row>
    <row r="563" spans="1:9">
      <c r="A563" s="521"/>
      <c r="B563" s="521"/>
      <c r="C563" s="521"/>
      <c r="D563" s="480"/>
      <c r="E563" s="480"/>
      <c r="F563" s="480"/>
      <c r="I563" s="524"/>
    </row>
    <row r="564" spans="1:9">
      <c r="A564" s="518"/>
      <c r="B564" s="519" t="s">
        <v>2753</v>
      </c>
      <c r="C564" s="521"/>
      <c r="D564" s="1308" t="s">
        <v>1146</v>
      </c>
      <c r="E564" s="1308"/>
      <c r="F564" s="1308"/>
      <c r="I564" s="524" t="s">
        <v>2150</v>
      </c>
    </row>
    <row r="565" spans="1:9">
      <c r="A565" s="524"/>
      <c r="B565" s="524"/>
      <c r="C565" s="521"/>
      <c r="D565" s="1308" t="s">
        <v>2207</v>
      </c>
      <c r="E565" s="1308"/>
      <c r="F565" s="1308"/>
      <c r="I565" s="524"/>
    </row>
    <row r="566" spans="1:9">
      <c r="A566" s="524"/>
      <c r="B566" s="524"/>
      <c r="C566" s="521"/>
      <c r="E566" s="96" t="s">
        <v>2206</v>
      </c>
      <c r="F566" s="435"/>
      <c r="I566" s="524"/>
    </row>
    <row r="567" spans="1:9">
      <c r="A567" s="518"/>
      <c r="B567" s="518"/>
      <c r="C567" s="521"/>
      <c r="E567" s="480"/>
      <c r="F567" s="480"/>
      <c r="I567" s="524"/>
    </row>
    <row r="568" spans="1:9">
      <c r="A568" s="518"/>
      <c r="B568" s="519" t="s">
        <v>2753</v>
      </c>
      <c r="C568" s="521"/>
      <c r="D568" s="1308" t="s">
        <v>1148</v>
      </c>
      <c r="E568" s="1308"/>
      <c r="F568" s="1308"/>
      <c r="I568" s="524" t="s">
        <v>2100</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c r="A573" s="518"/>
      <c r="B573" s="519" t="s">
        <v>2753</v>
      </c>
      <c r="C573" s="521"/>
      <c r="D573" s="1279" t="s">
        <v>2377</v>
      </c>
      <c r="E573" s="1279"/>
      <c r="F573" s="1279"/>
      <c r="I573" s="524" t="s">
        <v>2101</v>
      </c>
    </row>
    <row r="574" spans="1:9">
      <c r="A574" s="518"/>
      <c r="B574" s="518"/>
      <c r="C574" s="521"/>
      <c r="D574" s="1279"/>
      <c r="E574" s="1279"/>
      <c r="F574" s="1279"/>
      <c r="I574" s="524"/>
    </row>
    <row r="575" spans="1:9">
      <c r="A575" s="518"/>
      <c r="B575" s="518"/>
      <c r="C575" s="521"/>
      <c r="D575" s="1279"/>
      <c r="E575" s="1279"/>
      <c r="F575" s="1279"/>
      <c r="I575" s="524"/>
    </row>
    <row r="576" spans="1:9">
      <c r="A576" s="518"/>
      <c r="B576" s="518"/>
      <c r="C576" s="521"/>
      <c r="D576" s="1279"/>
      <c r="E576" s="1279"/>
      <c r="F576" s="1279"/>
      <c r="I576" s="524"/>
    </row>
    <row r="577" spans="1:9">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2102</v>
      </c>
    </row>
    <row r="583" spans="1:9">
      <c r="A583" s="517"/>
      <c r="B583" s="519" t="s">
        <v>2753</v>
      </c>
      <c r="D583" s="1301" t="s">
        <v>903</v>
      </c>
      <c r="E583" s="1301"/>
      <c r="F583" s="1301"/>
      <c r="I583" s="524"/>
    </row>
    <row r="584" spans="1:9">
      <c r="A584" s="524"/>
      <c r="B584" s="524"/>
      <c r="D584" s="510"/>
      <c r="I584" s="524"/>
    </row>
    <row r="585" spans="1:9">
      <c r="A585" s="524"/>
      <c r="B585" s="519" t="s">
        <v>2753</v>
      </c>
      <c r="D585" s="1301" t="s">
        <v>2378</v>
      </c>
      <c r="E585" s="1301"/>
      <c r="F585" s="1301"/>
      <c r="I585" s="524" t="s">
        <v>2104</v>
      </c>
    </row>
    <row r="586" spans="1:9">
      <c r="A586" s="524"/>
      <c r="B586" s="524"/>
      <c r="D586" s="1301"/>
      <c r="E586" s="1301"/>
      <c r="F586" s="1301"/>
      <c r="I586" s="524" t="s">
        <v>2103</v>
      </c>
    </row>
    <row r="587" spans="1:9">
      <c r="A587" s="524"/>
      <c r="B587" s="524"/>
      <c r="D587" s="1301"/>
      <c r="E587" s="1301"/>
      <c r="F587" s="1301"/>
      <c r="I587" s="524"/>
    </row>
    <row r="588" spans="1:9">
      <c r="A588" s="524"/>
      <c r="B588" s="524"/>
      <c r="D588" s="1301"/>
      <c r="E588" s="1301"/>
      <c r="F588" s="1301"/>
      <c r="I588" s="524"/>
    </row>
    <row r="589" spans="1:9">
      <c r="A589" s="524"/>
      <c r="B589" s="519" t="s">
        <v>2700</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2753</v>
      </c>
      <c r="D594" s="1301" t="s">
        <v>2379</v>
      </c>
      <c r="E594" s="1301"/>
      <c r="F594" s="1301"/>
      <c r="I594" s="524"/>
    </row>
    <row r="595" spans="1:9">
      <c r="A595" s="524"/>
      <c r="B595" s="524"/>
      <c r="D595" s="1301"/>
      <c r="E595" s="1301"/>
      <c r="F595" s="1301"/>
      <c r="I595" s="524"/>
    </row>
    <row r="596" spans="1:9">
      <c r="A596" s="524"/>
      <c r="B596" s="524"/>
      <c r="D596" s="533"/>
      <c r="I596" s="524"/>
    </row>
    <row r="597" spans="1:9">
      <c r="A597" s="524"/>
      <c r="B597" s="519" t="s">
        <v>2700</v>
      </c>
      <c r="D597" s="1301" t="s">
        <v>1103</v>
      </c>
      <c r="E597" s="1301"/>
      <c r="F597" s="1301"/>
      <c r="I597" s="524" t="s">
        <v>2151</v>
      </c>
    </row>
    <row r="598" spans="1:9">
      <c r="A598" s="524"/>
      <c r="B598" s="524"/>
      <c r="D598" s="1301"/>
      <c r="E598" s="1301"/>
      <c r="F598" s="1301"/>
      <c r="I598" s="524"/>
    </row>
    <row r="599" spans="1:9">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2753</v>
      </c>
      <c r="D605" s="1342" t="s">
        <v>2208</v>
      </c>
      <c r="E605" s="1342"/>
      <c r="F605" s="1342"/>
      <c r="I605" s="524" t="s">
        <v>2132</v>
      </c>
    </row>
    <row r="606" spans="1:9">
      <c r="D606" s="1342"/>
      <c r="E606" s="1342"/>
      <c r="F606" s="1342"/>
      <c r="I606" s="524"/>
    </row>
    <row r="607" spans="1:9">
      <c r="D607" s="416"/>
      <c r="E607" s="1071" t="s">
        <v>2209</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2753</v>
      </c>
      <c r="D615" s="1281" t="s">
        <v>1189</v>
      </c>
      <c r="E615" s="1281"/>
      <c r="F615" s="1281"/>
      <c r="I615" s="524" t="s">
        <v>2152</v>
      </c>
    </row>
    <row r="616" spans="1:9">
      <c r="D616" s="1281"/>
      <c r="E616" s="1281"/>
      <c r="F616" s="1281"/>
      <c r="I616" s="524"/>
    </row>
    <row r="617" spans="1:9">
      <c r="I617" s="524"/>
    </row>
    <row r="618" spans="1:9">
      <c r="B618" s="519" t="s">
        <v>2753</v>
      </c>
      <c r="D618" s="1281" t="s">
        <v>1190</v>
      </c>
      <c r="E618" s="1281"/>
      <c r="F618" s="1281"/>
      <c r="I618" s="524" t="s">
        <v>2105</v>
      </c>
    </row>
    <row r="619" spans="1:9">
      <c r="C619" s="534"/>
      <c r="D619" s="1281"/>
      <c r="E619" s="1281"/>
      <c r="F619" s="1281"/>
      <c r="I619" s="524"/>
    </row>
    <row r="620" spans="1:9">
      <c r="C620" s="534"/>
      <c r="I620" s="524"/>
    </row>
    <row r="621" spans="1:9">
      <c r="B621" s="519" t="s">
        <v>2700</v>
      </c>
      <c r="C621" s="534"/>
      <c r="D621" s="1281" t="s">
        <v>1191</v>
      </c>
      <c r="E621" s="1281"/>
      <c r="F621" s="1281"/>
      <c r="I621" s="524" t="s">
        <v>2153</v>
      </c>
    </row>
    <row r="622" spans="1:9">
      <c r="C622" s="534"/>
      <c r="D622" s="1281"/>
      <c r="E622" s="1281"/>
      <c r="F622" s="1281"/>
      <c r="I622" s="534" t="s">
        <v>2154</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2753</v>
      </c>
      <c r="D628" s="1342" t="s">
        <v>2380</v>
      </c>
      <c r="E628" s="1342"/>
      <c r="F628" s="1342"/>
      <c r="I628" s="524" t="s">
        <v>2133</v>
      </c>
    </row>
    <row r="629" spans="1:9">
      <c r="D629" s="1342"/>
      <c r="E629" s="1342"/>
      <c r="F629" s="1342"/>
      <c r="I629" s="524"/>
    </row>
    <row r="630" spans="1:9">
      <c r="D630" s="416"/>
      <c r="E630" s="1071" t="s">
        <v>2211</v>
      </c>
      <c r="F630" s="416"/>
      <c r="I630" s="524"/>
    </row>
    <row r="631" spans="1:9">
      <c r="D631" s="1279" t="s">
        <v>2210</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c r="A635" s="518"/>
      <c r="B635" s="519" t="s">
        <v>2700</v>
      </c>
      <c r="D635" s="1279" t="s">
        <v>1194</v>
      </c>
      <c r="E635" s="1279"/>
      <c r="F635" s="1279"/>
      <c r="I635" s="524" t="s">
        <v>2155</v>
      </c>
    </row>
    <row r="636" spans="1:9">
      <c r="A636" s="521"/>
      <c r="B636" s="521"/>
      <c r="C636" s="521"/>
      <c r="D636" s="1279"/>
      <c r="E636" s="1279"/>
      <c r="F636" s="1279"/>
      <c r="I636" s="524"/>
    </row>
    <row r="637" spans="1:9">
      <c r="A637" s="521"/>
      <c r="B637" s="521"/>
      <c r="C637" s="521"/>
      <c r="D637" s="480"/>
      <c r="E637" s="480"/>
      <c r="F637" s="480"/>
      <c r="I637" s="524"/>
    </row>
    <row r="638" spans="1:9">
      <c r="A638" s="518"/>
      <c r="B638" s="519" t="s">
        <v>2700</v>
      </c>
      <c r="C638" s="521"/>
      <c r="D638" s="1279" t="s">
        <v>1333</v>
      </c>
      <c r="E638" s="1279"/>
      <c r="F638" s="1279"/>
      <c r="I638" s="524" t="s">
        <v>2106</v>
      </c>
    </row>
    <row r="639" spans="1:9">
      <c r="A639" s="518"/>
      <c r="B639" s="518"/>
      <c r="C639" s="521"/>
      <c r="D639" s="1279"/>
      <c r="E639" s="1279"/>
      <c r="F639" s="1279"/>
      <c r="I639" s="524"/>
    </row>
    <row r="640" spans="1:9">
      <c r="A640" s="518"/>
      <c r="B640" s="518"/>
      <c r="C640" s="521"/>
      <c r="D640" s="1279"/>
      <c r="E640" s="1279"/>
      <c r="F640" s="1279"/>
      <c r="I640" s="524"/>
    </row>
    <row r="641" spans="1:9">
      <c r="A641" s="521"/>
      <c r="B641" s="519" t="s">
        <v>2700</v>
      </c>
      <c r="C641" s="521"/>
      <c r="D641" s="1308" t="s">
        <v>1196</v>
      </c>
      <c r="E641" s="1308"/>
      <c r="F641" s="1308"/>
      <c r="I641" s="524" t="s">
        <v>2106</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2700</v>
      </c>
      <c r="C648" s="521"/>
      <c r="D648" s="1279" t="s">
        <v>1391</v>
      </c>
      <c r="E648" s="1279"/>
      <c r="F648" s="1279"/>
      <c r="I648" s="524" t="s">
        <v>2158</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5" customHeight="1">
      <c r="A653" s="517"/>
      <c r="B653" s="519" t="s">
        <v>2700</v>
      </c>
      <c r="C653" s="521"/>
      <c r="D653" s="1279" t="s">
        <v>1393</v>
      </c>
      <c r="E653" s="1279"/>
      <c r="F653" s="1279"/>
      <c r="I653" s="524" t="s">
        <v>2158</v>
      </c>
    </row>
    <row r="654" spans="1:9">
      <c r="A654" s="517"/>
      <c r="B654" s="518"/>
      <c r="C654" s="521"/>
      <c r="D654" s="1279"/>
      <c r="E654" s="1279"/>
      <c r="F654" s="1279"/>
      <c r="I654" s="524"/>
    </row>
    <row r="655" spans="1:9">
      <c r="A655" s="517"/>
      <c r="B655" s="518"/>
      <c r="C655" s="521"/>
      <c r="D655" s="1279"/>
      <c r="E655" s="1279"/>
      <c r="F655" s="1279"/>
      <c r="I655" s="524"/>
    </row>
    <row r="656" spans="1:9">
      <c r="A656" s="517"/>
      <c r="B656" s="518"/>
      <c r="C656" s="521"/>
      <c r="D656" s="1279"/>
      <c r="E656" s="1279"/>
      <c r="F656" s="1279"/>
      <c r="I656" s="524"/>
    </row>
    <row r="657" spans="1:9">
      <c r="A657" s="517"/>
      <c r="B657" s="518"/>
      <c r="C657" s="521"/>
      <c r="D657" s="1279"/>
      <c r="E657" s="1279"/>
      <c r="F657" s="1279"/>
      <c r="I657" s="524"/>
    </row>
    <row r="658" spans="1:9" ht="14.25" customHeight="1">
      <c r="A658" s="517"/>
      <c r="B658" s="518"/>
      <c r="C658" s="521"/>
      <c r="F658" s="417"/>
      <c r="I658" s="524"/>
    </row>
    <row r="659" spans="1:9" ht="12.75" customHeight="1">
      <c r="A659" s="517"/>
      <c r="B659" s="519" t="s">
        <v>2700</v>
      </c>
      <c r="C659" s="521"/>
      <c r="D659" s="1279" t="s">
        <v>1392</v>
      </c>
      <c r="E659" s="1279"/>
      <c r="F659" s="1279"/>
      <c r="I659" s="524" t="s">
        <v>2158</v>
      </c>
    </row>
    <row r="660" spans="1:9">
      <c r="A660" s="517"/>
      <c r="B660" s="518"/>
      <c r="C660" s="521"/>
      <c r="D660" s="1279"/>
      <c r="E660" s="1279"/>
      <c r="F660" s="1279"/>
      <c r="I660" s="524"/>
    </row>
    <row r="661" spans="1:9">
      <c r="A661" s="518"/>
      <c r="B661" s="518"/>
      <c r="C661" s="521"/>
      <c r="D661" s="1279"/>
      <c r="E661" s="1279"/>
      <c r="F661" s="1279"/>
      <c r="I661" s="524"/>
    </row>
    <row r="662" spans="1:9">
      <c r="A662" s="518"/>
      <c r="B662" s="518"/>
      <c r="C662" s="521"/>
      <c r="D662" s="1279"/>
      <c r="E662" s="1279"/>
      <c r="F662" s="1279"/>
      <c r="I662" s="524"/>
    </row>
    <row r="663" spans="1:9">
      <c r="A663" s="518"/>
      <c r="B663" s="518"/>
      <c r="C663" s="521"/>
      <c r="D663" s="479"/>
      <c r="E663" s="479"/>
      <c r="F663" s="479"/>
      <c r="I663" s="524"/>
    </row>
    <row r="664" spans="1:9" ht="12.75" customHeight="1">
      <c r="A664" s="517"/>
      <c r="B664" s="519" t="s">
        <v>2700</v>
      </c>
      <c r="C664" s="521"/>
      <c r="D664" s="1279" t="s">
        <v>2381</v>
      </c>
      <c r="E664" s="1279"/>
      <c r="F664" s="1279"/>
      <c r="I664" s="524" t="s">
        <v>2158</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c r="A680" s="518"/>
      <c r="B680" s="519" t="s">
        <v>2700</v>
      </c>
      <c r="C680" s="517"/>
      <c r="D680" s="1308" t="s">
        <v>899</v>
      </c>
      <c r="E680" s="1308"/>
      <c r="F680" s="1308"/>
      <c r="H680" s="535"/>
      <c r="I680" s="517" t="s">
        <v>2134</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2213</v>
      </c>
      <c r="F682" s="451"/>
      <c r="H682" s="535"/>
      <c r="I682" s="517"/>
      <c r="J682" s="535"/>
      <c r="K682" s="535"/>
    </row>
    <row r="683" spans="1:11">
      <c r="A683" s="517"/>
      <c r="B683" s="517"/>
      <c r="C683" s="517"/>
      <c r="E683" s="535" t="s">
        <v>2212</v>
      </c>
      <c r="F683" s="451"/>
      <c r="I683" s="517"/>
      <c r="J683" s="535"/>
      <c r="K683" s="535"/>
    </row>
    <row r="684" spans="1:11">
      <c r="A684" s="517"/>
      <c r="B684" s="517"/>
      <c r="C684" s="517"/>
      <c r="D684" s="536"/>
      <c r="E684" s="480"/>
      <c r="H684" s="535"/>
      <c r="I684" s="517"/>
      <c r="J684" s="535"/>
      <c r="K684" s="535"/>
    </row>
    <row r="685" spans="1:11">
      <c r="A685" s="518"/>
      <c r="B685" s="519" t="s">
        <v>2700</v>
      </c>
      <c r="C685" s="517"/>
      <c r="D685" s="1279" t="s">
        <v>2382</v>
      </c>
      <c r="E685" s="1279"/>
      <c r="F685" s="1279"/>
      <c r="H685" s="535"/>
      <c r="I685" s="517" t="s">
        <v>2156</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2135</v>
      </c>
      <c r="J688" s="535"/>
      <c r="K688" s="535"/>
    </row>
    <row r="689" spans="1:11">
      <c r="A689" s="518"/>
      <c r="B689" s="519" t="s">
        <v>2700</v>
      </c>
      <c r="C689" s="517"/>
      <c r="D689" s="1308" t="s">
        <v>937</v>
      </c>
      <c r="E689" s="1308"/>
      <c r="F689" s="1308"/>
      <c r="H689" s="535"/>
      <c r="I689" s="517"/>
      <c r="J689" s="535"/>
      <c r="K689" s="535"/>
    </row>
    <row r="690" spans="1:11">
      <c r="A690" s="518"/>
      <c r="B690" s="518"/>
      <c r="C690" s="517"/>
      <c r="D690" s="1308" t="s">
        <v>909</v>
      </c>
      <c r="E690" s="1308"/>
      <c r="F690" s="1308"/>
      <c r="H690" s="535"/>
      <c r="I690" s="517"/>
      <c r="J690" s="535"/>
      <c r="K690" s="535"/>
    </row>
    <row r="691" spans="1:11">
      <c r="A691" s="517"/>
      <c r="B691" s="517"/>
      <c r="C691" s="517"/>
      <c r="E691" s="1071" t="s">
        <v>2214</v>
      </c>
      <c r="F691" s="435"/>
      <c r="H691" s="535"/>
      <c r="I691" s="517"/>
      <c r="J691" s="535"/>
      <c r="K691" s="535"/>
    </row>
    <row r="692" spans="1:11">
      <c r="A692" s="517"/>
      <c r="B692" s="517"/>
      <c r="C692" s="517"/>
      <c r="D692" s="435"/>
      <c r="H692" s="535"/>
      <c r="I692" s="517"/>
      <c r="J692" s="535"/>
      <c r="K692" s="535"/>
    </row>
    <row r="693" spans="1:11">
      <c r="A693" s="518"/>
      <c r="B693" s="519" t="s">
        <v>2700</v>
      </c>
      <c r="C693" s="517"/>
      <c r="D693" s="1279" t="s">
        <v>1137</v>
      </c>
      <c r="E693" s="1279"/>
      <c r="F693" s="1279"/>
      <c r="H693" s="535"/>
      <c r="I693" s="517" t="s">
        <v>2107</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2700</v>
      </c>
      <c r="C700" s="517"/>
      <c r="D700" s="1279" t="s">
        <v>1308</v>
      </c>
      <c r="E700" s="1279"/>
      <c r="F700" s="1279"/>
      <c r="H700" s="535"/>
      <c r="I700" s="517" t="s">
        <v>2107</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c r="A703" s="518"/>
      <c r="B703" s="519" t="s">
        <v>2700</v>
      </c>
      <c r="C703" s="517"/>
      <c r="D703" s="1279" t="s">
        <v>1128</v>
      </c>
      <c r="E703" s="1279"/>
      <c r="F703" s="1279"/>
      <c r="H703" s="535"/>
      <c r="I703" s="517" t="s">
        <v>2107</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2700</v>
      </c>
      <c r="C716" s="517"/>
      <c r="D716" s="1279" t="s">
        <v>1135</v>
      </c>
      <c r="E716" s="1279"/>
      <c r="F716" s="1279"/>
      <c r="H716" s="535"/>
      <c r="I716" s="517" t="s">
        <v>2157</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2700</v>
      </c>
      <c r="C719" s="517"/>
      <c r="D719" s="1279" t="s">
        <v>1129</v>
      </c>
      <c r="E719" s="1279"/>
      <c r="F719" s="1279"/>
      <c r="H719" s="535"/>
      <c r="I719" s="517" t="s">
        <v>2157</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2700</v>
      </c>
      <c r="C723" s="517"/>
      <c r="D723" s="1279" t="s">
        <v>1130</v>
      </c>
      <c r="E723" s="1279"/>
      <c r="F723" s="1279"/>
      <c r="H723" s="535"/>
      <c r="I723" s="517" t="s">
        <v>2157</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c r="A727" s="518"/>
      <c r="B727" s="519" t="s">
        <v>2700</v>
      </c>
      <c r="C727" s="517"/>
      <c r="D727" s="1279" t="s">
        <v>1131</v>
      </c>
      <c r="E727" s="1279"/>
      <c r="F727" s="1279"/>
      <c r="H727" s="535"/>
      <c r="I727" s="517" t="s">
        <v>2108</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c r="A732" s="518"/>
      <c r="B732" s="519" t="s">
        <v>2700</v>
      </c>
      <c r="C732" s="517"/>
      <c r="D732" s="1279" t="s">
        <v>2505</v>
      </c>
      <c r="E732" s="1279"/>
      <c r="F732" s="1279"/>
      <c r="H732" s="535"/>
      <c r="I732" s="517" t="s">
        <v>2124</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2391</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c r="A746" s="518"/>
      <c r="B746" s="519" t="s">
        <v>2753</v>
      </c>
      <c r="D746" s="1279" t="s">
        <v>1107</v>
      </c>
      <c r="E746" s="1279"/>
      <c r="F746" s="1279"/>
      <c r="G746" s="535"/>
      <c r="H746" s="535"/>
      <c r="I746" s="517" t="s">
        <v>2109</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c r="A753" s="537"/>
      <c r="B753" s="519" t="s">
        <v>2753</v>
      </c>
      <c r="C753" s="538"/>
      <c r="D753" s="1279" t="s">
        <v>1349</v>
      </c>
      <c r="E753" s="1279"/>
      <c r="F753" s="1279"/>
      <c r="I753" s="1261" t="s">
        <v>2109</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c r="A758" s="518"/>
      <c r="B758" s="519" t="s">
        <v>2700</v>
      </c>
      <c r="C758" s="538"/>
      <c r="D758" s="1281" t="s">
        <v>1350</v>
      </c>
      <c r="E758" s="1281"/>
      <c r="F758" s="1281"/>
      <c r="I758" s="1261" t="s">
        <v>2110</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c r="A762" s="518"/>
      <c r="B762" s="519" t="s">
        <v>2700</v>
      </c>
      <c r="D762" s="1279" t="s">
        <v>1305</v>
      </c>
      <c r="E762" s="1279"/>
      <c r="F762" s="1279"/>
      <c r="G762" s="535"/>
      <c r="H762" s="535"/>
      <c r="I762" s="517" t="s">
        <v>2109</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2700</v>
      </c>
      <c r="D765" s="1279" t="s">
        <v>1322</v>
      </c>
      <c r="E765" s="1279"/>
      <c r="F765" s="1279"/>
      <c r="G765" s="535"/>
      <c r="H765" s="535"/>
      <c r="I765" s="517" t="s">
        <v>2109</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1992</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2046</v>
      </c>
      <c r="E771" s="1343"/>
      <c r="F771" s="1343"/>
      <c r="G771" s="3"/>
      <c r="I771" s="524"/>
    </row>
    <row r="772" spans="1:9">
      <c r="A772" s="57"/>
      <c r="B772" s="57"/>
      <c r="C772" s="385"/>
      <c r="D772" s="1312" t="s">
        <v>1945</v>
      </c>
      <c r="E772" s="1312"/>
      <c r="F772" s="1312"/>
      <c r="G772" s="3"/>
      <c r="I772" s="524"/>
    </row>
    <row r="773" spans="1:9">
      <c r="A773" s="57"/>
      <c r="B773" s="57"/>
      <c r="C773" s="385"/>
      <c r="D773" s="481"/>
      <c r="E773" s="481"/>
      <c r="F773" s="481"/>
      <c r="G773" s="3"/>
      <c r="I773" s="524"/>
    </row>
    <row r="774" spans="1:9">
      <c r="A774" s="57"/>
      <c r="B774" s="519" t="s">
        <v>2700</v>
      </c>
      <c r="C774" s="385"/>
      <c r="D774" s="1297" t="s">
        <v>1946</v>
      </c>
      <c r="E774" s="1297"/>
      <c r="F774" s="1297"/>
      <c r="G774" s="3"/>
      <c r="I774" s="517" t="s">
        <v>2159</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2700</v>
      </c>
      <c r="C778" s="172"/>
      <c r="D778" s="1297" t="s">
        <v>1947</v>
      </c>
      <c r="E778" s="1297"/>
      <c r="F778" s="1297"/>
      <c r="G778" s="3"/>
      <c r="I778" s="517" t="s">
        <v>2159</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c r="A782" s="176"/>
      <c r="B782" s="519" t="s">
        <v>2700</v>
      </c>
      <c r="C782" s="1024"/>
      <c r="D782" s="1297" t="s">
        <v>1948</v>
      </c>
      <c r="E782" s="1297"/>
      <c r="F782" s="1297"/>
      <c r="G782" s="1023"/>
      <c r="I782" s="517" t="s">
        <v>2159</v>
      </c>
    </row>
    <row r="783" spans="1:9">
      <c r="A783" s="176"/>
      <c r="B783" s="176"/>
      <c r="C783" s="1024"/>
      <c r="D783" s="1297"/>
      <c r="E783" s="1297"/>
      <c r="F783" s="1297"/>
      <c r="G783" s="1023"/>
      <c r="I783" s="524"/>
    </row>
    <row r="784" spans="1:9">
      <c r="A784" s="176"/>
      <c r="B784" s="176"/>
      <c r="C784" s="1024"/>
      <c r="D784" s="1297"/>
      <c r="E784" s="1297"/>
      <c r="F784" s="1297"/>
      <c r="G784" s="1023"/>
      <c r="I784" s="524"/>
    </row>
    <row r="785" spans="1:9">
      <c r="A785" s="176"/>
      <c r="B785" s="176"/>
      <c r="C785" s="1024"/>
      <c r="D785" s="118"/>
      <c r="E785" s="3"/>
      <c r="F785" s="3"/>
      <c r="G785" s="1023"/>
      <c r="I785" s="524"/>
    </row>
    <row r="786" spans="1:9">
      <c r="A786" s="176"/>
      <c r="B786" s="519" t="s">
        <v>2700</v>
      </c>
      <c r="C786" s="1024"/>
      <c r="D786" s="1297" t="s">
        <v>1949</v>
      </c>
      <c r="E786" s="1297"/>
      <c r="F786" s="1297"/>
      <c r="G786" s="1023"/>
      <c r="I786" s="517" t="s">
        <v>2159</v>
      </c>
    </row>
    <row r="787" spans="1:9">
      <c r="A787" s="176"/>
      <c r="B787" s="176"/>
      <c r="C787" s="1024"/>
      <c r="D787" s="1297"/>
      <c r="E787" s="1297"/>
      <c r="F787" s="1297"/>
      <c r="G787" s="1023"/>
      <c r="I787" s="524"/>
    </row>
    <row r="788" spans="1:9">
      <c r="A788" s="176"/>
      <c r="B788" s="176"/>
      <c r="C788" s="1024"/>
      <c r="D788" s="1297"/>
      <c r="E788" s="1297"/>
      <c r="F788" s="1297"/>
      <c r="G788" s="1023"/>
      <c r="I788" s="524"/>
    </row>
    <row r="789" spans="1:9">
      <c r="A789" s="176"/>
      <c r="B789" s="176"/>
      <c r="C789" s="1024"/>
      <c r="D789" s="1297"/>
      <c r="E789" s="1297"/>
      <c r="F789" s="1297"/>
      <c r="G789" s="1023"/>
      <c r="I789" s="524"/>
    </row>
    <row r="790" spans="1:9">
      <c r="A790" s="176"/>
      <c r="B790" s="176"/>
      <c r="C790" s="1024"/>
      <c r="D790" s="1297"/>
      <c r="E790" s="1297"/>
      <c r="F790" s="1297"/>
      <c r="G790" s="1023"/>
      <c r="I790" s="524"/>
    </row>
    <row r="791" spans="1:9">
      <c r="A791" s="176"/>
      <c r="B791" s="176"/>
      <c r="C791" s="1024"/>
      <c r="D791" s="1297"/>
      <c r="E791" s="1297"/>
      <c r="F791" s="1297"/>
      <c r="G791" s="1023"/>
      <c r="I791" s="524"/>
    </row>
    <row r="792" spans="1:9">
      <c r="A792" s="176"/>
      <c r="B792" s="176"/>
      <c r="C792" s="1024"/>
      <c r="D792" s="1297" t="s">
        <v>1993</v>
      </c>
      <c r="E792" s="1297"/>
      <c r="F792" s="1297"/>
      <c r="G792" s="1023"/>
      <c r="I792" s="524"/>
    </row>
    <row r="793" spans="1:9">
      <c r="A793" s="176"/>
      <c r="B793" s="176"/>
      <c r="C793" s="1024"/>
      <c r="D793" s="1297"/>
      <c r="E793" s="1297"/>
      <c r="F793" s="1297"/>
      <c r="G793" s="1023"/>
      <c r="I793" s="524"/>
    </row>
    <row r="794" spans="1:9">
      <c r="A794" s="176"/>
      <c r="B794" s="176"/>
      <c r="C794" s="1024"/>
      <c r="D794" s="1297"/>
      <c r="E794" s="1297"/>
      <c r="F794" s="1297"/>
      <c r="G794" s="1023"/>
      <c r="I794" s="524"/>
    </row>
    <row r="795" spans="1:9">
      <c r="A795" s="176"/>
      <c r="B795" s="385"/>
      <c r="C795" s="1024"/>
      <c r="D795" s="1025"/>
      <c r="E795" s="1025"/>
      <c r="F795" s="1025"/>
      <c r="G795" s="1023"/>
      <c r="I795" s="524"/>
    </row>
    <row r="796" spans="1:9">
      <c r="A796" s="176"/>
      <c r="B796" s="519" t="s">
        <v>2700</v>
      </c>
      <c r="C796" s="1024"/>
      <c r="D796" s="1297" t="s">
        <v>1950</v>
      </c>
      <c r="E796" s="1297"/>
      <c r="F796" s="1297"/>
      <c r="G796" s="1023"/>
      <c r="I796" s="517" t="s">
        <v>2159</v>
      </c>
    </row>
    <row r="797" spans="1:9">
      <c r="A797" s="176"/>
      <c r="B797" s="176"/>
      <c r="C797" s="1024"/>
      <c r="D797" s="1297"/>
      <c r="E797" s="1297"/>
      <c r="F797" s="1297"/>
      <c r="G797" s="1023"/>
      <c r="I797" s="524"/>
    </row>
    <row r="798" spans="1:9">
      <c r="A798" s="176"/>
      <c r="B798" s="176"/>
      <c r="C798" s="1024"/>
      <c r="D798" s="1297"/>
      <c r="E798" s="1297"/>
      <c r="F798" s="1297"/>
      <c r="G798" s="1023"/>
      <c r="I798" s="524"/>
    </row>
    <row r="799" spans="1:9">
      <c r="A799" s="176"/>
      <c r="B799" s="176"/>
      <c r="C799" s="1024"/>
      <c r="D799" s="1297"/>
      <c r="E799" s="1297"/>
      <c r="F799" s="1297"/>
      <c r="G799" s="1023"/>
      <c r="I799" s="524"/>
    </row>
    <row r="800" spans="1:9">
      <c r="A800" s="176"/>
      <c r="B800" s="176"/>
      <c r="C800" s="1024"/>
      <c r="D800" s="1297"/>
      <c r="E800" s="1297"/>
      <c r="F800" s="1297"/>
      <c r="G800" s="1023"/>
      <c r="I800" s="524"/>
    </row>
    <row r="801" spans="1:9">
      <c r="A801" s="176"/>
      <c r="B801" s="176"/>
      <c r="C801" s="1024"/>
      <c r="D801" s="1297"/>
      <c r="E801" s="1297"/>
      <c r="F801" s="1297"/>
      <c r="G801" s="1023"/>
      <c r="I801" s="524"/>
    </row>
    <row r="802" spans="1:9">
      <c r="A802" s="176"/>
      <c r="B802" s="176"/>
      <c r="C802" s="1024"/>
      <c r="D802" s="1017"/>
      <c r="E802" s="1017"/>
      <c r="F802" s="1017"/>
      <c r="G802" s="1023"/>
      <c r="I802" s="524"/>
    </row>
    <row r="803" spans="1:9">
      <c r="A803" s="176"/>
      <c r="B803" s="519" t="s">
        <v>2753</v>
      </c>
      <c r="C803" s="1024"/>
      <c r="D803" s="1297" t="s">
        <v>1951</v>
      </c>
      <c r="E803" s="1297"/>
      <c r="F803" s="1297"/>
      <c r="G803" s="1023"/>
      <c r="I803" s="517" t="s">
        <v>2159</v>
      </c>
    </row>
    <row r="804" spans="1:9">
      <c r="A804" s="176"/>
      <c r="B804" s="176"/>
      <c r="C804" s="1024"/>
      <c r="D804" s="1297"/>
      <c r="E804" s="1297"/>
      <c r="F804" s="1297"/>
      <c r="G804" s="1023"/>
      <c r="I804" s="524"/>
    </row>
    <row r="805" spans="1:9">
      <c r="A805" s="176"/>
      <c r="B805" s="176"/>
      <c r="C805" s="1024"/>
      <c r="D805" s="1297"/>
      <c r="E805" s="1297"/>
      <c r="F805" s="1297"/>
      <c r="G805" s="1023"/>
      <c r="I805" s="524"/>
    </row>
    <row r="806" spans="1:9">
      <c r="A806" s="176"/>
      <c r="B806" s="176"/>
      <c r="C806" s="1024"/>
      <c r="D806" s="1297"/>
      <c r="E806" s="1297"/>
      <c r="F806" s="1297"/>
      <c r="G806" s="1023"/>
      <c r="I806" s="524"/>
    </row>
    <row r="807" spans="1:9">
      <c r="A807" s="176"/>
      <c r="B807" s="176"/>
      <c r="C807" s="1024"/>
      <c r="D807" s="1297"/>
      <c r="E807" s="1297"/>
      <c r="F807" s="1297"/>
      <c r="G807" s="1023"/>
      <c r="I807" s="524"/>
    </row>
    <row r="808" spans="1:9">
      <c r="A808" s="176"/>
      <c r="B808" s="176"/>
      <c r="C808" s="1024"/>
      <c r="D808" s="1297"/>
      <c r="E808" s="1297"/>
      <c r="F808" s="1297"/>
      <c r="G808" s="1023"/>
      <c r="I808" s="524"/>
    </row>
    <row r="809" spans="1:9">
      <c r="A809" s="176"/>
      <c r="B809" s="176"/>
      <c r="C809" s="1024"/>
      <c r="D809" s="1017"/>
      <c r="E809" s="1017"/>
      <c r="F809" s="1017"/>
      <c r="G809" s="1023"/>
      <c r="I809" s="524"/>
    </row>
    <row r="810" spans="1:9">
      <c r="A810" s="176"/>
      <c r="B810" s="519" t="s">
        <v>2700</v>
      </c>
      <c r="C810" s="1024"/>
      <c r="D810" s="1305" t="s">
        <v>1952</v>
      </c>
      <c r="E810" s="1305"/>
      <c r="F810" s="1305"/>
      <c r="G810" s="1023"/>
      <c r="I810" s="517" t="s">
        <v>2159</v>
      </c>
    </row>
    <row r="811" spans="1:9">
      <c r="A811" s="176"/>
      <c r="B811" s="176"/>
      <c r="C811" s="1024"/>
      <c r="D811" s="1305"/>
      <c r="E811" s="1305"/>
      <c r="F811" s="1305"/>
      <c r="G811" s="1023"/>
      <c r="I811" s="524"/>
    </row>
    <row r="812" spans="1:9">
      <c r="A812" s="13"/>
      <c r="B812" s="13"/>
      <c r="C812" s="1024"/>
      <c r="D812" s="1305"/>
      <c r="E812" s="1305"/>
      <c r="F812" s="1305"/>
      <c r="G812" s="1023"/>
      <c r="I812" s="524"/>
    </row>
    <row r="813" spans="1:9">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1953</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1994</v>
      </c>
      <c r="E819" s="1296"/>
      <c r="F819" s="1296"/>
      <c r="G819" s="3"/>
      <c r="I819" s="524"/>
    </row>
    <row r="820" spans="1:9" ht="14.25" customHeight="1">
      <c r="A820" s="176"/>
      <c r="B820" s="176"/>
      <c r="C820" s="385"/>
      <c r="D820" s="1264" t="s">
        <v>1954</v>
      </c>
      <c r="E820" s="1264"/>
      <c r="F820" s="1264"/>
      <c r="G820" s="3"/>
      <c r="I820" s="524"/>
    </row>
    <row r="821" spans="1:9" ht="12.75" customHeight="1">
      <c r="A821" s="176"/>
      <c r="B821" s="176"/>
      <c r="C821" s="385"/>
      <c r="D821" s="474"/>
      <c r="E821" s="474"/>
      <c r="F821" s="474"/>
      <c r="G821" s="3"/>
      <c r="I821" s="524"/>
    </row>
    <row r="822" spans="1:9" ht="12.75" customHeight="1">
      <c r="A822" s="385"/>
      <c r="B822" s="519" t="s">
        <v>2753</v>
      </c>
      <c r="C822" s="1024"/>
      <c r="D822" s="1264" t="s">
        <v>1955</v>
      </c>
      <c r="E822" s="1264"/>
      <c r="F822" s="1264"/>
      <c r="G822" s="3"/>
      <c r="I822" s="524" t="s">
        <v>2127</v>
      </c>
    </row>
    <row r="823" spans="1:9" ht="14.25" customHeight="1">
      <c r="A823" s="13"/>
      <c r="B823" s="13"/>
      <c r="C823" s="1024"/>
      <c r="E823" s="1071" t="s">
        <v>2196</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2392</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2753</v>
      </c>
      <c r="C836" s="1024"/>
      <c r="D836" s="1264" t="s">
        <v>1956</v>
      </c>
      <c r="E836" s="1264"/>
      <c r="F836" s="1264"/>
      <c r="G836" s="3"/>
      <c r="I836" s="524" t="s">
        <v>2145</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2700</v>
      </c>
      <c r="C840" s="1024"/>
      <c r="D840" s="1296" t="s">
        <v>1957</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2383</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2700</v>
      </c>
      <c r="C849" s="1024"/>
      <c r="D849" s="1264" t="s">
        <v>1958</v>
      </c>
      <c r="E849" s="1264"/>
      <c r="F849" s="1264"/>
      <c r="G849" s="3"/>
      <c r="I849" s="524" t="s">
        <v>2128</v>
      </c>
    </row>
    <row r="850" spans="1:9" ht="12.75" customHeight="1">
      <c r="A850" s="176"/>
      <c r="B850" s="176"/>
      <c r="C850" s="1024"/>
      <c r="D850" s="1264" t="s">
        <v>1959</v>
      </c>
      <c r="E850" s="1264"/>
      <c r="F850" s="1264"/>
      <c r="G850" s="3"/>
      <c r="I850" s="524"/>
    </row>
    <row r="851" spans="1:9" ht="12.75" customHeight="1">
      <c r="A851" s="176"/>
      <c r="B851" s="176"/>
      <c r="C851" s="1024"/>
      <c r="E851" s="1071" t="s">
        <v>2198</v>
      </c>
      <c r="F851" s="1073"/>
      <c r="G851" s="3"/>
      <c r="I851" s="524"/>
    </row>
    <row r="852" spans="1:9" ht="12.75" customHeight="1">
      <c r="A852" s="176"/>
      <c r="B852" s="176"/>
      <c r="C852" s="1024"/>
      <c r="D852" s="118"/>
      <c r="E852" s="3"/>
      <c r="F852" s="3"/>
      <c r="G852" s="3"/>
      <c r="I852" s="524"/>
    </row>
    <row r="853" spans="1:9" ht="12.75" customHeight="1">
      <c r="A853" s="176"/>
      <c r="B853" s="519" t="s">
        <v>2700</v>
      </c>
      <c r="C853" s="1024"/>
      <c r="D853" s="1264" t="s">
        <v>1960</v>
      </c>
      <c r="E853" s="1264"/>
      <c r="F853" s="1264"/>
      <c r="G853" s="3"/>
      <c r="I853" s="524" t="s">
        <v>2146</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1961</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1995</v>
      </c>
      <c r="E860" s="1283"/>
      <c r="F860" s="1283"/>
      <c r="G860" s="1023"/>
      <c r="I860" s="524"/>
    </row>
    <row r="861" spans="1:9" ht="12.75" customHeight="1">
      <c r="A861" s="385"/>
      <c r="B861" s="385"/>
      <c r="C861" s="175"/>
      <c r="D861" s="1340" t="s">
        <v>1962</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2753</v>
      </c>
      <c r="C863" s="385"/>
      <c r="D863" s="1284" t="s">
        <v>1963</v>
      </c>
      <c r="E863" s="1284"/>
      <c r="F863" s="1284"/>
      <c r="G863" s="1023"/>
      <c r="I863" s="524" t="s">
        <v>2128</v>
      </c>
    </row>
    <row r="864" spans="1:9" ht="12.75" customHeight="1">
      <c r="A864" s="385"/>
      <c r="B864" s="385"/>
      <c r="C864" s="385"/>
      <c r="D864" s="2" t="s">
        <v>1938</v>
      </c>
      <c r="E864" s="1071" t="s">
        <v>2198</v>
      </c>
      <c r="F864" s="1074"/>
      <c r="G864" s="1023"/>
      <c r="I864" s="524"/>
    </row>
    <row r="865" spans="1:9" ht="12.75" customHeight="1">
      <c r="A865" s="385"/>
      <c r="B865" s="385"/>
      <c r="C865" s="385"/>
      <c r="D865" s="118"/>
      <c r="E865" s="1023"/>
      <c r="F865" s="1023"/>
      <c r="G865" s="1023"/>
      <c r="I865" s="524"/>
    </row>
    <row r="866" spans="1:9" ht="12.75" customHeight="1">
      <c r="A866" s="176"/>
      <c r="B866" s="519" t="s">
        <v>2753</v>
      </c>
      <c r="C866" s="385"/>
      <c r="D866" s="1264" t="s">
        <v>1964</v>
      </c>
      <c r="E866" s="1313"/>
      <c r="F866" s="1313"/>
      <c r="G866" s="3"/>
      <c r="I866" s="524" t="s">
        <v>2146</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2700</v>
      </c>
      <c r="C869" s="385"/>
      <c r="D869" s="1344" t="s">
        <v>1965</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2383</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2700</v>
      </c>
      <c r="C878" s="385"/>
      <c r="D878" s="1288" t="s">
        <v>1958</v>
      </c>
      <c r="E878" s="1288"/>
      <c r="F878" s="1288"/>
      <c r="G878" s="1023"/>
      <c r="I878" s="524" t="s">
        <v>2128</v>
      </c>
    </row>
    <row r="879" spans="1:9" ht="12.75" customHeight="1">
      <c r="A879" s="176"/>
      <c r="B879" s="176"/>
      <c r="C879" s="385"/>
      <c r="D879" s="1288" t="s">
        <v>1959</v>
      </c>
      <c r="E879" s="1288"/>
      <c r="F879" s="1288"/>
      <c r="G879" s="1023"/>
      <c r="I879" s="524"/>
    </row>
    <row r="880" spans="1:9" ht="12.75" customHeight="1">
      <c r="A880" s="176"/>
      <c r="B880" s="176"/>
      <c r="C880" s="385"/>
      <c r="D880" s="2" t="s">
        <v>1380</v>
      </c>
      <c r="E880" s="1071" t="s">
        <v>2198</v>
      </c>
      <c r="F880" s="1075"/>
      <c r="G880" s="1023"/>
      <c r="I880" s="524"/>
    </row>
    <row r="881" spans="1:9" ht="12.75" customHeight="1">
      <c r="A881" s="176"/>
      <c r="B881" s="176"/>
      <c r="C881" s="385"/>
      <c r="D881" s="118"/>
      <c r="E881" s="1023"/>
      <c r="F881" s="1023"/>
      <c r="G881" s="1023"/>
      <c r="I881" s="524"/>
    </row>
    <row r="882" spans="1:9" ht="12.75" customHeight="1">
      <c r="A882" s="176"/>
      <c r="B882" s="519" t="s">
        <v>2700</v>
      </c>
      <c r="C882" s="385"/>
      <c r="D882" s="1264" t="s">
        <v>1960</v>
      </c>
      <c r="E882" s="1264"/>
      <c r="F882" s="1264"/>
      <c r="G882" s="1023"/>
      <c r="I882" s="524" t="s">
        <v>2146</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1996</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2002</v>
      </c>
      <c r="E889" s="1298"/>
      <c r="F889" s="1298"/>
      <c r="G889" s="57"/>
      <c r="I889" s="524"/>
    </row>
    <row r="890" spans="1:9" ht="12.75" customHeight="1">
      <c r="A890" s="57"/>
      <c r="B890" s="57"/>
      <c r="C890" s="57"/>
      <c r="D890" s="1016"/>
      <c r="E890" s="1016"/>
      <c r="F890" s="1016"/>
      <c r="G890" s="57"/>
      <c r="I890" s="524"/>
    </row>
    <row r="891" spans="1:9" ht="12.75" customHeight="1">
      <c r="A891" s="57"/>
      <c r="B891" s="519" t="s">
        <v>2753</v>
      </c>
      <c r="C891" s="57"/>
      <c r="D891" s="1019" t="s">
        <v>2003</v>
      </c>
      <c r="E891" s="1016"/>
      <c r="F891" s="1016"/>
      <c r="G891" s="57"/>
      <c r="I891" s="524" t="s">
        <v>2160</v>
      </c>
    </row>
    <row r="892" spans="1:9" ht="12.75" customHeight="1">
      <c r="A892" s="57"/>
      <c r="B892" s="57"/>
      <c r="C892" s="57"/>
      <c r="D892" s="1016"/>
      <c r="E892" s="1016"/>
      <c r="F892" s="1016"/>
      <c r="G892" s="57"/>
      <c r="I892" s="524"/>
    </row>
    <row r="893" spans="1:9" ht="12.75" customHeight="1">
      <c r="A893" s="385"/>
      <c r="B893" s="385"/>
      <c r="C893" s="1024"/>
      <c r="D893" s="1298" t="s">
        <v>1997</v>
      </c>
      <c r="E893" s="1298"/>
      <c r="F893" s="1298"/>
      <c r="G893" s="1023"/>
      <c r="I893" s="524"/>
    </row>
    <row r="894" spans="1:9" ht="12.75" customHeight="1">
      <c r="A894" s="172"/>
      <c r="B894" s="172"/>
      <c r="C894" s="172"/>
      <c r="D894" s="1284" t="s">
        <v>1966</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2753</v>
      </c>
      <c r="C896" s="385"/>
      <c r="D896" s="1264" t="s">
        <v>1970</v>
      </c>
      <c r="E896" s="1264"/>
      <c r="F896" s="1264"/>
      <c r="G896" s="3"/>
      <c r="I896" s="524" t="s">
        <v>2112</v>
      </c>
    </row>
    <row r="897" spans="1:9" ht="12.75" customHeight="1">
      <c r="A897" s="385"/>
      <c r="B897" s="385"/>
      <c r="C897" s="385"/>
      <c r="D897" s="1264"/>
      <c r="E897" s="1264"/>
      <c r="F897" s="1264"/>
      <c r="G897" s="3"/>
      <c r="I897" s="524"/>
    </row>
    <row r="898" spans="1:9" ht="12.75" customHeight="1">
      <c r="A898" s="172"/>
      <c r="B898" s="172"/>
      <c r="C898" s="172"/>
      <c r="D898" s="1264" t="s">
        <v>1969</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2753</v>
      </c>
      <c r="C901" s="175"/>
      <c r="D901" s="1268" t="s">
        <v>1967</v>
      </c>
      <c r="E901" s="1268"/>
      <c r="F901" s="1268"/>
      <c r="G901" s="1023"/>
      <c r="I901" s="524" t="s">
        <v>2111</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2700</v>
      </c>
      <c r="C910" s="1024"/>
      <c r="D910" s="1264" t="s">
        <v>1971</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2700</v>
      </c>
      <c r="C913" s="1024"/>
      <c r="D913" s="1305" t="s">
        <v>1972</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2700</v>
      </c>
      <c r="C918" s="1024"/>
      <c r="D918" s="1284" t="s">
        <v>2384</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2700</v>
      </c>
      <c r="C920" s="1024"/>
      <c r="D920" s="1284" t="s">
        <v>2385</v>
      </c>
      <c r="E920" s="1284"/>
      <c r="F920" s="1284"/>
      <c r="G920" s="1023"/>
      <c r="I920" s="524"/>
    </row>
    <row r="921" spans="1:9" ht="12.75" customHeight="1">
      <c r="A921" s="175"/>
      <c r="B921" s="175"/>
      <c r="C921" s="175"/>
      <c r="D921" s="2"/>
      <c r="E921" s="3"/>
      <c r="F921" s="1023"/>
      <c r="G921" s="1023"/>
      <c r="I921" s="524"/>
    </row>
    <row r="922" spans="1:9" ht="12.75" customHeight="1">
      <c r="A922" s="1032"/>
      <c r="B922" s="519" t="s">
        <v>2700</v>
      </c>
      <c r="C922" s="1033"/>
      <c r="D922" s="1268" t="s">
        <v>1968</v>
      </c>
      <c r="E922" s="1268"/>
      <c r="F922" s="1268"/>
      <c r="G922" s="1034"/>
      <c r="I922" s="524" t="s">
        <v>2161</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2753</v>
      </c>
      <c r="C932" s="175"/>
      <c r="D932" s="1345" t="s">
        <v>2163</v>
      </c>
      <c r="E932" s="1345"/>
      <c r="F932" s="1345"/>
      <c r="G932" s="1023"/>
      <c r="I932" s="524" t="s">
        <v>2161</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2753</v>
      </c>
      <c r="C940" s="175"/>
      <c r="D940" s="1267" t="s">
        <v>2457</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2700</v>
      </c>
      <c r="C947" s="1024"/>
      <c r="D947" s="1305" t="s">
        <v>1973</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2700</v>
      </c>
      <c r="C952" s="175"/>
      <c r="D952" s="1268" t="s">
        <v>2162</v>
      </c>
      <c r="E952" s="1268"/>
      <c r="F952" s="1268"/>
      <c r="G952" s="1023"/>
      <c r="I952" s="524" t="s">
        <v>2161</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1974</v>
      </c>
      <c r="E957" s="1283"/>
      <c r="F957" s="1283"/>
      <c r="G957" s="3"/>
      <c r="I957" s="524"/>
    </row>
    <row r="958" spans="1:9" ht="12.75" customHeight="1">
      <c r="A958" s="176"/>
      <c r="B958" s="519" t="s">
        <v>2700</v>
      </c>
      <c r="C958" s="385"/>
      <c r="D958" s="1284" t="s">
        <v>1998</v>
      </c>
      <c r="E958" s="1284"/>
      <c r="F958" s="1284"/>
      <c r="G958" s="3"/>
      <c r="I958" s="524" t="s">
        <v>2161</v>
      </c>
    </row>
    <row r="959" spans="1:9" ht="12.75" customHeight="1">
      <c r="A959" s="385"/>
      <c r="B959" s="385"/>
      <c r="C959" s="385"/>
      <c r="D959" s="3"/>
      <c r="E959" s="3"/>
      <c r="F959" s="3"/>
      <c r="G959" s="3"/>
      <c r="I959" s="524"/>
    </row>
    <row r="960" spans="1:9" ht="12.75" customHeight="1">
      <c r="A960" s="385"/>
      <c r="B960" s="385"/>
      <c r="C960" s="385"/>
      <c r="D960" s="1283" t="s">
        <v>1975</v>
      </c>
      <c r="E960" s="1283"/>
      <c r="F960" s="1283"/>
      <c r="G960"/>
      <c r="I960" s="524"/>
    </row>
    <row r="961" spans="1:9" ht="12.75" customHeight="1">
      <c r="A961" s="176"/>
      <c r="B961" s="519" t="s">
        <v>2700</v>
      </c>
      <c r="C961" s="385"/>
      <c r="D961" s="1264" t="s">
        <v>2386</v>
      </c>
      <c r="E961" s="1264"/>
      <c r="F961" s="1264"/>
      <c r="G961"/>
      <c r="I961" s="524" t="s">
        <v>2161</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1976</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1999</v>
      </c>
      <c r="E979" s="1283"/>
      <c r="F979" s="1283"/>
      <c r="G979" s="3"/>
      <c r="I979" s="524"/>
    </row>
    <row r="980" spans="1:9" ht="12.75" customHeight="1">
      <c r="A980" s="172"/>
      <c r="B980" s="172"/>
      <c r="C980" s="172"/>
      <c r="D980" s="1284" t="s">
        <v>1977</v>
      </c>
      <c r="E980" s="1284"/>
      <c r="F980" s="1284"/>
      <c r="G980" s="3"/>
      <c r="I980" s="524"/>
    </row>
    <row r="981" spans="1:9" ht="12.75" customHeight="1">
      <c r="A981" s="172"/>
      <c r="B981" s="172"/>
      <c r="C981" s="172"/>
      <c r="D981" s="3"/>
      <c r="E981" s="3"/>
      <c r="F981" s="1023"/>
      <c r="G981"/>
      <c r="I981" s="524"/>
    </row>
    <row r="982" spans="1:9" ht="12.75" customHeight="1">
      <c r="A982" s="385"/>
      <c r="B982" s="519" t="s">
        <v>2753</v>
      </c>
      <c r="C982" s="385"/>
      <c r="D982" s="1347" t="s">
        <v>2216</v>
      </c>
      <c r="E982" s="1347"/>
      <c r="F982" s="1347"/>
      <c r="G982"/>
      <c r="I982" s="524" t="s">
        <v>2141</v>
      </c>
    </row>
    <row r="983" spans="1:9" ht="12.75" customHeight="1">
      <c r="A983" s="385"/>
      <c r="B983" s="385"/>
      <c r="C983" s="385"/>
      <c r="D983" s="1347"/>
      <c r="E983" s="1347"/>
      <c r="F983" s="1347"/>
      <c r="G983"/>
      <c r="I983" s="524"/>
    </row>
    <row r="984" spans="1:9" ht="12.75" customHeight="1">
      <c r="A984" s="385"/>
      <c r="B984" s="385"/>
      <c r="C984" s="385"/>
      <c r="D984" s="1073"/>
      <c r="E984" s="1071" t="s">
        <v>2217</v>
      </c>
      <c r="F984" s="1073"/>
      <c r="G984"/>
      <c r="I984" s="524"/>
    </row>
    <row r="985" spans="1:9" ht="12.75" customHeight="1">
      <c r="A985" s="385"/>
      <c r="B985" s="385"/>
      <c r="C985" s="385"/>
      <c r="D985" s="1270" t="s">
        <v>2215</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2700</v>
      </c>
      <c r="C990" s="175"/>
      <c r="D990" s="1264" t="s">
        <v>1978</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2700</v>
      </c>
      <c r="C995" s="175"/>
      <c r="D995" s="1264" t="s">
        <v>1979</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2753</v>
      </c>
      <c r="C998" s="385"/>
      <c r="D998" s="1284" t="s">
        <v>1980</v>
      </c>
      <c r="E998" s="1284"/>
      <c r="F998" s="1284"/>
      <c r="G998"/>
      <c r="I998" s="524"/>
    </row>
    <row r="999" spans="1:9" ht="12.75" customHeight="1">
      <c r="A999" s="385"/>
      <c r="B999" s="385"/>
      <c r="C999" s="385"/>
      <c r="D999" s="3"/>
      <c r="E999" s="3"/>
      <c r="F999" s="3"/>
      <c r="G999"/>
      <c r="I999" s="524"/>
    </row>
    <row r="1000" spans="1:9" ht="12.75" customHeight="1">
      <c r="A1000" s="176"/>
      <c r="B1000" s="519" t="s">
        <v>2700</v>
      </c>
      <c r="C1000" s="385"/>
      <c r="D1000" s="1284" t="s">
        <v>1981</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2753</v>
      </c>
      <c r="C1002" s="385"/>
      <c r="D1002" s="1284" t="s">
        <v>1982</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2700</v>
      </c>
      <c r="C1004" s="385"/>
      <c r="D1004" s="1264" t="s">
        <v>1983</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2700</v>
      </c>
      <c r="C1007" s="1035"/>
      <c r="D1007" s="1297" t="s">
        <v>1984</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2700</v>
      </c>
      <c r="C1010" s="1035"/>
      <c r="D1010" s="1346" t="s">
        <v>1985</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2700</v>
      </c>
      <c r="C1012" s="385"/>
      <c r="D1012" s="1284" t="s">
        <v>1986</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2700</v>
      </c>
      <c r="C1014" s="385"/>
      <c r="D1014" s="1264" t="s">
        <v>1987</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1988</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1989</v>
      </c>
      <c r="E1019" s="1298"/>
      <c r="F1019" s="1298"/>
      <c r="G1019" s="3"/>
      <c r="I1019" s="524"/>
    </row>
    <row r="1020" spans="1:9" ht="12.75" customHeight="1">
      <c r="A1020" s="385"/>
      <c r="B1020" s="385"/>
      <c r="C1020" s="385"/>
      <c r="D1020" s="1346" t="s">
        <v>1990</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2004</v>
      </c>
      <c r="E1022" s="1298"/>
      <c r="F1022" s="1298"/>
      <c r="G1022" s="3"/>
      <c r="I1022" s="524" t="s">
        <v>2113</v>
      </c>
    </row>
    <row r="1023" spans="1:9" ht="12.75" customHeight="1">
      <c r="A1023" s="385"/>
      <c r="B1023" s="519" t="s">
        <v>2753</v>
      </c>
      <c r="C1023" s="385"/>
      <c r="D1023" s="1346" t="s">
        <v>1381</v>
      </c>
      <c r="E1023" s="1346"/>
      <c r="F1023" s="1346"/>
      <c r="G1023" s="3"/>
      <c r="I1023" s="524"/>
    </row>
    <row r="1024" spans="1:9" ht="12.75" customHeight="1">
      <c r="A1024" s="385"/>
      <c r="B1024" s="176"/>
      <c r="C1024" s="385"/>
      <c r="D1024" s="1346" t="s">
        <v>1991</v>
      </c>
      <c r="E1024" s="1346"/>
      <c r="F1024" s="1346"/>
      <c r="G1024" s="3"/>
      <c r="I1024" s="524"/>
    </row>
    <row r="1025" spans="1:9" ht="12.75" customHeight="1">
      <c r="A1025" s="385"/>
      <c r="B1025" s="385"/>
      <c r="C1025" s="385"/>
      <c r="D1025" s="1346"/>
      <c r="E1025" s="1346"/>
      <c r="F1025" s="1346"/>
      <c r="G1025" s="3"/>
      <c r="I1025" s="524"/>
    </row>
    <row r="1026" spans="1:9" ht="12.75" customHeight="1">
      <c r="A1026" s="1292" t="s">
        <v>2000</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1382</v>
      </c>
      <c r="E1028" s="1293"/>
      <c r="F1028" s="1293"/>
      <c r="G1028" s="3"/>
      <c r="I1028" s="524"/>
    </row>
    <row r="1029" spans="1:9" ht="12.75" hidden="1" customHeight="1">
      <c r="A1029" s="118"/>
      <c r="B1029" s="519" t="s">
        <v>308</v>
      </c>
      <c r="D1029" s="1278" t="s">
        <v>1381</v>
      </c>
      <c r="E1029" s="1278"/>
      <c r="F1029" s="1278"/>
      <c r="G1029" s="3"/>
      <c r="I1029" s="524"/>
    </row>
    <row r="1030" spans="1:9" ht="12.75" hidden="1" customHeight="1">
      <c r="A1030" s="118"/>
      <c r="B1030" s="433"/>
      <c r="D1030" s="1278" t="s">
        <v>2001</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2142</v>
      </c>
    </row>
    <row r="1033" spans="1:9" ht="12.75" customHeight="1">
      <c r="A1033" s="345"/>
      <c r="B1033" s="345"/>
      <c r="C1033" s="345"/>
      <c r="D1033" s="1288" t="s">
        <v>1113</v>
      </c>
      <c r="E1033" s="1288"/>
      <c r="F1033" s="1288"/>
      <c r="G1033" s="98"/>
      <c r="I1033" s="524"/>
    </row>
    <row r="1034" spans="1:9" ht="12.75" customHeight="1">
      <c r="A1034" s="176"/>
      <c r="B1034" s="519" t="s">
        <v>2700</v>
      </c>
      <c r="C1034" s="385"/>
      <c r="D1034" s="1288" t="s">
        <v>1006</v>
      </c>
      <c r="E1034" s="1288"/>
      <c r="F1034" s="1288"/>
      <c r="G1034" s="3"/>
      <c r="I1034" s="524"/>
    </row>
    <row r="1035" spans="1:9" ht="12.75" customHeight="1">
      <c r="A1035" s="385"/>
      <c r="B1035" s="385"/>
      <c r="C1035" s="385"/>
      <c r="D1035" s="1071" t="s">
        <v>2218</v>
      </c>
      <c r="E1035" s="96"/>
      <c r="F1035" s="96"/>
      <c r="G1035" s="3"/>
      <c r="I1035" s="524"/>
    </row>
    <row r="1036" spans="1:9">
      <c r="A1036" s="433"/>
      <c r="B1036" s="433"/>
      <c r="C1036" s="433"/>
      <c r="I1036" s="524"/>
    </row>
    <row r="1037" spans="1:9">
      <c r="A1037" s="1292" t="s">
        <v>2021</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2007</v>
      </c>
      <c r="I1039" s="524"/>
    </row>
    <row r="1040" spans="1:9">
      <c r="A1040" s="433"/>
      <c r="B1040" s="433"/>
      <c r="C1040" s="433"/>
      <c r="D1040" s="433" t="s">
        <v>2006</v>
      </c>
      <c r="I1040" s="524"/>
    </row>
    <row r="1041" spans="1:9">
      <c r="A1041" s="433"/>
      <c r="B1041" s="433"/>
      <c r="C1041" s="433"/>
      <c r="D1041" s="435"/>
      <c r="I1041" s="524"/>
    </row>
    <row r="1042" spans="1:9">
      <c r="A1042" s="433"/>
      <c r="B1042" s="519" t="s">
        <v>2700</v>
      </c>
      <c r="C1042" s="433"/>
      <c r="D1042" s="1349" t="s">
        <v>2005</v>
      </c>
      <c r="E1042" s="1349"/>
      <c r="F1042" s="1349"/>
      <c r="I1042" s="524" t="s">
        <v>2114</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1424</v>
      </c>
      <c r="I1047" s="524"/>
    </row>
    <row r="1048" spans="1:9">
      <c r="A1048" s="433"/>
      <c r="B1048" s="433"/>
      <c r="C1048" s="433"/>
      <c r="D1048" s="433" t="s">
        <v>2008</v>
      </c>
      <c r="I1048" s="524"/>
    </row>
    <row r="1049" spans="1:9">
      <c r="A1049" s="433"/>
      <c r="B1049" s="433"/>
      <c r="C1049" s="433"/>
      <c r="I1049" s="524"/>
    </row>
    <row r="1050" spans="1:9">
      <c r="A1050" s="433"/>
      <c r="B1050" s="519" t="s">
        <v>2753</v>
      </c>
      <c r="C1050" s="433"/>
      <c r="D1050" s="433" t="s">
        <v>2003</v>
      </c>
      <c r="I1050" s="524" t="s">
        <v>2115</v>
      </c>
    </row>
    <row r="1051" spans="1:9">
      <c r="A1051" s="433"/>
      <c r="B1051" s="433"/>
      <c r="C1051" s="433"/>
      <c r="I1051" s="524"/>
    </row>
    <row r="1052" spans="1:9">
      <c r="A1052" s="433"/>
      <c r="B1052" s="519" t="s">
        <v>308</v>
      </c>
      <c r="C1052" s="433"/>
      <c r="D1052" s="1349" t="s">
        <v>2009</v>
      </c>
      <c r="E1052" s="1349"/>
      <c r="F1052" s="1349"/>
      <c r="I1052" s="524" t="s">
        <v>2116</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2010</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2753</v>
      </c>
      <c r="C1061" s="433"/>
      <c r="D1061" s="561" t="s">
        <v>2013</v>
      </c>
      <c r="I1061" s="524" t="s">
        <v>2117</v>
      </c>
    </row>
    <row r="1062" spans="1:9">
      <c r="A1062" s="433"/>
      <c r="B1062" s="433"/>
      <c r="C1062" s="433"/>
      <c r="D1062" s="561" t="s">
        <v>2015</v>
      </c>
      <c r="I1062" s="524"/>
    </row>
    <row r="1063" spans="1:9">
      <c r="A1063" s="433"/>
      <c r="B1063" s="433"/>
      <c r="C1063" s="433"/>
      <c r="D1063" s="561"/>
      <c r="I1063" s="524"/>
    </row>
    <row r="1064" spans="1:9">
      <c r="A1064" s="433"/>
      <c r="B1064" s="519" t="s">
        <v>2700</v>
      </c>
      <c r="C1064" s="433"/>
      <c r="D1064" s="561" t="s">
        <v>2016</v>
      </c>
      <c r="I1064" s="524" t="s">
        <v>2118</v>
      </c>
    </row>
    <row r="1065" spans="1:9">
      <c r="A1065" s="433"/>
      <c r="B1065" s="433"/>
      <c r="C1065" s="433"/>
      <c r="D1065" s="561" t="s">
        <v>2014</v>
      </c>
      <c r="I1065" s="524"/>
    </row>
    <row r="1066" spans="1:9">
      <c r="A1066" s="433"/>
      <c r="B1066" s="433"/>
      <c r="C1066" s="433"/>
      <c r="D1066" s="561"/>
      <c r="I1066" s="524"/>
    </row>
    <row r="1067" spans="1:9">
      <c r="A1067" s="433"/>
      <c r="B1067" s="519" t="s">
        <v>2700</v>
      </c>
      <c r="C1067" s="433"/>
      <c r="D1067" s="119" t="s">
        <v>2019</v>
      </c>
      <c r="I1067" s="524" t="s">
        <v>2119</v>
      </c>
    </row>
    <row r="1068" spans="1:9">
      <c r="A1068" s="433"/>
      <c r="B1068" s="433"/>
      <c r="C1068" s="433"/>
      <c r="D1068" s="1264" t="s">
        <v>2020</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2018</v>
      </c>
      <c r="I1072" s="524"/>
    </row>
    <row r="1073" spans="1:9">
      <c r="A1073" s="433"/>
      <c r="B1073" s="433"/>
      <c r="C1073" s="433"/>
      <c r="D1073" s="119"/>
      <c r="I1073" s="524"/>
    </row>
    <row r="1074" spans="1:9">
      <c r="A1074" s="433"/>
      <c r="B1074" s="433"/>
      <c r="C1074" s="433"/>
      <c r="D1074" s="561" t="s">
        <v>2011</v>
      </c>
      <c r="I1074" s="524" t="s">
        <v>2120</v>
      </c>
    </row>
    <row r="1075" spans="1:9">
      <c r="A1075" s="433"/>
      <c r="B1075" s="519" t="s">
        <v>2700</v>
      </c>
      <c r="C1075" s="433"/>
      <c r="D1075" s="1348" t="s">
        <v>2012</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2017</v>
      </c>
      <c r="I1080" s="524"/>
    </row>
    <row r="1081" spans="1:9">
      <c r="A1081" s="433"/>
      <c r="B1081" s="433"/>
      <c r="C1081" s="433"/>
      <c r="I1081" s="524"/>
    </row>
    <row r="1082" spans="1:9">
      <c r="A1082" s="1292" t="s">
        <v>2022</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2700</v>
      </c>
      <c r="C1085" s="433"/>
      <c r="D1085" s="1350" t="s">
        <v>2230</v>
      </c>
      <c r="E1085" s="1350"/>
      <c r="F1085" s="1350"/>
      <c r="I1085" s="524" t="s">
        <v>2121</v>
      </c>
    </row>
    <row r="1086" spans="1:9">
      <c r="A1086" s="433"/>
      <c r="B1086" s="433"/>
      <c r="C1086" s="433"/>
      <c r="D1086" s="1350"/>
      <c r="E1086" s="1350"/>
      <c r="F1086" s="1350"/>
      <c r="I1086" s="524"/>
    </row>
    <row r="1087" spans="1:9">
      <c r="A1087" s="433"/>
      <c r="B1087" s="433"/>
      <c r="C1087" s="433"/>
      <c r="D1087" s="1351" t="s">
        <v>2503</v>
      </c>
      <c r="E1087" s="1264"/>
      <c r="F1087" s="1264"/>
      <c r="I1087" s="524"/>
    </row>
    <row r="1088" spans="1:9">
      <c r="A1088" s="433"/>
      <c r="B1088" s="433"/>
      <c r="C1088" s="433"/>
      <c r="D1088" s="561"/>
      <c r="I1088" s="524"/>
    </row>
    <row r="1089" spans="1:9">
      <c r="A1089" s="433"/>
      <c r="B1089" s="519" t="s">
        <v>2700</v>
      </c>
      <c r="C1089" s="433"/>
      <c r="D1089" s="1348" t="s">
        <v>2023</v>
      </c>
      <c r="E1089" s="1348"/>
      <c r="F1089" s="1348"/>
      <c r="I1089" s="524" t="s">
        <v>2122</v>
      </c>
    </row>
    <row r="1090" spans="1:9">
      <c r="A1090" s="433"/>
      <c r="B1090" s="433"/>
      <c r="C1090" s="433"/>
      <c r="D1090" s="1348"/>
      <c r="E1090" s="1348"/>
      <c r="F1090" s="1348"/>
      <c r="I1090" s="524"/>
    </row>
    <row r="1091" spans="1:9">
      <c r="A1091" s="433"/>
      <c r="B1091" s="433"/>
      <c r="C1091" s="433"/>
      <c r="D1091" s="561"/>
      <c r="I1091" s="524"/>
    </row>
    <row r="1092" spans="1:9">
      <c r="A1092" s="433"/>
      <c r="B1092" s="519" t="s">
        <v>2700</v>
      </c>
      <c r="C1092" s="433"/>
      <c r="D1092" s="1348" t="s">
        <v>2166</v>
      </c>
      <c r="E1092" s="1348"/>
      <c r="F1092" s="1348"/>
      <c r="I1092" s="524" t="s">
        <v>2164</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ht="12.5">
      <c r="A1098" s="433"/>
      <c r="B1098" s="433"/>
      <c r="C1098" s="433"/>
      <c r="D1098" s="561" t="s">
        <v>2165</v>
      </c>
      <c r="I1098" s="514"/>
    </row>
    <row r="1099" spans="1:9">
      <c r="A1099" s="433"/>
      <c r="B1099" s="519" t="s">
        <v>2753</v>
      </c>
      <c r="C1099" s="433"/>
      <c r="D1099" s="1348" t="s">
        <v>2024</v>
      </c>
      <c r="E1099" s="1348"/>
      <c r="F1099" s="1348"/>
      <c r="I1099" s="524" t="s">
        <v>2123</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2700</v>
      </c>
      <c r="C1103" s="433"/>
      <c r="D1103" s="1270" t="s">
        <v>2167</v>
      </c>
      <c r="E1103" s="1270"/>
      <c r="F1103" s="1270"/>
      <c r="I1103" s="524" t="s">
        <v>2124</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2700</v>
      </c>
      <c r="C1107" s="433"/>
      <c r="D1107" s="1264" t="s">
        <v>2169</v>
      </c>
      <c r="E1107" s="1264"/>
      <c r="F1107" s="1264"/>
      <c r="I1107" s="524" t="s">
        <v>2168</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5">
      <c r="A1112" s="433"/>
      <c r="B1112" s="433"/>
      <c r="C1112" s="433"/>
      <c r="I1112" s="1262" t="s">
        <v>2387</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714" zoomScaleNormal="100" workbookViewId="0">
      <selection activeCell="T723" sqref="T723:W723"/>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50" t="s">
        <v>100</v>
      </c>
      <c r="B8" s="1850"/>
      <c r="C8" s="1850"/>
      <c r="D8" s="1850"/>
      <c r="E8" s="1850"/>
      <c r="F8" s="1850"/>
      <c r="G8" s="1850"/>
      <c r="H8" s="1850"/>
      <c r="I8" s="1850"/>
      <c r="J8" s="1850"/>
      <c r="K8" s="1850"/>
      <c r="L8" s="1850"/>
      <c r="M8" s="1850"/>
      <c r="N8" s="1850"/>
      <c r="O8" s="1850"/>
      <c r="P8" s="1850"/>
      <c r="Q8" s="1850"/>
      <c r="R8" s="1850"/>
      <c r="S8" s="1850"/>
      <c r="T8" s="1850"/>
      <c r="U8" s="1850"/>
      <c r="V8" s="1850"/>
      <c r="W8" s="1850"/>
      <c r="X8" s="1850"/>
      <c r="Y8" s="1850"/>
      <c r="Z8" s="1850"/>
      <c r="AA8" s="1850"/>
      <c r="AB8" s="1850"/>
      <c r="AC8" s="1850"/>
      <c r="AD8" s="1850"/>
      <c r="AE8" s="1850"/>
      <c r="AF8" s="1850"/>
      <c r="AG8" s="1850"/>
      <c r="AH8" s="1850"/>
      <c r="AI8" s="1850"/>
      <c r="AJ8" s="1850"/>
      <c r="AK8" s="1850"/>
      <c r="AL8" s="1850"/>
      <c r="AM8" s="1850"/>
      <c r="AN8" s="1850"/>
      <c r="AO8" s="1850"/>
      <c r="AP8" s="1850"/>
      <c r="AQ8" s="1850"/>
      <c r="AR8" s="1850"/>
      <c r="AS8" s="1850"/>
      <c r="AT8" s="1850"/>
      <c r="AU8" s="933"/>
      <c r="AV8" s="933"/>
      <c r="AW8" s="933"/>
      <c r="AX8" s="933"/>
      <c r="AY8" s="933"/>
    </row>
    <row r="9" spans="1:51" ht="13" customHeight="1">
      <c r="A9" s="1304" t="s">
        <v>2393</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 customHeight="1">
      <c r="A10" s="1304" t="s">
        <v>2582</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 customHeight="1">
      <c r="A11" s="1304" t="s">
        <v>1771</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 customHeight="1">
      <c r="A12" s="1851" t="s">
        <v>2639</v>
      </c>
      <c r="B12" s="1851"/>
      <c r="C12" s="1851"/>
      <c r="D12" s="1851"/>
      <c r="E12" s="1851"/>
      <c r="F12" s="1851"/>
      <c r="G12" s="1851"/>
      <c r="H12" s="1851"/>
      <c r="I12" s="1851"/>
      <c r="J12" s="1851"/>
      <c r="K12" s="1851"/>
      <c r="L12" s="1851"/>
      <c r="M12" s="1851"/>
      <c r="N12" s="1851"/>
      <c r="O12" s="1851"/>
      <c r="P12" s="1851"/>
      <c r="Q12" s="1851"/>
      <c r="R12" s="1851"/>
      <c r="S12" s="1851"/>
      <c r="T12" s="1851"/>
      <c r="U12" s="1851"/>
      <c r="V12" s="1851"/>
      <c r="W12" s="1851"/>
      <c r="X12" s="1851"/>
      <c r="Y12" s="1851"/>
      <c r="Z12" s="1851"/>
      <c r="AA12" s="1851"/>
      <c r="AB12" s="1851"/>
      <c r="AC12" s="1851"/>
      <c r="AD12" s="1851"/>
      <c r="AE12" s="1851"/>
      <c r="AF12" s="1851"/>
      <c r="AG12" s="1851"/>
      <c r="AH12" s="1851"/>
      <c r="AI12" s="1851"/>
      <c r="AJ12" s="1851"/>
      <c r="AK12" s="1851"/>
      <c r="AL12" s="1851"/>
      <c r="AM12" s="1851"/>
      <c r="AN12" s="1851"/>
      <c r="AO12" s="1851"/>
      <c r="AP12" s="1851"/>
      <c r="AQ12" s="1851"/>
      <c r="AR12" s="1851"/>
      <c r="AS12" s="1851"/>
      <c r="AT12" s="1851"/>
      <c r="AU12" s="6"/>
      <c r="AV12" s="6"/>
      <c r="AW12" s="6"/>
      <c r="AX12" s="6"/>
      <c r="AY12" s="6"/>
    </row>
    <row r="13" spans="1:51" ht="13" customHeight="1">
      <c r="A13" s="1274" t="s">
        <v>2394</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3"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2395</v>
      </c>
      <c r="C16" s="4"/>
      <c r="D16" s="4"/>
      <c r="E16" s="4"/>
      <c r="F16" s="4"/>
      <c r="G16" s="4"/>
      <c r="H16" s="1573" t="s">
        <v>2641</v>
      </c>
      <c r="I16" s="1529"/>
      <c r="J16" s="1529"/>
      <c r="K16" s="1529"/>
      <c r="L16" s="1529"/>
      <c r="M16" s="1529"/>
      <c r="N16" s="1529"/>
      <c r="O16" s="1529"/>
      <c r="P16" s="1529"/>
      <c r="Q16" s="1529"/>
      <c r="R16" s="1529"/>
      <c r="S16" s="1529"/>
      <c r="T16" s="1529"/>
      <c r="U16" s="1529"/>
      <c r="V16" s="1529"/>
      <c r="W16" s="1529"/>
      <c r="X16" s="1529"/>
      <c r="Y16" s="1529"/>
      <c r="Z16" s="1529"/>
      <c r="AA16" s="1529"/>
      <c r="AB16" s="1529"/>
      <c r="AC16" s="1529"/>
      <c r="AD16" s="1529"/>
      <c r="AE16" s="1529"/>
      <c r="AF16" s="1529"/>
      <c r="AG16" s="1529"/>
      <c r="AH16" s="1529"/>
      <c r="AI16" s="1529"/>
      <c r="AJ16" s="1529"/>
    </row>
    <row r="17" spans="1:52" ht="13" customHeight="1"/>
    <row r="18" spans="1:52" ht="13" customHeight="1">
      <c r="A18" s="57" t="s">
        <v>101</v>
      </c>
      <c r="C18" s="4"/>
      <c r="D18" s="4"/>
      <c r="E18" s="4"/>
      <c r="F18" s="4"/>
      <c r="G18" s="4"/>
      <c r="H18" s="1489" t="s">
        <v>2642</v>
      </c>
      <c r="I18" s="1491"/>
      <c r="J18" s="1491"/>
      <c r="K18" s="1491"/>
      <c r="L18" s="1491"/>
      <c r="M18" s="1491"/>
      <c r="N18" s="1491"/>
      <c r="O18" s="1491"/>
      <c r="P18" s="1491"/>
      <c r="Q18" s="1491"/>
      <c r="R18" s="1491"/>
      <c r="S18" s="1491"/>
      <c r="T18" s="1491"/>
      <c r="U18" s="1491"/>
      <c r="V18" s="1491"/>
      <c r="W18" s="1491"/>
      <c r="X18" s="1491"/>
      <c r="Y18" s="1491"/>
      <c r="Z18" s="1491"/>
      <c r="AA18" s="1491"/>
      <c r="AB18" s="1491"/>
      <c r="AC18" s="1491"/>
      <c r="AD18" s="1491"/>
      <c r="AE18" s="1491"/>
      <c r="AF18" s="1491"/>
      <c r="AG18" s="1491"/>
      <c r="AH18" s="1491"/>
      <c r="AI18" s="1491"/>
      <c r="AJ18" s="1491"/>
    </row>
    <row r="19" spans="1:52" ht="13" customHeight="1"/>
    <row r="20" spans="1:52" ht="13" customHeight="1">
      <c r="A20" s="1852" t="s">
        <v>885</v>
      </c>
      <c r="B20" s="1852"/>
      <c r="C20" s="1852"/>
      <c r="D20" s="1852"/>
      <c r="E20" s="1852"/>
      <c r="F20" s="1852"/>
      <c r="G20" s="1852"/>
      <c r="H20" s="1852"/>
      <c r="I20" s="1852"/>
      <c r="J20" s="1852"/>
      <c r="K20" s="1852"/>
      <c r="L20" s="1852"/>
      <c r="M20" s="1852"/>
      <c r="N20" s="1852"/>
      <c r="O20" s="1852"/>
      <c r="P20" s="1852"/>
      <c r="Q20" s="1852"/>
      <c r="R20" s="1852"/>
      <c r="S20" s="1852"/>
      <c r="T20" s="1852"/>
      <c r="U20" s="1852"/>
      <c r="V20" s="1852"/>
      <c r="W20" s="1852"/>
      <c r="X20" s="1852"/>
      <c r="Y20" s="1852"/>
      <c r="Z20" s="1852"/>
      <c r="AA20" s="1852"/>
      <c r="AB20" s="1852"/>
      <c r="AC20" s="1852"/>
      <c r="AD20" s="1852"/>
      <c r="AE20" s="1852"/>
      <c r="AF20" s="1852"/>
      <c r="AG20" s="1852"/>
      <c r="AH20" s="1852"/>
      <c r="AI20" s="1852"/>
      <c r="AJ20" s="1852"/>
      <c r="AK20" s="1852"/>
      <c r="AL20" s="1852"/>
      <c r="AM20" s="1852"/>
      <c r="AN20" s="1852"/>
      <c r="AO20" s="1852"/>
      <c r="AP20" s="1852"/>
      <c r="AQ20" s="1852"/>
      <c r="AR20" s="1852"/>
      <c r="AS20" s="1852"/>
      <c r="AT20" s="1852"/>
      <c r="AU20" s="935"/>
      <c r="AV20" s="935"/>
      <c r="AW20" s="935"/>
      <c r="AX20" s="935"/>
      <c r="AY20" s="935"/>
    </row>
    <row r="21" spans="1:52" ht="13" customHeight="1">
      <c r="A21" s="1855" t="s">
        <v>1034</v>
      </c>
      <c r="B21" s="1855"/>
      <c r="C21" s="1855"/>
      <c r="D21" s="1855"/>
      <c r="E21" s="1855"/>
      <c r="F21" s="1855"/>
      <c r="G21" s="1855"/>
      <c r="H21" s="1855"/>
      <c r="I21" s="1855"/>
      <c r="J21" s="1855"/>
      <c r="K21" s="1855"/>
      <c r="L21" s="1855"/>
      <c r="M21" s="1855"/>
      <c r="N21" s="1855"/>
      <c r="O21" s="1855"/>
      <c r="P21" s="1855"/>
      <c r="Q21" s="1855"/>
      <c r="R21" s="1855"/>
      <c r="S21" s="1855"/>
      <c r="T21" s="1855"/>
      <c r="U21" s="1855"/>
      <c r="V21" s="1855"/>
      <c r="W21" s="1855"/>
      <c r="X21" s="1855"/>
      <c r="Y21" s="1855"/>
      <c r="Z21" s="1855"/>
      <c r="AA21" s="1855"/>
      <c r="AB21" s="1855"/>
      <c r="AC21" s="1855"/>
      <c r="AD21" s="1855"/>
      <c r="AE21" s="1855"/>
      <c r="AF21" s="1855"/>
      <c r="AG21" s="1855"/>
      <c r="AH21" s="1855"/>
      <c r="AI21" s="1855"/>
      <c r="AJ21" s="1855"/>
      <c r="AK21" s="1855"/>
      <c r="AL21" s="1855"/>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0" t="s">
        <v>2507</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3"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854">
        <f>'Basis &amp; Credits'!AB56</f>
        <v>2709659</v>
      </c>
      <c r="N26" s="1854"/>
      <c r="O26" s="1854"/>
      <c r="P26" s="1854"/>
      <c r="Q26" s="1854"/>
      <c r="R26" s="4" t="s">
        <v>769</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61">
        <f>'Basis &amp; Credits'!AB78</f>
        <v>0</v>
      </c>
      <c r="N27" s="1361"/>
      <c r="O27" s="1361"/>
      <c r="P27" s="1361"/>
      <c r="Q27" s="1361"/>
      <c r="R27" s="3" t="s">
        <v>1377</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47" t="s">
        <v>2508</v>
      </c>
      <c r="B29" s="1847"/>
      <c r="C29" s="1847"/>
      <c r="D29" s="1847"/>
      <c r="E29" s="1847"/>
      <c r="F29" s="1847"/>
      <c r="G29" s="1847"/>
      <c r="H29" s="1847"/>
      <c r="I29" s="1847"/>
      <c r="J29" s="1847"/>
      <c r="K29" s="1847"/>
      <c r="L29" s="1847"/>
      <c r="M29" s="1847"/>
      <c r="N29" s="1847"/>
      <c r="O29" s="1847"/>
      <c r="P29" s="1847"/>
      <c r="Q29" s="1847"/>
      <c r="R29" s="1847"/>
      <c r="S29" s="1847"/>
      <c r="T29" s="1847"/>
      <c r="U29" s="1847"/>
      <c r="V29" s="1847"/>
      <c r="W29" s="1847"/>
      <c r="X29" s="1847"/>
      <c r="Y29" s="1847"/>
      <c r="Z29" s="1847"/>
      <c r="AA29" s="1847"/>
      <c r="AB29" s="1847"/>
      <c r="AC29" s="1847"/>
      <c r="AD29" s="1847"/>
      <c r="AE29" s="1847"/>
      <c r="AF29" s="1847"/>
      <c r="AG29" s="1847"/>
      <c r="AH29" s="1847"/>
      <c r="AI29" s="1847"/>
      <c r="AJ29" s="1847"/>
      <c r="AK29" s="1847"/>
      <c r="AL29" s="1847"/>
      <c r="AM29" s="1847"/>
      <c r="AN29" s="1847"/>
      <c r="AO29" s="1847"/>
      <c r="AP29" s="1847"/>
      <c r="AQ29" s="1847"/>
      <c r="AR29" s="1847"/>
      <c r="AS29" s="1847"/>
      <c r="AT29" s="1847"/>
    </row>
    <row r="30" spans="1:52" ht="13" customHeight="1">
      <c r="A30" s="1847"/>
      <c r="B30" s="1847"/>
      <c r="C30" s="1847"/>
      <c r="D30" s="1847"/>
      <c r="E30" s="1847"/>
      <c r="F30" s="1847"/>
      <c r="G30" s="1847"/>
      <c r="H30" s="1847"/>
      <c r="I30" s="1847"/>
      <c r="J30" s="1847"/>
      <c r="K30" s="1847"/>
      <c r="L30" s="1847"/>
      <c r="M30" s="1847"/>
      <c r="N30" s="1847"/>
      <c r="O30" s="1847"/>
      <c r="P30" s="1847"/>
      <c r="Q30" s="1847"/>
      <c r="R30" s="1847"/>
      <c r="S30" s="1847"/>
      <c r="T30" s="1847"/>
      <c r="U30" s="1847"/>
      <c r="V30" s="1847"/>
      <c r="W30" s="1847"/>
      <c r="X30" s="1847"/>
      <c r="Y30" s="1847"/>
      <c r="Z30" s="1847"/>
      <c r="AA30" s="1847"/>
      <c r="AB30" s="1847"/>
      <c r="AC30" s="1847"/>
      <c r="AD30" s="1847"/>
      <c r="AE30" s="1847"/>
      <c r="AF30" s="1847"/>
      <c r="AG30" s="1847"/>
      <c r="AH30" s="1847"/>
      <c r="AI30" s="1847"/>
      <c r="AJ30" s="1847"/>
      <c r="AK30" s="1847"/>
      <c r="AL30" s="1847"/>
      <c r="AM30" s="1847"/>
      <c r="AN30" s="1847"/>
      <c r="AO30" s="1847"/>
      <c r="AP30" s="1847"/>
      <c r="AQ30" s="1847"/>
      <c r="AR30" s="1847"/>
      <c r="AS30" s="1847"/>
      <c r="AT30" s="1847"/>
      <c r="AZ30" s="20"/>
    </row>
    <row r="31" spans="1:52" ht="13" customHeight="1">
      <c r="A31" s="1847"/>
      <c r="B31" s="1847"/>
      <c r="C31" s="1847"/>
      <c r="D31" s="1847"/>
      <c r="E31" s="1847"/>
      <c r="F31" s="1847"/>
      <c r="G31" s="1847"/>
      <c r="H31" s="1847"/>
      <c r="I31" s="1847"/>
      <c r="J31" s="1847"/>
      <c r="K31" s="1847"/>
      <c r="L31" s="1847"/>
      <c r="M31" s="1847"/>
      <c r="N31" s="1847"/>
      <c r="O31" s="1847"/>
      <c r="P31" s="1847"/>
      <c r="Q31" s="1847"/>
      <c r="R31" s="1847"/>
      <c r="S31" s="1847"/>
      <c r="T31" s="1847"/>
      <c r="U31" s="1847"/>
      <c r="V31" s="1847"/>
      <c r="W31" s="1847"/>
      <c r="X31" s="1847"/>
      <c r="Y31" s="1847"/>
      <c r="Z31" s="1847"/>
      <c r="AA31" s="1847"/>
      <c r="AB31" s="1847"/>
      <c r="AC31" s="1847"/>
      <c r="AD31" s="1847"/>
      <c r="AE31" s="1847"/>
      <c r="AF31" s="1847"/>
      <c r="AG31" s="1847"/>
      <c r="AH31" s="1847"/>
      <c r="AI31" s="1847"/>
      <c r="AJ31" s="1847"/>
      <c r="AK31" s="1847"/>
      <c r="AL31" s="1847"/>
      <c r="AM31" s="1847"/>
      <c r="AN31" s="1847"/>
      <c r="AO31" s="1847"/>
      <c r="AP31" s="1847"/>
      <c r="AQ31" s="1847"/>
      <c r="AR31" s="1847"/>
      <c r="AS31" s="1847"/>
      <c r="AT31" s="1847"/>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1388</v>
      </c>
      <c r="C33" s="553"/>
      <c r="D33" s="553"/>
      <c r="E33" s="553"/>
      <c r="F33" s="553"/>
      <c r="G33" s="553"/>
      <c r="H33" s="553"/>
      <c r="I33" s="553"/>
      <c r="J33" s="553"/>
      <c r="K33" s="553"/>
      <c r="L33" s="553"/>
      <c r="M33" s="553"/>
      <c r="N33" s="553"/>
      <c r="O33" s="1383" t="s">
        <v>554</v>
      </c>
      <c r="P33" s="1383"/>
      <c r="Q33" s="1853" t="s">
        <v>2509</v>
      </c>
      <c r="R33" s="1853"/>
      <c r="S33" s="1853"/>
      <c r="T33" s="1853"/>
      <c r="U33" s="1853"/>
      <c r="V33" s="1853"/>
      <c r="W33" s="1853"/>
      <c r="X33" s="1853"/>
      <c r="Y33" s="1853"/>
      <c r="Z33" s="1853"/>
      <c r="AA33" s="1853"/>
      <c r="AB33" s="1853"/>
      <c r="AC33" s="1853"/>
      <c r="AD33" s="1853"/>
      <c r="AE33" s="1853"/>
      <c r="AF33" s="1853"/>
      <c r="AG33" s="1853"/>
      <c r="AH33" s="1853"/>
      <c r="AI33" s="1853"/>
      <c r="AJ33" s="1853"/>
      <c r="AK33" s="1853"/>
      <c r="AL33" s="1853"/>
      <c r="AM33" s="1853"/>
      <c r="AN33" s="1853"/>
      <c r="AO33" s="1853"/>
      <c r="AP33" s="1853"/>
      <c r="AQ33" s="1853"/>
      <c r="AR33" s="1853"/>
      <c r="AS33" s="1853"/>
      <c r="AT33" s="1853"/>
      <c r="AU33" s="20"/>
      <c r="AV33" s="20"/>
      <c r="AW33" s="20"/>
      <c r="AX33" s="20"/>
      <c r="AY33" s="20"/>
    </row>
    <row r="34" spans="1:52" ht="13" customHeight="1">
      <c r="A34" s="1847" t="s">
        <v>2510</v>
      </c>
      <c r="B34" s="1847"/>
      <c r="C34" s="1847"/>
      <c r="D34" s="1847"/>
      <c r="E34" s="1847"/>
      <c r="F34" s="1847"/>
      <c r="G34" s="1847"/>
      <c r="H34" s="1847"/>
      <c r="I34" s="1847"/>
      <c r="J34" s="1847"/>
      <c r="K34" s="1847"/>
      <c r="L34" s="1847"/>
      <c r="M34" s="1847"/>
      <c r="N34" s="1847"/>
      <c r="O34" s="1847"/>
      <c r="P34" s="1847"/>
      <c r="Q34" s="1847"/>
      <c r="R34" s="1847"/>
      <c r="S34" s="1847"/>
      <c r="T34" s="1847"/>
      <c r="U34" s="1847"/>
      <c r="V34" s="1847"/>
      <c r="W34" s="1847"/>
      <c r="X34" s="1847"/>
      <c r="Y34" s="1847"/>
      <c r="Z34" s="1847"/>
      <c r="AA34" s="1847"/>
      <c r="AB34" s="1847"/>
      <c r="AC34" s="1847"/>
      <c r="AD34" s="1847"/>
      <c r="AE34" s="1847"/>
      <c r="AF34" s="1847"/>
      <c r="AG34" s="1847"/>
      <c r="AH34" s="1847"/>
      <c r="AI34" s="1847"/>
      <c r="AJ34" s="1847"/>
      <c r="AK34" s="1847"/>
      <c r="AL34" s="1847"/>
      <c r="AM34" s="1847"/>
      <c r="AN34" s="1847"/>
      <c r="AO34" s="1847"/>
      <c r="AP34" s="1847"/>
      <c r="AQ34" s="1847"/>
      <c r="AR34" s="1847"/>
      <c r="AS34" s="1847"/>
      <c r="AT34" s="1847"/>
      <c r="AU34" s="20"/>
      <c r="AV34" s="20"/>
      <c r="AW34" s="20"/>
      <c r="AX34" s="20"/>
      <c r="AY34" s="20"/>
      <c r="AZ34" s="20"/>
    </row>
    <row r="35" spans="1:52" ht="13" customHeight="1">
      <c r="A35" s="1847"/>
      <c r="B35" s="1847"/>
      <c r="C35" s="1847"/>
      <c r="D35" s="1847"/>
      <c r="E35" s="1847"/>
      <c r="F35" s="1847"/>
      <c r="G35" s="1847"/>
      <c r="H35" s="1847"/>
      <c r="I35" s="1847"/>
      <c r="J35" s="1847"/>
      <c r="K35" s="1847"/>
      <c r="L35" s="1847"/>
      <c r="M35" s="1847"/>
      <c r="N35" s="1847"/>
      <c r="O35" s="1847"/>
      <c r="P35" s="1847"/>
      <c r="Q35" s="1847"/>
      <c r="R35" s="1847"/>
      <c r="S35" s="1847"/>
      <c r="T35" s="1847"/>
      <c r="U35" s="1847"/>
      <c r="V35" s="1847"/>
      <c r="W35" s="1847"/>
      <c r="X35" s="1847"/>
      <c r="Y35" s="1847"/>
      <c r="Z35" s="1847"/>
      <c r="AA35" s="1847"/>
      <c r="AB35" s="1847"/>
      <c r="AC35" s="1847"/>
      <c r="AD35" s="1847"/>
      <c r="AE35" s="1847"/>
      <c r="AF35" s="1847"/>
      <c r="AG35" s="1847"/>
      <c r="AH35" s="1847"/>
      <c r="AI35" s="1847"/>
      <c r="AJ35" s="1847"/>
      <c r="AK35" s="1847"/>
      <c r="AL35" s="1847"/>
      <c r="AM35" s="1847"/>
      <c r="AN35" s="1847"/>
      <c r="AO35" s="1847"/>
      <c r="AP35" s="1847"/>
      <c r="AQ35" s="1847"/>
      <c r="AR35" s="1847"/>
      <c r="AS35" s="1847"/>
      <c r="AT35" s="1847"/>
      <c r="AU35" s="20"/>
      <c r="AV35" s="20"/>
      <c r="AW35" s="20"/>
      <c r="AX35" s="20"/>
      <c r="AY35" s="20"/>
      <c r="AZ35" s="20"/>
    </row>
    <row r="36" spans="1:52" ht="13" customHeight="1">
      <c r="A36" s="1847"/>
      <c r="B36" s="1847"/>
      <c r="C36" s="1847"/>
      <c r="D36" s="1847"/>
      <c r="E36" s="1847"/>
      <c r="F36" s="1847"/>
      <c r="G36" s="1847"/>
      <c r="H36" s="1847"/>
      <c r="I36" s="1847"/>
      <c r="J36" s="1847"/>
      <c r="K36" s="1847"/>
      <c r="L36" s="1847"/>
      <c r="M36" s="1847"/>
      <c r="N36" s="1847"/>
      <c r="O36" s="1847"/>
      <c r="P36" s="1847"/>
      <c r="Q36" s="1847"/>
      <c r="R36" s="1847"/>
      <c r="S36" s="1847"/>
      <c r="T36" s="1847"/>
      <c r="U36" s="1847"/>
      <c r="V36" s="1847"/>
      <c r="W36" s="1847"/>
      <c r="X36" s="1847"/>
      <c r="Y36" s="1847"/>
      <c r="Z36" s="1847"/>
      <c r="AA36" s="1847"/>
      <c r="AB36" s="1847"/>
      <c r="AC36" s="1847"/>
      <c r="AD36" s="1847"/>
      <c r="AE36" s="1847"/>
      <c r="AF36" s="1847"/>
      <c r="AG36" s="1847"/>
      <c r="AH36" s="1847"/>
      <c r="AI36" s="1847"/>
      <c r="AJ36" s="1847"/>
      <c r="AK36" s="1847"/>
      <c r="AL36" s="1847"/>
      <c r="AM36" s="1847"/>
      <c r="AN36" s="1847"/>
      <c r="AO36" s="1847"/>
      <c r="AP36" s="1847"/>
      <c r="AQ36" s="1847"/>
      <c r="AR36" s="1847"/>
      <c r="AS36" s="1847"/>
      <c r="AT36" s="1847"/>
      <c r="AU36" s="20"/>
      <c r="AV36" s="20"/>
      <c r="AW36" s="20"/>
      <c r="AX36" s="20"/>
      <c r="AY36" s="20"/>
      <c r="AZ36" s="20"/>
    </row>
    <row r="37" spans="1:52" ht="13" customHeight="1">
      <c r="A37" s="1847"/>
      <c r="B37" s="1847"/>
      <c r="C37" s="1847"/>
      <c r="D37" s="1847"/>
      <c r="E37" s="1847"/>
      <c r="F37" s="1847"/>
      <c r="G37" s="1847"/>
      <c r="H37" s="1847"/>
      <c r="I37" s="1847"/>
      <c r="J37" s="1847"/>
      <c r="K37" s="1847"/>
      <c r="L37" s="1847"/>
      <c r="M37" s="1847"/>
      <c r="N37" s="1847"/>
      <c r="O37" s="1847"/>
      <c r="P37" s="1847"/>
      <c r="Q37" s="1847"/>
      <c r="R37" s="1847"/>
      <c r="S37" s="1847"/>
      <c r="T37" s="1847"/>
      <c r="U37" s="1847"/>
      <c r="V37" s="1847"/>
      <c r="W37" s="1847"/>
      <c r="X37" s="1847"/>
      <c r="Y37" s="1847"/>
      <c r="Z37" s="1847"/>
      <c r="AA37" s="1847"/>
      <c r="AB37" s="1847"/>
      <c r="AC37" s="1847"/>
      <c r="AD37" s="1847"/>
      <c r="AE37" s="1847"/>
      <c r="AF37" s="1847"/>
      <c r="AG37" s="1847"/>
      <c r="AH37" s="1847"/>
      <c r="AI37" s="1847"/>
      <c r="AJ37" s="1847"/>
      <c r="AK37" s="1847"/>
      <c r="AL37" s="1847"/>
      <c r="AM37" s="1847"/>
      <c r="AN37" s="1847"/>
      <c r="AO37" s="1847"/>
      <c r="AP37" s="1847"/>
      <c r="AQ37" s="1847"/>
      <c r="AR37" s="1847"/>
      <c r="AS37" s="1847"/>
      <c r="AT37" s="1847"/>
      <c r="AZ37" s="20"/>
    </row>
    <row r="38" spans="1:52" ht="13" customHeight="1">
      <c r="A38" s="3"/>
      <c r="AZ38" s="20"/>
    </row>
    <row r="39" spans="1:52" ht="13" customHeight="1">
      <c r="A39" s="1264" t="s">
        <v>2511</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3"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3"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3"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3"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3"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0" t="s">
        <v>2512</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3"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3"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3"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4" t="s">
        <v>2513</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3"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4" t="s">
        <v>2514</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3"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3"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3"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3"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4" t="s">
        <v>2515</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3"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50" t="s">
        <v>2517</v>
      </c>
      <c r="B65" s="1550"/>
      <c r="C65" s="1550"/>
      <c r="D65" s="1550"/>
      <c r="E65" s="1550"/>
      <c r="F65" s="1550"/>
      <c r="G65" s="1550"/>
      <c r="H65" s="1550"/>
      <c r="I65" s="1550"/>
      <c r="J65" s="1550"/>
      <c r="K65" s="1550"/>
      <c r="L65" s="1550"/>
      <c r="M65" s="1550"/>
      <c r="N65" s="1550"/>
      <c r="O65" s="1550"/>
      <c r="P65" s="1550"/>
      <c r="Q65" s="1550"/>
      <c r="R65" s="1550"/>
      <c r="S65" s="1550"/>
      <c r="T65" s="1550"/>
      <c r="U65" s="1550"/>
      <c r="V65" s="1550"/>
      <c r="W65" s="1550"/>
      <c r="X65" s="1550"/>
      <c r="Y65" s="1550"/>
      <c r="Z65" s="1550"/>
      <c r="AA65" s="1550"/>
      <c r="AB65" s="1550"/>
      <c r="AC65" s="1550"/>
      <c r="AD65" s="1550"/>
      <c r="AE65" s="1550"/>
      <c r="AF65" s="1550"/>
      <c r="AG65" s="1550"/>
      <c r="AH65" s="1550"/>
      <c r="AI65" s="1550"/>
      <c r="AJ65" s="1550"/>
      <c r="AK65" s="1550"/>
      <c r="AL65" s="1550"/>
      <c r="AM65" s="1550"/>
      <c r="AN65" s="1550"/>
      <c r="AO65" s="1550"/>
      <c r="AP65" s="1550"/>
      <c r="AQ65" s="1550"/>
      <c r="AR65" s="1550"/>
      <c r="AS65" s="1550"/>
      <c r="AT65" s="1550"/>
      <c r="AU65" s="21"/>
      <c r="AV65" s="21"/>
      <c r="AW65" s="21"/>
      <c r="AX65" s="21"/>
      <c r="AY65" s="21"/>
      <c r="AZ65" s="20"/>
    </row>
    <row r="66" spans="1:52" ht="13" customHeight="1">
      <c r="A66" s="1550"/>
      <c r="B66" s="1550"/>
      <c r="C66" s="1550"/>
      <c r="D66" s="1550"/>
      <c r="E66" s="1550"/>
      <c r="F66" s="1550"/>
      <c r="G66" s="1550"/>
      <c r="H66" s="1550"/>
      <c r="I66" s="1550"/>
      <c r="J66" s="1550"/>
      <c r="K66" s="1550"/>
      <c r="L66" s="1550"/>
      <c r="M66" s="1550"/>
      <c r="N66" s="1550"/>
      <c r="O66" s="1550"/>
      <c r="P66" s="1550"/>
      <c r="Q66" s="1550"/>
      <c r="R66" s="1550"/>
      <c r="S66" s="1550"/>
      <c r="T66" s="1550"/>
      <c r="U66" s="1550"/>
      <c r="V66" s="1550"/>
      <c r="W66" s="1550"/>
      <c r="X66" s="1550"/>
      <c r="Y66" s="1550"/>
      <c r="Z66" s="1550"/>
      <c r="AA66" s="1550"/>
      <c r="AB66" s="1550"/>
      <c r="AC66" s="1550"/>
      <c r="AD66" s="1550"/>
      <c r="AE66" s="1550"/>
      <c r="AF66" s="1550"/>
      <c r="AG66" s="1550"/>
      <c r="AH66" s="1550"/>
      <c r="AI66" s="1550"/>
      <c r="AJ66" s="1550"/>
      <c r="AK66" s="1550"/>
      <c r="AL66" s="1550"/>
      <c r="AM66" s="1550"/>
      <c r="AN66" s="1550"/>
      <c r="AO66" s="1550"/>
      <c r="AP66" s="1550"/>
      <c r="AQ66" s="1550"/>
      <c r="AR66" s="1550"/>
      <c r="AS66" s="1550"/>
      <c r="AT66" s="1550"/>
      <c r="AU66" s="21"/>
      <c r="AV66" s="21"/>
      <c r="AW66" s="21"/>
      <c r="AX66" s="21"/>
      <c r="AY66" s="21"/>
      <c r="AZ66" s="20"/>
    </row>
    <row r="67" spans="1:52" ht="13" customHeight="1">
      <c r="A67" s="1550"/>
      <c r="B67" s="1550"/>
      <c r="C67" s="1550"/>
      <c r="D67" s="1550"/>
      <c r="E67" s="1550"/>
      <c r="F67" s="1550"/>
      <c r="G67" s="1550"/>
      <c r="H67" s="1550"/>
      <c r="I67" s="1550"/>
      <c r="J67" s="1550"/>
      <c r="K67" s="1550"/>
      <c r="L67" s="1550"/>
      <c r="M67" s="1550"/>
      <c r="N67" s="1550"/>
      <c r="O67" s="1550"/>
      <c r="P67" s="1550"/>
      <c r="Q67" s="1550"/>
      <c r="R67" s="1550"/>
      <c r="S67" s="1550"/>
      <c r="T67" s="1550"/>
      <c r="U67" s="1550"/>
      <c r="V67" s="1550"/>
      <c r="W67" s="1550"/>
      <c r="X67" s="1550"/>
      <c r="Y67" s="1550"/>
      <c r="Z67" s="1550"/>
      <c r="AA67" s="1550"/>
      <c r="AB67" s="1550"/>
      <c r="AC67" s="1550"/>
      <c r="AD67" s="1550"/>
      <c r="AE67" s="1550"/>
      <c r="AF67" s="1550"/>
      <c r="AG67" s="1550"/>
      <c r="AH67" s="1550"/>
      <c r="AI67" s="1550"/>
      <c r="AJ67" s="1550"/>
      <c r="AK67" s="1550"/>
      <c r="AL67" s="1550"/>
      <c r="AM67" s="1550"/>
      <c r="AN67" s="1550"/>
      <c r="AO67" s="1550"/>
      <c r="AP67" s="1550"/>
      <c r="AQ67" s="1550"/>
      <c r="AR67" s="1550"/>
      <c r="AS67" s="1550"/>
      <c r="AT67" s="1550"/>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50" t="s">
        <v>2518</v>
      </c>
      <c r="B69" s="1550"/>
      <c r="C69" s="1550"/>
      <c r="D69" s="1550"/>
      <c r="E69" s="1550"/>
      <c r="F69" s="1550"/>
      <c r="G69" s="1550"/>
      <c r="H69" s="1550"/>
      <c r="I69" s="1550"/>
      <c r="J69" s="1550"/>
      <c r="K69" s="1550"/>
      <c r="L69" s="1550"/>
      <c r="M69" s="1550"/>
      <c r="N69" s="1550"/>
      <c r="O69" s="1550"/>
      <c r="P69" s="1550"/>
      <c r="Q69" s="1550"/>
      <c r="R69" s="1550"/>
      <c r="S69" s="1550"/>
      <c r="T69" s="1550"/>
      <c r="U69" s="1550"/>
      <c r="V69" s="1550"/>
      <c r="W69" s="1550"/>
      <c r="X69" s="1550"/>
      <c r="Y69" s="1550"/>
      <c r="Z69" s="1550"/>
      <c r="AA69" s="1550"/>
      <c r="AB69" s="1550"/>
      <c r="AC69" s="1550"/>
      <c r="AD69" s="1550"/>
      <c r="AE69" s="1550"/>
      <c r="AF69" s="1550"/>
      <c r="AG69" s="1550"/>
      <c r="AH69" s="1550"/>
      <c r="AI69" s="1550"/>
      <c r="AJ69" s="1550"/>
      <c r="AK69" s="1550"/>
      <c r="AL69" s="1550"/>
      <c r="AM69" s="1550"/>
      <c r="AN69" s="1550"/>
      <c r="AO69" s="1550"/>
      <c r="AP69" s="1550"/>
      <c r="AQ69" s="1550"/>
      <c r="AR69" s="1550"/>
      <c r="AS69" s="1550"/>
      <c r="AT69" s="1550"/>
      <c r="AZ69" s="20"/>
    </row>
    <row r="70" spans="1:52" ht="13" customHeight="1">
      <c r="A70" s="1550"/>
      <c r="B70" s="1550"/>
      <c r="C70" s="1550"/>
      <c r="D70" s="1550"/>
      <c r="E70" s="1550"/>
      <c r="F70" s="1550"/>
      <c r="G70" s="1550"/>
      <c r="H70" s="1550"/>
      <c r="I70" s="1550"/>
      <c r="J70" s="1550"/>
      <c r="K70" s="1550"/>
      <c r="L70" s="1550"/>
      <c r="M70" s="1550"/>
      <c r="N70" s="1550"/>
      <c r="O70" s="1550"/>
      <c r="P70" s="1550"/>
      <c r="Q70" s="1550"/>
      <c r="R70" s="1550"/>
      <c r="S70" s="1550"/>
      <c r="T70" s="1550"/>
      <c r="U70" s="1550"/>
      <c r="V70" s="1550"/>
      <c r="W70" s="1550"/>
      <c r="X70" s="1550"/>
      <c r="Y70" s="1550"/>
      <c r="Z70" s="1550"/>
      <c r="AA70" s="1550"/>
      <c r="AB70" s="1550"/>
      <c r="AC70" s="1550"/>
      <c r="AD70" s="1550"/>
      <c r="AE70" s="1550"/>
      <c r="AF70" s="1550"/>
      <c r="AG70" s="1550"/>
      <c r="AH70" s="1550"/>
      <c r="AI70" s="1550"/>
      <c r="AJ70" s="1550"/>
      <c r="AK70" s="1550"/>
      <c r="AL70" s="1550"/>
      <c r="AM70" s="1550"/>
      <c r="AN70" s="1550"/>
      <c r="AO70" s="1550"/>
      <c r="AP70" s="1550"/>
      <c r="AQ70" s="1550"/>
      <c r="AR70" s="1550"/>
      <c r="AS70" s="1550"/>
      <c r="AT70" s="1550"/>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47" t="s">
        <v>2519</v>
      </c>
      <c r="B72" s="1847"/>
      <c r="C72" s="1847"/>
      <c r="D72" s="1847"/>
      <c r="E72" s="1847"/>
      <c r="F72" s="1847"/>
      <c r="G72" s="1847"/>
      <c r="H72" s="1847"/>
      <c r="I72" s="1847"/>
      <c r="J72" s="1847"/>
      <c r="K72" s="1847"/>
      <c r="L72" s="1847"/>
      <c r="M72" s="1847"/>
      <c r="N72" s="1847"/>
      <c r="O72" s="1847"/>
      <c r="P72" s="1847"/>
      <c r="Q72" s="1847"/>
      <c r="R72" s="1847"/>
      <c r="S72" s="1847"/>
      <c r="T72" s="1847"/>
      <c r="U72" s="1847"/>
      <c r="V72" s="1847"/>
      <c r="W72" s="1847"/>
      <c r="X72" s="1847"/>
      <c r="Y72" s="1847"/>
      <c r="Z72" s="1847"/>
      <c r="AA72" s="1847"/>
      <c r="AB72" s="1847"/>
      <c r="AC72" s="1847"/>
      <c r="AD72" s="1847"/>
      <c r="AE72" s="1847"/>
      <c r="AF72" s="1847"/>
      <c r="AG72" s="1847"/>
      <c r="AH72" s="1847"/>
      <c r="AI72" s="1847"/>
      <c r="AJ72" s="1847"/>
      <c r="AK72" s="1847"/>
      <c r="AL72" s="1847"/>
      <c r="AM72" s="1847"/>
      <c r="AN72" s="1847"/>
      <c r="AO72" s="1847"/>
      <c r="AP72" s="1847"/>
      <c r="AQ72" s="1847"/>
      <c r="AR72" s="1847"/>
      <c r="AS72" s="1847"/>
      <c r="AT72" s="1847"/>
      <c r="AU72" s="20"/>
      <c r="AV72" s="20"/>
      <c r="AW72" s="20"/>
      <c r="AX72" s="20"/>
      <c r="AY72" s="20"/>
      <c r="AZ72" s="20"/>
    </row>
    <row r="73" spans="1:52" ht="13" customHeight="1">
      <c r="A73" s="1847"/>
      <c r="B73" s="1847"/>
      <c r="C73" s="1847"/>
      <c r="D73" s="1847"/>
      <c r="E73" s="1847"/>
      <c r="F73" s="1847"/>
      <c r="G73" s="1847"/>
      <c r="H73" s="1847"/>
      <c r="I73" s="1847"/>
      <c r="J73" s="1847"/>
      <c r="K73" s="1847"/>
      <c r="L73" s="1847"/>
      <c r="M73" s="1847"/>
      <c r="N73" s="1847"/>
      <c r="O73" s="1847"/>
      <c r="P73" s="1847"/>
      <c r="Q73" s="1847"/>
      <c r="R73" s="1847"/>
      <c r="S73" s="1847"/>
      <c r="T73" s="1847"/>
      <c r="U73" s="1847"/>
      <c r="V73" s="1847"/>
      <c r="W73" s="1847"/>
      <c r="X73" s="1847"/>
      <c r="Y73" s="1847"/>
      <c r="Z73" s="1847"/>
      <c r="AA73" s="1847"/>
      <c r="AB73" s="1847"/>
      <c r="AC73" s="1847"/>
      <c r="AD73" s="1847"/>
      <c r="AE73" s="1847"/>
      <c r="AF73" s="1847"/>
      <c r="AG73" s="1847"/>
      <c r="AH73" s="1847"/>
      <c r="AI73" s="1847"/>
      <c r="AJ73" s="1847"/>
      <c r="AK73" s="1847"/>
      <c r="AL73" s="1847"/>
      <c r="AM73" s="1847"/>
      <c r="AN73" s="1847"/>
      <c r="AO73" s="1847"/>
      <c r="AP73" s="1847"/>
      <c r="AQ73" s="1847"/>
      <c r="AR73" s="1847"/>
      <c r="AS73" s="1847"/>
      <c r="AT73" s="1847"/>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48" t="s">
        <v>2520</v>
      </c>
      <c r="B75" s="1548"/>
      <c r="C75" s="1548"/>
      <c r="D75" s="1548"/>
      <c r="E75" s="1548"/>
      <c r="F75" s="1548"/>
      <c r="G75" s="1548"/>
      <c r="H75" s="1548"/>
      <c r="I75" s="1548"/>
      <c r="J75" s="1548"/>
      <c r="K75" s="1548"/>
      <c r="L75" s="1548"/>
      <c r="M75" s="1548"/>
      <c r="N75" s="1548"/>
      <c r="O75" s="1548"/>
      <c r="P75" s="1548"/>
      <c r="Q75" s="1548"/>
      <c r="R75" s="1548"/>
      <c r="S75" s="1548"/>
      <c r="T75" s="1548"/>
      <c r="U75" s="1548"/>
      <c r="V75" s="1548"/>
      <c r="W75" s="1548"/>
      <c r="X75" s="1548"/>
      <c r="Y75" s="1548"/>
      <c r="Z75" s="1548"/>
      <c r="AA75" s="1548"/>
      <c r="AB75" s="1548"/>
      <c r="AC75" s="1548"/>
      <c r="AD75" s="1548"/>
      <c r="AE75" s="1548"/>
      <c r="AF75" s="1548"/>
      <c r="AG75" s="1548"/>
      <c r="AH75" s="1548"/>
      <c r="AI75" s="1548"/>
      <c r="AJ75" s="1548"/>
      <c r="AK75" s="1548"/>
      <c r="AL75" s="1548"/>
      <c r="AM75" s="1548"/>
      <c r="AN75" s="1548"/>
      <c r="AO75" s="1548"/>
      <c r="AP75" s="1548"/>
      <c r="AQ75" s="1548"/>
      <c r="AR75" s="1548"/>
      <c r="AS75" s="1548"/>
      <c r="AT75" s="1548"/>
      <c r="AU75" s="20"/>
      <c r="AV75" s="20"/>
      <c r="AW75" s="20"/>
      <c r="AX75" s="20"/>
      <c r="AY75" s="20"/>
      <c r="AZ75" s="20"/>
    </row>
    <row r="76" spans="1:52" ht="13" customHeight="1">
      <c r="A76" s="1548"/>
      <c r="B76" s="1548"/>
      <c r="C76" s="1548"/>
      <c r="D76" s="1548"/>
      <c r="E76" s="1548"/>
      <c r="F76" s="1548"/>
      <c r="G76" s="1548"/>
      <c r="H76" s="1548"/>
      <c r="I76" s="1548"/>
      <c r="J76" s="1548"/>
      <c r="K76" s="1548"/>
      <c r="L76" s="1548"/>
      <c r="M76" s="1548"/>
      <c r="N76" s="1548"/>
      <c r="O76" s="1548"/>
      <c r="P76" s="1548"/>
      <c r="Q76" s="1548"/>
      <c r="R76" s="1548"/>
      <c r="S76" s="1548"/>
      <c r="T76" s="1548"/>
      <c r="U76" s="1548"/>
      <c r="V76" s="1548"/>
      <c r="W76" s="1548"/>
      <c r="X76" s="1548"/>
      <c r="Y76" s="1548"/>
      <c r="Z76" s="1548"/>
      <c r="AA76" s="1548"/>
      <c r="AB76" s="1548"/>
      <c r="AC76" s="1548"/>
      <c r="AD76" s="1548"/>
      <c r="AE76" s="1548"/>
      <c r="AF76" s="1548"/>
      <c r="AG76" s="1548"/>
      <c r="AH76" s="1548"/>
      <c r="AI76" s="1548"/>
      <c r="AJ76" s="1548"/>
      <c r="AK76" s="1548"/>
      <c r="AL76" s="1548"/>
      <c r="AM76" s="1548"/>
      <c r="AN76" s="1548"/>
      <c r="AO76" s="1548"/>
      <c r="AP76" s="1548"/>
      <c r="AQ76" s="1548"/>
      <c r="AR76" s="1548"/>
      <c r="AS76" s="1548"/>
      <c r="AT76" s="1548"/>
      <c r="AU76" s="20"/>
      <c r="AV76" s="20"/>
      <c r="AW76" s="20"/>
      <c r="AX76" s="20"/>
      <c r="AY76" s="20"/>
      <c r="AZ76" s="17"/>
    </row>
    <row r="77" spans="1:52" ht="13" customHeight="1">
      <c r="A77" s="1548"/>
      <c r="B77" s="1548"/>
      <c r="C77" s="1548"/>
      <c r="D77" s="1548"/>
      <c r="E77" s="1548"/>
      <c r="F77" s="1548"/>
      <c r="G77" s="1548"/>
      <c r="H77" s="1548"/>
      <c r="I77" s="1548"/>
      <c r="J77" s="1548"/>
      <c r="K77" s="1548"/>
      <c r="L77" s="1548"/>
      <c r="M77" s="1548"/>
      <c r="N77" s="1548"/>
      <c r="O77" s="1548"/>
      <c r="P77" s="1548"/>
      <c r="Q77" s="1548"/>
      <c r="R77" s="1548"/>
      <c r="S77" s="1548"/>
      <c r="T77" s="1548"/>
      <c r="U77" s="1548"/>
      <c r="V77" s="1548"/>
      <c r="W77" s="1548"/>
      <c r="X77" s="1548"/>
      <c r="Y77" s="1548"/>
      <c r="Z77" s="1548"/>
      <c r="AA77" s="1548"/>
      <c r="AB77" s="1548"/>
      <c r="AC77" s="1548"/>
      <c r="AD77" s="1548"/>
      <c r="AE77" s="1548"/>
      <c r="AF77" s="1548"/>
      <c r="AG77" s="1548"/>
      <c r="AH77" s="1548"/>
      <c r="AI77" s="1548"/>
      <c r="AJ77" s="1548"/>
      <c r="AK77" s="1548"/>
      <c r="AL77" s="1548"/>
      <c r="AM77" s="1548"/>
      <c r="AN77" s="1548"/>
      <c r="AO77" s="1548"/>
      <c r="AP77" s="1548"/>
      <c r="AQ77" s="1548"/>
      <c r="AR77" s="1548"/>
      <c r="AS77" s="1548"/>
      <c r="AT77" s="1548"/>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50" t="s">
        <v>2521</v>
      </c>
      <c r="B79" s="1550"/>
      <c r="C79" s="1550"/>
      <c r="D79" s="1550"/>
      <c r="E79" s="1550"/>
      <c r="F79" s="1550"/>
      <c r="G79" s="1550"/>
      <c r="H79" s="1550"/>
      <c r="I79" s="1550"/>
      <c r="J79" s="1550"/>
      <c r="K79" s="1550"/>
      <c r="L79" s="1550"/>
      <c r="M79" s="1550"/>
      <c r="N79" s="1550"/>
      <c r="O79" s="1550"/>
      <c r="P79" s="1550"/>
      <c r="Q79" s="1550"/>
      <c r="R79" s="1550"/>
      <c r="S79" s="1550"/>
      <c r="T79" s="1550"/>
      <c r="U79" s="1550"/>
      <c r="V79" s="1550"/>
      <c r="W79" s="1550"/>
      <c r="X79" s="1550"/>
      <c r="Y79" s="1550"/>
      <c r="Z79" s="1550"/>
      <c r="AA79" s="1550"/>
      <c r="AB79" s="1550"/>
      <c r="AC79" s="1550"/>
      <c r="AD79" s="1550"/>
      <c r="AE79" s="1550"/>
      <c r="AF79" s="1550"/>
      <c r="AG79" s="1550"/>
      <c r="AH79" s="1550"/>
      <c r="AI79" s="1550"/>
      <c r="AJ79" s="1550"/>
      <c r="AK79" s="1550"/>
      <c r="AL79" s="1550"/>
      <c r="AM79" s="1550"/>
      <c r="AN79" s="1550"/>
      <c r="AO79" s="1550"/>
      <c r="AP79" s="1550"/>
      <c r="AQ79" s="1550"/>
      <c r="AR79" s="1550"/>
      <c r="AS79" s="1550"/>
      <c r="AT79" s="1550"/>
      <c r="AU79" s="20"/>
      <c r="AV79" s="20"/>
      <c r="AW79" s="20"/>
      <c r="AX79" s="20"/>
      <c r="AY79" s="20"/>
      <c r="AZ79" s="20"/>
    </row>
    <row r="80" spans="1:52" ht="13" customHeight="1">
      <c r="A80" s="1550"/>
      <c r="B80" s="1550"/>
      <c r="C80" s="1550"/>
      <c r="D80" s="1550"/>
      <c r="E80" s="1550"/>
      <c r="F80" s="1550"/>
      <c r="G80" s="1550"/>
      <c r="H80" s="1550"/>
      <c r="I80" s="1550"/>
      <c r="J80" s="1550"/>
      <c r="K80" s="1550"/>
      <c r="L80" s="1550"/>
      <c r="M80" s="1550"/>
      <c r="N80" s="1550"/>
      <c r="O80" s="1550"/>
      <c r="P80" s="1550"/>
      <c r="Q80" s="1550"/>
      <c r="R80" s="1550"/>
      <c r="S80" s="1550"/>
      <c r="T80" s="1550"/>
      <c r="U80" s="1550"/>
      <c r="V80" s="1550"/>
      <c r="W80" s="1550"/>
      <c r="X80" s="1550"/>
      <c r="Y80" s="1550"/>
      <c r="Z80" s="1550"/>
      <c r="AA80" s="1550"/>
      <c r="AB80" s="1550"/>
      <c r="AC80" s="1550"/>
      <c r="AD80" s="1550"/>
      <c r="AE80" s="1550"/>
      <c r="AF80" s="1550"/>
      <c r="AG80" s="1550"/>
      <c r="AH80" s="1550"/>
      <c r="AI80" s="1550"/>
      <c r="AJ80" s="1550"/>
      <c r="AK80" s="1550"/>
      <c r="AL80" s="1550"/>
      <c r="AM80" s="1550"/>
      <c r="AN80" s="1550"/>
      <c r="AO80" s="1550"/>
      <c r="AP80" s="1550"/>
      <c r="AQ80" s="1550"/>
      <c r="AR80" s="1550"/>
      <c r="AS80" s="1550"/>
      <c r="AT80" s="1550"/>
      <c r="AU80" s="20"/>
      <c r="AV80" s="20"/>
      <c r="AW80" s="20"/>
      <c r="AX80" s="20"/>
      <c r="AY80" s="20"/>
      <c r="AZ80" s="20"/>
    </row>
    <row r="81" spans="1:52" ht="13" customHeight="1">
      <c r="A81" s="1550"/>
      <c r="B81" s="1550"/>
      <c r="C81" s="1550"/>
      <c r="D81" s="1550"/>
      <c r="E81" s="1550"/>
      <c r="F81" s="1550"/>
      <c r="G81" s="1550"/>
      <c r="H81" s="1550"/>
      <c r="I81" s="1550"/>
      <c r="J81" s="1550"/>
      <c r="K81" s="1550"/>
      <c r="L81" s="1550"/>
      <c r="M81" s="1550"/>
      <c r="N81" s="1550"/>
      <c r="O81" s="1550"/>
      <c r="P81" s="1550"/>
      <c r="Q81" s="1550"/>
      <c r="R81" s="1550"/>
      <c r="S81" s="1550"/>
      <c r="T81" s="1550"/>
      <c r="U81" s="1550"/>
      <c r="V81" s="1550"/>
      <c r="W81" s="1550"/>
      <c r="X81" s="1550"/>
      <c r="Y81" s="1550"/>
      <c r="Z81" s="1550"/>
      <c r="AA81" s="1550"/>
      <c r="AB81" s="1550"/>
      <c r="AC81" s="1550"/>
      <c r="AD81" s="1550"/>
      <c r="AE81" s="1550"/>
      <c r="AF81" s="1550"/>
      <c r="AG81" s="1550"/>
      <c r="AH81" s="1550"/>
      <c r="AI81" s="1550"/>
      <c r="AJ81" s="1550"/>
      <c r="AK81" s="1550"/>
      <c r="AL81" s="1550"/>
      <c r="AM81" s="1550"/>
      <c r="AN81" s="1550"/>
      <c r="AO81" s="1550"/>
      <c r="AP81" s="1550"/>
      <c r="AQ81" s="1550"/>
      <c r="AR81" s="1550"/>
      <c r="AS81" s="1550"/>
      <c r="AT81" s="1550"/>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4" t="s">
        <v>2522</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3"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4" t="s">
        <v>2523</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3"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47" t="s">
        <v>2524</v>
      </c>
      <c r="B89" s="1547"/>
      <c r="C89" s="1547"/>
      <c r="D89" s="1547"/>
      <c r="E89" s="1547"/>
      <c r="F89" s="1547"/>
      <c r="G89" s="1547"/>
      <c r="H89" s="1547"/>
      <c r="I89" s="1547"/>
      <c r="J89" s="1547"/>
      <c r="K89" s="1547"/>
      <c r="L89" s="1547"/>
      <c r="M89" s="1547"/>
      <c r="N89" s="1547"/>
      <c r="O89" s="1547"/>
      <c r="P89" s="1547"/>
      <c r="Q89" s="1547"/>
      <c r="R89" s="1547"/>
      <c r="S89" s="1547"/>
      <c r="T89" s="1547"/>
      <c r="U89" s="1547"/>
      <c r="V89" s="1547"/>
      <c r="W89" s="1547"/>
      <c r="X89" s="1547"/>
      <c r="Y89" s="1547"/>
      <c r="Z89" s="1547"/>
      <c r="AA89" s="1547"/>
      <c r="AB89" s="1547"/>
      <c r="AC89" s="1547"/>
      <c r="AD89" s="1547"/>
      <c r="AE89" s="1547"/>
      <c r="AF89" s="1547"/>
      <c r="AG89" s="1547"/>
      <c r="AH89" s="1547"/>
      <c r="AI89" s="1547"/>
      <c r="AJ89" s="1547"/>
      <c r="AK89" s="1547"/>
      <c r="AL89" s="1547"/>
      <c r="AM89" s="1547"/>
      <c r="AN89" s="1547"/>
      <c r="AO89" s="1547"/>
      <c r="AP89" s="1547"/>
      <c r="AQ89" s="1547"/>
      <c r="AR89" s="1547"/>
      <c r="AS89" s="1547"/>
      <c r="AT89" s="1547"/>
      <c r="AU89" s="17"/>
      <c r="AV89" s="17"/>
      <c r="AW89" s="17"/>
      <c r="AX89" s="17"/>
      <c r="AY89" s="17"/>
      <c r="AZ89" s="20"/>
    </row>
    <row r="90" spans="1:52" ht="13" customHeight="1">
      <c r="A90" s="1547"/>
      <c r="B90" s="1547"/>
      <c r="C90" s="1547"/>
      <c r="D90" s="1547"/>
      <c r="E90" s="1547"/>
      <c r="F90" s="1547"/>
      <c r="G90" s="1547"/>
      <c r="H90" s="1547"/>
      <c r="I90" s="1547"/>
      <c r="J90" s="1547"/>
      <c r="K90" s="1547"/>
      <c r="L90" s="1547"/>
      <c r="M90" s="1547"/>
      <c r="N90" s="1547"/>
      <c r="O90" s="1547"/>
      <c r="P90" s="1547"/>
      <c r="Q90" s="1547"/>
      <c r="R90" s="1547"/>
      <c r="S90" s="1547"/>
      <c r="T90" s="1547"/>
      <c r="U90" s="1547"/>
      <c r="V90" s="1547"/>
      <c r="W90" s="1547"/>
      <c r="X90" s="1547"/>
      <c r="Y90" s="1547"/>
      <c r="Z90" s="1547"/>
      <c r="AA90" s="1547"/>
      <c r="AB90" s="1547"/>
      <c r="AC90" s="1547"/>
      <c r="AD90" s="1547"/>
      <c r="AE90" s="1547"/>
      <c r="AF90" s="1547"/>
      <c r="AG90" s="1547"/>
      <c r="AH90" s="1547"/>
      <c r="AI90" s="1547"/>
      <c r="AJ90" s="1547"/>
      <c r="AK90" s="1547"/>
      <c r="AL90" s="1547"/>
      <c r="AM90" s="1547"/>
      <c r="AN90" s="1547"/>
      <c r="AO90" s="1547"/>
      <c r="AP90" s="1547"/>
      <c r="AQ90" s="1547"/>
      <c r="AR90" s="1547"/>
      <c r="AS90" s="1547"/>
      <c r="AT90" s="1547"/>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48" t="s">
        <v>2525</v>
      </c>
      <c r="B92" s="1548"/>
      <c r="C92" s="1548"/>
      <c r="D92" s="1548"/>
      <c r="E92" s="1548"/>
      <c r="F92" s="1548"/>
      <c r="G92" s="1548"/>
      <c r="H92" s="1548"/>
      <c r="I92" s="1548"/>
      <c r="J92" s="1548"/>
      <c r="K92" s="1548"/>
      <c r="L92" s="1548"/>
      <c r="M92" s="1548"/>
      <c r="N92" s="1548"/>
      <c r="O92" s="1548"/>
      <c r="P92" s="1548"/>
      <c r="Q92" s="1548"/>
      <c r="R92" s="1548"/>
      <c r="S92" s="1548"/>
      <c r="T92" s="1548"/>
      <c r="U92" s="1548"/>
      <c r="V92" s="1548"/>
      <c r="W92" s="1548"/>
      <c r="X92" s="1548"/>
      <c r="Y92" s="1548"/>
      <c r="Z92" s="1548"/>
      <c r="AA92" s="1548"/>
      <c r="AB92" s="1548"/>
      <c r="AC92" s="1548"/>
      <c r="AD92" s="1548"/>
      <c r="AE92" s="1548"/>
      <c r="AF92" s="1548"/>
      <c r="AG92" s="1548"/>
      <c r="AH92" s="1548"/>
      <c r="AI92" s="1548"/>
      <c r="AJ92" s="1548"/>
      <c r="AK92" s="1548"/>
      <c r="AL92" s="1548"/>
      <c r="AM92" s="1548"/>
      <c r="AN92" s="1548"/>
      <c r="AO92" s="1548"/>
      <c r="AP92" s="1548"/>
      <c r="AQ92" s="1548"/>
      <c r="AR92" s="1548"/>
      <c r="AS92" s="1548"/>
      <c r="AT92" s="1548"/>
      <c r="AU92" s="20"/>
      <c r="AV92" s="20"/>
      <c r="AW92" s="20"/>
      <c r="AX92" s="20"/>
      <c r="AY92" s="20"/>
      <c r="AZ92" s="20"/>
    </row>
    <row r="93" spans="1:52" ht="13" customHeight="1">
      <c r="A93" s="1548"/>
      <c r="B93" s="1548"/>
      <c r="C93" s="1548"/>
      <c r="D93" s="1548"/>
      <c r="E93" s="1548"/>
      <c r="F93" s="1548"/>
      <c r="G93" s="1548"/>
      <c r="H93" s="1548"/>
      <c r="I93" s="1548"/>
      <c r="J93" s="1548"/>
      <c r="K93" s="1548"/>
      <c r="L93" s="1548"/>
      <c r="M93" s="1548"/>
      <c r="N93" s="1548"/>
      <c r="O93" s="1548"/>
      <c r="P93" s="1548"/>
      <c r="Q93" s="1548"/>
      <c r="R93" s="1548"/>
      <c r="S93" s="1548"/>
      <c r="T93" s="1548"/>
      <c r="U93" s="1548"/>
      <c r="V93" s="1548"/>
      <c r="W93" s="1548"/>
      <c r="X93" s="1548"/>
      <c r="Y93" s="1548"/>
      <c r="Z93" s="1548"/>
      <c r="AA93" s="1548"/>
      <c r="AB93" s="1548"/>
      <c r="AC93" s="1548"/>
      <c r="AD93" s="1548"/>
      <c r="AE93" s="1548"/>
      <c r="AF93" s="1548"/>
      <c r="AG93" s="1548"/>
      <c r="AH93" s="1548"/>
      <c r="AI93" s="1548"/>
      <c r="AJ93" s="1548"/>
      <c r="AK93" s="1548"/>
      <c r="AL93" s="1548"/>
      <c r="AM93" s="1548"/>
      <c r="AN93" s="1548"/>
      <c r="AO93" s="1548"/>
      <c r="AP93" s="1548"/>
      <c r="AQ93" s="1548"/>
      <c r="AR93" s="1548"/>
      <c r="AS93" s="1548"/>
      <c r="AT93" s="1548"/>
      <c r="AU93" s="20"/>
      <c r="AV93" s="20"/>
      <c r="AW93" s="20"/>
      <c r="AX93" s="20"/>
      <c r="AY93" s="20"/>
      <c r="AZ93" s="20"/>
    </row>
    <row r="94" spans="1:52" ht="13" customHeight="1">
      <c r="A94" s="1548"/>
      <c r="B94" s="1548"/>
      <c r="C94" s="1548"/>
      <c r="D94" s="1548"/>
      <c r="E94" s="1548"/>
      <c r="F94" s="1548"/>
      <c r="G94" s="1548"/>
      <c r="H94" s="1548"/>
      <c r="I94" s="1548"/>
      <c r="J94" s="1548"/>
      <c r="K94" s="1548"/>
      <c r="L94" s="1548"/>
      <c r="M94" s="1548"/>
      <c r="N94" s="1548"/>
      <c r="O94" s="1548"/>
      <c r="P94" s="1548"/>
      <c r="Q94" s="1548"/>
      <c r="R94" s="1548"/>
      <c r="S94" s="1548"/>
      <c r="T94" s="1548"/>
      <c r="U94" s="1548"/>
      <c r="V94" s="1548"/>
      <c r="W94" s="1548"/>
      <c r="X94" s="1548"/>
      <c r="Y94" s="1548"/>
      <c r="Z94" s="1548"/>
      <c r="AA94" s="1548"/>
      <c r="AB94" s="1548"/>
      <c r="AC94" s="1548"/>
      <c r="AD94" s="1548"/>
      <c r="AE94" s="1548"/>
      <c r="AF94" s="1548"/>
      <c r="AG94" s="1548"/>
      <c r="AH94" s="1548"/>
      <c r="AI94" s="1548"/>
      <c r="AJ94" s="1548"/>
      <c r="AK94" s="1548"/>
      <c r="AL94" s="1548"/>
      <c r="AM94" s="1548"/>
      <c r="AN94" s="1548"/>
      <c r="AO94" s="1548"/>
      <c r="AP94" s="1548"/>
      <c r="AQ94" s="1548"/>
      <c r="AR94" s="1548"/>
      <c r="AS94" s="1548"/>
      <c r="AT94" s="1548"/>
      <c r="AU94" s="20"/>
      <c r="AV94" s="20"/>
      <c r="AW94" s="20"/>
      <c r="AX94" s="20"/>
      <c r="AY94" s="20"/>
      <c r="AZ94" s="20"/>
    </row>
    <row r="95" spans="1:52" ht="13" customHeight="1">
      <c r="A95" s="1548"/>
      <c r="B95" s="1548"/>
      <c r="C95" s="1548"/>
      <c r="D95" s="1548"/>
      <c r="E95" s="1548"/>
      <c r="F95" s="1548"/>
      <c r="G95" s="1548"/>
      <c r="H95" s="1548"/>
      <c r="I95" s="1548"/>
      <c r="J95" s="1548"/>
      <c r="K95" s="1548"/>
      <c r="L95" s="1548"/>
      <c r="M95" s="1548"/>
      <c r="N95" s="1548"/>
      <c r="O95" s="1548"/>
      <c r="P95" s="1548"/>
      <c r="Q95" s="1548"/>
      <c r="R95" s="1548"/>
      <c r="S95" s="1548"/>
      <c r="T95" s="1548"/>
      <c r="U95" s="1548"/>
      <c r="V95" s="1548"/>
      <c r="W95" s="1548"/>
      <c r="X95" s="1548"/>
      <c r="Y95" s="1548"/>
      <c r="Z95" s="1548"/>
      <c r="AA95" s="1548"/>
      <c r="AB95" s="1548"/>
      <c r="AC95" s="1548"/>
      <c r="AD95" s="1548"/>
      <c r="AE95" s="1548"/>
      <c r="AF95" s="1548"/>
      <c r="AG95" s="1548"/>
      <c r="AH95" s="1548"/>
      <c r="AI95" s="1548"/>
      <c r="AJ95" s="1548"/>
      <c r="AK95" s="1548"/>
      <c r="AL95" s="1548"/>
      <c r="AM95" s="1548"/>
      <c r="AN95" s="1548"/>
      <c r="AO95" s="1548"/>
      <c r="AP95" s="1548"/>
      <c r="AQ95" s="1548"/>
      <c r="AR95" s="1548"/>
      <c r="AS95" s="1548"/>
      <c r="AT95" s="1548"/>
      <c r="AU95" s="20"/>
      <c r="AV95" s="20"/>
      <c r="AW95" s="20"/>
      <c r="AX95" s="20"/>
      <c r="AY95" s="20"/>
      <c r="AZ95" s="20"/>
    </row>
    <row r="96" spans="1:52" ht="13" customHeight="1">
      <c r="A96" s="1548"/>
      <c r="B96" s="1548"/>
      <c r="C96" s="1548"/>
      <c r="D96" s="1548"/>
      <c r="E96" s="1548"/>
      <c r="F96" s="1548"/>
      <c r="G96" s="1548"/>
      <c r="H96" s="1548"/>
      <c r="I96" s="1548"/>
      <c r="J96" s="1548"/>
      <c r="K96" s="1548"/>
      <c r="L96" s="1548"/>
      <c r="M96" s="1548"/>
      <c r="N96" s="1548"/>
      <c r="O96" s="1548"/>
      <c r="P96" s="1548"/>
      <c r="Q96" s="1548"/>
      <c r="R96" s="1548"/>
      <c r="S96" s="1548"/>
      <c r="T96" s="1548"/>
      <c r="U96" s="1548"/>
      <c r="V96" s="1548"/>
      <c r="W96" s="1548"/>
      <c r="X96" s="1548"/>
      <c r="Y96" s="1548"/>
      <c r="Z96" s="1548"/>
      <c r="AA96" s="1548"/>
      <c r="AB96" s="1548"/>
      <c r="AC96" s="1548"/>
      <c r="AD96" s="1548"/>
      <c r="AE96" s="1548"/>
      <c r="AF96" s="1548"/>
      <c r="AG96" s="1548"/>
      <c r="AH96" s="1548"/>
      <c r="AI96" s="1548"/>
      <c r="AJ96" s="1548"/>
      <c r="AK96" s="1548"/>
      <c r="AL96" s="1548"/>
      <c r="AM96" s="1548"/>
      <c r="AN96" s="1548"/>
      <c r="AO96" s="1548"/>
      <c r="AP96" s="1548"/>
      <c r="AQ96" s="1548"/>
      <c r="AR96" s="1548"/>
      <c r="AS96" s="1548"/>
      <c r="AT96" s="1548"/>
      <c r="AU96" s="20"/>
      <c r="AV96" s="20"/>
      <c r="AW96" s="20"/>
      <c r="AX96" s="20"/>
      <c r="AY96" s="20"/>
      <c r="AZ96" s="20"/>
    </row>
    <row r="97" spans="1:52" ht="13" customHeight="1">
      <c r="A97" s="1548"/>
      <c r="B97" s="1548"/>
      <c r="C97" s="1548"/>
      <c r="D97" s="1548"/>
      <c r="E97" s="1548"/>
      <c r="F97" s="1548"/>
      <c r="G97" s="1548"/>
      <c r="H97" s="1548"/>
      <c r="I97" s="1548"/>
      <c r="J97" s="1548"/>
      <c r="K97" s="1548"/>
      <c r="L97" s="1548"/>
      <c r="M97" s="1548"/>
      <c r="N97" s="1548"/>
      <c r="O97" s="1548"/>
      <c r="P97" s="1548"/>
      <c r="Q97" s="1548"/>
      <c r="R97" s="1548"/>
      <c r="S97" s="1548"/>
      <c r="T97" s="1548"/>
      <c r="U97" s="1548"/>
      <c r="V97" s="1548"/>
      <c r="W97" s="1548"/>
      <c r="X97" s="1548"/>
      <c r="Y97" s="1548"/>
      <c r="Z97" s="1548"/>
      <c r="AA97" s="1548"/>
      <c r="AB97" s="1548"/>
      <c r="AC97" s="1548"/>
      <c r="AD97" s="1548"/>
      <c r="AE97" s="1548"/>
      <c r="AF97" s="1548"/>
      <c r="AG97" s="1548"/>
      <c r="AH97" s="1548"/>
      <c r="AI97" s="1548"/>
      <c r="AJ97" s="1548"/>
      <c r="AK97" s="1548"/>
      <c r="AL97" s="1548"/>
      <c r="AM97" s="1548"/>
      <c r="AN97" s="1548"/>
      <c r="AO97" s="1548"/>
      <c r="AP97" s="1548"/>
      <c r="AQ97" s="1548"/>
      <c r="AR97" s="1548"/>
      <c r="AS97" s="1548"/>
      <c r="AT97" s="1548"/>
      <c r="AU97" s="20"/>
      <c r="AV97" s="20"/>
      <c r="AW97" s="20"/>
      <c r="AX97" s="20"/>
      <c r="AY97" s="20"/>
      <c r="AZ97" s="20"/>
    </row>
    <row r="98" spans="1:52" ht="13" customHeight="1">
      <c r="A98" s="1548"/>
      <c r="B98" s="1548"/>
      <c r="C98" s="1548"/>
      <c r="D98" s="1548"/>
      <c r="E98" s="1548"/>
      <c r="F98" s="1548"/>
      <c r="G98" s="1548"/>
      <c r="H98" s="1548"/>
      <c r="I98" s="1548"/>
      <c r="J98" s="1548"/>
      <c r="K98" s="1548"/>
      <c r="L98" s="1548"/>
      <c r="M98" s="1548"/>
      <c r="N98" s="1548"/>
      <c r="O98" s="1548"/>
      <c r="P98" s="1548"/>
      <c r="Q98" s="1548"/>
      <c r="R98" s="1548"/>
      <c r="S98" s="1548"/>
      <c r="T98" s="1548"/>
      <c r="U98" s="1548"/>
      <c r="V98" s="1548"/>
      <c r="W98" s="1548"/>
      <c r="X98" s="1548"/>
      <c r="Y98" s="1548"/>
      <c r="Z98" s="1548"/>
      <c r="AA98" s="1548"/>
      <c r="AB98" s="1548"/>
      <c r="AC98" s="1548"/>
      <c r="AD98" s="1548"/>
      <c r="AE98" s="1548"/>
      <c r="AF98" s="1548"/>
      <c r="AG98" s="1548"/>
      <c r="AH98" s="1548"/>
      <c r="AI98" s="1548"/>
      <c r="AJ98" s="1548"/>
      <c r="AK98" s="1548"/>
      <c r="AL98" s="1548"/>
      <c r="AM98" s="1548"/>
      <c r="AN98" s="1548"/>
      <c r="AO98" s="1548"/>
      <c r="AP98" s="1548"/>
      <c r="AQ98" s="1548"/>
      <c r="AR98" s="1548"/>
      <c r="AS98" s="1548"/>
      <c r="AT98" s="1548"/>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0" t="s">
        <v>2526</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3"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3"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3"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0" t="s">
        <v>2527</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3"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552"/>
      <c r="H113" s="1552"/>
      <c r="I113" s="3" t="s">
        <v>182</v>
      </c>
      <c r="L113" s="1552"/>
      <c r="M113" s="1552"/>
      <c r="N113" s="1552"/>
      <c r="O113" s="1552"/>
      <c r="P113" s="1569" t="s">
        <v>2529</v>
      </c>
      <c r="Q113" s="1569"/>
      <c r="R113" s="1569"/>
      <c r="S113" s="156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56"/>
      <c r="D115" s="1556"/>
      <c r="E115" s="1556"/>
      <c r="F115" s="1556"/>
      <c r="G115" s="1556"/>
      <c r="H115" s="1556"/>
      <c r="I115" s="1556"/>
      <c r="J115" s="1556"/>
      <c r="K115" s="1556"/>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637</v>
      </c>
      <c r="Y117" s="1552"/>
      <c r="Z117" s="1552"/>
      <c r="AA117" s="1552"/>
      <c r="AB117" s="1552"/>
      <c r="AC117" s="1552"/>
      <c r="AD117" s="1552"/>
      <c r="AE117" s="1552"/>
      <c r="AF117" s="1552"/>
      <c r="AG117" s="1552"/>
      <c r="AH117" s="1552"/>
      <c r="AI117" s="1552"/>
      <c r="AJ117" s="1552"/>
      <c r="AK117" s="1552"/>
    </row>
    <row r="118" spans="1:51" ht="13" customHeight="1">
      <c r="X118" s="3"/>
      <c r="Y118" s="3"/>
      <c r="Z118" s="3" t="s">
        <v>638</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552" t="s">
        <v>2655</v>
      </c>
      <c r="Z120" s="1552"/>
      <c r="AA120" s="1552"/>
      <c r="AB120" s="1552"/>
      <c r="AC120" s="1552"/>
      <c r="AD120" s="1552"/>
      <c r="AE120" s="1552"/>
      <c r="AF120" s="1552"/>
      <c r="AG120" s="1552"/>
      <c r="AH120" s="1552"/>
      <c r="AI120" s="1552"/>
      <c r="AJ120" s="1552"/>
      <c r="AK120" s="1552"/>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552" t="s">
        <v>2727</v>
      </c>
      <c r="Z123" s="1552"/>
      <c r="AA123" s="1552"/>
      <c r="AB123" s="1552"/>
      <c r="AC123" s="1552"/>
      <c r="AD123" s="1552"/>
      <c r="AE123" s="1552"/>
      <c r="AF123" s="1552"/>
      <c r="AG123" s="1552"/>
      <c r="AH123" s="1552"/>
      <c r="AI123" s="1552"/>
      <c r="AJ123" s="1552"/>
      <c r="AK123" s="1552"/>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654</v>
      </c>
      <c r="O153" s="1491" t="s">
        <v>2643</v>
      </c>
      <c r="P153" s="1491"/>
      <c r="Q153" s="1491"/>
      <c r="R153" s="1491"/>
      <c r="S153" s="1491"/>
      <c r="T153" s="1491"/>
      <c r="U153" s="1491"/>
      <c r="V153" s="1491"/>
      <c r="W153" s="1491"/>
      <c r="X153" s="1491"/>
      <c r="Y153" s="1491"/>
      <c r="Z153" s="1491"/>
      <c r="AA153" s="1491"/>
      <c r="AB153" s="1491"/>
      <c r="AC153" s="1491"/>
      <c r="AD153" s="1491"/>
      <c r="AE153" s="1491"/>
      <c r="AF153" s="1491"/>
      <c r="AG153" s="1491"/>
      <c r="AH153" s="1491"/>
    </row>
    <row r="154" spans="1:72" ht="13" customHeight="1">
      <c r="D154" s="325" t="s">
        <v>442</v>
      </c>
      <c r="O154" s="1412" t="s">
        <v>2644</v>
      </c>
      <c r="P154" s="1412"/>
      <c r="Q154" s="1412"/>
      <c r="R154" s="1412"/>
      <c r="S154" s="1412"/>
      <c r="T154" s="1412"/>
      <c r="U154" s="1412"/>
      <c r="V154" s="1412"/>
      <c r="W154" s="1412"/>
      <c r="X154" s="1412"/>
      <c r="Y154" s="1412"/>
      <c r="Z154" s="1412"/>
      <c r="AA154" s="1412"/>
      <c r="AB154" s="1412"/>
      <c r="AC154" s="1412"/>
      <c r="AD154" s="1412"/>
      <c r="AE154" s="1412"/>
      <c r="AF154" s="1412"/>
      <c r="AG154" s="1412"/>
      <c r="AH154" s="1412"/>
    </row>
    <row r="155" spans="1:72" ht="13" customHeight="1">
      <c r="D155" s="8" t="s">
        <v>444</v>
      </c>
      <c r="F155" s="8"/>
      <c r="G155" s="8"/>
      <c r="H155" s="8"/>
      <c r="I155" s="8"/>
      <c r="J155" s="8"/>
      <c r="K155" s="8"/>
      <c r="L155" s="8"/>
      <c r="M155" s="8"/>
      <c r="N155" s="8"/>
      <c r="O155" s="1566" t="s">
        <v>443</v>
      </c>
      <c r="P155" s="1566"/>
      <c r="Q155" s="1566"/>
      <c r="R155" s="1566"/>
      <c r="S155" s="1566"/>
      <c r="T155" s="1566"/>
      <c r="U155" s="1566"/>
      <c r="V155" s="1566"/>
      <c r="W155" s="1566"/>
      <c r="X155" s="1566"/>
      <c r="Y155" s="1566"/>
      <c r="Z155" s="1566"/>
      <c r="AA155" s="1566"/>
      <c r="AB155" s="1566"/>
      <c r="AC155" s="1566"/>
      <c r="AD155" s="1566"/>
      <c r="AE155" s="1566"/>
      <c r="AF155" s="1566"/>
      <c r="AG155" s="1566"/>
      <c r="AH155" s="1566"/>
    </row>
    <row r="156" spans="1:72" ht="13" customHeight="1">
      <c r="D156" t="s">
        <v>314</v>
      </c>
      <c r="O156" s="1381" t="s">
        <v>2645</v>
      </c>
      <c r="P156" s="1381"/>
      <c r="Q156" s="1381"/>
      <c r="R156" s="1381"/>
      <c r="S156" s="1381"/>
      <c r="T156" s="1381"/>
      <c r="U156" s="1381"/>
      <c r="V156" s="1381"/>
      <c r="W156" s="1381"/>
      <c r="X156" s="1381"/>
      <c r="Y156" s="1381"/>
      <c r="Z156" s="1381"/>
      <c r="AA156" s="1381"/>
      <c r="AB156" s="1381"/>
      <c r="AC156" s="1381"/>
      <c r="AD156" s="1381"/>
      <c r="AE156" s="1381"/>
      <c r="AF156" s="1381"/>
      <c r="AG156" s="1381"/>
      <c r="AH156" s="1381"/>
      <c r="BT156" t="s">
        <v>308</v>
      </c>
    </row>
    <row r="157" spans="1:72" ht="13" customHeight="1">
      <c r="D157" t="s">
        <v>315</v>
      </c>
      <c r="O157" s="1491" t="s">
        <v>2640</v>
      </c>
      <c r="P157" s="1491"/>
      <c r="Q157" s="1491"/>
      <c r="R157" s="1491"/>
      <c r="S157" s="1491"/>
      <c r="T157" s="1491"/>
      <c r="U157" s="1491"/>
      <c r="V157" s="1491"/>
      <c r="W157" s="1491"/>
      <c r="X157" s="1491"/>
      <c r="Y157" s="8"/>
      <c r="Z157" s="8"/>
      <c r="AA157" s="8"/>
      <c r="AB157" s="8"/>
      <c r="AC157" s="8"/>
      <c r="AD157" s="8"/>
      <c r="AE157" s="8"/>
      <c r="AF157" s="8"/>
      <c r="BN157" s="23" t="s">
        <v>645</v>
      </c>
      <c r="BT157" t="s">
        <v>485</v>
      </c>
    </row>
    <row r="158" spans="1:72" ht="13" customHeight="1">
      <c r="D158" t="s">
        <v>316</v>
      </c>
      <c r="O158" s="1567">
        <v>94612</v>
      </c>
      <c r="P158" s="1567"/>
      <c r="Q158" s="1567"/>
      <c r="R158" s="1567"/>
      <c r="S158" s="9"/>
      <c r="T158" s="9"/>
      <c r="U158" s="9"/>
      <c r="V158" s="9"/>
      <c r="W158" s="9"/>
      <c r="X158" s="9"/>
      <c r="Y158" s="9"/>
      <c r="Z158" s="9"/>
      <c r="AA158" s="9"/>
      <c r="AB158" s="9"/>
      <c r="AC158" s="9"/>
      <c r="AD158" s="9"/>
      <c r="AE158" s="9"/>
      <c r="AF158" s="9"/>
      <c r="BN158" s="23" t="s">
        <v>646</v>
      </c>
      <c r="BT158" t="s">
        <v>486</v>
      </c>
    </row>
    <row r="159" spans="1:72" ht="13" customHeight="1">
      <c r="D159" t="s">
        <v>317</v>
      </c>
      <c r="O159" s="1554" t="s">
        <v>2646</v>
      </c>
      <c r="P159" s="1554"/>
      <c r="Q159" s="1554"/>
      <c r="R159" s="1554"/>
      <c r="S159" s="1554"/>
      <c r="T159" s="1554"/>
      <c r="V159" s="97" t="s">
        <v>272</v>
      </c>
      <c r="W159" s="1568"/>
      <c r="X159" s="1568"/>
      <c r="Y159" s="10"/>
      <c r="Z159" s="10"/>
      <c r="AA159" s="10"/>
      <c r="AB159" s="10"/>
      <c r="AC159" s="10"/>
      <c r="AD159" s="10"/>
      <c r="AE159" s="10"/>
      <c r="AF159" s="10"/>
      <c r="BN159" s="23" t="s">
        <v>340</v>
      </c>
      <c r="BT159" t="s">
        <v>487</v>
      </c>
    </row>
    <row r="160" spans="1:72" ht="13" customHeight="1">
      <c r="D160" t="s">
        <v>318</v>
      </c>
      <c r="O160" s="1554" t="s">
        <v>2647</v>
      </c>
      <c r="P160" s="1554"/>
      <c r="Q160" s="1554"/>
      <c r="R160" s="1554"/>
      <c r="S160" s="1554"/>
      <c r="T160" s="1554"/>
      <c r="U160" s="10"/>
      <c r="V160" s="10"/>
      <c r="W160" s="10"/>
      <c r="X160" s="10"/>
      <c r="Y160" s="10"/>
      <c r="Z160" s="10"/>
      <c r="AA160" s="10"/>
      <c r="AB160" s="10"/>
      <c r="AC160" s="10"/>
      <c r="AD160" s="10"/>
      <c r="AE160" s="10"/>
      <c r="AF160" s="10"/>
      <c r="BN160" s="23" t="s">
        <v>669</v>
      </c>
      <c r="BT160" t="s">
        <v>488</v>
      </c>
    </row>
    <row r="161" spans="1:72" ht="13" customHeight="1">
      <c r="D161" t="s">
        <v>319</v>
      </c>
      <c r="O161" s="1527" t="s">
        <v>2648</v>
      </c>
      <c r="P161" s="1527"/>
      <c r="Q161" s="1527"/>
      <c r="R161" s="1527"/>
      <c r="S161" s="1527"/>
      <c r="T161" s="1527"/>
      <c r="U161" s="1527"/>
      <c r="V161" s="1527"/>
      <c r="W161" s="1527"/>
      <c r="X161" s="1527"/>
      <c r="Y161" s="1527"/>
      <c r="Z161" s="1527"/>
      <c r="AA161" s="1527"/>
      <c r="AB161" s="1527"/>
      <c r="AC161" s="1527"/>
      <c r="AD161" s="1527"/>
      <c r="AE161" s="1527"/>
      <c r="AF161" s="1527"/>
      <c r="AG161" s="1527"/>
      <c r="AH161" s="1527"/>
      <c r="BJ161" t="s">
        <v>678</v>
      </c>
      <c r="BN161" s="23" t="s">
        <v>670</v>
      </c>
      <c r="BT161" t="s">
        <v>489</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 customHeight="1">
      <c r="C164" s="27"/>
      <c r="D164" s="1557" t="s">
        <v>2624</v>
      </c>
      <c r="E164" s="1557"/>
      <c r="F164" s="1557"/>
      <c r="G164" s="1557"/>
      <c r="H164" s="1557"/>
      <c r="I164" s="1557"/>
      <c r="J164" s="1557"/>
      <c r="K164" s="1557"/>
      <c r="L164" s="1557"/>
      <c r="M164" s="1557"/>
      <c r="N164" s="1557"/>
      <c r="O164" s="1557"/>
      <c r="P164" s="1557"/>
      <c r="Q164" s="1557"/>
      <c r="R164" s="1557"/>
      <c r="S164" s="1557"/>
      <c r="T164" s="1557"/>
      <c r="U164" s="1557"/>
      <c r="V164" s="1557"/>
      <c r="W164" s="1557"/>
      <c r="X164" s="1557"/>
      <c r="Y164" s="1557"/>
      <c r="Z164" s="1557"/>
      <c r="AA164" s="1557"/>
      <c r="AB164" s="1557"/>
      <c r="AC164" s="1557"/>
      <c r="AD164" s="1557"/>
      <c r="AE164" s="1557"/>
      <c r="AF164" s="1557"/>
      <c r="AG164" s="1557"/>
      <c r="AH164" s="1557"/>
      <c r="BN164" s="23" t="s">
        <v>673</v>
      </c>
      <c r="BT164" t="s">
        <v>492</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 customHeight="1">
      <c r="A169" s="1654" t="s">
        <v>548</v>
      </c>
      <c r="B169" s="1654"/>
      <c r="C169" s="1654"/>
      <c r="D169" s="1654"/>
      <c r="E169" s="1654"/>
      <c r="F169" s="1654"/>
      <c r="G169" s="1654"/>
      <c r="H169" s="1654"/>
      <c r="I169" s="1654"/>
      <c r="J169" s="1654"/>
      <c r="K169" s="1654"/>
      <c r="L169" s="1654"/>
      <c r="M169" s="1654"/>
      <c r="N169" s="1654"/>
      <c r="O169" s="1654"/>
      <c r="P169" s="1654"/>
      <c r="Q169" s="1654"/>
      <c r="R169" s="1654"/>
      <c r="S169" s="1654"/>
      <c r="T169" s="1654"/>
      <c r="U169" s="1654"/>
      <c r="V169" s="1654"/>
      <c r="W169" s="1654"/>
      <c r="X169" s="1654"/>
      <c r="Y169" s="1654"/>
      <c r="Z169" s="1654"/>
      <c r="AA169" s="1654"/>
      <c r="AB169" s="1654"/>
      <c r="AC169" s="1654"/>
      <c r="AD169" s="1654"/>
      <c r="AE169" s="1654"/>
      <c r="AF169" s="1654"/>
      <c r="AG169" s="1654"/>
      <c r="AH169" s="1654"/>
      <c r="AI169" s="1654"/>
      <c r="AJ169" s="1654"/>
      <c r="AK169" s="1654"/>
      <c r="AL169" s="1654"/>
      <c r="AM169" s="1654"/>
      <c r="AN169" s="1654"/>
      <c r="AO169" s="1654"/>
      <c r="AP169" s="1654"/>
      <c r="AQ169" s="1654"/>
      <c r="AR169" s="1654"/>
      <c r="AS169" s="1654"/>
      <c r="AT169" s="1654"/>
      <c r="AU169" s="95"/>
      <c r="AV169" s="95"/>
      <c r="AW169" s="95"/>
      <c r="AX169" s="95"/>
      <c r="AY169" s="95"/>
      <c r="BN169" s="23" t="s">
        <v>682</v>
      </c>
      <c r="BT169" t="s">
        <v>497</v>
      </c>
    </row>
    <row r="170" spans="1:72" ht="13" customHeight="1">
      <c r="A170" s="1654"/>
      <c r="B170" s="1654"/>
      <c r="C170" s="1654"/>
      <c r="D170" s="1654"/>
      <c r="E170" s="1654"/>
      <c r="F170" s="1654"/>
      <c r="G170" s="1654"/>
      <c r="H170" s="1654"/>
      <c r="I170" s="1654"/>
      <c r="J170" s="1654"/>
      <c r="K170" s="1654"/>
      <c r="L170" s="1654"/>
      <c r="M170" s="1654"/>
      <c r="N170" s="1654"/>
      <c r="O170" s="1654"/>
      <c r="P170" s="1654"/>
      <c r="Q170" s="1654"/>
      <c r="R170" s="1654"/>
      <c r="S170" s="1654"/>
      <c r="T170" s="1654"/>
      <c r="U170" s="1654"/>
      <c r="V170" s="1654"/>
      <c r="W170" s="1654"/>
      <c r="X170" s="1654"/>
      <c r="Y170" s="1654"/>
      <c r="Z170" s="1654"/>
      <c r="AA170" s="1654"/>
      <c r="AB170" s="1654"/>
      <c r="AC170" s="1654"/>
      <c r="AD170" s="1654"/>
      <c r="AE170" s="1654"/>
      <c r="AF170" s="1654"/>
      <c r="AG170" s="1654"/>
      <c r="AH170" s="1654"/>
      <c r="AI170" s="1654"/>
      <c r="AJ170" s="1654"/>
      <c r="AK170" s="1654"/>
      <c r="AL170" s="1654"/>
      <c r="AM170" s="1654"/>
      <c r="AN170" s="1654"/>
      <c r="AO170" s="1654"/>
      <c r="AP170" s="1654"/>
      <c r="AQ170" s="1654"/>
      <c r="AR170" s="1654"/>
      <c r="AS170" s="1654"/>
      <c r="AT170" s="1654"/>
      <c r="AU170" s="95"/>
      <c r="AV170" s="95"/>
      <c r="AW170" s="95"/>
      <c r="AX170" s="95"/>
      <c r="AY170" s="95"/>
      <c r="BN170" s="23" t="s">
        <v>683</v>
      </c>
      <c r="BT170" t="s">
        <v>498</v>
      </c>
    </row>
    <row r="171" spans="1:72" ht="13" customHeight="1">
      <c r="BN171" s="23" t="s">
        <v>212</v>
      </c>
      <c r="BT171" t="s">
        <v>499</v>
      </c>
    </row>
    <row r="172" spans="1:72" ht="13" customHeight="1">
      <c r="A172" s="2" t="s">
        <v>320</v>
      </c>
      <c r="C172" s="2" t="s">
        <v>321</v>
      </c>
      <c r="BN172" s="23" t="s">
        <v>214</v>
      </c>
      <c r="BT172" t="s">
        <v>500</v>
      </c>
    </row>
    <row r="173" spans="1:72" ht="13" customHeight="1">
      <c r="C173" s="24"/>
      <c r="D173" t="s">
        <v>322</v>
      </c>
      <c r="J173" s="1565" t="s">
        <v>372</v>
      </c>
      <c r="K173" s="1565"/>
      <c r="L173" s="1565"/>
      <c r="M173" s="1565"/>
      <c r="N173" s="1565"/>
      <c r="O173" s="1565"/>
      <c r="P173" s="1565"/>
      <c r="Q173" s="1565"/>
      <c r="R173" s="1565"/>
      <c r="S173" s="1565"/>
      <c r="U173" s="25"/>
      <c r="X173" s="25"/>
      <c r="BB173" s="3" t="s">
        <v>308</v>
      </c>
      <c r="BN173" s="23" t="s">
        <v>215</v>
      </c>
      <c r="BT173" t="s">
        <v>501</v>
      </c>
    </row>
    <row r="174" spans="1:72" ht="13" customHeight="1">
      <c r="C174" s="24"/>
      <c r="D174" s="3" t="s">
        <v>1309</v>
      </c>
      <c r="J174" s="1381" t="s">
        <v>2421</v>
      </c>
      <c r="K174" s="1381"/>
      <c r="L174" s="1381"/>
      <c r="M174" s="1381"/>
      <c r="N174" s="1381"/>
      <c r="O174" s="1381"/>
      <c r="P174" s="1381"/>
      <c r="Q174" s="1381"/>
      <c r="R174" s="1381"/>
      <c r="S174" s="1381"/>
      <c r="T174" s="1381"/>
      <c r="U174" s="1381"/>
      <c r="V174" s="1381"/>
      <c r="W174" s="1381"/>
      <c r="X174" s="1381"/>
      <c r="Y174" s="1381"/>
      <c r="Z174" s="1381"/>
      <c r="AA174" s="1381"/>
      <c r="AB174" s="1381"/>
      <c r="BB174" t="s">
        <v>2274</v>
      </c>
      <c r="BN174" s="23" t="s">
        <v>217</v>
      </c>
      <c r="BT174" t="s">
        <v>502</v>
      </c>
    </row>
    <row r="175" spans="1:72" ht="13" customHeight="1">
      <c r="C175" s="8"/>
      <c r="D175" s="3" t="s">
        <v>323</v>
      </c>
      <c r="O175" s="27"/>
      <c r="U175" s="1383" t="s">
        <v>678</v>
      </c>
      <c r="V175" s="1383"/>
      <c r="BB175" t="s">
        <v>2238</v>
      </c>
      <c r="BN175" s="23" t="s">
        <v>218</v>
      </c>
      <c r="BT175" t="s">
        <v>503</v>
      </c>
    </row>
    <row r="176" spans="1:72" ht="13" customHeight="1">
      <c r="C176" s="8"/>
      <c r="D176" s="26"/>
      <c r="E176" t="s">
        <v>305</v>
      </c>
      <c r="O176" s="27"/>
      <c r="P176" t="s">
        <v>2396</v>
      </c>
      <c r="T176" s="27" t="s">
        <v>306</v>
      </c>
      <c r="U176" s="1543"/>
      <c r="V176" s="1543"/>
      <c r="W176" s="1" t="s">
        <v>307</v>
      </c>
      <c r="X176" s="1549"/>
      <c r="Y176" s="1549"/>
      <c r="BB176" t="s">
        <v>2275</v>
      </c>
      <c r="BN176" s="23" t="s">
        <v>220</v>
      </c>
      <c r="BT176" t="s">
        <v>504</v>
      </c>
    </row>
    <row r="177" spans="1:72" ht="13" customHeight="1">
      <c r="C177" s="24"/>
      <c r="D177" t="s">
        <v>250</v>
      </c>
      <c r="R177" s="1383" t="s">
        <v>678</v>
      </c>
      <c r="S177" s="1383"/>
      <c r="BB177" t="s">
        <v>2578</v>
      </c>
      <c r="BN177" s="23" t="s">
        <v>221</v>
      </c>
      <c r="BT177" t="s">
        <v>505</v>
      </c>
    </row>
    <row r="178" spans="1:72" ht="13" customHeight="1">
      <c r="C178" s="24"/>
      <c r="D178" s="3" t="s">
        <v>1310</v>
      </c>
      <c r="AA178" t="s">
        <v>2396</v>
      </c>
      <c r="AE178" s="27" t="s">
        <v>306</v>
      </c>
      <c r="AF178" s="1555"/>
      <c r="AG178" s="1555"/>
      <c r="AH178" s="1" t="s">
        <v>307</v>
      </c>
      <c r="AI178" s="1542"/>
      <c r="AJ178" s="1542"/>
      <c r="AK178" s="1542"/>
      <c r="BB178" t="s">
        <v>2579</v>
      </c>
      <c r="BN178" s="23" t="s">
        <v>222</v>
      </c>
      <c r="BT178" t="s">
        <v>53</v>
      </c>
    </row>
    <row r="179" spans="1:72" ht="13" customHeight="1">
      <c r="C179" s="24"/>
      <c r="BN179" s="23" t="s">
        <v>223</v>
      </c>
      <c r="BT179" t="s">
        <v>54</v>
      </c>
    </row>
    <row r="180" spans="1:72" ht="13" customHeight="1">
      <c r="C180" s="24"/>
      <c r="D180" t="s">
        <v>2397</v>
      </c>
      <c r="X180" s="1383"/>
      <c r="Y180" s="1383"/>
      <c r="BN180" s="23" t="s">
        <v>225</v>
      </c>
      <c r="BT180" t="s">
        <v>55</v>
      </c>
    </row>
    <row r="181" spans="1:72" ht="13" customHeight="1">
      <c r="C181" s="8"/>
      <c r="E181" s="4" t="s">
        <v>996</v>
      </c>
      <c r="BN181" s="23" t="s">
        <v>226</v>
      </c>
      <c r="BT181" t="s">
        <v>56</v>
      </c>
    </row>
    <row r="182" spans="1:72" ht="13" customHeight="1">
      <c r="C182" s="564"/>
      <c r="BN182" s="23" t="s">
        <v>227</v>
      </c>
      <c r="BT182" t="s">
        <v>60</v>
      </c>
    </row>
    <row r="183" spans="1:72" ht="13" customHeight="1">
      <c r="A183" s="2" t="s">
        <v>585</v>
      </c>
      <c r="C183" s="2" t="s">
        <v>586</v>
      </c>
      <c r="BN183" s="23" t="s">
        <v>229</v>
      </c>
      <c r="BT183" t="s">
        <v>61</v>
      </c>
    </row>
    <row r="184" spans="1:72" ht="13" customHeight="1">
      <c r="C184" s="21"/>
      <c r="D184" t="s">
        <v>587</v>
      </c>
      <c r="I184" s="1382" t="str">
        <f>H18</f>
        <v>CSH MacArthur Housing</v>
      </c>
      <c r="J184" s="1382"/>
      <c r="K184" s="1382"/>
      <c r="L184" s="1382"/>
      <c r="M184" s="1382"/>
      <c r="N184" s="1382"/>
      <c r="O184" s="1382"/>
      <c r="P184" s="1382"/>
      <c r="Q184" s="1382"/>
      <c r="R184" s="1382"/>
      <c r="S184" s="1382"/>
      <c r="T184" s="1382"/>
      <c r="U184" s="1382"/>
      <c r="V184" s="1382"/>
      <c r="W184" s="1382"/>
      <c r="X184" s="1382"/>
      <c r="Y184" s="1382"/>
      <c r="Z184" s="1382"/>
      <c r="AA184" s="1382"/>
      <c r="AB184" s="1382"/>
      <c r="AC184" s="1382"/>
      <c r="AD184" s="1382"/>
      <c r="AE184" s="1382"/>
      <c r="BC184" t="s">
        <v>596</v>
      </c>
      <c r="BN184" s="23" t="s">
        <v>231</v>
      </c>
      <c r="BT184" t="s">
        <v>62</v>
      </c>
    </row>
    <row r="185" spans="1:72" ht="13" customHeight="1">
      <c r="C185" s="21"/>
      <c r="D185" t="s">
        <v>588</v>
      </c>
      <c r="I185" s="1438" t="s">
        <v>2649</v>
      </c>
      <c r="J185" s="1438"/>
      <c r="K185" s="1438"/>
      <c r="L185" s="1438"/>
      <c r="M185" s="1438"/>
      <c r="N185" s="1438"/>
      <c r="O185" s="1438"/>
      <c r="P185" s="1438"/>
      <c r="Q185" s="1438"/>
      <c r="R185" s="1438"/>
      <c r="S185" s="1438"/>
      <c r="T185" s="1438"/>
      <c r="U185" s="1438"/>
      <c r="V185" s="1438"/>
      <c r="W185" s="1438"/>
      <c r="X185" s="1438"/>
      <c r="Y185" s="1438"/>
      <c r="Z185" s="1438"/>
      <c r="AA185" s="1438"/>
      <c r="AB185" s="1438"/>
      <c r="AC185" s="1438"/>
      <c r="AD185" s="1438"/>
      <c r="AE185" s="1438"/>
      <c r="BC185" t="s">
        <v>597</v>
      </c>
      <c r="BN185" s="23" t="s">
        <v>232</v>
      </c>
      <c r="BT185" t="s">
        <v>63</v>
      </c>
    </row>
    <row r="186" spans="1:72" ht="13" customHeight="1">
      <c r="C186" s="21"/>
      <c r="E186" t="s">
        <v>168</v>
      </c>
      <c r="BN186" s="23" t="s">
        <v>233</v>
      </c>
      <c r="BT186" t="s">
        <v>64</v>
      </c>
    </row>
    <row r="187" spans="1:72" ht="13" customHeight="1">
      <c r="C187" s="21"/>
      <c r="E187" s="1496"/>
      <c r="F187" s="1496"/>
      <c r="G187" s="1496"/>
      <c r="H187" s="1496"/>
      <c r="I187" s="1496"/>
      <c r="J187" s="1496"/>
      <c r="K187" s="1496"/>
      <c r="L187" s="1496"/>
      <c r="M187" s="1496"/>
      <c r="N187" s="1496"/>
      <c r="O187" s="1496"/>
      <c r="P187" s="1496"/>
      <c r="Q187" s="1496"/>
      <c r="R187" s="1496"/>
      <c r="S187" s="1496"/>
      <c r="T187" s="1496"/>
      <c r="U187" s="1496"/>
      <c r="V187" s="1496"/>
      <c r="W187" s="1496"/>
      <c r="X187" s="1496"/>
      <c r="Y187" s="1496"/>
      <c r="Z187" s="1496"/>
      <c r="AA187" s="1496"/>
      <c r="AB187" s="1496"/>
      <c r="AC187" s="1496"/>
      <c r="AD187" s="1496"/>
      <c r="AE187" s="1496"/>
      <c r="BN187" s="23" t="s">
        <v>234</v>
      </c>
      <c r="BT187" t="s">
        <v>65</v>
      </c>
    </row>
    <row r="188" spans="1:72" ht="13" customHeight="1">
      <c r="C188" s="21"/>
      <c r="E188" s="1497"/>
      <c r="F188" s="1497"/>
      <c r="G188" s="1497"/>
      <c r="H188" s="1497"/>
      <c r="I188" s="1497"/>
      <c r="J188" s="1497"/>
      <c r="K188" s="1497"/>
      <c r="L188" s="1497"/>
      <c r="M188" s="1497"/>
      <c r="N188" s="1497"/>
      <c r="O188" s="1497"/>
      <c r="P188" s="1497"/>
      <c r="Q188" s="1497"/>
      <c r="R188" s="1497"/>
      <c r="S188" s="1497"/>
      <c r="T188" s="1497"/>
      <c r="U188" s="1497"/>
      <c r="V188" s="1497"/>
      <c r="W188" s="1497"/>
      <c r="X188" s="1497"/>
      <c r="Y188" s="1497"/>
      <c r="Z188" s="1497"/>
      <c r="AA188" s="1497"/>
      <c r="AB188" s="1497"/>
      <c r="AC188" s="1497"/>
      <c r="AD188" s="1497"/>
      <c r="AE188" s="1497"/>
      <c r="BN188" s="23" t="s">
        <v>236</v>
      </c>
      <c r="BT188" t="s">
        <v>66</v>
      </c>
    </row>
    <row r="189" spans="1:72" ht="13" customHeight="1">
      <c r="C189" s="21"/>
      <c r="D189" t="s">
        <v>589</v>
      </c>
      <c r="I189" s="1381" t="s">
        <v>2640</v>
      </c>
      <c r="J189" s="1381"/>
      <c r="K189" s="1381"/>
      <c r="L189" s="1381"/>
      <c r="M189" s="1381"/>
      <c r="N189" s="1381"/>
      <c r="O189" s="1381"/>
      <c r="P189" s="1381"/>
      <c r="Q189" t="s">
        <v>591</v>
      </c>
      <c r="T189" s="1381" t="s">
        <v>485</v>
      </c>
      <c r="U189" s="1381"/>
      <c r="V189" s="1381"/>
      <c r="W189" s="1381"/>
      <c r="X189" s="1381"/>
      <c r="Y189" s="1381"/>
      <c r="Z189" s="1381"/>
      <c r="AA189" s="1381"/>
      <c r="AB189" s="1381"/>
      <c r="AC189" s="1381"/>
      <c r="AD189" s="1381"/>
      <c r="AE189" s="1381"/>
      <c r="BC189" t="s">
        <v>308</v>
      </c>
      <c r="BH189" s="3" t="s">
        <v>600</v>
      </c>
      <c r="BN189" s="23" t="s">
        <v>237</v>
      </c>
      <c r="BT189" t="s">
        <v>67</v>
      </c>
    </row>
    <row r="190" spans="1:72" ht="13" customHeight="1">
      <c r="C190" s="21"/>
      <c r="D190" t="s">
        <v>592</v>
      </c>
      <c r="I190" s="1438">
        <v>94605</v>
      </c>
      <c r="J190" s="1438"/>
      <c r="K190" s="1438"/>
      <c r="L190" s="1438"/>
      <c r="M190" s="1438"/>
      <c r="N190" s="1438"/>
      <c r="O190" t="s">
        <v>594</v>
      </c>
      <c r="T190" s="1553">
        <v>6001409700</v>
      </c>
      <c r="U190" s="1553"/>
      <c r="V190" s="1553"/>
      <c r="W190" s="1553"/>
      <c r="X190" s="1553"/>
      <c r="Y190" s="1553"/>
      <c r="Z190" s="1553"/>
      <c r="AA190" s="1553"/>
      <c r="AB190" s="1553"/>
      <c r="AC190" s="1553"/>
      <c r="AD190" s="1553"/>
      <c r="AE190" s="1553"/>
      <c r="BC190" t="s">
        <v>1066</v>
      </c>
      <c r="BH190" t="s">
        <v>1066</v>
      </c>
      <c r="BN190" s="23" t="s">
        <v>644</v>
      </c>
      <c r="BT190" t="s">
        <v>68</v>
      </c>
    </row>
    <row r="191" spans="1:72" ht="13" customHeight="1">
      <c r="C191" s="21"/>
      <c r="D191" t="s">
        <v>471</v>
      </c>
      <c r="N191" s="1560" t="s">
        <v>2650</v>
      </c>
      <c r="O191" s="1496"/>
      <c r="P191" s="1496"/>
      <c r="Q191" s="1496"/>
      <c r="R191" s="1496"/>
      <c r="S191" s="1496"/>
      <c r="T191" s="1496"/>
      <c r="U191" s="1496"/>
      <c r="V191" s="1496"/>
      <c r="W191" s="1496"/>
      <c r="X191" s="1496"/>
      <c r="Y191" s="1496"/>
      <c r="Z191" s="1496"/>
      <c r="AA191" s="1496"/>
      <c r="AB191" s="1496"/>
      <c r="AC191" s="1496"/>
      <c r="AD191" s="1496"/>
      <c r="AE191" s="1496"/>
      <c r="BC191" t="s">
        <v>1065</v>
      </c>
      <c r="BH191" t="s">
        <v>1065</v>
      </c>
      <c r="BN191" s="23" t="s">
        <v>698</v>
      </c>
      <c r="BT191" t="s">
        <v>737</v>
      </c>
    </row>
    <row r="192" spans="1:72" ht="13" customHeight="1">
      <c r="C192" s="21"/>
      <c r="M192" s="40"/>
      <c r="N192" s="1497"/>
      <c r="O192" s="1497"/>
      <c r="P192" s="1497"/>
      <c r="Q192" s="1497"/>
      <c r="R192" s="1497"/>
      <c r="S192" s="1497"/>
      <c r="T192" s="1497"/>
      <c r="U192" s="1497"/>
      <c r="V192" s="1497"/>
      <c r="W192" s="1497"/>
      <c r="X192" s="1497"/>
      <c r="Y192" s="1497"/>
      <c r="Z192" s="1497"/>
      <c r="AA192" s="1497"/>
      <c r="AB192" s="1497"/>
      <c r="AC192" s="1497"/>
      <c r="AD192" s="1497"/>
      <c r="AE192" s="1497"/>
      <c r="BC192" t="s">
        <v>1068</v>
      </c>
      <c r="BH192" s="3" t="s">
        <v>1475</v>
      </c>
      <c r="BN192" s="23" t="s">
        <v>699</v>
      </c>
      <c r="BT192" t="s">
        <v>738</v>
      </c>
    </row>
    <row r="193" spans="1:74" ht="13" customHeight="1">
      <c r="C193" s="21"/>
      <c r="D193" t="s">
        <v>2398</v>
      </c>
      <c r="M193" s="40"/>
      <c r="N193" s="928"/>
      <c r="O193" s="928"/>
      <c r="P193" s="928"/>
      <c r="Q193" s="928"/>
      <c r="R193" s="928"/>
      <c r="S193" s="928"/>
      <c r="T193" s="1563" t="s">
        <v>2578</v>
      </c>
      <c r="U193" s="1563"/>
      <c r="V193" s="1563"/>
      <c r="W193" s="1563"/>
      <c r="X193" s="1563"/>
      <c r="Y193" s="1563"/>
      <c r="Z193" s="1563"/>
      <c r="AA193" s="1563"/>
      <c r="AB193" s="1563"/>
      <c r="AC193" s="1563"/>
      <c r="AD193" s="1563"/>
      <c r="AE193" s="1563"/>
      <c r="AF193" s="1563"/>
      <c r="AG193" s="1563"/>
      <c r="AH193" s="1563"/>
      <c r="AI193" s="1563"/>
      <c r="BC193" t="s">
        <v>1067</v>
      </c>
      <c r="BH193" s="3" t="s">
        <v>1742</v>
      </c>
      <c r="BN193" s="23" t="s">
        <v>700</v>
      </c>
      <c r="BT193" t="s">
        <v>739</v>
      </c>
    </row>
    <row r="194" spans="1:74" ht="13" customHeight="1">
      <c r="C194" s="21"/>
      <c r="D194" s="3" t="s">
        <v>2580</v>
      </c>
      <c r="M194" s="40"/>
      <c r="N194" s="928"/>
      <c r="O194" s="928"/>
      <c r="P194" s="928"/>
      <c r="Q194" s="928"/>
      <c r="R194" s="928"/>
      <c r="S194" s="928"/>
      <c r="AH194" s="1383" t="s">
        <v>554</v>
      </c>
      <c r="AI194" s="1383"/>
      <c r="BC194" t="s">
        <v>1475</v>
      </c>
      <c r="BN194" s="23" t="s">
        <v>701</v>
      </c>
      <c r="BT194" t="s">
        <v>740</v>
      </c>
    </row>
    <row r="195" spans="1:74" ht="13" customHeight="1">
      <c r="C195" s="21"/>
      <c r="D195" t="s">
        <v>332</v>
      </c>
      <c r="T195" s="1383" t="s">
        <v>678</v>
      </c>
      <c r="U195" s="1383"/>
      <c r="W195" t="s">
        <v>694</v>
      </c>
      <c r="AH195" s="1383">
        <v>12</v>
      </c>
      <c r="AI195" s="1383"/>
      <c r="BC195" t="s">
        <v>2048</v>
      </c>
      <c r="BN195" s="23" t="s">
        <v>243</v>
      </c>
      <c r="BT195" t="s">
        <v>741</v>
      </c>
    </row>
    <row r="196" spans="1:74" ht="13" customHeight="1">
      <c r="C196" s="21"/>
      <c r="D196" t="s">
        <v>387</v>
      </c>
      <c r="T196" s="1417" t="s">
        <v>554</v>
      </c>
      <c r="U196" s="1417"/>
      <c r="W196" t="s">
        <v>695</v>
      </c>
      <c r="AH196" s="1383">
        <v>18</v>
      </c>
      <c r="AI196" s="1383"/>
      <c r="BN196" s="23" t="s">
        <v>244</v>
      </c>
      <c r="BT196" t="s">
        <v>69</v>
      </c>
    </row>
    <row r="197" spans="1:74" ht="13" customHeight="1">
      <c r="C197" s="21"/>
      <c r="D197" s="3" t="s">
        <v>169</v>
      </c>
      <c r="T197" s="1417" t="s">
        <v>678</v>
      </c>
      <c r="U197" s="1417"/>
      <c r="W197" t="s">
        <v>696</v>
      </c>
      <c r="AH197" s="1383">
        <v>9</v>
      </c>
      <c r="AI197" s="1383"/>
      <c r="BC197" t="s">
        <v>308</v>
      </c>
      <c r="BN197" s="23" t="s">
        <v>245</v>
      </c>
      <c r="BT197" t="s">
        <v>70</v>
      </c>
    </row>
    <row r="198" spans="1:74" s="14" customFormat="1" ht="13" customHeight="1">
      <c r="A198"/>
      <c r="B198"/>
      <c r="C198" s="21"/>
      <c r="D198" s="3" t="s">
        <v>1765</v>
      </c>
      <c r="E198"/>
      <c r="F198"/>
      <c r="G198"/>
      <c r="H198"/>
      <c r="I198"/>
      <c r="J198"/>
      <c r="K198"/>
      <c r="L198"/>
      <c r="M198"/>
      <c r="N198"/>
      <c r="O198"/>
      <c r="P198"/>
      <c r="Q198"/>
      <c r="R198"/>
      <c r="S198"/>
      <c r="T198" s="1417">
        <v>0</v>
      </c>
      <c r="U198" s="141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 customHeight="1">
      <c r="A199"/>
      <c r="B199"/>
      <c r="C199" s="21"/>
      <c r="D199" s="118" t="s">
        <v>2530</v>
      </c>
      <c r="E199"/>
      <c r="F199"/>
      <c r="G199"/>
      <c r="H199"/>
      <c r="I199"/>
      <c r="J199"/>
      <c r="K199"/>
      <c r="L199"/>
      <c r="M199"/>
      <c r="N199"/>
      <c r="O199"/>
      <c r="P199"/>
      <c r="Q199"/>
      <c r="R199"/>
      <c r="S199"/>
      <c r="T199"/>
      <c r="U199"/>
      <c r="V199"/>
      <c r="W199"/>
      <c r="Z199" s="1383" t="s">
        <v>678</v>
      </c>
      <c r="AA199" s="1383"/>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 customHeight="1">
      <c r="C202" s="21"/>
      <c r="D202" s="546"/>
      <c r="BC202" t="s">
        <v>1092</v>
      </c>
      <c r="BD202" s="469"/>
      <c r="BN202" s="23" t="s">
        <v>711</v>
      </c>
      <c r="BO202" s="14"/>
      <c r="BP202" s="32"/>
      <c r="BQ202" s="32"/>
      <c r="BR202" s="32"/>
      <c r="BS202" s="32"/>
      <c r="BT202" s="32" t="s">
        <v>196</v>
      </c>
    </row>
    <row r="203" spans="1:74" ht="13" customHeight="1">
      <c r="A203" s="2" t="s">
        <v>595</v>
      </c>
      <c r="C203" s="2" t="s">
        <v>136</v>
      </c>
      <c r="BC203" t="s">
        <v>1093</v>
      </c>
      <c r="BN203" s="23" t="s">
        <v>712</v>
      </c>
      <c r="BO203" s="14"/>
      <c r="BP203" s="32"/>
      <c r="BQ203" s="32"/>
      <c r="BR203" s="32"/>
      <c r="BS203" s="32"/>
      <c r="BT203" s="32" t="s">
        <v>197</v>
      </c>
    </row>
    <row r="204" spans="1:74" ht="13" customHeight="1">
      <c r="D204" s="1382" t="s">
        <v>386</v>
      </c>
      <c r="E204" s="1382"/>
      <c r="F204" s="1382"/>
      <c r="G204" s="1382"/>
      <c r="H204" s="1382"/>
      <c r="I204" s="1382"/>
      <c r="J204" s="1382"/>
      <c r="K204" s="1382"/>
      <c r="L204" s="1382"/>
      <c r="M204" s="1382"/>
      <c r="P204" s="1558">
        <f>M26</f>
        <v>2709659</v>
      </c>
      <c r="Q204" s="1559"/>
      <c r="R204" s="1559"/>
      <c r="S204" s="1559"/>
      <c r="T204" s="1559"/>
      <c r="U204" s="1559"/>
      <c r="Z204" s="1571" t="s">
        <v>2628</v>
      </c>
      <c r="AA204" s="1571"/>
      <c r="AB204" s="1571"/>
      <c r="AC204" s="1571"/>
      <c r="AD204" s="1571"/>
      <c r="AE204" s="1571"/>
      <c r="AF204" s="1571"/>
      <c r="BC204" t="s">
        <v>619</v>
      </c>
      <c r="BN204" s="23" t="s">
        <v>713</v>
      </c>
      <c r="BT204" s="32" t="s">
        <v>198</v>
      </c>
      <c r="BU204" s="14"/>
    </row>
    <row r="205" spans="1:74" ht="13" customHeight="1">
      <c r="C205" s="21"/>
      <c r="D205" s="1570" t="s">
        <v>1356</v>
      </c>
      <c r="E205" s="1382"/>
      <c r="F205" s="1382"/>
      <c r="G205" s="1382"/>
      <c r="H205" s="1382"/>
      <c r="I205" s="1382"/>
      <c r="J205" s="1382"/>
      <c r="K205" s="1382"/>
      <c r="L205" s="1382"/>
      <c r="M205" s="1382"/>
      <c r="P205" s="1559">
        <f>M27</f>
        <v>0</v>
      </c>
      <c r="Q205" s="1559"/>
      <c r="R205" s="1559"/>
      <c r="S205" s="1559"/>
      <c r="T205" s="1559"/>
      <c r="U205" s="1559"/>
      <c r="V205" s="28"/>
      <c r="W205" s="3" t="s">
        <v>1910</v>
      </c>
      <c r="Z205" s="1571"/>
      <c r="AA205" s="1571"/>
      <c r="AB205" s="1571"/>
      <c r="AC205" s="1571"/>
      <c r="AD205" s="1571"/>
      <c r="AE205" s="1571"/>
      <c r="AF205" s="1571"/>
      <c r="AG205" t="s">
        <v>1357</v>
      </c>
      <c r="AP205" s="1383" t="s">
        <v>678</v>
      </c>
      <c r="AQ205" s="1383"/>
      <c r="BC205" t="s">
        <v>1051</v>
      </c>
      <c r="BN205" s="23" t="s">
        <v>109</v>
      </c>
      <c r="BT205" s="32" t="s">
        <v>174</v>
      </c>
      <c r="BU205" s="14"/>
    </row>
    <row r="206" spans="1:74" ht="13" customHeight="1">
      <c r="D206" s="29"/>
      <c r="E206" s="29"/>
      <c r="F206" s="29"/>
      <c r="G206" s="29"/>
      <c r="H206" s="29"/>
      <c r="I206" s="29"/>
      <c r="J206" s="29"/>
      <c r="K206" s="29"/>
      <c r="L206" s="29"/>
      <c r="M206" s="29"/>
      <c r="N206" s="29"/>
      <c r="O206" s="29"/>
      <c r="P206" s="29"/>
      <c r="Z206" s="1572"/>
      <c r="AA206" s="1572"/>
      <c r="AB206" s="1572"/>
      <c r="AC206" s="1572"/>
      <c r="AD206" s="1572"/>
      <c r="AE206" s="1572"/>
      <c r="AF206" s="1572"/>
      <c r="BC206" s="470" t="s">
        <v>1094</v>
      </c>
      <c r="BN206" s="23" t="s">
        <v>110</v>
      </c>
      <c r="BT206" s="32" t="s">
        <v>199</v>
      </c>
      <c r="BU206" s="14"/>
    </row>
    <row r="207" spans="1:74" ht="13" customHeight="1">
      <c r="A207" s="2" t="s">
        <v>598</v>
      </c>
      <c r="C207" s="2" t="s">
        <v>560</v>
      </c>
      <c r="BC207" s="3" t="s">
        <v>2570</v>
      </c>
      <c r="BN207" s="23" t="s">
        <v>45</v>
      </c>
      <c r="BT207" s="32" t="s">
        <v>200</v>
      </c>
    </row>
    <row r="208" spans="1:74" ht="13" customHeight="1">
      <c r="C208" s="21"/>
      <c r="D208" s="1491" t="s">
        <v>2651</v>
      </c>
      <c r="E208" s="1491"/>
      <c r="F208" s="1491"/>
      <c r="G208" s="1491"/>
      <c r="H208" s="1491"/>
      <c r="I208" s="1491"/>
      <c r="J208" s="1491"/>
      <c r="K208" s="1491"/>
      <c r="L208" s="1491"/>
      <c r="M208" s="1491"/>
      <c r="BC208" t="s">
        <v>1095</v>
      </c>
      <c r="BN208" s="23" t="s">
        <v>46</v>
      </c>
      <c r="BT208" s="32" t="s">
        <v>201</v>
      </c>
    </row>
    <row r="209" spans="1:72" ht="13" customHeight="1">
      <c r="BC209" t="s">
        <v>668</v>
      </c>
      <c r="BN209" s="23" t="s">
        <v>47</v>
      </c>
      <c r="BT209" s="32" t="s">
        <v>202</v>
      </c>
    </row>
    <row r="210" spans="1:72" ht="13" customHeight="1">
      <c r="A210" s="2" t="s">
        <v>599</v>
      </c>
      <c r="C210" s="2" t="s">
        <v>389</v>
      </c>
      <c r="BN210" s="23" t="s">
        <v>48</v>
      </c>
      <c r="BT210" s="32" t="s">
        <v>203</v>
      </c>
    </row>
    <row r="211" spans="1:72" ht="13" customHeight="1">
      <c r="C211" s="21"/>
      <c r="D211" s="1491" t="s">
        <v>2048</v>
      </c>
      <c r="E211" s="1491"/>
      <c r="F211" s="1491"/>
      <c r="G211" s="1491"/>
      <c r="H211" s="1491"/>
      <c r="I211" s="1491"/>
      <c r="J211" s="1491"/>
      <c r="K211" s="1491"/>
      <c r="L211" s="1491"/>
      <c r="M211" s="1491"/>
      <c r="BN211" s="23" t="s">
        <v>129</v>
      </c>
      <c r="BT211" s="32" t="s">
        <v>130</v>
      </c>
    </row>
    <row r="212" spans="1:72" ht="13" customHeight="1">
      <c r="C212" s="21"/>
      <c r="D212" t="s">
        <v>1353</v>
      </c>
      <c r="Y212" s="1383"/>
      <c r="Z212" s="1383"/>
      <c r="AB212" s="1561">
        <f>IFERROR(Y212/AG440,"")</f>
        <v>0</v>
      </c>
      <c r="AC212" s="1562"/>
      <c r="BC212" t="s">
        <v>308</v>
      </c>
      <c r="BI212" t="s">
        <v>1291</v>
      </c>
      <c r="BN212" s="23" t="s">
        <v>49</v>
      </c>
      <c r="BT212" s="32" t="s">
        <v>204</v>
      </c>
    </row>
    <row r="213" spans="1:72" ht="13" customHeight="1">
      <c r="D213" s="1189" t="s">
        <v>1741</v>
      </c>
      <c r="BC213" t="s">
        <v>535</v>
      </c>
      <c r="BI213" t="s">
        <v>2628</v>
      </c>
      <c r="BN213" s="23" t="s">
        <v>50</v>
      </c>
      <c r="BT213" s="32" t="s">
        <v>205</v>
      </c>
    </row>
    <row r="214" spans="1:72" ht="13" customHeight="1">
      <c r="D214" s="1551" t="s">
        <v>600</v>
      </c>
      <c r="E214" s="1551"/>
      <c r="F214" s="1551"/>
      <c r="G214" s="1551"/>
      <c r="H214" s="1551"/>
      <c r="I214" s="1551"/>
      <c r="J214" s="1551"/>
      <c r="K214" s="1551"/>
      <c r="L214" s="1551"/>
      <c r="M214" s="1551"/>
      <c r="N214" s="1551"/>
      <c r="O214" s="1551"/>
      <c r="P214" s="1551"/>
      <c r="Q214" s="1551"/>
      <c r="R214" s="1551"/>
      <c r="S214" s="1551"/>
      <c r="T214" s="1551"/>
      <c r="U214" s="1551"/>
      <c r="V214" s="1551"/>
      <c r="W214" s="1551"/>
      <c r="X214" s="1551"/>
      <c r="Y214" s="1551"/>
      <c r="Z214" s="1551"/>
      <c r="AU214" s="21"/>
      <c r="AV214" s="21"/>
      <c r="AW214" s="21"/>
      <c r="AX214" s="21"/>
      <c r="AY214" s="21"/>
      <c r="BC214" t="s">
        <v>539</v>
      </c>
      <c r="BI214" t="s">
        <v>2634</v>
      </c>
      <c r="BN214" s="23" t="s">
        <v>327</v>
      </c>
      <c r="BT214" s="32" t="s">
        <v>206</v>
      </c>
    </row>
    <row r="215" spans="1:72" ht="13" customHeight="1">
      <c r="D215" s="3" t="s">
        <v>1766</v>
      </c>
      <c r="Z215" s="40"/>
      <c r="AB215" s="1531"/>
      <c r="AC215" s="1531"/>
      <c r="AD215" s="1531"/>
      <c r="AE215" s="1531"/>
      <c r="AF215" s="1531"/>
      <c r="AG215" s="1531"/>
      <c r="AH215" s="1531"/>
      <c r="AI215" s="1531"/>
      <c r="AJ215" s="1531"/>
      <c r="AK215" s="1531"/>
      <c r="AL215" s="1531"/>
      <c r="AM215" s="21"/>
      <c r="AN215" s="21"/>
      <c r="AO215" s="21"/>
      <c r="AP215" s="21"/>
      <c r="AQ215" s="21"/>
      <c r="AR215" s="21"/>
      <c r="AS215" s="21"/>
      <c r="AT215" s="21"/>
      <c r="AU215" s="21"/>
      <c r="AV215" s="21"/>
      <c r="AW215" s="21"/>
      <c r="AX215" s="21"/>
      <c r="AY215" s="21"/>
      <c r="BC215" t="s">
        <v>536</v>
      </c>
      <c r="BI215" t="s">
        <v>2629</v>
      </c>
    </row>
    <row r="216" spans="1:72" ht="13" customHeight="1">
      <c r="D216" s="3" t="s">
        <v>1764</v>
      </c>
      <c r="Z216" s="40"/>
      <c r="AB216" s="1531"/>
      <c r="AC216" s="1531"/>
      <c r="AD216" s="1531"/>
      <c r="AE216" s="1531"/>
      <c r="AF216" s="1531"/>
      <c r="AG216" s="1531"/>
      <c r="AH216" s="1531"/>
      <c r="AI216" s="1531"/>
      <c r="AJ216" s="1531"/>
      <c r="AK216" s="1531"/>
      <c r="AL216" s="1531"/>
      <c r="AM216" s="21"/>
      <c r="AN216" s="21"/>
      <c r="AO216" s="21"/>
      <c r="AP216" s="21"/>
      <c r="AQ216" s="21"/>
      <c r="AR216" s="21"/>
      <c r="AS216" s="21"/>
      <c r="AT216" s="21"/>
      <c r="AU216" s="21"/>
      <c r="AV216" s="21"/>
      <c r="AW216" s="21"/>
      <c r="AX216" s="21"/>
      <c r="AY216" s="21"/>
      <c r="BC216" t="s">
        <v>575</v>
      </c>
      <c r="BI216" t="s">
        <v>2630</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row>
    <row r="218" spans="1:72" ht="13" customHeight="1">
      <c r="A218" s="2" t="s">
        <v>601</v>
      </c>
      <c r="C218" s="2" t="s">
        <v>1329</v>
      </c>
      <c r="D218" s="28"/>
      <c r="BC218" t="s">
        <v>538</v>
      </c>
    </row>
    <row r="219" spans="1:72" ht="13" customHeight="1">
      <c r="A219" s="2"/>
      <c r="C219" s="2"/>
      <c r="D219" s="4" t="s">
        <v>1009</v>
      </c>
      <c r="AZ219" s="3"/>
      <c r="BA219" s="3"/>
      <c r="BC219" t="s">
        <v>378</v>
      </c>
    </row>
    <row r="220" spans="1:72" ht="13" customHeight="1">
      <c r="A220" s="2"/>
      <c r="C220" s="2"/>
      <c r="D220" s="1491" t="s">
        <v>1093</v>
      </c>
      <c r="E220" s="1491"/>
      <c r="F220" s="1491"/>
      <c r="G220" s="1491"/>
      <c r="H220" s="1491"/>
      <c r="I220" s="1491"/>
      <c r="J220" s="1491"/>
      <c r="K220" s="1491"/>
      <c r="L220" s="1491"/>
      <c r="M220" s="1491"/>
      <c r="N220" s="1491"/>
      <c r="O220" s="1491"/>
      <c r="P220" s="1491"/>
      <c r="Q220" s="1491"/>
      <c r="R220" s="1491"/>
      <c r="S220" s="1491"/>
      <c r="T220" s="1491"/>
      <c r="U220" s="1491"/>
      <c r="V220" s="1491"/>
      <c r="W220" s="1491"/>
      <c r="X220" s="1491"/>
      <c r="Y220" s="1491"/>
      <c r="Z220" s="1491"/>
      <c r="BA220" s="3"/>
      <c r="BC220" t="s">
        <v>301</v>
      </c>
    </row>
    <row r="221" spans="1:72" ht="13" customHeight="1">
      <c r="A221" s="2"/>
      <c r="B221" s="14"/>
      <c r="C221" s="2"/>
      <c r="AU221" s="95"/>
      <c r="AV221" s="95"/>
      <c r="AW221" s="95"/>
      <c r="AX221" s="95"/>
      <c r="AY221" s="95"/>
      <c r="BA221" s="3"/>
    </row>
    <row r="222" spans="1:72" ht="13" customHeight="1">
      <c r="A222" s="1654" t="s">
        <v>549</v>
      </c>
      <c r="B222" s="1654"/>
      <c r="C222" s="1654"/>
      <c r="D222" s="1654"/>
      <c r="E222" s="1654"/>
      <c r="F222" s="1654"/>
      <c r="G222" s="1654"/>
      <c r="H222" s="1654"/>
      <c r="I222" s="1654"/>
      <c r="J222" s="1654"/>
      <c r="K222" s="1654"/>
      <c r="L222" s="1654"/>
      <c r="M222" s="1654"/>
      <c r="N222" s="1654"/>
      <c r="O222" s="1654"/>
      <c r="P222" s="1654"/>
      <c r="Q222" s="1654"/>
      <c r="R222" s="1654"/>
      <c r="S222" s="1654"/>
      <c r="T222" s="1654"/>
      <c r="U222" s="1654"/>
      <c r="V222" s="1654"/>
      <c r="W222" s="1654"/>
      <c r="X222" s="1654"/>
      <c r="Y222" s="1654"/>
      <c r="Z222" s="1654"/>
      <c r="AA222" s="1654"/>
      <c r="AB222" s="1654"/>
      <c r="AC222" s="1654"/>
      <c r="AD222" s="1654"/>
      <c r="AE222" s="1654"/>
      <c r="AF222" s="1654"/>
      <c r="AG222" s="1654"/>
      <c r="AH222" s="1654"/>
      <c r="AI222" s="1654"/>
      <c r="AJ222" s="1654"/>
      <c r="AK222" s="1654"/>
      <c r="AL222" s="1654"/>
      <c r="AM222" s="1654"/>
      <c r="AN222" s="1654"/>
      <c r="AO222" s="1654"/>
      <c r="AP222" s="1654"/>
      <c r="AQ222" s="1654"/>
      <c r="AR222" s="1654"/>
      <c r="AS222" s="1654"/>
      <c r="AT222" s="1654"/>
      <c r="AU222" s="95"/>
      <c r="AV222" s="95"/>
      <c r="AW222" s="95"/>
      <c r="AX222" s="95"/>
      <c r="AY222" s="95"/>
      <c r="AZ222" s="3"/>
      <c r="BA222" s="3"/>
      <c r="BP222" s="34"/>
    </row>
    <row r="223" spans="1:72" ht="13" customHeight="1">
      <c r="A223" s="1654"/>
      <c r="B223" s="1654"/>
      <c r="C223" s="1654"/>
      <c r="D223" s="1654"/>
      <c r="E223" s="1654"/>
      <c r="F223" s="1654"/>
      <c r="G223" s="1654"/>
      <c r="H223" s="1654"/>
      <c r="I223" s="1654"/>
      <c r="J223" s="1654"/>
      <c r="K223" s="1654"/>
      <c r="L223" s="1654"/>
      <c r="M223" s="1654"/>
      <c r="N223" s="1654"/>
      <c r="O223" s="1654"/>
      <c r="P223" s="1654"/>
      <c r="Q223" s="1654"/>
      <c r="R223" s="1654"/>
      <c r="S223" s="1654"/>
      <c r="T223" s="1654"/>
      <c r="U223" s="1654"/>
      <c r="V223" s="1654"/>
      <c r="W223" s="1654"/>
      <c r="X223" s="1654"/>
      <c r="Y223" s="1654"/>
      <c r="Z223" s="1654"/>
      <c r="AA223" s="1654"/>
      <c r="AB223" s="1654"/>
      <c r="AC223" s="1654"/>
      <c r="AD223" s="1654"/>
      <c r="AE223" s="1654"/>
      <c r="AF223" s="1654"/>
      <c r="AG223" s="1654"/>
      <c r="AH223" s="1654"/>
      <c r="AI223" s="1654"/>
      <c r="AJ223" s="1654"/>
      <c r="AK223" s="1654"/>
      <c r="AL223" s="1654"/>
      <c r="AM223" s="1654"/>
      <c r="AN223" s="1654"/>
      <c r="AO223" s="1654"/>
      <c r="AP223" s="1654"/>
      <c r="AQ223" s="1654"/>
      <c r="AR223" s="1654"/>
      <c r="AS223" s="1654"/>
      <c r="AT223" s="1654"/>
      <c r="BA223" s="3"/>
      <c r="BB223" s="3"/>
      <c r="BQ223" s="34"/>
    </row>
    <row r="224" spans="1:72" ht="13" customHeight="1">
      <c r="AZ224" s="4"/>
      <c r="BA224" s="3"/>
      <c r="BB224" s="3"/>
      <c r="BQ224" s="34"/>
    </row>
    <row r="225" spans="1:69" ht="13" customHeight="1">
      <c r="A225" s="2" t="s">
        <v>320</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3" t="s">
        <v>600</v>
      </c>
      <c r="AJ226" s="1383"/>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3" t="s">
        <v>554</v>
      </c>
      <c r="AJ227" s="1383"/>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3" t="s">
        <v>554</v>
      </c>
      <c r="AJ228" s="1383"/>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3" t="s">
        <v>600</v>
      </c>
      <c r="AJ229" s="1383"/>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 customHeight="1">
      <c r="A231" s="2" t="s">
        <v>585</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479</v>
      </c>
      <c r="E232" s="4"/>
      <c r="F232" s="4"/>
      <c r="G232" s="4"/>
      <c r="H232" s="4"/>
      <c r="I232" s="4"/>
      <c r="J232" s="4"/>
      <c r="K232" s="4"/>
      <c r="M232" s="1574" t="str">
        <f>H16</f>
        <v>California Supportive Housing</v>
      </c>
      <c r="N232" s="1574"/>
      <c r="O232" s="1574"/>
      <c r="P232" s="1574"/>
      <c r="Q232" s="1574"/>
      <c r="R232" s="1574"/>
      <c r="S232" s="1574"/>
      <c r="T232" s="1574"/>
      <c r="U232" s="1574"/>
      <c r="V232" s="1574"/>
      <c r="W232" s="1574"/>
      <c r="X232" s="1574"/>
      <c r="Y232" s="1574"/>
      <c r="Z232" s="1574"/>
      <c r="AA232" s="1574"/>
      <c r="AB232" s="1574"/>
      <c r="AC232" s="1574"/>
      <c r="AD232" s="1574"/>
      <c r="AE232" s="1574"/>
      <c r="AF232" s="1574"/>
      <c r="AG232" s="1574"/>
      <c r="AH232" s="1574"/>
      <c r="AI232" s="1574"/>
      <c r="AJ232" s="1574"/>
      <c r="AK232" s="1574"/>
      <c r="AZ232" s="4"/>
      <c r="BA232" s="3"/>
      <c r="BB232" s="219" t="s">
        <v>547</v>
      </c>
      <c r="BG232" s="259">
        <f>IF(AND(AND($M$249="nonprofit",$M$257="nonprofit",$M$265="for profit")),2,0)</f>
        <v>0</v>
      </c>
      <c r="BQ232" s="34"/>
    </row>
    <row r="233" spans="1:69" ht="13" customHeight="1">
      <c r="D233" s="4" t="s">
        <v>85</v>
      </c>
      <c r="E233" s="4"/>
      <c r="F233" s="4"/>
      <c r="G233" s="4"/>
      <c r="H233" s="4"/>
      <c r="I233" s="4"/>
      <c r="J233" s="4"/>
      <c r="K233" s="4"/>
      <c r="M233" s="1491" t="s">
        <v>2652</v>
      </c>
      <c r="N233" s="1491"/>
      <c r="O233" s="1491"/>
      <c r="P233" s="1491"/>
      <c r="Q233" s="1491"/>
      <c r="R233" s="1491"/>
      <c r="S233" s="1491"/>
      <c r="T233" s="1491"/>
      <c r="U233" s="1491"/>
      <c r="V233" s="1491"/>
      <c r="W233" s="1491"/>
      <c r="X233" s="1491"/>
      <c r="Y233" s="1491"/>
      <c r="Z233" s="1491"/>
      <c r="AA233" s="1491"/>
      <c r="AB233" s="1491"/>
      <c r="AC233" s="1491"/>
      <c r="AD233" s="1491"/>
      <c r="AE233" s="1491"/>
      <c r="BB233" s="219" t="s">
        <v>547</v>
      </c>
      <c r="BG233" s="259">
        <f>IF(AND(AND($M$249="nonprofit",$M$257="for profit",$M$265="nonprofit")),2,0)</f>
        <v>0</v>
      </c>
    </row>
    <row r="234" spans="1:69" ht="13" customHeight="1">
      <c r="D234" s="4" t="s">
        <v>589</v>
      </c>
      <c r="E234" s="4"/>
      <c r="M234" s="1491" t="s">
        <v>2653</v>
      </c>
      <c r="N234" s="1491"/>
      <c r="O234" s="1491"/>
      <c r="P234" s="1491"/>
      <c r="Q234" s="1491"/>
      <c r="R234" s="1491"/>
      <c r="S234" s="1491"/>
      <c r="T234" s="1491"/>
      <c r="V234" s="33" t="s">
        <v>86</v>
      </c>
      <c r="W234" s="1488" t="s">
        <v>2654</v>
      </c>
      <c r="X234" s="1412"/>
      <c r="Y234" s="4" t="s">
        <v>592</v>
      </c>
      <c r="AC234" s="1489">
        <v>94024</v>
      </c>
      <c r="AD234" s="1491"/>
      <c r="AE234" s="1491"/>
      <c r="AU234" s="4"/>
      <c r="AV234" s="4"/>
      <c r="AW234" s="4"/>
      <c r="AX234" s="4"/>
      <c r="AY234" s="4"/>
      <c r="AZ234" s="4"/>
      <c r="BB234" s="219" t="s">
        <v>547</v>
      </c>
      <c r="BG234" s="258">
        <f>IF(AND(AND($M$249="for profit",$M$257="nonprofit",$M$265="nonprofit")),2,0)</f>
        <v>0</v>
      </c>
      <c r="BO234" s="34"/>
    </row>
    <row r="235" spans="1:69" ht="13" customHeight="1">
      <c r="D235" s="4" t="s">
        <v>87</v>
      </c>
      <c r="E235" s="4"/>
      <c r="F235" s="4"/>
      <c r="G235" s="4"/>
      <c r="H235" s="4"/>
      <c r="I235" s="4"/>
      <c r="J235" s="4"/>
      <c r="K235" s="19"/>
      <c r="M235" s="1491" t="s">
        <v>2655</v>
      </c>
      <c r="N235" s="1491"/>
      <c r="O235" s="1491"/>
      <c r="P235" s="1491"/>
      <c r="Q235" s="1491"/>
      <c r="R235" s="1491"/>
      <c r="S235" s="1491"/>
      <c r="T235" s="1491"/>
      <c r="U235" s="1491"/>
      <c r="V235" s="1491"/>
      <c r="W235" s="1491"/>
      <c r="X235" s="1491"/>
      <c r="Y235" s="1491"/>
      <c r="Z235" s="1491"/>
      <c r="AA235" s="1491"/>
      <c r="AB235" s="1491"/>
      <c r="AC235" s="1491"/>
      <c r="AD235" s="1491"/>
      <c r="AE235" s="1491"/>
      <c r="AI235" s="4"/>
      <c r="AJ235" s="4"/>
      <c r="AK235" s="4"/>
      <c r="AL235" s="4"/>
      <c r="AM235" s="4"/>
      <c r="AN235" s="4"/>
      <c r="AO235" s="4"/>
      <c r="AP235" s="4"/>
      <c r="AQ235" s="4"/>
      <c r="AR235" s="4"/>
      <c r="AS235" s="4"/>
      <c r="AT235" s="4"/>
      <c r="BB235" s="219"/>
      <c r="BG235" s="218"/>
    </row>
    <row r="236" spans="1:69" ht="13" customHeight="1">
      <c r="D236" s="4" t="s">
        <v>88</v>
      </c>
      <c r="E236" s="4"/>
      <c r="F236" s="4"/>
      <c r="M236" s="1493" t="s">
        <v>2656</v>
      </c>
      <c r="N236" s="1493"/>
      <c r="O236" s="1493"/>
      <c r="P236" s="1493"/>
      <c r="Q236" s="1493"/>
      <c r="R236" s="1493"/>
      <c r="S236" s="4" t="s">
        <v>207</v>
      </c>
      <c r="T236" s="4"/>
      <c r="U236" s="1412"/>
      <c r="V236" s="1412"/>
      <c r="W236" s="1412"/>
      <c r="X236" s="4" t="s">
        <v>89</v>
      </c>
      <c r="Z236" s="1493"/>
      <c r="AA236" s="1493"/>
      <c r="AB236" s="1493"/>
      <c r="AC236" s="1493"/>
      <c r="AD236" s="1493"/>
      <c r="AE236" s="1493"/>
      <c r="AU236" s="4"/>
      <c r="AV236" s="4"/>
      <c r="AW236" s="4"/>
      <c r="AX236" s="4"/>
      <c r="AY236" s="4"/>
      <c r="AZ236" s="4"/>
      <c r="BB236" s="218" t="s">
        <v>546</v>
      </c>
      <c r="BG236" s="259">
        <f>IF(AND(AND($M$249="nonprofit",$M$257="nonprofit",$M$265="(select one)")),1,0)</f>
        <v>0</v>
      </c>
    </row>
    <row r="237" spans="1:69" ht="13" customHeight="1">
      <c r="D237" s="4" t="s">
        <v>90</v>
      </c>
      <c r="E237" s="4"/>
      <c r="F237" s="4"/>
      <c r="M237" s="1527" t="s">
        <v>2749</v>
      </c>
      <c r="N237" s="1527"/>
      <c r="O237" s="1527"/>
      <c r="P237" s="1527"/>
      <c r="Q237" s="1527"/>
      <c r="R237" s="1527"/>
      <c r="S237" s="1527"/>
      <c r="T237" s="1527"/>
      <c r="U237" s="1527"/>
      <c r="V237" s="1527"/>
      <c r="W237" s="1527"/>
      <c r="X237" s="1527"/>
      <c r="Y237" s="1527"/>
      <c r="Z237" s="1527"/>
      <c r="AA237" s="1527"/>
      <c r="AB237" s="1527"/>
      <c r="AC237" s="1527"/>
      <c r="AD237" s="1527"/>
      <c r="AE237" s="1527"/>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 customHeight="1">
      <c r="A238" s="2" t="s">
        <v>595</v>
      </c>
      <c r="C238" s="2" t="s">
        <v>534</v>
      </c>
      <c r="M238" s="1438" t="s">
        <v>378</v>
      </c>
      <c r="N238" s="1438"/>
      <c r="O238" s="1438"/>
      <c r="P238" s="1438"/>
      <c r="Q238" s="1438"/>
      <c r="R238" s="1438"/>
      <c r="S238" s="1438"/>
      <c r="T238" s="1438"/>
      <c r="U238" s="218" t="s">
        <v>922</v>
      </c>
      <c r="V238" s="218"/>
      <c r="W238" s="218"/>
      <c r="X238" s="218"/>
      <c r="Y238" s="218"/>
      <c r="Z238" s="218"/>
      <c r="AA238" s="1544"/>
      <c r="AB238" s="1544"/>
      <c r="AC238" s="1544"/>
      <c r="AD238" s="1544"/>
      <c r="AE238" s="1544"/>
      <c r="AF238" s="1544"/>
      <c r="AG238" s="1544"/>
      <c r="AH238" s="1544"/>
      <c r="AI238" s="1544"/>
      <c r="AJ238" s="1544"/>
      <c r="AK238" s="1544"/>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3" customHeight="1">
      <c r="D239" t="s">
        <v>540</v>
      </c>
      <c r="M239" s="1381"/>
      <c r="N239" s="1381"/>
      <c r="O239" s="1381"/>
      <c r="P239" s="1381"/>
      <c r="Q239" s="1381"/>
      <c r="R239" s="1381"/>
      <c r="S239" s="1381"/>
      <c r="T239" s="1381"/>
      <c r="U239" s="1381"/>
      <c r="V239" s="1381"/>
      <c r="W239" s="1381"/>
      <c r="X239" s="1381"/>
      <c r="Y239" s="1381"/>
      <c r="Z239" s="1381"/>
      <c r="AA239" s="1381"/>
      <c r="AB239" s="1381"/>
      <c r="AC239" s="1381"/>
      <c r="AD239" s="1381"/>
      <c r="AE239" s="1381"/>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 customHeight="1">
      <c r="D240" s="4"/>
      <c r="BB240" s="218" t="s">
        <v>890</v>
      </c>
      <c r="BG240" s="259">
        <f>IF(AND(AND($M$249="for profit",$M$257="for profit",$M$265="for profit")),3,0)</f>
        <v>0</v>
      </c>
    </row>
    <row r="241" spans="1:71" ht="13"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482</v>
      </c>
      <c r="D243" s="4" t="s">
        <v>541</v>
      </c>
      <c r="E243" s="4"/>
      <c r="F243" s="4"/>
      <c r="G243" s="4"/>
      <c r="H243" s="4"/>
      <c r="I243" s="4"/>
      <c r="J243" s="4"/>
      <c r="K243" s="4"/>
      <c r="L243" s="4"/>
      <c r="M243" s="1573" t="s">
        <v>2725</v>
      </c>
      <c r="N243" s="1529"/>
      <c r="O243" s="1529"/>
      <c r="P243" s="1529"/>
      <c r="Q243" s="1529"/>
      <c r="R243" s="1529"/>
      <c r="S243" s="1529"/>
      <c r="T243" s="1529"/>
      <c r="U243" s="1529"/>
      <c r="V243" s="1529"/>
      <c r="W243" s="1529"/>
      <c r="X243" s="1529"/>
      <c r="Y243" s="1529"/>
      <c r="Z243" s="1529"/>
      <c r="AA243" s="1529"/>
      <c r="AB243" s="1529"/>
      <c r="AC243" s="1529"/>
      <c r="AD243" s="1529"/>
      <c r="AE243" s="1529"/>
      <c r="AF243" s="1529" t="s">
        <v>2657</v>
      </c>
      <c r="AG243" s="1529"/>
      <c r="AH243" s="1529"/>
      <c r="AI243" s="1529"/>
      <c r="AJ243" s="1529"/>
      <c r="AK243" s="1529"/>
      <c r="AU243" s="4"/>
      <c r="AV243" s="4"/>
      <c r="AW243" s="4"/>
      <c r="AX243" s="4"/>
      <c r="AY243" s="4"/>
      <c r="BG243">
        <f>SUM(BG226:BG241)</f>
        <v>0</v>
      </c>
    </row>
    <row r="244" spans="1:71" ht="13" customHeight="1">
      <c r="A244" s="19"/>
      <c r="B244" s="4"/>
      <c r="C244" s="4"/>
      <c r="D244" s="4" t="s">
        <v>85</v>
      </c>
      <c r="E244" s="4"/>
      <c r="F244" s="4"/>
      <c r="G244" s="4"/>
      <c r="H244" s="4"/>
      <c r="I244" s="4"/>
      <c r="J244" s="4"/>
      <c r="K244" s="4"/>
      <c r="L244" s="4"/>
      <c r="M244" s="1491" t="str">
        <f>$M$233</f>
        <v>1015 Saint Joseph Ave</v>
      </c>
      <c r="N244" s="1491"/>
      <c r="O244" s="1491"/>
      <c r="P244" s="1491"/>
      <c r="Q244" s="1491"/>
      <c r="R244" s="1491"/>
      <c r="S244" s="1491"/>
      <c r="T244" s="1491"/>
      <c r="U244" s="1491"/>
      <c r="V244" s="1491"/>
      <c r="W244" s="1491"/>
      <c r="X244" s="1491"/>
      <c r="Y244" s="1491"/>
      <c r="Z244" s="1491"/>
      <c r="AA244" s="1491"/>
      <c r="AB244" s="1491"/>
      <c r="AC244" s="1491"/>
      <c r="AD244" s="1491"/>
      <c r="AE244" s="1491"/>
      <c r="AF244" s="3" t="s">
        <v>1286</v>
      </c>
      <c r="AL244" s="4"/>
      <c r="AM244" s="4"/>
      <c r="AN244" s="4"/>
      <c r="AO244" s="4"/>
      <c r="AP244" s="4"/>
      <c r="AQ244" s="4"/>
      <c r="AR244" s="4"/>
      <c r="AS244" s="4"/>
      <c r="AT244" s="4"/>
      <c r="BB244" t="s">
        <v>308</v>
      </c>
      <c r="BG244">
        <v>1</v>
      </c>
      <c r="BH244" t="s">
        <v>543</v>
      </c>
    </row>
    <row r="245" spans="1:71" ht="13" customHeight="1">
      <c r="A245" s="19"/>
      <c r="B245" s="4"/>
      <c r="C245" s="4"/>
      <c r="D245" s="4" t="s">
        <v>589</v>
      </c>
      <c r="E245" s="4"/>
      <c r="M245" s="1491" t="str">
        <f>$M$234</f>
        <v>Los Altos</v>
      </c>
      <c r="N245" s="1491"/>
      <c r="O245" s="1491"/>
      <c r="P245" s="1491"/>
      <c r="Q245" s="1491"/>
      <c r="R245" s="1491"/>
      <c r="S245" s="1491"/>
      <c r="T245" s="1491"/>
      <c r="V245" s="33" t="s">
        <v>86</v>
      </c>
      <c r="W245" s="1412" t="str">
        <f>$W$234</f>
        <v>CA</v>
      </c>
      <c r="X245" s="1412"/>
      <c r="Y245" s="4" t="s">
        <v>592</v>
      </c>
      <c r="AC245" s="1491">
        <f>$AC$234</f>
        <v>94024</v>
      </c>
      <c r="AD245" s="1491"/>
      <c r="AE245" s="1491"/>
      <c r="AF245" s="3" t="s">
        <v>1287</v>
      </c>
      <c r="AU245" s="4"/>
      <c r="AV245" s="4"/>
      <c r="AW245" s="4"/>
      <c r="AX245" s="4"/>
      <c r="AY245" s="4"/>
      <c r="BB245" s="4" t="s">
        <v>281</v>
      </c>
      <c r="BG245">
        <v>2</v>
      </c>
      <c r="BH245" t="s">
        <v>575</v>
      </c>
      <c r="BO245" s="257">
        <f>VLOOKUP(BG243,BG244:BH247,2,FALSE)</f>
        <v>0</v>
      </c>
    </row>
    <row r="246" spans="1:71" ht="13" customHeight="1">
      <c r="A246" s="19"/>
      <c r="B246" s="4"/>
      <c r="C246" s="4"/>
      <c r="D246" s="4" t="s">
        <v>87</v>
      </c>
      <c r="E246" s="4"/>
      <c r="F246" s="4"/>
      <c r="G246" s="4"/>
      <c r="H246" s="4"/>
      <c r="I246" s="4"/>
      <c r="J246" s="4"/>
      <c r="K246" s="4"/>
      <c r="L246" s="19"/>
      <c r="M246" s="1491" t="str">
        <f>$M$235</f>
        <v>Punit Bhargava</v>
      </c>
      <c r="N246" s="1491"/>
      <c r="O246" s="1491"/>
      <c r="P246" s="1491"/>
      <c r="Q246" s="1491"/>
      <c r="R246" s="1491"/>
      <c r="S246" s="1491"/>
      <c r="T246" s="1491"/>
      <c r="U246" s="1491"/>
      <c r="V246" s="1491"/>
      <c r="W246" s="1491"/>
      <c r="X246" s="1491"/>
      <c r="Y246" s="1491"/>
      <c r="Z246" s="1491"/>
      <c r="AA246" s="1491"/>
      <c r="AB246" s="1491"/>
      <c r="AC246" s="1491"/>
      <c r="AD246" s="1491"/>
      <c r="AE246" s="1491"/>
      <c r="AH246" s="1564">
        <v>5.0000000000000001E-3</v>
      </c>
      <c r="AI246" s="1564"/>
      <c r="AJ246" s="1564"/>
      <c r="AK246" s="1564"/>
      <c r="AL246" s="4"/>
      <c r="AM246" s="4"/>
      <c r="AN246" s="4"/>
      <c r="AO246" s="4"/>
      <c r="AP246" s="4"/>
      <c r="AQ246" s="4"/>
      <c r="AR246" s="4"/>
      <c r="AS246" s="4"/>
      <c r="AT246" s="4"/>
      <c r="BB246" s="4" t="s">
        <v>173</v>
      </c>
      <c r="BG246">
        <v>3</v>
      </c>
      <c r="BH246" t="s">
        <v>545</v>
      </c>
      <c r="BN246" s="34"/>
    </row>
    <row r="247" spans="1:71" ht="13" customHeight="1">
      <c r="A247" s="19"/>
      <c r="B247" s="4"/>
      <c r="C247" s="4"/>
      <c r="D247" s="4" t="s">
        <v>88</v>
      </c>
      <c r="E247" s="4"/>
      <c r="F247" s="4"/>
      <c r="M247" s="1493" t="str">
        <f>$M$236</f>
        <v>408-647-4720</v>
      </c>
      <c r="N247" s="1493"/>
      <c r="O247" s="1493"/>
      <c r="P247" s="1493"/>
      <c r="Q247" s="1493"/>
      <c r="R247" s="1493"/>
      <c r="S247" s="4" t="s">
        <v>207</v>
      </c>
      <c r="T247" s="4"/>
      <c r="U247" s="1412"/>
      <c r="V247" s="1412"/>
      <c r="W247" s="1412"/>
      <c r="X247" s="4" t="s">
        <v>89</v>
      </c>
      <c r="Z247" s="1493"/>
      <c r="AA247" s="1493"/>
      <c r="AB247" s="1493"/>
      <c r="AC247" s="1493"/>
      <c r="AD247" s="1493"/>
      <c r="AE247" s="1493"/>
      <c r="AU247" s="4"/>
      <c r="AV247" s="4"/>
      <c r="AW247" s="4"/>
      <c r="AX247" s="4"/>
      <c r="AY247" s="4"/>
      <c r="BG247">
        <v>0</v>
      </c>
      <c r="BH247" s="3"/>
      <c r="BN247" s="34"/>
    </row>
    <row r="248" spans="1:71" ht="13" customHeight="1">
      <c r="A248" s="19"/>
      <c r="B248" s="4"/>
      <c r="C248" s="4"/>
      <c r="D248" s="4" t="s">
        <v>90</v>
      </c>
      <c r="E248" s="4"/>
      <c r="F248" s="4"/>
      <c r="M248" s="1527" t="str">
        <f>$M$237</f>
        <v>macarthur.housing@cshousing.org</v>
      </c>
      <c r="N248" s="1527"/>
      <c r="O248" s="1527"/>
      <c r="P248" s="1527"/>
      <c r="Q248" s="1527"/>
      <c r="R248" s="1527"/>
      <c r="S248" s="1527"/>
      <c r="T248" s="1527"/>
      <c r="U248" s="1527"/>
      <c r="V248" s="1527"/>
      <c r="W248" s="1527"/>
      <c r="X248" s="1527"/>
      <c r="Y248" s="1527"/>
      <c r="Z248" s="1527"/>
      <c r="AA248" s="1527"/>
      <c r="AB248" s="1527"/>
      <c r="AC248" s="1527"/>
      <c r="AD248" s="1527"/>
      <c r="AE248" s="1527"/>
      <c r="AG248" s="4"/>
      <c r="AH248" s="4"/>
      <c r="AI248" s="4"/>
      <c r="AJ248" s="4"/>
      <c r="AK248" s="4"/>
      <c r="AL248" s="4"/>
      <c r="AM248" s="4"/>
      <c r="AN248" s="4"/>
      <c r="AO248" s="4"/>
      <c r="AP248" s="4"/>
      <c r="AQ248" s="4"/>
      <c r="AR248" s="4"/>
      <c r="AS248" s="4"/>
      <c r="AT248" s="4"/>
      <c r="BN248" s="34"/>
    </row>
    <row r="249" spans="1:71" ht="13" customHeight="1">
      <c r="A249" s="13"/>
      <c r="B249" s="4"/>
      <c r="C249" s="56"/>
      <c r="D249" s="4" t="s">
        <v>544</v>
      </c>
      <c r="E249" s="4"/>
      <c r="F249" s="4"/>
      <c r="G249" s="4"/>
      <c r="H249" s="4"/>
      <c r="I249" s="4"/>
      <c r="J249" s="4"/>
      <c r="K249" s="4"/>
      <c r="L249" s="4"/>
      <c r="M249" s="1438" t="s">
        <v>545</v>
      </c>
      <c r="N249" s="1438"/>
      <c r="O249" s="1438"/>
      <c r="P249" s="1438"/>
      <c r="Q249" s="1438"/>
      <c r="R249" s="1438"/>
      <c r="S249" s="1438"/>
      <c r="T249" s="1438"/>
      <c r="U249" s="218" t="s">
        <v>922</v>
      </c>
      <c r="V249" s="218"/>
      <c r="W249" s="218"/>
      <c r="X249" s="218"/>
      <c r="Y249" s="218"/>
      <c r="Z249" s="218"/>
      <c r="AA249" s="1544"/>
      <c r="AB249" s="1544"/>
      <c r="AC249" s="1544"/>
      <c r="AD249" s="1544"/>
      <c r="AE249" s="1544"/>
      <c r="AF249" s="1544"/>
      <c r="AG249" s="1544"/>
      <c r="AH249" s="1544"/>
      <c r="AI249" s="1544"/>
      <c r="AJ249" s="1544"/>
      <c r="AK249" s="1544"/>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975</v>
      </c>
      <c r="E251" s="4"/>
      <c r="F251" s="4"/>
      <c r="G251" s="4"/>
      <c r="H251" s="4"/>
      <c r="I251" s="4"/>
      <c r="J251" s="4"/>
      <c r="K251" s="4"/>
      <c r="L251" s="4"/>
      <c r="M251" s="1529" t="s">
        <v>2641</v>
      </c>
      <c r="N251" s="1529"/>
      <c r="O251" s="1529"/>
      <c r="P251" s="1529"/>
      <c r="Q251" s="1529"/>
      <c r="R251" s="1529"/>
      <c r="S251" s="1529"/>
      <c r="T251" s="1529"/>
      <c r="U251" s="1529"/>
      <c r="V251" s="1529"/>
      <c r="W251" s="1529"/>
      <c r="X251" s="1529"/>
      <c r="Y251" s="1529"/>
      <c r="Z251" s="1529"/>
      <c r="AA251" s="1529"/>
      <c r="AB251" s="1529"/>
      <c r="AC251" s="1529"/>
      <c r="AD251" s="1529"/>
      <c r="AE251" s="1529"/>
      <c r="AF251" s="1529" t="s">
        <v>2658</v>
      </c>
      <c r="AG251" s="1529"/>
      <c r="AH251" s="1529"/>
      <c r="AI251" s="1529"/>
      <c r="AJ251" s="1529"/>
      <c r="AK251" s="1529"/>
      <c r="AU251" s="4"/>
      <c r="AV251" s="4"/>
      <c r="AW251" s="4"/>
      <c r="AX251" s="4"/>
      <c r="AY251" s="4"/>
      <c r="BN251" s="34"/>
    </row>
    <row r="252" spans="1:71" ht="13" customHeight="1">
      <c r="A252" s="19"/>
      <c r="B252" s="4"/>
      <c r="C252" s="4"/>
      <c r="D252" s="4" t="s">
        <v>85</v>
      </c>
      <c r="E252" s="4"/>
      <c r="F252" s="4"/>
      <c r="G252" s="4"/>
      <c r="H252" s="4"/>
      <c r="I252" s="4"/>
      <c r="J252" s="4"/>
      <c r="K252" s="4"/>
      <c r="L252" s="4"/>
      <c r="M252" s="1491" t="str">
        <f>$M$233</f>
        <v>1015 Saint Joseph Ave</v>
      </c>
      <c r="N252" s="1491"/>
      <c r="O252" s="1491"/>
      <c r="P252" s="1491"/>
      <c r="Q252" s="1491"/>
      <c r="R252" s="1491"/>
      <c r="S252" s="1491"/>
      <c r="T252" s="1491"/>
      <c r="U252" s="1491"/>
      <c r="V252" s="1491"/>
      <c r="W252" s="1491"/>
      <c r="X252" s="1491"/>
      <c r="Y252" s="1491"/>
      <c r="Z252" s="1491"/>
      <c r="AA252" s="1491"/>
      <c r="AB252" s="1491"/>
      <c r="AC252" s="1491"/>
      <c r="AD252" s="1491"/>
      <c r="AE252" s="1491"/>
      <c r="AF252" s="3" t="s">
        <v>1286</v>
      </c>
      <c r="AL252" s="4"/>
      <c r="AM252" s="4"/>
      <c r="AN252" s="4"/>
      <c r="AO252" s="4"/>
      <c r="AP252" s="4"/>
      <c r="AQ252" s="4"/>
      <c r="AR252" s="4"/>
      <c r="AS252" s="4"/>
      <c r="AT252" s="4"/>
      <c r="BN252" s="34"/>
    </row>
    <row r="253" spans="1:71" ht="13" customHeight="1">
      <c r="A253" s="19"/>
      <c r="B253" s="4"/>
      <c r="C253" s="4"/>
      <c r="D253" s="4" t="s">
        <v>589</v>
      </c>
      <c r="E253" s="4"/>
      <c r="M253" s="1491" t="str">
        <f>$M$234</f>
        <v>Los Altos</v>
      </c>
      <c r="N253" s="1491"/>
      <c r="O253" s="1491"/>
      <c r="P253" s="1491"/>
      <c r="Q253" s="1491"/>
      <c r="R253" s="1491"/>
      <c r="S253" s="1491"/>
      <c r="T253" s="1491"/>
      <c r="V253" s="33" t="s">
        <v>86</v>
      </c>
      <c r="W253" s="1412" t="str">
        <f>$W$234</f>
        <v>CA</v>
      </c>
      <c r="X253" s="1412"/>
      <c r="Y253" s="4" t="s">
        <v>592</v>
      </c>
      <c r="AC253" s="1491">
        <f>$AC$234</f>
        <v>94024</v>
      </c>
      <c r="AD253" s="1491"/>
      <c r="AE253" s="1491"/>
      <c r="AF253" s="3" t="s">
        <v>1287</v>
      </c>
      <c r="AU253" s="4"/>
      <c r="AV253" s="4"/>
      <c r="AW253" s="4"/>
      <c r="AX253" s="4"/>
      <c r="AY253" s="4"/>
      <c r="BN253" s="34"/>
    </row>
    <row r="254" spans="1:71" ht="13" customHeight="1">
      <c r="A254" s="19"/>
      <c r="B254" s="4"/>
      <c r="C254" s="4"/>
      <c r="D254" s="4" t="s">
        <v>87</v>
      </c>
      <c r="E254" s="4"/>
      <c r="F254" s="4"/>
      <c r="G254" s="4"/>
      <c r="H254" s="4"/>
      <c r="I254" s="4"/>
      <c r="J254" s="4"/>
      <c r="K254" s="4"/>
      <c r="L254" s="19"/>
      <c r="M254" s="1491" t="str">
        <f>$M$235</f>
        <v>Punit Bhargava</v>
      </c>
      <c r="N254" s="1491"/>
      <c r="O254" s="1491"/>
      <c r="P254" s="1491"/>
      <c r="Q254" s="1491"/>
      <c r="R254" s="1491"/>
      <c r="S254" s="1491"/>
      <c r="T254" s="1491"/>
      <c r="U254" s="1491"/>
      <c r="V254" s="1491"/>
      <c r="W254" s="1491"/>
      <c r="X254" s="1491"/>
      <c r="Y254" s="1491"/>
      <c r="Z254" s="1491"/>
      <c r="AA254" s="1491"/>
      <c r="AB254" s="1491"/>
      <c r="AC254" s="1491"/>
      <c r="AD254" s="1491"/>
      <c r="AE254" s="1491"/>
      <c r="AH254" s="1564">
        <v>5.0000000000000001E-3</v>
      </c>
      <c r="AI254" s="1564"/>
      <c r="AJ254" s="1564"/>
      <c r="AK254" s="1564"/>
      <c r="AL254" s="4"/>
      <c r="AM254" s="4"/>
      <c r="AN254" s="4"/>
      <c r="AO254" s="4"/>
      <c r="AP254" s="4"/>
      <c r="AQ254" s="4"/>
      <c r="AR254" s="4"/>
      <c r="AS254" s="4"/>
      <c r="AT254" s="4"/>
    </row>
    <row r="255" spans="1:71" ht="13" customHeight="1">
      <c r="A255" s="19"/>
      <c r="B255" s="4"/>
      <c r="C255" s="4"/>
      <c r="D255" s="4" t="s">
        <v>88</v>
      </c>
      <c r="E255" s="4"/>
      <c r="F255" s="4"/>
      <c r="M255" s="1493" t="str">
        <f>$M$236</f>
        <v>408-647-4720</v>
      </c>
      <c r="N255" s="1493"/>
      <c r="O255" s="1493"/>
      <c r="P255" s="1493"/>
      <c r="Q255" s="1493"/>
      <c r="R255" s="1493"/>
      <c r="S255" s="4" t="s">
        <v>207</v>
      </c>
      <c r="T255" s="4"/>
      <c r="U255" s="1412"/>
      <c r="V255" s="1412"/>
      <c r="W255" s="1412"/>
      <c r="X255" s="4" t="s">
        <v>89</v>
      </c>
      <c r="Z255" s="1493"/>
      <c r="AA255" s="1493"/>
      <c r="AB255" s="1493"/>
      <c r="AC255" s="1493"/>
      <c r="AD255" s="1493"/>
      <c r="AE255" s="1493"/>
      <c r="AU255" s="4"/>
      <c r="AV255" s="4"/>
      <c r="AW255" s="4"/>
      <c r="AX255" s="4"/>
      <c r="AY255" s="4"/>
      <c r="BN255" s="34"/>
    </row>
    <row r="256" spans="1:71" ht="13" customHeight="1">
      <c r="A256" s="19"/>
      <c r="B256" s="4"/>
      <c r="C256" s="4"/>
      <c r="D256" s="4" t="s">
        <v>90</v>
      </c>
      <c r="E256" s="4"/>
      <c r="F256" s="4"/>
      <c r="M256" s="1527" t="str">
        <f>$M$237</f>
        <v>macarthur.housing@cshousing.org</v>
      </c>
      <c r="N256" s="1527"/>
      <c r="O256" s="1527"/>
      <c r="P256" s="1527"/>
      <c r="Q256" s="1527"/>
      <c r="R256" s="1527"/>
      <c r="S256" s="1527"/>
      <c r="T256" s="1527"/>
      <c r="U256" s="1527"/>
      <c r="V256" s="1527"/>
      <c r="W256" s="1527"/>
      <c r="X256" s="1527"/>
      <c r="Y256" s="1527"/>
      <c r="Z256" s="1527"/>
      <c r="AA256" s="1527"/>
      <c r="AB256" s="1527"/>
      <c r="AC256" s="1527"/>
      <c r="AD256" s="1527"/>
      <c r="AE256" s="1527"/>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544</v>
      </c>
      <c r="E257" s="4"/>
      <c r="F257" s="4"/>
      <c r="G257" s="4"/>
      <c r="H257" s="4"/>
      <c r="I257" s="4"/>
      <c r="J257" s="4"/>
      <c r="K257" s="4"/>
      <c r="L257" s="4"/>
      <c r="M257" s="1438" t="s">
        <v>378</v>
      </c>
      <c r="N257" s="1438"/>
      <c r="O257" s="1438"/>
      <c r="P257" s="1438"/>
      <c r="Q257" s="1438"/>
      <c r="R257" s="1438"/>
      <c r="S257" s="1438"/>
      <c r="T257" s="1438"/>
      <c r="U257" s="218" t="s">
        <v>922</v>
      </c>
      <c r="V257" s="218"/>
      <c r="W257" s="218"/>
      <c r="X257" s="218"/>
      <c r="Y257" s="218"/>
      <c r="Z257" s="218"/>
      <c r="AA257" s="1544"/>
      <c r="AB257" s="1544"/>
      <c r="AC257" s="1544"/>
      <c r="AD257" s="1544"/>
      <c r="AE257" s="1544"/>
      <c r="AF257" s="1544"/>
      <c r="AG257" s="1544"/>
      <c r="AH257" s="1544"/>
      <c r="AI257" s="1544"/>
      <c r="AJ257" s="1544"/>
      <c r="AK257" s="1544"/>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889</v>
      </c>
      <c r="D259" s="4" t="s">
        <v>541</v>
      </c>
      <c r="E259" s="4"/>
      <c r="F259" s="4"/>
      <c r="G259" s="4"/>
      <c r="H259" s="4"/>
      <c r="I259" s="4"/>
      <c r="J259" s="4"/>
      <c r="K259" s="4"/>
      <c r="L259" s="4"/>
      <c r="M259" s="1529"/>
      <c r="N259" s="1529"/>
      <c r="O259" s="1529"/>
      <c r="P259" s="1529"/>
      <c r="Q259" s="1529"/>
      <c r="R259" s="1529"/>
      <c r="S259" s="1529"/>
      <c r="T259" s="1529"/>
      <c r="U259" s="1529"/>
      <c r="V259" s="1529"/>
      <c r="W259" s="1529"/>
      <c r="X259" s="1529"/>
      <c r="Y259" s="1529"/>
      <c r="Z259" s="1529"/>
      <c r="AA259" s="1529"/>
      <c r="AB259" s="1529"/>
      <c r="AC259" s="1529"/>
      <c r="AD259" s="1529"/>
      <c r="AE259" s="1529"/>
      <c r="AF259" s="1529" t="s">
        <v>308</v>
      </c>
      <c r="AG259" s="1529"/>
      <c r="AH259" s="1529"/>
      <c r="AI259" s="1529"/>
      <c r="AJ259" s="1529"/>
      <c r="AK259" s="1529"/>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91"/>
      <c r="N260" s="1491"/>
      <c r="O260" s="1491"/>
      <c r="P260" s="1491"/>
      <c r="Q260" s="1491"/>
      <c r="R260" s="1491"/>
      <c r="S260" s="1491"/>
      <c r="T260" s="1491"/>
      <c r="U260" s="1491"/>
      <c r="V260" s="1491"/>
      <c r="W260" s="1491"/>
      <c r="X260" s="1491"/>
      <c r="Y260" s="1491"/>
      <c r="Z260" s="1491"/>
      <c r="AA260" s="1491"/>
      <c r="AB260" s="1491"/>
      <c r="AC260" s="1491"/>
      <c r="AD260" s="1491"/>
      <c r="AE260" s="1491"/>
      <c r="AF260" s="3" t="s">
        <v>1286</v>
      </c>
      <c r="AL260" s="3"/>
      <c r="AM260" s="3"/>
      <c r="AN260" s="3"/>
      <c r="AO260" s="3"/>
      <c r="AP260" s="3"/>
      <c r="AQ260" s="3"/>
      <c r="AR260" s="3"/>
      <c r="AS260" s="3"/>
      <c r="AT260" s="3"/>
      <c r="AU260" s="3"/>
      <c r="AV260" s="3"/>
      <c r="AW260" s="3"/>
      <c r="AX260" s="3"/>
      <c r="AY260" s="3"/>
      <c r="BN260" s="34"/>
    </row>
    <row r="261" spans="1:66" ht="13" customHeight="1">
      <c r="A261" s="13"/>
      <c r="B261" s="4"/>
      <c r="C261" s="4"/>
      <c r="D261" s="4" t="s">
        <v>589</v>
      </c>
      <c r="E261" s="4"/>
      <c r="M261" s="1491"/>
      <c r="N261" s="1491"/>
      <c r="O261" s="1491"/>
      <c r="P261" s="1491"/>
      <c r="Q261" s="1491"/>
      <c r="R261" s="1491"/>
      <c r="S261" s="1491"/>
      <c r="T261" s="1491"/>
      <c r="V261" s="33" t="s">
        <v>86</v>
      </c>
      <c r="W261" s="1412"/>
      <c r="X261" s="1412"/>
      <c r="Y261" s="4" t="s">
        <v>592</v>
      </c>
      <c r="AC261" s="1491"/>
      <c r="AD261" s="1491"/>
      <c r="AE261" s="1491"/>
      <c r="AF261" s="3" t="s">
        <v>1287</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91"/>
      <c r="N262" s="1491"/>
      <c r="O262" s="1491"/>
      <c r="P262" s="1491"/>
      <c r="Q262" s="1491"/>
      <c r="R262" s="1491"/>
      <c r="S262" s="1491"/>
      <c r="T262" s="1491"/>
      <c r="U262" s="1491"/>
      <c r="V262" s="1491"/>
      <c r="W262" s="1491"/>
      <c r="X262" s="1491"/>
      <c r="Y262" s="1491"/>
      <c r="Z262" s="1491"/>
      <c r="AA262" s="1491"/>
      <c r="AB262" s="1491"/>
      <c r="AC262" s="1491"/>
      <c r="AD262" s="1491"/>
      <c r="AE262" s="1491"/>
      <c r="AH262" s="1564"/>
      <c r="AI262" s="1564"/>
      <c r="AJ262" s="1564"/>
      <c r="AK262" s="1564"/>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93"/>
      <c r="N263" s="1493"/>
      <c r="O263" s="1493"/>
      <c r="P263" s="1493"/>
      <c r="Q263" s="1493"/>
      <c r="R263" s="1493"/>
      <c r="S263" s="4" t="s">
        <v>207</v>
      </c>
      <c r="T263" s="4"/>
      <c r="U263" s="1412"/>
      <c r="V263" s="1412"/>
      <c r="W263" s="1412"/>
      <c r="X263" s="4" t="s">
        <v>89</v>
      </c>
      <c r="Z263" s="1493"/>
      <c r="AA263" s="1493"/>
      <c r="AB263" s="1493"/>
      <c r="AC263" s="1493"/>
      <c r="AD263" s="1493"/>
      <c r="AE263" s="1493"/>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27"/>
      <c r="N264" s="1527"/>
      <c r="O264" s="1527"/>
      <c r="P264" s="1527"/>
      <c r="Q264" s="1527"/>
      <c r="R264" s="1527"/>
      <c r="S264" s="1527"/>
      <c r="T264" s="1527"/>
      <c r="U264" s="1527"/>
      <c r="V264" s="1527"/>
      <c r="W264" s="1527"/>
      <c r="X264" s="1527"/>
      <c r="Y264" s="1527"/>
      <c r="Z264" s="1527"/>
      <c r="AA264" s="1528"/>
      <c r="AB264" s="1528"/>
      <c r="AC264" s="1528"/>
      <c r="AD264" s="1528"/>
      <c r="AE264" s="1528"/>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544</v>
      </c>
      <c r="E265" s="4"/>
      <c r="F265" s="4"/>
      <c r="G265" s="4"/>
      <c r="H265" s="4"/>
      <c r="I265" s="4"/>
      <c r="J265" s="4"/>
      <c r="K265" s="4"/>
      <c r="L265" s="4"/>
      <c r="M265" s="1438" t="s">
        <v>308</v>
      </c>
      <c r="N265" s="1438"/>
      <c r="O265" s="1438"/>
      <c r="P265" s="1438"/>
      <c r="Q265" s="1438"/>
      <c r="R265" s="1438"/>
      <c r="S265" s="1438"/>
      <c r="T265" s="1438"/>
      <c r="U265" s="218" t="s">
        <v>922</v>
      </c>
      <c r="V265" s="218"/>
      <c r="W265" s="218"/>
      <c r="X265" s="218"/>
      <c r="Y265" s="218"/>
      <c r="Z265" s="218"/>
      <c r="AA265" s="1546"/>
      <c r="AB265" s="1546"/>
      <c r="AC265" s="1546"/>
      <c r="AD265" s="1546"/>
      <c r="AE265" s="1546"/>
      <c r="AF265" s="1546"/>
      <c r="AG265" s="1546"/>
      <c r="AH265" s="1546"/>
      <c r="AI265" s="1546"/>
      <c r="AJ265" s="1546"/>
      <c r="AK265" s="1546"/>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599</v>
      </c>
      <c r="B267" s="4"/>
      <c r="C267" s="2" t="s">
        <v>296</v>
      </c>
      <c r="D267" s="4"/>
      <c r="E267" s="4"/>
      <c r="F267" s="4"/>
      <c r="G267" s="4"/>
      <c r="H267" s="4"/>
      <c r="I267" s="4"/>
      <c r="J267" s="4"/>
      <c r="K267" s="4"/>
      <c r="L267" s="4"/>
      <c r="M267" s="35"/>
      <c r="N267" s="35"/>
      <c r="O267" s="35"/>
      <c r="P267" s="35"/>
      <c r="Q267" s="35"/>
      <c r="T267" s="1545">
        <f>IFERROR(BO245,"")</f>
        <v>0</v>
      </c>
      <c r="U267" s="1545"/>
      <c r="V267" s="1545"/>
      <c r="W267" s="1545"/>
      <c r="X267" s="1545"/>
      <c r="Z267" s="331" t="s">
        <v>974</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 customHeight="1">
      <c r="A270" s="4"/>
      <c r="B270" s="36">
        <v>0</v>
      </c>
      <c r="D270" s="1491" t="s">
        <v>173</v>
      </c>
      <c r="E270" s="1491"/>
      <c r="F270" s="1491"/>
      <c r="G270" s="1491"/>
      <c r="H270" s="1491"/>
      <c r="J270" t="s">
        <v>280</v>
      </c>
      <c r="X270" s="1492">
        <v>45644</v>
      </c>
      <c r="Y270" s="1492"/>
      <c r="Z270" s="1492"/>
      <c r="AA270" s="1492"/>
      <c r="AB270" s="1492"/>
      <c r="AC270" s="1492"/>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529" t="s">
        <v>2641</v>
      </c>
      <c r="M274" s="1529"/>
      <c r="N274" s="1529"/>
      <c r="O274" s="1529"/>
      <c r="P274" s="1529"/>
      <c r="Q274" s="1529"/>
      <c r="R274" s="1529"/>
      <c r="S274" s="1529"/>
      <c r="T274" s="1529"/>
      <c r="U274" s="1529"/>
      <c r="V274" s="1529"/>
      <c r="W274" s="1529"/>
      <c r="X274" s="1529"/>
      <c r="Y274" s="1529"/>
      <c r="Z274" s="1529"/>
      <c r="AA274" s="1529"/>
      <c r="AB274" s="1529"/>
      <c r="AC274" s="1529"/>
      <c r="AD274" s="1529"/>
      <c r="AE274" s="1529"/>
      <c r="AF274" s="1529"/>
      <c r="AG274" s="1529"/>
      <c r="AH274" s="1529"/>
      <c r="AI274" s="1529"/>
      <c r="AJ274" s="1529"/>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491" t="str">
        <f>$M$233</f>
        <v>1015 Saint Joseph Ave</v>
      </c>
      <c r="M275" s="1491"/>
      <c r="N275" s="1491"/>
      <c r="O275" s="1491"/>
      <c r="P275" s="1491"/>
      <c r="Q275" s="1491"/>
      <c r="R275" s="1491"/>
      <c r="S275" s="1491"/>
      <c r="T275" s="1491"/>
      <c r="U275" s="1491"/>
      <c r="V275" s="1491"/>
      <c r="W275" s="1491"/>
      <c r="X275" s="1491"/>
      <c r="Y275" s="1491"/>
      <c r="Z275" s="1491"/>
      <c r="AA275" s="1491"/>
      <c r="AB275" s="1491"/>
      <c r="AC275" s="1491"/>
      <c r="AD275" s="1491"/>
      <c r="AK275" s="3"/>
      <c r="AL275" s="3"/>
      <c r="AM275" s="3"/>
      <c r="AN275" s="3"/>
      <c r="AO275" s="3"/>
      <c r="AP275" s="3"/>
      <c r="AQ275" s="3"/>
      <c r="AR275" s="3"/>
      <c r="AS275" s="3"/>
      <c r="AT275" s="3"/>
      <c r="AU275" s="3"/>
      <c r="AV275" s="3"/>
      <c r="AW275" s="3"/>
      <c r="AX275" s="3"/>
      <c r="AY275" s="3"/>
      <c r="BN275" s="34"/>
    </row>
    <row r="276" spans="1:66" ht="13" customHeight="1">
      <c r="D276" s="4" t="s">
        <v>589</v>
      </c>
      <c r="E276" s="4"/>
      <c r="L276" s="1491" t="str">
        <f>$M$234</f>
        <v>Los Altos</v>
      </c>
      <c r="M276" s="1491"/>
      <c r="N276" s="1491"/>
      <c r="O276" s="1491"/>
      <c r="P276" s="1491"/>
      <c r="Q276" s="1491"/>
      <c r="R276" s="1491"/>
      <c r="S276" s="1491"/>
      <c r="U276" s="33" t="s">
        <v>86</v>
      </c>
      <c r="V276" s="1412" t="str">
        <f>$W$234</f>
        <v>CA</v>
      </c>
      <c r="W276" s="1412"/>
      <c r="X276" s="4" t="s">
        <v>592</v>
      </c>
      <c r="AB276" s="1491">
        <f>$AC$234</f>
        <v>94024</v>
      </c>
      <c r="AC276" s="1491"/>
      <c r="AD276" s="1491"/>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491" t="str">
        <f>$M$235</f>
        <v>Punit Bhargava</v>
      </c>
      <c r="M277" s="1491"/>
      <c r="N277" s="1491"/>
      <c r="O277" s="1491"/>
      <c r="P277" s="1491"/>
      <c r="Q277" s="1491"/>
      <c r="R277" s="1491"/>
      <c r="S277" s="1491"/>
      <c r="T277" s="1491"/>
      <c r="U277" s="1491"/>
      <c r="V277" s="1491"/>
      <c r="W277" s="1491"/>
      <c r="X277" s="1491"/>
      <c r="Y277" s="1491"/>
      <c r="Z277" s="1491"/>
      <c r="AA277" s="1491"/>
      <c r="AB277" s="1491"/>
      <c r="AC277" s="1491"/>
      <c r="AD277" s="1491"/>
      <c r="AI277" s="4"/>
      <c r="AJ277" s="4"/>
      <c r="AK277" s="3"/>
      <c r="AL277" s="3"/>
      <c r="AM277" s="3"/>
      <c r="AN277" s="3"/>
      <c r="AO277" s="3"/>
      <c r="AP277" s="3"/>
      <c r="AQ277" s="3"/>
      <c r="AR277" s="3"/>
      <c r="AS277" s="3"/>
      <c r="AT277" s="3"/>
      <c r="BN277" s="34"/>
    </row>
    <row r="278" spans="1:66" ht="13" customHeight="1">
      <c r="D278" s="4" t="s">
        <v>88</v>
      </c>
      <c r="E278" s="4"/>
      <c r="F278" s="4"/>
      <c r="L278" s="1493" t="str">
        <f>$M$236</f>
        <v>408-647-4720</v>
      </c>
      <c r="M278" s="1493"/>
      <c r="N278" s="1493"/>
      <c r="O278" s="1493"/>
      <c r="P278" s="1493"/>
      <c r="Q278" s="1493"/>
      <c r="R278" s="4" t="s">
        <v>207</v>
      </c>
      <c r="S278" s="4"/>
      <c r="T278" s="1412"/>
      <c r="U278" s="1412"/>
      <c r="V278" s="1412"/>
      <c r="W278" s="4" t="s">
        <v>89</v>
      </c>
      <c r="Y278" s="1493"/>
      <c r="Z278" s="1493"/>
      <c r="AA278" s="1493"/>
      <c r="AB278" s="1493"/>
      <c r="AC278" s="1493"/>
      <c r="AD278" s="1493"/>
      <c r="BN278" s="34"/>
    </row>
    <row r="279" spans="1:66" ht="13" customHeight="1">
      <c r="D279" s="4" t="s">
        <v>90</v>
      </c>
      <c r="E279" s="4"/>
      <c r="F279" s="4"/>
      <c r="L279" s="1527" t="str">
        <f>$M$237</f>
        <v>macarthur.housing@cshousing.org</v>
      </c>
      <c r="M279" s="1527"/>
      <c r="N279" s="1527"/>
      <c r="O279" s="1527"/>
      <c r="P279" s="1527"/>
      <c r="Q279" s="1527"/>
      <c r="R279" s="1527"/>
      <c r="S279" s="1527"/>
      <c r="T279" s="1527"/>
      <c r="U279" s="1527"/>
      <c r="V279" s="1527"/>
      <c r="W279" s="1527"/>
      <c r="X279" s="1527"/>
      <c r="Y279" s="1527"/>
      <c r="Z279" s="1527"/>
      <c r="AA279" s="1527"/>
      <c r="AB279" s="1527"/>
      <c r="AC279" s="1527"/>
      <c r="AD279" s="1527"/>
      <c r="AF279" s="4"/>
      <c r="AG279" s="4"/>
      <c r="AH279" s="4"/>
      <c r="AI279" s="4"/>
      <c r="AJ279" s="4"/>
      <c r="AU279" s="3"/>
      <c r="AV279" s="3"/>
      <c r="AW279" s="3"/>
      <c r="AX279" s="3"/>
      <c r="AY279" s="3"/>
      <c r="BN279" s="34"/>
    </row>
    <row r="280" spans="1:66" ht="13" customHeight="1">
      <c r="D280" s="3" t="s">
        <v>632</v>
      </c>
      <c r="E280" s="3"/>
      <c r="F280" s="3"/>
      <c r="G280" s="3"/>
      <c r="H280" s="3"/>
      <c r="I280" s="3"/>
      <c r="L280" s="1488" t="s">
        <v>2659</v>
      </c>
      <c r="M280" s="1488"/>
      <c r="N280" s="1488"/>
      <c r="O280" s="1488"/>
      <c r="P280" s="1488"/>
      <c r="Q280" s="1488"/>
      <c r="R280" s="1488"/>
      <c r="S280" s="1488"/>
      <c r="T280" s="1488"/>
      <c r="U280" s="1488"/>
      <c r="V280" s="1488"/>
      <c r="W280" s="1488"/>
      <c r="X280" s="1488"/>
      <c r="Y280" s="1488"/>
      <c r="Z280" s="1488"/>
      <c r="AA280" s="1488"/>
      <c r="AB280" s="1488"/>
      <c r="AC280" s="1488"/>
      <c r="AD280" s="1488"/>
      <c r="AK280" s="3"/>
      <c r="AL280" s="3"/>
      <c r="AM280" s="3"/>
      <c r="AN280" s="3"/>
      <c r="AO280" s="3"/>
      <c r="AP280" s="3"/>
      <c r="AQ280" s="3"/>
      <c r="AR280" s="3"/>
      <c r="AS280" s="3"/>
      <c r="AT280" s="3"/>
      <c r="BN280" s="34"/>
    </row>
    <row r="281" spans="1:66" ht="13" customHeight="1">
      <c r="L281" s="22" t="s">
        <v>633</v>
      </c>
      <c r="AU281" s="95"/>
      <c r="AV281" s="95"/>
      <c r="AW281" s="95"/>
      <c r="AX281" s="95"/>
      <c r="AY281" s="95"/>
      <c r="BN281" s="34"/>
    </row>
    <row r="282" spans="1:66" ht="13" customHeight="1">
      <c r="A282" s="1654" t="s">
        <v>550</v>
      </c>
      <c r="B282" s="1654"/>
      <c r="C282" s="1654"/>
      <c r="D282" s="1654"/>
      <c r="E282" s="1654"/>
      <c r="F282" s="1654"/>
      <c r="G282" s="1654"/>
      <c r="H282" s="1654"/>
      <c r="I282" s="1654"/>
      <c r="J282" s="1654"/>
      <c r="K282" s="1654"/>
      <c r="L282" s="1654"/>
      <c r="M282" s="1654"/>
      <c r="N282" s="1654"/>
      <c r="O282" s="1654"/>
      <c r="P282" s="1654"/>
      <c r="Q282" s="1654"/>
      <c r="R282" s="1654"/>
      <c r="S282" s="1654"/>
      <c r="T282" s="1654"/>
      <c r="U282" s="1654"/>
      <c r="V282" s="1654"/>
      <c r="W282" s="1654"/>
      <c r="X282" s="1654"/>
      <c r="Y282" s="1654"/>
      <c r="Z282" s="1654"/>
      <c r="AA282" s="1654"/>
      <c r="AB282" s="1654"/>
      <c r="AC282" s="1654"/>
      <c r="AD282" s="1654"/>
      <c r="AE282" s="1654"/>
      <c r="AF282" s="1654"/>
      <c r="AG282" s="1654"/>
      <c r="AH282" s="1654"/>
      <c r="AI282" s="1654"/>
      <c r="AJ282" s="1654"/>
      <c r="AK282" s="1654"/>
      <c r="AL282" s="1654"/>
      <c r="AM282" s="1654"/>
      <c r="AN282" s="1654"/>
      <c r="AO282" s="1654"/>
      <c r="AP282" s="1654"/>
      <c r="AQ282" s="1654"/>
      <c r="AR282" s="1654"/>
      <c r="AS282" s="1654"/>
      <c r="AT282" s="1654"/>
      <c r="AU282" s="95"/>
      <c r="AV282" s="95"/>
      <c r="AW282" s="95"/>
      <c r="AX282" s="95"/>
      <c r="AY282" s="95"/>
      <c r="BN282" s="34"/>
    </row>
    <row r="283" spans="1:66" ht="13" customHeight="1">
      <c r="A283" s="1654"/>
      <c r="B283" s="1654"/>
      <c r="C283" s="1654"/>
      <c r="D283" s="1654"/>
      <c r="E283" s="1654"/>
      <c r="F283" s="1654"/>
      <c r="G283" s="1654"/>
      <c r="H283" s="1654"/>
      <c r="I283" s="1654"/>
      <c r="J283" s="1654"/>
      <c r="K283" s="1654"/>
      <c r="L283" s="1654"/>
      <c r="M283" s="1654"/>
      <c r="N283" s="1654"/>
      <c r="O283" s="1654"/>
      <c r="P283" s="1654"/>
      <c r="Q283" s="1654"/>
      <c r="R283" s="1654"/>
      <c r="S283" s="1654"/>
      <c r="T283" s="1654"/>
      <c r="U283" s="1654"/>
      <c r="V283" s="1654"/>
      <c r="W283" s="1654"/>
      <c r="X283" s="1654"/>
      <c r="Y283" s="1654"/>
      <c r="Z283" s="1654"/>
      <c r="AA283" s="1654"/>
      <c r="AB283" s="1654"/>
      <c r="AC283" s="1654"/>
      <c r="AD283" s="1654"/>
      <c r="AE283" s="1654"/>
      <c r="AF283" s="1654"/>
      <c r="AG283" s="1654"/>
      <c r="AH283" s="1654"/>
      <c r="AI283" s="1654"/>
      <c r="AJ283" s="1654"/>
      <c r="AK283" s="1654"/>
      <c r="AL283" s="1654"/>
      <c r="AM283" s="1654"/>
      <c r="AN283" s="1654"/>
      <c r="AO283" s="1654"/>
      <c r="AP283" s="1654"/>
      <c r="AQ283" s="1654"/>
      <c r="AR283" s="1654"/>
      <c r="AS283" s="1654"/>
      <c r="AT283" s="1654"/>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635</v>
      </c>
      <c r="C287" s="3"/>
      <c r="D287" s="3"/>
      <c r="E287" s="3"/>
      <c r="F287" s="3"/>
      <c r="H287" s="1381" t="s">
        <v>2641</v>
      </c>
      <c r="I287" s="1381"/>
      <c r="J287" s="1381"/>
      <c r="K287" s="1381"/>
      <c r="L287" s="1381"/>
      <c r="M287" s="1381"/>
      <c r="N287" s="1381"/>
      <c r="O287" s="1381"/>
      <c r="P287" s="1381"/>
      <c r="Q287" s="1381"/>
      <c r="R287" s="1381"/>
      <c r="T287" s="3" t="s">
        <v>576</v>
      </c>
      <c r="V287" s="3"/>
      <c r="W287" s="3"/>
      <c r="X287" s="3"/>
      <c r="Y287" s="3"/>
      <c r="AA287" s="1381" t="s">
        <v>2661</v>
      </c>
      <c r="AB287" s="1381"/>
      <c r="AC287" s="1381"/>
      <c r="AD287" s="1381"/>
      <c r="AE287" s="1381"/>
      <c r="AF287" s="1381"/>
      <c r="AG287" s="1381"/>
      <c r="AH287" s="1381"/>
      <c r="AI287" s="1381"/>
      <c r="AJ287" s="1381"/>
      <c r="AK287" s="1381"/>
      <c r="BN287" s="34"/>
    </row>
    <row r="288" spans="1:66" ht="13" customHeight="1">
      <c r="B288" s="3" t="s">
        <v>480</v>
      </c>
      <c r="C288" s="3"/>
      <c r="D288" s="3"/>
      <c r="E288" s="3"/>
      <c r="F288" s="3"/>
      <c r="H288" s="1438" t="str">
        <f>L275</f>
        <v>1015 Saint Joseph Ave</v>
      </c>
      <c r="I288" s="1438"/>
      <c r="J288" s="1438"/>
      <c r="K288" s="1438"/>
      <c r="L288" s="1438"/>
      <c r="M288" s="1438"/>
      <c r="N288" s="1438"/>
      <c r="O288" s="1438"/>
      <c r="P288" s="1438"/>
      <c r="Q288" s="1438"/>
      <c r="R288" s="1438"/>
      <c r="T288" s="3" t="s">
        <v>480</v>
      </c>
      <c r="V288" s="3"/>
      <c r="W288" s="3"/>
      <c r="X288" s="3"/>
      <c r="Y288" s="3"/>
      <c r="AA288" s="1438" t="s">
        <v>2662</v>
      </c>
      <c r="AB288" s="1438"/>
      <c r="AC288" s="1438"/>
      <c r="AD288" s="1438"/>
      <c r="AE288" s="1438"/>
      <c r="AF288" s="1438"/>
      <c r="AG288" s="1438"/>
      <c r="AH288" s="1438"/>
      <c r="AI288" s="1438"/>
      <c r="AJ288" s="1438"/>
      <c r="AK288" s="1438"/>
      <c r="BN288" s="34"/>
    </row>
    <row r="289" spans="2:66" ht="13" customHeight="1">
      <c r="B289" s="3" t="s">
        <v>481</v>
      </c>
      <c r="C289" s="3"/>
      <c r="D289" s="3"/>
      <c r="E289" s="3"/>
      <c r="F289" s="3"/>
      <c r="H289" s="1438" t="s">
        <v>2660</v>
      </c>
      <c r="I289" s="1438"/>
      <c r="J289" s="1438"/>
      <c r="K289" s="1438"/>
      <c r="L289" s="1438"/>
      <c r="M289" s="1438"/>
      <c r="N289" s="1438"/>
      <c r="O289" s="1438"/>
      <c r="P289" s="1438"/>
      <c r="Q289" s="1438"/>
      <c r="R289" s="1438"/>
      <c r="T289" s="3" t="s">
        <v>75</v>
      </c>
      <c r="V289" s="3"/>
      <c r="W289" s="3"/>
      <c r="X289" s="3"/>
      <c r="Y289" s="3"/>
      <c r="AA289" s="1438" t="s">
        <v>2663</v>
      </c>
      <c r="AB289" s="1438"/>
      <c r="AC289" s="1438"/>
      <c r="AD289" s="1438"/>
      <c r="AE289" s="1438"/>
      <c r="AF289" s="1438"/>
      <c r="AG289" s="1438"/>
      <c r="AH289" s="1438"/>
      <c r="AI289" s="1438"/>
      <c r="AJ289" s="1438"/>
      <c r="AK289" s="1438"/>
      <c r="BN289" s="34"/>
    </row>
    <row r="290" spans="2:66" ht="13" customHeight="1">
      <c r="B290" s="3" t="s">
        <v>87</v>
      </c>
      <c r="C290" s="3"/>
      <c r="D290" s="3"/>
      <c r="E290" s="3"/>
      <c r="F290" s="3"/>
      <c r="H290" s="1438" t="str">
        <f>L277</f>
        <v>Punit Bhargava</v>
      </c>
      <c r="I290" s="1438"/>
      <c r="J290" s="1438"/>
      <c r="K290" s="1438"/>
      <c r="L290" s="1438"/>
      <c r="M290" s="1438"/>
      <c r="N290" s="1438"/>
      <c r="O290" s="1438"/>
      <c r="P290" s="1438"/>
      <c r="Q290" s="1438"/>
      <c r="R290" s="1438"/>
      <c r="T290" s="3" t="s">
        <v>87</v>
      </c>
      <c r="V290" s="3"/>
      <c r="W290" s="3"/>
      <c r="X290" s="3"/>
      <c r="Y290" s="3"/>
      <c r="AA290" s="1438" t="s">
        <v>2664</v>
      </c>
      <c r="AB290" s="1438"/>
      <c r="AC290" s="1438"/>
      <c r="AD290" s="1438"/>
      <c r="AE290" s="1438"/>
      <c r="AF290" s="1438"/>
      <c r="AG290" s="1438"/>
      <c r="AH290" s="1438"/>
      <c r="AI290" s="1438"/>
      <c r="AJ290" s="1438"/>
      <c r="AK290" s="1438"/>
      <c r="BN290" s="34"/>
    </row>
    <row r="291" spans="2:66" ht="13" customHeight="1">
      <c r="B291" s="3" t="s">
        <v>88</v>
      </c>
      <c r="C291" s="3"/>
      <c r="D291" s="3"/>
      <c r="E291" s="3"/>
      <c r="F291" s="3"/>
      <c r="G291" s="3"/>
      <c r="H291" s="1490" t="str">
        <f>M236</f>
        <v>408-647-4720</v>
      </c>
      <c r="I291" s="1490"/>
      <c r="J291" s="1490"/>
      <c r="K291" s="1490"/>
      <c r="L291" s="1490"/>
      <c r="M291" s="1490"/>
      <c r="N291" s="4" t="s">
        <v>207</v>
      </c>
      <c r="O291" s="4"/>
      <c r="P291" s="1491"/>
      <c r="Q291" s="1491"/>
      <c r="R291" s="1491"/>
      <c r="S291" s="3"/>
      <c r="T291" s="3" t="s">
        <v>88</v>
      </c>
      <c r="V291" s="3"/>
      <c r="W291" s="3"/>
      <c r="X291" s="3"/>
      <c r="Y291" s="3"/>
      <c r="AA291" s="1490" t="s">
        <v>2665</v>
      </c>
      <c r="AB291" s="1490"/>
      <c r="AC291" s="1490"/>
      <c r="AD291" s="1490"/>
      <c r="AE291" s="1490"/>
      <c r="AF291" s="1490"/>
      <c r="AG291" s="4" t="s">
        <v>207</v>
      </c>
      <c r="AH291" s="4"/>
      <c r="AI291" s="1491"/>
      <c r="AJ291" s="1491"/>
      <c r="AK291" s="1491"/>
      <c r="BN291" s="34"/>
    </row>
    <row r="292" spans="2:66" ht="13" customHeight="1">
      <c r="B292" s="3" t="s">
        <v>89</v>
      </c>
      <c r="C292" s="3"/>
      <c r="D292" s="3"/>
      <c r="E292" s="3"/>
      <c r="F292" s="3"/>
      <c r="G292" s="3"/>
      <c r="H292" s="1493"/>
      <c r="I292" s="1493"/>
      <c r="J292" s="1493"/>
      <c r="K292" s="1493"/>
      <c r="L292" s="1493"/>
      <c r="M292" s="1493"/>
      <c r="N292" s="4"/>
      <c r="O292" s="4"/>
      <c r="P292" s="35"/>
      <c r="Q292" s="35"/>
      <c r="R292" s="35"/>
      <c r="S292" s="3"/>
      <c r="T292" s="3" t="s">
        <v>89</v>
      </c>
      <c r="V292" s="3"/>
      <c r="W292" s="3"/>
      <c r="X292" s="3"/>
      <c r="Y292" s="3"/>
      <c r="AA292" s="1493"/>
      <c r="AB292" s="1493"/>
      <c r="AC292" s="1493"/>
      <c r="AD292" s="1493"/>
      <c r="AE292" s="1493"/>
      <c r="AF292" s="1493"/>
      <c r="AG292" s="4"/>
      <c r="AH292" s="4"/>
      <c r="AI292" s="35"/>
      <c r="AJ292" s="35"/>
      <c r="AK292" s="35"/>
      <c r="BN292" s="34"/>
    </row>
    <row r="293" spans="2:66" ht="13" customHeight="1">
      <c r="B293" s="3" t="s">
        <v>76</v>
      </c>
      <c r="C293" s="3"/>
      <c r="D293" s="3"/>
      <c r="E293" s="3"/>
      <c r="F293" s="3"/>
      <c r="G293" s="3"/>
      <c r="H293" s="1438" t="str">
        <f>$M$237</f>
        <v>macarthur.housing@cshousing.org</v>
      </c>
      <c r="I293" s="1438"/>
      <c r="J293" s="1438"/>
      <c r="K293" s="1438"/>
      <c r="L293" s="1438"/>
      <c r="M293" s="1438"/>
      <c r="N293" s="1381"/>
      <c r="O293" s="1381"/>
      <c r="P293" s="1381"/>
      <c r="Q293" s="1381"/>
      <c r="R293" s="1381"/>
      <c r="S293" s="3"/>
      <c r="T293" s="3" t="s">
        <v>76</v>
      </c>
      <c r="V293" s="3"/>
      <c r="W293" s="3"/>
      <c r="X293" s="3"/>
      <c r="Y293" s="3"/>
      <c r="AA293" s="1438" t="s">
        <v>2666</v>
      </c>
      <c r="AB293" s="1438"/>
      <c r="AC293" s="1438"/>
      <c r="AD293" s="1438"/>
      <c r="AE293" s="1438"/>
      <c r="AF293" s="1438"/>
      <c r="AG293" s="1381"/>
      <c r="AH293" s="1381"/>
      <c r="AI293" s="1381"/>
      <c r="AJ293" s="1381"/>
      <c r="AK293" s="1381"/>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381" t="s">
        <v>2669</v>
      </c>
      <c r="I295" s="1381"/>
      <c r="J295" s="1381"/>
      <c r="K295" s="1381"/>
      <c r="L295" s="1381"/>
      <c r="M295" s="1381"/>
      <c r="N295" s="1381"/>
      <c r="O295" s="1381"/>
      <c r="P295" s="1381"/>
      <c r="Q295" s="1381"/>
      <c r="R295" s="1381"/>
      <c r="T295" s="3" t="s">
        <v>365</v>
      </c>
      <c r="V295" s="3"/>
      <c r="W295" s="3"/>
      <c r="X295" s="3"/>
      <c r="Y295" s="3"/>
      <c r="AA295" s="1381" t="s">
        <v>2667</v>
      </c>
      <c r="AB295" s="1381"/>
      <c r="AC295" s="1381"/>
      <c r="AD295" s="1381"/>
      <c r="AE295" s="1381"/>
      <c r="AF295" s="1381"/>
      <c r="AG295" s="1381"/>
      <c r="AH295" s="1381"/>
      <c r="AI295" s="1381"/>
      <c r="AJ295" s="1381"/>
      <c r="AK295" s="1381"/>
      <c r="BN295" s="34"/>
    </row>
    <row r="296" spans="2:66" ht="13" customHeight="1">
      <c r="B296" s="3" t="s">
        <v>480</v>
      </c>
      <c r="C296" s="3"/>
      <c r="D296" s="3"/>
      <c r="E296" s="3"/>
      <c r="F296" s="3"/>
      <c r="H296" s="1438" t="s">
        <v>2670</v>
      </c>
      <c r="I296" s="1438"/>
      <c r="J296" s="1438"/>
      <c r="K296" s="1438"/>
      <c r="L296" s="1438"/>
      <c r="M296" s="1438"/>
      <c r="N296" s="1438"/>
      <c r="O296" s="1438"/>
      <c r="P296" s="1438"/>
      <c r="Q296" s="1438"/>
      <c r="R296" s="1438"/>
      <c r="T296" s="3" t="s">
        <v>480</v>
      </c>
      <c r="V296" s="3"/>
      <c r="W296" s="3"/>
      <c r="X296" s="3"/>
      <c r="Y296" s="3"/>
      <c r="AA296" s="1438" t="str">
        <f>H288</f>
        <v>1015 Saint Joseph Ave</v>
      </c>
      <c r="AB296" s="1438"/>
      <c r="AC296" s="1438"/>
      <c r="AD296" s="1438"/>
      <c r="AE296" s="1438"/>
      <c r="AF296" s="1438"/>
      <c r="AG296" s="1438"/>
      <c r="AH296" s="1438"/>
      <c r="AI296" s="1438"/>
      <c r="AJ296" s="1438"/>
      <c r="AK296" s="1438"/>
      <c r="BN296" s="34"/>
    </row>
    <row r="297" spans="2:66" ht="13" customHeight="1">
      <c r="B297" s="3" t="s">
        <v>481</v>
      </c>
      <c r="C297" s="3"/>
      <c r="D297" s="3"/>
      <c r="E297" s="3"/>
      <c r="F297" s="3"/>
      <c r="H297" s="1438" t="s">
        <v>2671</v>
      </c>
      <c r="I297" s="1438"/>
      <c r="J297" s="1438"/>
      <c r="K297" s="1438"/>
      <c r="L297" s="1438"/>
      <c r="M297" s="1438"/>
      <c r="N297" s="1438"/>
      <c r="O297" s="1438"/>
      <c r="P297" s="1438"/>
      <c r="Q297" s="1438"/>
      <c r="R297" s="1438"/>
      <c r="T297" s="3" t="s">
        <v>75</v>
      </c>
      <c r="V297" s="3"/>
      <c r="W297" s="3"/>
      <c r="X297" s="3"/>
      <c r="Y297" s="3"/>
      <c r="AA297" s="1438" t="str">
        <f>H289</f>
        <v>Los Altos, CA, 94024</v>
      </c>
      <c r="AB297" s="1438"/>
      <c r="AC297" s="1438"/>
      <c r="AD297" s="1438"/>
      <c r="AE297" s="1438"/>
      <c r="AF297" s="1438"/>
      <c r="AG297" s="1438"/>
      <c r="AH297" s="1438"/>
      <c r="AI297" s="1438"/>
      <c r="AJ297" s="1438"/>
      <c r="AK297" s="1438"/>
      <c r="BN297" s="34"/>
    </row>
    <row r="298" spans="2:66" ht="13" customHeight="1">
      <c r="B298" s="3" t="s">
        <v>87</v>
      </c>
      <c r="C298" s="3"/>
      <c r="D298" s="3"/>
      <c r="E298" s="3"/>
      <c r="F298" s="3"/>
      <c r="H298" s="1438" t="s">
        <v>2672</v>
      </c>
      <c r="I298" s="1438"/>
      <c r="J298" s="1438"/>
      <c r="K298" s="1438"/>
      <c r="L298" s="1438"/>
      <c r="M298" s="1438"/>
      <c r="N298" s="1438"/>
      <c r="O298" s="1438"/>
      <c r="P298" s="1438"/>
      <c r="Q298" s="1438"/>
      <c r="R298" s="1438"/>
      <c r="T298" s="3" t="s">
        <v>87</v>
      </c>
      <c r="V298" s="3"/>
      <c r="W298" s="3"/>
      <c r="X298" s="3"/>
      <c r="Y298" s="3"/>
      <c r="AA298" s="1438" t="s">
        <v>2668</v>
      </c>
      <c r="AB298" s="1438"/>
      <c r="AC298" s="1438"/>
      <c r="AD298" s="1438"/>
      <c r="AE298" s="1438"/>
      <c r="AF298" s="1438"/>
      <c r="AG298" s="1438"/>
      <c r="AH298" s="1438"/>
      <c r="AI298" s="1438"/>
      <c r="AJ298" s="1438"/>
      <c r="AK298" s="1438"/>
      <c r="BN298" s="34"/>
    </row>
    <row r="299" spans="2:66" ht="13" customHeight="1">
      <c r="B299" s="3" t="s">
        <v>88</v>
      </c>
      <c r="C299" s="3"/>
      <c r="D299" s="3"/>
      <c r="E299" s="3"/>
      <c r="F299" s="3"/>
      <c r="G299" s="3"/>
      <c r="H299" s="1490"/>
      <c r="I299" s="1490"/>
      <c r="J299" s="1490"/>
      <c r="K299" s="1490"/>
      <c r="L299" s="1490"/>
      <c r="M299" s="1490"/>
      <c r="N299" s="4" t="s">
        <v>207</v>
      </c>
      <c r="O299" s="4"/>
      <c r="P299" s="1491"/>
      <c r="Q299" s="1491"/>
      <c r="R299" s="1491"/>
      <c r="S299" s="3"/>
      <c r="T299" s="3" t="s">
        <v>88</v>
      </c>
      <c r="V299" s="3"/>
      <c r="W299" s="3"/>
      <c r="X299" s="3"/>
      <c r="Y299" s="3"/>
      <c r="AA299" s="1490" t="str">
        <f>H291</f>
        <v>408-647-4720</v>
      </c>
      <c r="AB299" s="1490"/>
      <c r="AC299" s="1490"/>
      <c r="AD299" s="1490"/>
      <c r="AE299" s="1490"/>
      <c r="AF299" s="1490"/>
      <c r="AG299" s="4" t="s">
        <v>207</v>
      </c>
      <c r="AH299" s="4"/>
      <c r="AI299" s="1491"/>
      <c r="AJ299" s="1491"/>
      <c r="AK299" s="1491"/>
      <c r="BN299" s="34"/>
    </row>
    <row r="300" spans="2:66" ht="13" customHeight="1">
      <c r="B300" s="3" t="s">
        <v>89</v>
      </c>
      <c r="C300" s="3"/>
      <c r="D300" s="3"/>
      <c r="E300" s="3"/>
      <c r="F300" s="3"/>
      <c r="G300" s="3"/>
      <c r="H300" s="1493"/>
      <c r="I300" s="1493"/>
      <c r="J300" s="1493"/>
      <c r="K300" s="1493"/>
      <c r="L300" s="1493"/>
      <c r="M300" s="1493"/>
      <c r="N300" s="4"/>
      <c r="O300" s="4"/>
      <c r="P300" s="35"/>
      <c r="Q300" s="35"/>
      <c r="R300" s="35"/>
      <c r="S300" s="3"/>
      <c r="T300" s="3" t="s">
        <v>89</v>
      </c>
      <c r="V300" s="3"/>
      <c r="W300" s="3"/>
      <c r="X300" s="3"/>
      <c r="Y300" s="3"/>
      <c r="AA300" s="1493"/>
      <c r="AB300" s="1493"/>
      <c r="AC300" s="1493"/>
      <c r="AD300" s="1493"/>
      <c r="AE300" s="1493"/>
      <c r="AF300" s="1493"/>
      <c r="AG300" s="4"/>
      <c r="AH300" s="4"/>
      <c r="AI300" s="35"/>
      <c r="AJ300" s="35"/>
      <c r="AK300" s="35"/>
      <c r="BN300" s="34"/>
    </row>
    <row r="301" spans="2:66" ht="13" customHeight="1">
      <c r="B301" s="3" t="s">
        <v>76</v>
      </c>
      <c r="C301" s="3"/>
      <c r="D301" s="3"/>
      <c r="E301" s="3"/>
      <c r="F301" s="3"/>
      <c r="G301" s="3"/>
      <c r="H301" s="1438" t="s">
        <v>2673</v>
      </c>
      <c r="I301" s="1438"/>
      <c r="J301" s="1438"/>
      <c r="K301" s="1438"/>
      <c r="L301" s="1438"/>
      <c r="M301" s="1438"/>
      <c r="N301" s="1381"/>
      <c r="O301" s="1381"/>
      <c r="P301" s="1381"/>
      <c r="Q301" s="1381"/>
      <c r="R301" s="1381"/>
      <c r="S301" s="3"/>
      <c r="T301" s="3" t="s">
        <v>76</v>
      </c>
      <c r="V301" s="3"/>
      <c r="W301" s="3"/>
      <c r="X301" s="3"/>
      <c r="Y301" s="3"/>
      <c r="AA301" s="1438" t="s">
        <v>2728</v>
      </c>
      <c r="AB301" s="1438"/>
      <c r="AC301" s="1438"/>
      <c r="AD301" s="1438"/>
      <c r="AE301" s="1438"/>
      <c r="AF301" s="1438"/>
      <c r="AG301" s="1381"/>
      <c r="AH301" s="1381"/>
      <c r="AI301" s="1381"/>
      <c r="AJ301" s="1381"/>
      <c r="AK301" s="1381"/>
      <c r="BN301" s="34"/>
    </row>
    <row r="302" spans="2:66" ht="13" customHeight="1">
      <c r="BN302" s="34"/>
    </row>
    <row r="303" spans="2:66" ht="13" customHeight="1">
      <c r="B303" s="3" t="s">
        <v>77</v>
      </c>
      <c r="C303" s="3"/>
      <c r="D303" s="3"/>
      <c r="E303" s="3"/>
      <c r="F303" s="3"/>
      <c r="H303" s="1381" t="s">
        <v>2674</v>
      </c>
      <c r="I303" s="1381"/>
      <c r="J303" s="1381"/>
      <c r="K303" s="1381"/>
      <c r="L303" s="1381"/>
      <c r="M303" s="1381"/>
      <c r="N303" s="1381"/>
      <c r="O303" s="1381"/>
      <c r="P303" s="1381"/>
      <c r="Q303" s="1381"/>
      <c r="R303" s="1381"/>
      <c r="T303" s="4" t="s">
        <v>891</v>
      </c>
      <c r="V303" s="3"/>
      <c r="W303" s="3"/>
      <c r="X303" s="3"/>
      <c r="Y303" s="3"/>
      <c r="AA303" s="1381" t="s">
        <v>2679</v>
      </c>
      <c r="AB303" s="1381"/>
      <c r="AC303" s="1381"/>
      <c r="AD303" s="1381"/>
      <c r="AE303" s="1381"/>
      <c r="AF303" s="1381"/>
      <c r="AG303" s="1381"/>
      <c r="AH303" s="1381"/>
      <c r="AI303" s="1381"/>
      <c r="AJ303" s="1381"/>
      <c r="AK303" s="1381"/>
      <c r="BN303" s="34"/>
    </row>
    <row r="304" spans="2:66" ht="13" customHeight="1">
      <c r="B304" s="3" t="s">
        <v>480</v>
      </c>
      <c r="C304" s="3"/>
      <c r="D304" s="3"/>
      <c r="E304" s="3"/>
      <c r="F304" s="3"/>
      <c r="H304" s="1438" t="s">
        <v>2675</v>
      </c>
      <c r="I304" s="1438"/>
      <c r="J304" s="1438"/>
      <c r="K304" s="1438"/>
      <c r="L304" s="1438"/>
      <c r="M304" s="1438"/>
      <c r="N304" s="1438"/>
      <c r="O304" s="1438"/>
      <c r="P304" s="1438"/>
      <c r="Q304" s="1438"/>
      <c r="R304" s="1438"/>
      <c r="T304" s="3" t="s">
        <v>480</v>
      </c>
      <c r="V304" s="3"/>
      <c r="W304" s="3"/>
      <c r="X304" s="3"/>
      <c r="Y304" s="3"/>
      <c r="AA304" s="1438" t="s">
        <v>2680</v>
      </c>
      <c r="AB304" s="1438"/>
      <c r="AC304" s="1438"/>
      <c r="AD304" s="1438"/>
      <c r="AE304" s="1438"/>
      <c r="AF304" s="1438"/>
      <c r="AG304" s="1438"/>
      <c r="AH304" s="1438"/>
      <c r="AI304" s="1438"/>
      <c r="AJ304" s="1438"/>
      <c r="AK304" s="1438"/>
      <c r="BN304" s="34"/>
    </row>
    <row r="305" spans="2:66" ht="13" customHeight="1">
      <c r="B305" s="3" t="s">
        <v>481</v>
      </c>
      <c r="C305" s="3"/>
      <c r="D305" s="3"/>
      <c r="E305" s="3"/>
      <c r="F305" s="3"/>
      <c r="H305" s="1438" t="s">
        <v>2676</v>
      </c>
      <c r="I305" s="1438"/>
      <c r="J305" s="1438"/>
      <c r="K305" s="1438"/>
      <c r="L305" s="1438"/>
      <c r="M305" s="1438"/>
      <c r="N305" s="1438"/>
      <c r="O305" s="1438"/>
      <c r="P305" s="1438"/>
      <c r="Q305" s="1438"/>
      <c r="R305" s="1438"/>
      <c r="T305" s="3" t="s">
        <v>75</v>
      </c>
      <c r="V305" s="3"/>
      <c r="W305" s="3"/>
      <c r="X305" s="3"/>
      <c r="Y305" s="3"/>
      <c r="AA305" s="1438" t="s">
        <v>2681</v>
      </c>
      <c r="AB305" s="1438"/>
      <c r="AC305" s="1438"/>
      <c r="AD305" s="1438"/>
      <c r="AE305" s="1438"/>
      <c r="AF305" s="1438"/>
      <c r="AG305" s="1438"/>
      <c r="AH305" s="1438"/>
      <c r="AI305" s="1438"/>
      <c r="AJ305" s="1438"/>
      <c r="AK305" s="1438"/>
      <c r="BN305" s="34"/>
    </row>
    <row r="306" spans="2:66" ht="13" customHeight="1">
      <c r="B306" s="3" t="s">
        <v>87</v>
      </c>
      <c r="C306" s="3"/>
      <c r="D306" s="3"/>
      <c r="E306" s="3"/>
      <c r="F306" s="3"/>
      <c r="H306" s="1438" t="s">
        <v>2677</v>
      </c>
      <c r="I306" s="1438"/>
      <c r="J306" s="1438"/>
      <c r="K306" s="1438"/>
      <c r="L306" s="1438"/>
      <c r="M306" s="1438"/>
      <c r="N306" s="1438"/>
      <c r="O306" s="1438"/>
      <c r="P306" s="1438"/>
      <c r="Q306" s="1438"/>
      <c r="R306" s="1438"/>
      <c r="T306" s="3" t="s">
        <v>87</v>
      </c>
      <c r="V306" s="3"/>
      <c r="W306" s="3"/>
      <c r="X306" s="3"/>
      <c r="Y306" s="3"/>
      <c r="AA306" s="1438" t="s">
        <v>2682</v>
      </c>
      <c r="AB306" s="1438"/>
      <c r="AC306" s="1438"/>
      <c r="AD306" s="1438"/>
      <c r="AE306" s="1438"/>
      <c r="AF306" s="1438"/>
      <c r="AG306" s="1438"/>
      <c r="AH306" s="1438"/>
      <c r="AI306" s="1438"/>
      <c r="AJ306" s="1438"/>
      <c r="AK306" s="1438"/>
      <c r="BN306" s="34"/>
    </row>
    <row r="307" spans="2:66" ht="13" customHeight="1">
      <c r="B307" s="3" t="s">
        <v>88</v>
      </c>
      <c r="C307" s="3"/>
      <c r="D307" s="3"/>
      <c r="E307" s="3"/>
      <c r="F307" s="3"/>
      <c r="G307" s="3"/>
      <c r="H307" s="1490" t="s">
        <v>2686</v>
      </c>
      <c r="I307" s="1490"/>
      <c r="J307" s="1490"/>
      <c r="K307" s="1490"/>
      <c r="L307" s="1490"/>
      <c r="M307" s="1490"/>
      <c r="N307" s="4" t="s">
        <v>207</v>
      </c>
      <c r="O307" s="4"/>
      <c r="P307" s="1491"/>
      <c r="Q307" s="1491"/>
      <c r="R307" s="1491"/>
      <c r="S307" s="3"/>
      <c r="T307" s="3" t="s">
        <v>88</v>
      </c>
      <c r="V307" s="3"/>
      <c r="W307" s="3"/>
      <c r="X307" s="3"/>
      <c r="Y307" s="3"/>
      <c r="AA307" s="1490" t="s">
        <v>2683</v>
      </c>
      <c r="AB307" s="1490"/>
      <c r="AC307" s="1490"/>
      <c r="AD307" s="1490"/>
      <c r="AE307" s="1490"/>
      <c r="AF307" s="1490"/>
      <c r="AG307" s="4" t="s">
        <v>207</v>
      </c>
      <c r="AH307" s="4"/>
      <c r="AI307" s="1491"/>
      <c r="AJ307" s="1491"/>
      <c r="AK307" s="1491"/>
      <c r="BN307" s="34"/>
    </row>
    <row r="308" spans="2:66" ht="13" customHeight="1">
      <c r="B308" s="3" t="s">
        <v>89</v>
      </c>
      <c r="C308" s="3"/>
      <c r="D308" s="3"/>
      <c r="E308" s="3"/>
      <c r="F308" s="3"/>
      <c r="G308" s="3"/>
      <c r="H308" s="1493"/>
      <c r="I308" s="1493"/>
      <c r="J308" s="1493"/>
      <c r="K308" s="1493"/>
      <c r="L308" s="1493"/>
      <c r="M308" s="1493"/>
      <c r="N308" s="4"/>
      <c r="O308" s="4"/>
      <c r="P308" s="35"/>
      <c r="Q308" s="35"/>
      <c r="R308" s="35"/>
      <c r="S308" s="3"/>
      <c r="T308" s="3" t="s">
        <v>89</v>
      </c>
      <c r="V308" s="3"/>
      <c r="W308" s="3"/>
      <c r="X308" s="3"/>
      <c r="Y308" s="3"/>
      <c r="AA308" s="1493" t="s">
        <v>2684</v>
      </c>
      <c r="AB308" s="1493"/>
      <c r="AC308" s="1493"/>
      <c r="AD308" s="1493"/>
      <c r="AE308" s="1493"/>
      <c r="AF308" s="1493"/>
      <c r="AG308" s="4"/>
      <c r="AH308" s="4"/>
      <c r="AI308" s="35"/>
      <c r="AJ308" s="35"/>
      <c r="AK308" s="35"/>
      <c r="BN308" s="34"/>
    </row>
    <row r="309" spans="2:66" ht="13" customHeight="1">
      <c r="B309" s="3" t="s">
        <v>76</v>
      </c>
      <c r="C309" s="3"/>
      <c r="D309" s="3"/>
      <c r="E309" s="3"/>
      <c r="F309" s="3"/>
      <c r="G309" s="3"/>
      <c r="H309" s="1438" t="s">
        <v>2678</v>
      </c>
      <c r="I309" s="1438"/>
      <c r="J309" s="1438"/>
      <c r="K309" s="1438"/>
      <c r="L309" s="1438"/>
      <c r="M309" s="1438"/>
      <c r="N309" s="1381"/>
      <c r="O309" s="1381"/>
      <c r="P309" s="1381"/>
      <c r="Q309" s="1381"/>
      <c r="R309" s="1381"/>
      <c r="S309" s="3"/>
      <c r="T309" s="3" t="s">
        <v>76</v>
      </c>
      <c r="V309" s="3"/>
      <c r="W309" s="3"/>
      <c r="X309" s="3"/>
      <c r="Y309" s="3"/>
      <c r="AA309" s="1438" t="s">
        <v>2685</v>
      </c>
      <c r="AB309" s="1438"/>
      <c r="AC309" s="1438"/>
      <c r="AD309" s="1438"/>
      <c r="AE309" s="1438"/>
      <c r="AF309" s="1438"/>
      <c r="AG309" s="1381"/>
      <c r="AH309" s="1381"/>
      <c r="AI309" s="1381"/>
      <c r="AJ309" s="1381"/>
      <c r="AK309" s="1381"/>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923</v>
      </c>
      <c r="C311" s="3"/>
      <c r="D311" s="3"/>
      <c r="E311" s="3"/>
      <c r="F311" s="3"/>
      <c r="H311" s="1381" t="s">
        <v>2674</v>
      </c>
      <c r="I311" s="1381"/>
      <c r="J311" s="1381"/>
      <c r="K311" s="1381"/>
      <c r="L311" s="1381"/>
      <c r="M311" s="1381"/>
      <c r="N311" s="1381"/>
      <c r="O311" s="1381"/>
      <c r="P311" s="1381"/>
      <c r="Q311" s="1381"/>
      <c r="R311" s="1381"/>
      <c r="S311" s="3"/>
      <c r="T311" s="3" t="s">
        <v>366</v>
      </c>
      <c r="V311" s="3"/>
      <c r="W311" s="3"/>
      <c r="X311" s="3"/>
      <c r="Y311" s="3"/>
      <c r="AA311" s="1381" t="s">
        <v>2701</v>
      </c>
      <c r="AB311" s="1381"/>
      <c r="AC311" s="1381"/>
      <c r="AD311" s="1381"/>
      <c r="AE311" s="1381"/>
      <c r="AF311" s="1381"/>
      <c r="AG311" s="1381"/>
      <c r="AH311" s="1381"/>
      <c r="AI311" s="1381"/>
      <c r="AJ311" s="1381"/>
      <c r="AK311" s="1381"/>
      <c r="BN311" s="34"/>
    </row>
    <row r="312" spans="2:66" ht="13" customHeight="1">
      <c r="B312" s="3" t="s">
        <v>480</v>
      </c>
      <c r="C312" s="3"/>
      <c r="D312" s="3"/>
      <c r="E312" s="3"/>
      <c r="F312" s="3"/>
      <c r="H312" s="1438" t="s">
        <v>2675</v>
      </c>
      <c r="I312" s="1438"/>
      <c r="J312" s="1438"/>
      <c r="K312" s="1438"/>
      <c r="L312" s="1438"/>
      <c r="M312" s="1438"/>
      <c r="N312" s="1438"/>
      <c r="O312" s="1438"/>
      <c r="P312" s="1438"/>
      <c r="Q312" s="1438"/>
      <c r="R312" s="1438"/>
      <c r="S312" s="3"/>
      <c r="T312" s="3" t="s">
        <v>480</v>
      </c>
      <c r="V312" s="3"/>
      <c r="W312" s="3"/>
      <c r="X312" s="3"/>
      <c r="Y312" s="3"/>
      <c r="AA312" s="1438"/>
      <c r="AB312" s="1438"/>
      <c r="AC312" s="1438"/>
      <c r="AD312" s="1438"/>
      <c r="AE312" s="1438"/>
      <c r="AF312" s="1438"/>
      <c r="AG312" s="1438"/>
      <c r="AH312" s="1438"/>
      <c r="AI312" s="1438"/>
      <c r="AJ312" s="1438"/>
      <c r="AK312" s="1438"/>
      <c r="BN312" s="34"/>
    </row>
    <row r="313" spans="2:66" ht="13" customHeight="1">
      <c r="B313" s="3" t="s">
        <v>481</v>
      </c>
      <c r="C313" s="3"/>
      <c r="D313" s="3"/>
      <c r="E313" s="3"/>
      <c r="F313" s="3"/>
      <c r="H313" s="1438" t="s">
        <v>2676</v>
      </c>
      <c r="I313" s="1438"/>
      <c r="J313" s="1438"/>
      <c r="K313" s="1438"/>
      <c r="L313" s="1438"/>
      <c r="M313" s="1438"/>
      <c r="N313" s="1438"/>
      <c r="O313" s="1438"/>
      <c r="P313" s="1438"/>
      <c r="Q313" s="1438"/>
      <c r="R313" s="1438"/>
      <c r="S313" s="3"/>
      <c r="T313" s="3" t="s">
        <v>75</v>
      </c>
      <c r="V313" s="3"/>
      <c r="W313" s="3"/>
      <c r="X313" s="3"/>
      <c r="Y313" s="3"/>
      <c r="AA313" s="1438"/>
      <c r="AB313" s="1438"/>
      <c r="AC313" s="1438"/>
      <c r="AD313" s="1438"/>
      <c r="AE313" s="1438"/>
      <c r="AF313" s="1438"/>
      <c r="AG313" s="1438"/>
      <c r="AH313" s="1438"/>
      <c r="AI313" s="1438"/>
      <c r="AJ313" s="1438"/>
      <c r="AK313" s="1438"/>
      <c r="BN313" s="34"/>
    </row>
    <row r="314" spans="2:66" ht="13" customHeight="1">
      <c r="B314" s="3" t="s">
        <v>87</v>
      </c>
      <c r="C314" s="3"/>
      <c r="D314" s="3"/>
      <c r="E314" s="3"/>
      <c r="F314" s="3"/>
      <c r="H314" s="1438" t="s">
        <v>2677</v>
      </c>
      <c r="I314" s="1438"/>
      <c r="J314" s="1438"/>
      <c r="K314" s="1438"/>
      <c r="L314" s="1438"/>
      <c r="M314" s="1438"/>
      <c r="N314" s="1438"/>
      <c r="O314" s="1438"/>
      <c r="P314" s="1438"/>
      <c r="Q314" s="1438"/>
      <c r="R314" s="1438"/>
      <c r="S314" s="3"/>
      <c r="T314" s="3" t="s">
        <v>87</v>
      </c>
      <c r="V314" s="3"/>
      <c r="W314" s="3"/>
      <c r="X314" s="3"/>
      <c r="Y314" s="3"/>
      <c r="AA314" s="1438"/>
      <c r="AB314" s="1438"/>
      <c r="AC314" s="1438"/>
      <c r="AD314" s="1438"/>
      <c r="AE314" s="1438"/>
      <c r="AF314" s="1438"/>
      <c r="AG314" s="1438"/>
      <c r="AH314" s="1438"/>
      <c r="AI314" s="1438"/>
      <c r="AJ314" s="1438"/>
      <c r="AK314" s="1438"/>
      <c r="BN314" s="34"/>
    </row>
    <row r="315" spans="2:66" ht="13" customHeight="1">
      <c r="B315" s="3" t="s">
        <v>88</v>
      </c>
      <c r="C315" s="3"/>
      <c r="D315" s="3"/>
      <c r="E315" s="3"/>
      <c r="F315" s="3"/>
      <c r="G315" s="3"/>
      <c r="H315" s="1490" t="s">
        <v>2686</v>
      </c>
      <c r="I315" s="1490"/>
      <c r="J315" s="1490"/>
      <c r="K315" s="1490"/>
      <c r="L315" s="1490"/>
      <c r="M315" s="1490"/>
      <c r="N315" s="4" t="s">
        <v>207</v>
      </c>
      <c r="O315" s="4"/>
      <c r="P315" s="1491"/>
      <c r="Q315" s="1491"/>
      <c r="R315" s="1491"/>
      <c r="S315" s="3"/>
      <c r="T315" s="3" t="s">
        <v>88</v>
      </c>
      <c r="V315" s="3"/>
      <c r="W315" s="3"/>
      <c r="X315" s="3"/>
      <c r="Y315" s="3"/>
      <c r="AA315" s="1490"/>
      <c r="AB315" s="1490"/>
      <c r="AC315" s="1490"/>
      <c r="AD315" s="1490"/>
      <c r="AE315" s="1490"/>
      <c r="AF315" s="1490"/>
      <c r="AG315" s="4" t="s">
        <v>207</v>
      </c>
      <c r="AH315" s="4"/>
      <c r="AI315" s="1491"/>
      <c r="AJ315" s="1491"/>
      <c r="AK315" s="1491"/>
      <c r="BN315" s="34"/>
    </row>
    <row r="316" spans="2:66" ht="13" customHeight="1">
      <c r="B316" s="3" t="s">
        <v>89</v>
      </c>
      <c r="C316" s="3"/>
      <c r="D316" s="3"/>
      <c r="E316" s="3"/>
      <c r="F316" s="3"/>
      <c r="G316" s="3"/>
      <c r="H316" s="1493"/>
      <c r="I316" s="1493"/>
      <c r="J316" s="1493"/>
      <c r="K316" s="1493"/>
      <c r="L316" s="1493"/>
      <c r="M316" s="1493"/>
      <c r="N316" s="4"/>
      <c r="O316" s="4"/>
      <c r="P316" s="35"/>
      <c r="Q316" s="35"/>
      <c r="R316" s="35"/>
      <c r="S316" s="3"/>
      <c r="T316" s="3" t="s">
        <v>89</v>
      </c>
      <c r="V316" s="3"/>
      <c r="W316" s="3"/>
      <c r="X316" s="3"/>
      <c r="Y316" s="3"/>
      <c r="AA316" s="1493"/>
      <c r="AB316" s="1493"/>
      <c r="AC316" s="1493"/>
      <c r="AD316" s="1493"/>
      <c r="AE316" s="1493"/>
      <c r="AF316" s="1493"/>
      <c r="AG316" s="4"/>
      <c r="AH316" s="4"/>
      <c r="AI316" s="35"/>
      <c r="AJ316" s="35"/>
      <c r="AK316" s="35"/>
      <c r="BN316" s="34"/>
    </row>
    <row r="317" spans="2:66" ht="13" customHeight="1">
      <c r="B317" s="3" t="s">
        <v>76</v>
      </c>
      <c r="C317" s="3"/>
      <c r="D317" s="3"/>
      <c r="E317" s="3"/>
      <c r="F317" s="3"/>
      <c r="G317" s="3"/>
      <c r="H317" s="1438" t="s">
        <v>2678</v>
      </c>
      <c r="I317" s="1438"/>
      <c r="J317" s="1438"/>
      <c r="K317" s="1438"/>
      <c r="L317" s="1438"/>
      <c r="M317" s="1438"/>
      <c r="N317" s="1381"/>
      <c r="O317" s="1381"/>
      <c r="P317" s="1381"/>
      <c r="Q317" s="1381"/>
      <c r="R317" s="1381"/>
      <c r="S317" s="3"/>
      <c r="T317" s="3" t="s">
        <v>76</v>
      </c>
      <c r="V317" s="3"/>
      <c r="W317" s="3"/>
      <c r="X317" s="3"/>
      <c r="Y317" s="3"/>
      <c r="AA317" s="1438"/>
      <c r="AB317" s="1438"/>
      <c r="AC317" s="1438"/>
      <c r="AD317" s="1438"/>
      <c r="AE317" s="1438"/>
      <c r="AF317" s="1438"/>
      <c r="AG317" s="1381"/>
      <c r="AH317" s="1381"/>
      <c r="AI317" s="1381"/>
      <c r="AJ317" s="1381"/>
      <c r="AK317" s="1381"/>
      <c r="BN317" s="34"/>
    </row>
    <row r="318" spans="2:66" ht="13" customHeight="1">
      <c r="BN318" s="34"/>
    </row>
    <row r="319" spans="2:66" ht="13" customHeight="1">
      <c r="B319" s="4" t="s">
        <v>924</v>
      </c>
      <c r="C319" s="3"/>
      <c r="D319" s="3"/>
      <c r="E319" s="3"/>
      <c r="F319" s="3"/>
      <c r="H319" s="1489"/>
      <c r="I319" s="1381"/>
      <c r="J319" s="1381"/>
      <c r="K319" s="1381"/>
      <c r="L319" s="1381"/>
      <c r="M319" s="1381"/>
      <c r="N319" s="1381"/>
      <c r="O319" s="1381"/>
      <c r="P319" s="1381"/>
      <c r="Q319" s="1381"/>
      <c r="R319" s="1381"/>
      <c r="T319" s="3" t="s">
        <v>367</v>
      </c>
      <c r="V319" s="3"/>
      <c r="W319" s="3"/>
      <c r="X319" s="3"/>
      <c r="Y319" s="3"/>
      <c r="AA319" s="1489" t="s">
        <v>2729</v>
      </c>
      <c r="AB319" s="1381"/>
      <c r="AC319" s="1381"/>
      <c r="AD319" s="1381"/>
      <c r="AE319" s="1381"/>
      <c r="AF319" s="1381"/>
      <c r="AG319" s="1381"/>
      <c r="AH319" s="1381"/>
      <c r="AI319" s="1381"/>
      <c r="AJ319" s="1381"/>
      <c r="AK319" s="1381"/>
      <c r="BN319" s="34"/>
    </row>
    <row r="320" spans="2:66" ht="13" customHeight="1">
      <c r="B320" s="3" t="s">
        <v>480</v>
      </c>
      <c r="C320" s="3"/>
      <c r="D320" s="3"/>
      <c r="E320" s="3"/>
      <c r="F320" s="3"/>
      <c r="H320" s="1488"/>
      <c r="I320" s="1438"/>
      <c r="J320" s="1438"/>
      <c r="K320" s="1438"/>
      <c r="L320" s="1438"/>
      <c r="M320" s="1438"/>
      <c r="N320" s="1438"/>
      <c r="O320" s="1438"/>
      <c r="P320" s="1438"/>
      <c r="Q320" s="1438"/>
      <c r="R320" s="1438"/>
      <c r="T320" s="3" t="s">
        <v>480</v>
      </c>
      <c r="V320" s="3"/>
      <c r="W320" s="3"/>
      <c r="X320" s="3"/>
      <c r="Y320" s="3"/>
      <c r="AA320" s="1488" t="s">
        <v>2730</v>
      </c>
      <c r="AB320" s="1438"/>
      <c r="AC320" s="1438"/>
      <c r="AD320" s="1438"/>
      <c r="AE320" s="1438"/>
      <c r="AF320" s="1438"/>
      <c r="AG320" s="1438"/>
      <c r="AH320" s="1438"/>
      <c r="AI320" s="1438"/>
      <c r="AJ320" s="1438"/>
      <c r="AK320" s="1438"/>
      <c r="BN320" s="34"/>
    </row>
    <row r="321" spans="2:66" ht="13" customHeight="1">
      <c r="B321" s="3" t="s">
        <v>481</v>
      </c>
      <c r="C321" s="3"/>
      <c r="D321" s="3"/>
      <c r="E321" s="3"/>
      <c r="F321" s="3"/>
      <c r="H321" s="1488"/>
      <c r="I321" s="1438"/>
      <c r="J321" s="1438"/>
      <c r="K321" s="1438"/>
      <c r="L321" s="1438"/>
      <c r="M321" s="1438"/>
      <c r="N321" s="1438"/>
      <c r="O321" s="1438"/>
      <c r="P321" s="1438"/>
      <c r="Q321" s="1438"/>
      <c r="R321" s="1438"/>
      <c r="T321" s="3" t="s">
        <v>75</v>
      </c>
      <c r="V321" s="3"/>
      <c r="W321" s="3"/>
      <c r="X321" s="3"/>
      <c r="Y321" s="3"/>
      <c r="AA321" s="1488" t="s">
        <v>2731</v>
      </c>
      <c r="AB321" s="1438"/>
      <c r="AC321" s="1438"/>
      <c r="AD321" s="1438"/>
      <c r="AE321" s="1438"/>
      <c r="AF321" s="1438"/>
      <c r="AG321" s="1438"/>
      <c r="AH321" s="1438"/>
      <c r="AI321" s="1438"/>
      <c r="AJ321" s="1438"/>
      <c r="AK321" s="1438"/>
      <c r="BN321" s="34"/>
    </row>
    <row r="322" spans="2:66" ht="13" customHeight="1">
      <c r="B322" s="3" t="s">
        <v>87</v>
      </c>
      <c r="C322" s="3"/>
      <c r="D322" s="3"/>
      <c r="E322" s="3"/>
      <c r="F322" s="3"/>
      <c r="H322" s="1488"/>
      <c r="I322" s="1438"/>
      <c r="J322" s="1438"/>
      <c r="K322" s="1438"/>
      <c r="L322" s="1438"/>
      <c r="M322" s="1438"/>
      <c r="N322" s="1438"/>
      <c r="O322" s="1438"/>
      <c r="P322" s="1438"/>
      <c r="Q322" s="1438"/>
      <c r="R322" s="1438"/>
      <c r="T322" s="3" t="s">
        <v>87</v>
      </c>
      <c r="V322" s="3"/>
      <c r="W322" s="3"/>
      <c r="X322" s="3"/>
      <c r="Y322" s="3"/>
      <c r="AA322" s="1488" t="s">
        <v>2732</v>
      </c>
      <c r="AB322" s="1438"/>
      <c r="AC322" s="1438"/>
      <c r="AD322" s="1438"/>
      <c r="AE322" s="1438"/>
      <c r="AF322" s="1438"/>
      <c r="AG322" s="1438"/>
      <c r="AH322" s="1438"/>
      <c r="AI322" s="1438"/>
      <c r="AJ322" s="1438"/>
      <c r="AK322" s="1438"/>
      <c r="BN322" s="34"/>
    </row>
    <row r="323" spans="2:66" ht="13" customHeight="1">
      <c r="B323" s="3" t="s">
        <v>88</v>
      </c>
      <c r="C323" s="3"/>
      <c r="D323" s="3"/>
      <c r="E323" s="3"/>
      <c r="F323" s="3"/>
      <c r="G323" s="3"/>
      <c r="H323" s="1535"/>
      <c r="I323" s="1490"/>
      <c r="J323" s="1490"/>
      <c r="K323" s="1490"/>
      <c r="L323" s="1490"/>
      <c r="M323" s="1490"/>
      <c r="N323" s="4" t="s">
        <v>207</v>
      </c>
      <c r="O323" s="4"/>
      <c r="P323" s="1491"/>
      <c r="Q323" s="1491"/>
      <c r="R323" s="1491"/>
      <c r="S323" s="3"/>
      <c r="T323" s="3" t="s">
        <v>88</v>
      </c>
      <c r="V323" s="3"/>
      <c r="W323" s="3"/>
      <c r="X323" s="3"/>
      <c r="Y323" s="3"/>
      <c r="AA323" s="1535" t="s">
        <v>2739</v>
      </c>
      <c r="AB323" s="1490"/>
      <c r="AC323" s="1490"/>
      <c r="AD323" s="1490"/>
      <c r="AE323" s="1490"/>
      <c r="AF323" s="1490"/>
      <c r="AG323" s="4" t="s">
        <v>207</v>
      </c>
      <c r="AH323" s="4"/>
      <c r="AI323" s="1491"/>
      <c r="AJ323" s="1491"/>
      <c r="AK323" s="1491"/>
    </row>
    <row r="324" spans="2:66" ht="13" customHeight="1">
      <c r="B324" s="3" t="s">
        <v>89</v>
      </c>
      <c r="C324" s="3"/>
      <c r="D324" s="3"/>
      <c r="E324" s="3"/>
      <c r="F324" s="3"/>
      <c r="G324" s="3"/>
      <c r="H324" s="1493"/>
      <c r="I324" s="1493"/>
      <c r="J324" s="1493"/>
      <c r="K324" s="1493"/>
      <c r="L324" s="1493"/>
      <c r="M324" s="1493"/>
      <c r="N324" s="4"/>
      <c r="O324" s="4"/>
      <c r="P324" s="35"/>
      <c r="Q324" s="35"/>
      <c r="R324" s="35"/>
      <c r="S324" s="3"/>
      <c r="T324" s="3" t="s">
        <v>89</v>
      </c>
      <c r="V324" s="3"/>
      <c r="W324" s="3"/>
      <c r="X324" s="3"/>
      <c r="Y324" s="3"/>
      <c r="AA324" s="1493"/>
      <c r="AB324" s="1493"/>
      <c r="AC324" s="1493"/>
      <c r="AD324" s="1493"/>
      <c r="AE324" s="1493"/>
      <c r="AF324" s="1493"/>
      <c r="AG324" s="4"/>
      <c r="AH324" s="4"/>
      <c r="AI324" s="35"/>
      <c r="AJ324" s="35"/>
      <c r="AK324" s="35"/>
    </row>
    <row r="325" spans="2:66" ht="13" customHeight="1">
      <c r="B325" s="3" t="s">
        <v>76</v>
      </c>
      <c r="C325" s="3"/>
      <c r="D325" s="3"/>
      <c r="E325" s="3"/>
      <c r="F325" s="3"/>
      <c r="G325" s="3"/>
      <c r="H325" s="1488"/>
      <c r="I325" s="1438"/>
      <c r="J325" s="1438"/>
      <c r="K325" s="1438"/>
      <c r="L325" s="1438"/>
      <c r="M325" s="1438"/>
      <c r="N325" s="1381"/>
      <c r="O325" s="1381"/>
      <c r="P325" s="1381"/>
      <c r="Q325" s="1381"/>
      <c r="R325" s="1381"/>
      <c r="S325" s="3"/>
      <c r="T325" s="3" t="s">
        <v>76</v>
      </c>
      <c r="V325" s="3"/>
      <c r="W325" s="3"/>
      <c r="X325" s="3"/>
      <c r="Y325" s="3"/>
      <c r="AA325" s="1488" t="s">
        <v>2733</v>
      </c>
      <c r="AB325" s="1438"/>
      <c r="AC325" s="1438"/>
      <c r="AD325" s="1438"/>
      <c r="AE325" s="1438"/>
      <c r="AF325" s="1438"/>
      <c r="AG325" s="1381"/>
      <c r="AH325" s="1381"/>
      <c r="AI325" s="1381"/>
      <c r="AJ325" s="1381"/>
      <c r="AK325" s="1381"/>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489" t="s">
        <v>2734</v>
      </c>
      <c r="I327" s="1381"/>
      <c r="J327" s="1381"/>
      <c r="K327" s="1381"/>
      <c r="L327" s="1381"/>
      <c r="M327" s="1381"/>
      <c r="N327" s="1381"/>
      <c r="O327" s="1381"/>
      <c r="P327" s="1381"/>
      <c r="Q327" s="1381"/>
      <c r="R327" s="1381"/>
      <c r="T327" s="3" t="s">
        <v>369</v>
      </c>
      <c r="V327" s="3"/>
      <c r="W327" s="3"/>
      <c r="X327" s="3"/>
      <c r="Y327" s="3"/>
      <c r="AA327" s="1381" t="s">
        <v>2700</v>
      </c>
      <c r="AB327" s="1381"/>
      <c r="AC327" s="1381"/>
      <c r="AD327" s="1381"/>
      <c r="AE327" s="1381"/>
      <c r="AF327" s="1381"/>
      <c r="AG327" s="1381"/>
      <c r="AH327" s="1381"/>
      <c r="AI327" s="1381"/>
      <c r="AJ327" s="1381"/>
      <c r="AK327" s="1381"/>
    </row>
    <row r="328" spans="2:66" ht="13" customHeight="1">
      <c r="B328" s="3" t="s">
        <v>480</v>
      </c>
      <c r="C328" s="3"/>
      <c r="D328" s="3"/>
      <c r="E328" s="3"/>
      <c r="F328" s="3"/>
      <c r="H328" s="1508" t="s">
        <v>2736</v>
      </c>
      <c r="I328" s="1438"/>
      <c r="J328" s="1438"/>
      <c r="K328" s="1438"/>
      <c r="L328" s="1438"/>
      <c r="M328" s="1438"/>
      <c r="N328" s="1438"/>
      <c r="O328" s="1438"/>
      <c r="P328" s="1438"/>
      <c r="Q328" s="1438"/>
      <c r="R328" s="1438"/>
      <c r="T328" s="3" t="s">
        <v>480</v>
      </c>
      <c r="V328" s="3"/>
      <c r="W328" s="3"/>
      <c r="X328" s="3"/>
      <c r="Y328" s="3"/>
      <c r="AA328" s="1438"/>
      <c r="AB328" s="1438"/>
      <c r="AC328" s="1438"/>
      <c r="AD328" s="1438"/>
      <c r="AE328" s="1438"/>
      <c r="AF328" s="1438"/>
      <c r="AG328" s="1438"/>
      <c r="AH328" s="1438"/>
      <c r="AI328" s="1438"/>
      <c r="AJ328" s="1438"/>
      <c r="AK328" s="1438"/>
    </row>
    <row r="329" spans="2:66" ht="13" customHeight="1">
      <c r="B329" s="3" t="s">
        <v>481</v>
      </c>
      <c r="C329" s="3"/>
      <c r="D329" s="3"/>
      <c r="E329" s="3"/>
      <c r="F329" s="3"/>
      <c r="H329" s="1488" t="s">
        <v>2735</v>
      </c>
      <c r="I329" s="1438"/>
      <c r="J329" s="1438"/>
      <c r="K329" s="1438"/>
      <c r="L329" s="1438"/>
      <c r="M329" s="1438"/>
      <c r="N329" s="1438"/>
      <c r="O329" s="1438"/>
      <c r="P329" s="1438"/>
      <c r="Q329" s="1438"/>
      <c r="R329" s="1438"/>
      <c r="T329" s="3" t="s">
        <v>75</v>
      </c>
      <c r="V329" s="3"/>
      <c r="W329" s="3"/>
      <c r="X329" s="3"/>
      <c r="Y329" s="3"/>
      <c r="AA329" s="1438"/>
      <c r="AB329" s="1438"/>
      <c r="AC329" s="1438"/>
      <c r="AD329" s="1438"/>
      <c r="AE329" s="1438"/>
      <c r="AF329" s="1438"/>
      <c r="AG329" s="1438"/>
      <c r="AH329" s="1438"/>
      <c r="AI329" s="1438"/>
      <c r="AJ329" s="1438"/>
      <c r="AK329" s="1438"/>
    </row>
    <row r="330" spans="2:66" ht="13" customHeight="1">
      <c r="B330" s="3" t="s">
        <v>87</v>
      </c>
      <c r="C330" s="3"/>
      <c r="D330" s="3"/>
      <c r="E330" s="3"/>
      <c r="F330" s="3"/>
      <c r="H330" s="1488" t="s">
        <v>2737</v>
      </c>
      <c r="I330" s="1438"/>
      <c r="J330" s="1438"/>
      <c r="K330" s="1438"/>
      <c r="L330" s="1438"/>
      <c r="M330" s="1438"/>
      <c r="N330" s="1438"/>
      <c r="O330" s="1438"/>
      <c r="P330" s="1438"/>
      <c r="Q330" s="1438"/>
      <c r="R330" s="1438"/>
      <c r="T330" s="3" t="s">
        <v>87</v>
      </c>
      <c r="V330" s="3"/>
      <c r="W330" s="3"/>
      <c r="X330" s="3"/>
      <c r="Y330" s="3"/>
      <c r="AA330" s="1438"/>
      <c r="AB330" s="1438"/>
      <c r="AC330" s="1438"/>
      <c r="AD330" s="1438"/>
      <c r="AE330" s="1438"/>
      <c r="AF330" s="1438"/>
      <c r="AG330" s="1438"/>
      <c r="AH330" s="1438"/>
      <c r="AI330" s="1438"/>
      <c r="AJ330" s="1438"/>
      <c r="AK330" s="1438"/>
    </row>
    <row r="331" spans="2:66" ht="13" customHeight="1">
      <c r="B331" s="3" t="s">
        <v>88</v>
      </c>
      <c r="C331" s="3"/>
      <c r="D331" s="3"/>
      <c r="E331" s="3"/>
      <c r="F331" s="3"/>
      <c r="G331" s="3"/>
      <c r="H331" s="1535" t="s">
        <v>2738</v>
      </c>
      <c r="I331" s="1490"/>
      <c r="J331" s="1490"/>
      <c r="K331" s="1490"/>
      <c r="L331" s="1490"/>
      <c r="M331" s="1490"/>
      <c r="N331" s="4" t="s">
        <v>207</v>
      </c>
      <c r="O331" s="4"/>
      <c r="P331" s="1491"/>
      <c r="Q331" s="1491"/>
      <c r="R331" s="1491"/>
      <c r="S331" s="3"/>
      <c r="T331" s="3" t="s">
        <v>88</v>
      </c>
      <c r="V331" s="3"/>
      <c r="W331" s="3"/>
      <c r="X331" s="3"/>
      <c r="Y331" s="3"/>
      <c r="AA331" s="1490"/>
      <c r="AB331" s="1490"/>
      <c r="AC331" s="1490"/>
      <c r="AD331" s="1490"/>
      <c r="AE331" s="1490"/>
      <c r="AF331" s="1490"/>
      <c r="AG331" s="4" t="s">
        <v>207</v>
      </c>
      <c r="AH331" s="4"/>
      <c r="AI331" s="1491"/>
      <c r="AJ331" s="1491"/>
      <c r="AK331" s="1491"/>
    </row>
    <row r="332" spans="2:66" ht="13" customHeight="1">
      <c r="B332" s="3" t="s">
        <v>89</v>
      </c>
      <c r="C332" s="3"/>
      <c r="D332" s="3"/>
      <c r="E332" s="3"/>
      <c r="F332" s="3"/>
      <c r="G332" s="3"/>
      <c r="H332" s="1493"/>
      <c r="I332" s="1493"/>
      <c r="J332" s="1493"/>
      <c r="K332" s="1493"/>
      <c r="L332" s="1493"/>
      <c r="M332" s="1493"/>
      <c r="N332" s="4"/>
      <c r="O332" s="4"/>
      <c r="P332" s="35"/>
      <c r="Q332" s="35"/>
      <c r="R332" s="35"/>
      <c r="S332" s="3"/>
      <c r="T332" s="3" t="s">
        <v>89</v>
      </c>
      <c r="V332" s="3"/>
      <c r="W332" s="3"/>
      <c r="X332" s="3"/>
      <c r="Y332" s="3"/>
      <c r="AA332" s="1493"/>
      <c r="AB332" s="1493"/>
      <c r="AC332" s="1493"/>
      <c r="AD332" s="1493"/>
      <c r="AE332" s="1493"/>
      <c r="AF332" s="1493"/>
      <c r="AG332" s="4"/>
      <c r="AH332" s="4"/>
      <c r="AI332" s="35"/>
      <c r="AJ332" s="35"/>
      <c r="AK332" s="35"/>
    </row>
    <row r="333" spans="2:66" ht="13" customHeight="1">
      <c r="B333" s="3" t="s">
        <v>76</v>
      </c>
      <c r="C333" s="3"/>
      <c r="D333" s="3"/>
      <c r="E333" s="3"/>
      <c r="F333" s="3"/>
      <c r="G333" s="3"/>
      <c r="H333" s="1488" t="s">
        <v>2740</v>
      </c>
      <c r="I333" s="1438"/>
      <c r="J333" s="1438"/>
      <c r="K333" s="1438"/>
      <c r="L333" s="1438"/>
      <c r="M333" s="1438"/>
      <c r="N333" s="1381"/>
      <c r="O333" s="1381"/>
      <c r="P333" s="1381"/>
      <c r="Q333" s="1381"/>
      <c r="R333" s="1381"/>
      <c r="S333" s="3"/>
      <c r="T333" s="3" t="s">
        <v>76</v>
      </c>
      <c r="V333" s="3"/>
      <c r="W333" s="3"/>
      <c r="X333" s="3"/>
      <c r="Y333" s="3"/>
      <c r="AA333" s="1438"/>
      <c r="AB333" s="1438"/>
      <c r="AC333" s="1438"/>
      <c r="AD333" s="1438"/>
      <c r="AE333" s="1438"/>
      <c r="AF333" s="1438"/>
      <c r="AG333" s="1381"/>
      <c r="AH333" s="1381"/>
      <c r="AI333" s="1381"/>
      <c r="AJ333" s="1381"/>
      <c r="AK333" s="1381"/>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381" t="s">
        <v>2687</v>
      </c>
      <c r="I335" s="1381"/>
      <c r="J335" s="1381"/>
      <c r="K335" s="1381"/>
      <c r="L335" s="1381"/>
      <c r="M335" s="1381"/>
      <c r="N335" s="1381"/>
      <c r="O335" s="1381"/>
      <c r="P335" s="1381"/>
      <c r="Q335" s="1381"/>
      <c r="R335" s="1381"/>
      <c r="T335" s="218" t="s">
        <v>900</v>
      </c>
      <c r="V335" s="3"/>
      <c r="W335" s="3"/>
      <c r="X335" s="3"/>
      <c r="Y335" s="3"/>
      <c r="AA335" s="1381" t="s">
        <v>2694</v>
      </c>
      <c r="AB335" s="1381"/>
      <c r="AC335" s="1381"/>
      <c r="AD335" s="1381"/>
      <c r="AE335" s="1381"/>
      <c r="AF335" s="1381"/>
      <c r="AG335" s="1381"/>
      <c r="AH335" s="1381"/>
      <c r="AI335" s="1381"/>
      <c r="AJ335" s="1381"/>
      <c r="AK335" s="1381"/>
    </row>
    <row r="336" spans="2:66" ht="13" customHeight="1">
      <c r="B336" s="3" t="s">
        <v>480</v>
      </c>
      <c r="C336" s="3"/>
      <c r="D336" s="3"/>
      <c r="E336" s="3"/>
      <c r="F336" s="3"/>
      <c r="H336" s="1438" t="s">
        <v>2688</v>
      </c>
      <c r="I336" s="1438"/>
      <c r="J336" s="1438"/>
      <c r="K336" s="1438"/>
      <c r="L336" s="1438"/>
      <c r="M336" s="1438"/>
      <c r="N336" s="1438"/>
      <c r="O336" s="1438"/>
      <c r="P336" s="1438"/>
      <c r="Q336" s="1438"/>
      <c r="R336" s="1438"/>
      <c r="T336" s="3" t="s">
        <v>480</v>
      </c>
      <c r="V336" s="3"/>
      <c r="W336" s="3"/>
      <c r="X336" s="3"/>
      <c r="Y336" s="3"/>
      <c r="AA336" s="1438" t="s">
        <v>2695</v>
      </c>
      <c r="AB336" s="1438"/>
      <c r="AC336" s="1438"/>
      <c r="AD336" s="1438"/>
      <c r="AE336" s="1438"/>
      <c r="AF336" s="1438"/>
      <c r="AG336" s="1438"/>
      <c r="AH336" s="1438"/>
      <c r="AI336" s="1438"/>
      <c r="AJ336" s="1438"/>
      <c r="AK336" s="1438"/>
    </row>
    <row r="337" spans="1:66" ht="13" customHeight="1">
      <c r="B337" s="3" t="s">
        <v>75</v>
      </c>
      <c r="C337" s="3"/>
      <c r="D337" s="3"/>
      <c r="E337" s="3"/>
      <c r="F337" s="3"/>
      <c r="H337" s="1438" t="s">
        <v>2689</v>
      </c>
      <c r="I337" s="1438"/>
      <c r="J337" s="1438"/>
      <c r="K337" s="1438"/>
      <c r="L337" s="1438"/>
      <c r="M337" s="1438"/>
      <c r="N337" s="1438"/>
      <c r="O337" s="1438"/>
      <c r="P337" s="1438"/>
      <c r="Q337" s="1438"/>
      <c r="R337" s="1438"/>
      <c r="T337" s="3" t="s">
        <v>75</v>
      </c>
      <c r="V337" s="3"/>
      <c r="W337" s="3"/>
      <c r="X337" s="3"/>
      <c r="Y337" s="3"/>
      <c r="AA337" s="1438" t="s">
        <v>2696</v>
      </c>
      <c r="AB337" s="1438"/>
      <c r="AC337" s="1438"/>
      <c r="AD337" s="1438"/>
      <c r="AE337" s="1438"/>
      <c r="AF337" s="1438"/>
      <c r="AG337" s="1438"/>
      <c r="AH337" s="1438"/>
      <c r="AI337" s="1438"/>
      <c r="AJ337" s="1438"/>
      <c r="AK337" s="1438"/>
    </row>
    <row r="338" spans="1:66" ht="13" customHeight="1">
      <c r="B338" s="3" t="s">
        <v>87</v>
      </c>
      <c r="C338" s="3"/>
      <c r="D338" s="3"/>
      <c r="E338" s="3"/>
      <c r="F338" s="3"/>
      <c r="G338" s="3"/>
      <c r="H338" s="1438" t="s">
        <v>2690</v>
      </c>
      <c r="I338" s="1438"/>
      <c r="J338" s="1438"/>
      <c r="K338" s="1438"/>
      <c r="L338" s="1438"/>
      <c r="M338" s="1438"/>
      <c r="N338" s="1438"/>
      <c r="O338" s="1438"/>
      <c r="P338" s="1438"/>
      <c r="Q338" s="1438"/>
      <c r="R338" s="1438"/>
      <c r="T338" s="3" t="s">
        <v>87</v>
      </c>
      <c r="V338" s="3"/>
      <c r="W338" s="3"/>
      <c r="X338" s="3"/>
      <c r="Y338" s="3"/>
      <c r="AA338" s="1438" t="s">
        <v>2697</v>
      </c>
      <c r="AB338" s="1438"/>
      <c r="AC338" s="1438"/>
      <c r="AD338" s="1438"/>
      <c r="AE338" s="1438"/>
      <c r="AF338" s="1438"/>
      <c r="AG338" s="1438"/>
      <c r="AH338" s="1438"/>
      <c r="AI338" s="1438"/>
      <c r="AJ338" s="1438"/>
      <c r="AK338" s="1438"/>
    </row>
    <row r="339" spans="1:66" ht="13" customHeight="1">
      <c r="B339" s="3" t="s">
        <v>88</v>
      </c>
      <c r="C339" s="3"/>
      <c r="D339" s="3"/>
      <c r="E339" s="3"/>
      <c r="F339" s="3"/>
      <c r="G339" s="3"/>
      <c r="H339" s="1490" t="s">
        <v>2691</v>
      </c>
      <c r="I339" s="1490"/>
      <c r="J339" s="1490"/>
      <c r="K339" s="1490"/>
      <c r="L339" s="1490"/>
      <c r="M339" s="1490"/>
      <c r="N339" s="4" t="s">
        <v>207</v>
      </c>
      <c r="O339" s="4"/>
      <c r="P339" s="1491"/>
      <c r="Q339" s="1491"/>
      <c r="R339" s="1491"/>
      <c r="S339" s="3"/>
      <c r="T339" s="3" t="s">
        <v>88</v>
      </c>
      <c r="V339" s="3"/>
      <c r="W339" s="3"/>
      <c r="X339" s="3"/>
      <c r="Y339" s="3"/>
      <c r="AA339" s="1490" t="s">
        <v>2698</v>
      </c>
      <c r="AB339" s="1490"/>
      <c r="AC339" s="1490"/>
      <c r="AD339" s="1490"/>
      <c r="AE339" s="1490"/>
      <c r="AF339" s="1490"/>
      <c r="AG339" s="4" t="s">
        <v>207</v>
      </c>
      <c r="AH339" s="4"/>
      <c r="AI339" s="1491"/>
      <c r="AJ339" s="1491"/>
      <c r="AK339" s="1491"/>
    </row>
    <row r="340" spans="1:66" ht="13" customHeight="1">
      <c r="B340" s="3" t="s">
        <v>89</v>
      </c>
      <c r="C340" s="3"/>
      <c r="D340" s="3"/>
      <c r="E340" s="3"/>
      <c r="F340" s="3"/>
      <c r="G340" s="3"/>
      <c r="H340" s="1493" t="s">
        <v>2692</v>
      </c>
      <c r="I340" s="1493"/>
      <c r="J340" s="1493"/>
      <c r="K340" s="1493"/>
      <c r="L340" s="1493"/>
      <c r="M340" s="1493"/>
      <c r="N340" s="4"/>
      <c r="O340" s="4"/>
      <c r="P340" s="35"/>
      <c r="Q340" s="35"/>
      <c r="R340" s="35"/>
      <c r="S340" s="3"/>
      <c r="T340" s="3" t="s">
        <v>89</v>
      </c>
      <c r="V340" s="3"/>
      <c r="W340" s="3"/>
      <c r="X340" s="3"/>
      <c r="Y340" s="3"/>
      <c r="AA340" s="1493"/>
      <c r="AB340" s="1493"/>
      <c r="AC340" s="1493"/>
      <c r="AD340" s="1493"/>
      <c r="AE340" s="1493"/>
      <c r="AF340" s="1493"/>
      <c r="AG340" s="4"/>
      <c r="AH340" s="4"/>
      <c r="AI340" s="35"/>
      <c r="AJ340" s="35"/>
      <c r="AK340" s="35"/>
    </row>
    <row r="341" spans="1:66" ht="13" customHeight="1">
      <c r="B341" s="3" t="s">
        <v>76</v>
      </c>
      <c r="C341" s="3"/>
      <c r="D341" s="3"/>
      <c r="E341" s="3"/>
      <c r="F341" s="3"/>
      <c r="G341" s="3"/>
      <c r="H341" s="1438" t="s">
        <v>2693</v>
      </c>
      <c r="I341" s="1438"/>
      <c r="J341" s="1438"/>
      <c r="K341" s="1438"/>
      <c r="L341" s="1438"/>
      <c r="M341" s="1438"/>
      <c r="N341" s="1381"/>
      <c r="O341" s="1381"/>
      <c r="P341" s="1381"/>
      <c r="Q341" s="1381"/>
      <c r="R341" s="1381"/>
      <c r="S341" s="3"/>
      <c r="T341" s="3" t="s">
        <v>76</v>
      </c>
      <c r="V341" s="3"/>
      <c r="W341" s="3"/>
      <c r="X341" s="3"/>
      <c r="Y341" s="3"/>
      <c r="AA341" s="1438" t="s">
        <v>2699</v>
      </c>
      <c r="AB341" s="1438"/>
      <c r="AC341" s="1438"/>
      <c r="AD341" s="1438"/>
      <c r="AE341" s="1438"/>
      <c r="AF341" s="1438"/>
      <c r="AG341" s="1381"/>
      <c r="AH341" s="1381"/>
      <c r="AI341" s="1381"/>
      <c r="AJ341" s="1381"/>
      <c r="AK341" s="1381"/>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 customHeight="1">
      <c r="B343" s="3"/>
      <c r="C343" s="4"/>
      <c r="D343" s="4"/>
      <c r="E343" s="4"/>
      <c r="F343" s="4"/>
      <c r="I343" s="218" t="s">
        <v>901</v>
      </c>
      <c r="P343" s="1381"/>
      <c r="Q343" s="1381"/>
      <c r="R343" s="1381"/>
      <c r="S343" s="1381"/>
      <c r="T343" s="1381"/>
      <c r="U343" s="1381"/>
      <c r="V343" s="1381"/>
      <c r="W343" s="1381"/>
      <c r="X343" s="1381"/>
      <c r="Y343" s="1381"/>
      <c r="Z343" s="1381"/>
      <c r="AA343" s="1381"/>
      <c r="AB343" s="1381"/>
      <c r="AC343" s="1381"/>
      <c r="AD343" s="1381"/>
      <c r="AE343" s="1381"/>
      <c r="BN343" t="s">
        <v>678</v>
      </c>
    </row>
    <row r="344" spans="1:66" ht="13" customHeight="1">
      <c r="B344" s="4"/>
      <c r="C344" s="4"/>
      <c r="D344" s="4"/>
      <c r="E344" s="4"/>
      <c r="F344" s="4"/>
      <c r="I344" s="4" t="s">
        <v>480</v>
      </c>
      <c r="P344" s="1438"/>
      <c r="Q344" s="1438"/>
      <c r="R344" s="1438"/>
      <c r="S344" s="1438"/>
      <c r="T344" s="1438"/>
      <c r="U344" s="1438"/>
      <c r="V344" s="1438"/>
      <c r="W344" s="1438"/>
      <c r="X344" s="1438"/>
      <c r="Y344" s="1438"/>
      <c r="Z344" s="1438"/>
      <c r="AA344" s="1438"/>
      <c r="AB344" s="1438"/>
      <c r="AC344" s="1438"/>
      <c r="AD344" s="1438"/>
      <c r="AE344" s="1438"/>
      <c r="BN344" t="s">
        <v>554</v>
      </c>
    </row>
    <row r="345" spans="1:66" ht="13" customHeight="1">
      <c r="B345" s="4"/>
      <c r="C345" s="4"/>
      <c r="D345" s="4"/>
      <c r="E345" s="4"/>
      <c r="F345" s="4"/>
      <c r="I345" s="4" t="s">
        <v>75</v>
      </c>
      <c r="P345" s="1438"/>
      <c r="Q345" s="1438"/>
      <c r="R345" s="1438"/>
      <c r="S345" s="1438"/>
      <c r="T345" s="1438"/>
      <c r="U345" s="1438"/>
      <c r="V345" s="1438"/>
      <c r="W345" s="1438"/>
      <c r="X345" s="1438"/>
      <c r="Y345" s="1438"/>
      <c r="Z345" s="1438"/>
      <c r="AA345" s="1438"/>
      <c r="AB345" s="1438"/>
      <c r="AC345" s="1438"/>
      <c r="AD345" s="1438"/>
      <c r="AE345" s="1438"/>
    </row>
    <row r="346" spans="1:66" ht="13" customHeight="1">
      <c r="B346" s="4"/>
      <c r="C346" s="4"/>
      <c r="D346" s="4"/>
      <c r="E346" s="4"/>
      <c r="F346" s="4"/>
      <c r="G346" s="4"/>
      <c r="I346" s="4" t="s">
        <v>87</v>
      </c>
      <c r="P346" s="1438"/>
      <c r="Q346" s="1438"/>
      <c r="R346" s="1438"/>
      <c r="S346" s="1438"/>
      <c r="T346" s="1438"/>
      <c r="U346" s="1438"/>
      <c r="V346" s="1438"/>
      <c r="W346" s="1438"/>
      <c r="X346" s="1438"/>
      <c r="Y346" s="1438"/>
      <c r="Z346" s="1438"/>
      <c r="AA346" s="1438"/>
      <c r="AB346" s="1438"/>
      <c r="AC346" s="1438"/>
      <c r="AD346" s="1438"/>
      <c r="AE346" s="1438"/>
    </row>
    <row r="347" spans="1:66" ht="13" customHeight="1">
      <c r="B347" s="4"/>
      <c r="C347" s="4"/>
      <c r="D347" s="4"/>
      <c r="E347" s="4"/>
      <c r="F347" s="4"/>
      <c r="G347" s="4"/>
      <c r="H347" s="324"/>
      <c r="I347" s="4" t="s">
        <v>88</v>
      </c>
      <c r="P347" s="1493"/>
      <c r="Q347" s="1493"/>
      <c r="R347" s="1493"/>
      <c r="S347" s="1493"/>
      <c r="T347" s="1493"/>
      <c r="U347" s="1493"/>
      <c r="V347" s="1493"/>
      <c r="W347" s="1493"/>
      <c r="X347" s="1493"/>
      <c r="Y347" s="1493"/>
      <c r="Z347" s="1493"/>
      <c r="AA347" s="4" t="s">
        <v>207</v>
      </c>
      <c r="AB347" s="4"/>
      <c r="AC347" s="1412"/>
      <c r="AD347" s="1412"/>
      <c r="AE347" s="1412"/>
      <c r="AF347" s="324"/>
      <c r="AG347" s="4"/>
      <c r="AH347" s="4"/>
      <c r="AI347" s="4"/>
      <c r="AJ347" s="4"/>
      <c r="AK347" s="4"/>
    </row>
    <row r="348" spans="1:66" ht="13" customHeight="1">
      <c r="B348" s="4"/>
      <c r="C348" s="4"/>
      <c r="D348" s="4"/>
      <c r="E348" s="4"/>
      <c r="F348" s="4"/>
      <c r="G348" s="4"/>
      <c r="H348" s="324"/>
      <c r="I348" s="4" t="s">
        <v>89</v>
      </c>
      <c r="P348" s="1493"/>
      <c r="Q348" s="1493"/>
      <c r="R348" s="1493"/>
      <c r="S348" s="1493"/>
      <c r="T348" s="1493"/>
      <c r="U348" s="1493"/>
      <c r="V348" s="1493"/>
      <c r="W348" s="1493"/>
      <c r="X348" s="1493"/>
      <c r="Y348" s="1493"/>
      <c r="Z348" s="1493"/>
      <c r="AF348" s="324"/>
      <c r="AG348" s="4"/>
      <c r="AH348" s="4"/>
      <c r="AI348" s="35"/>
      <c r="AJ348" s="35"/>
      <c r="AK348" s="35"/>
    </row>
    <row r="349" spans="1:66" ht="13" customHeight="1">
      <c r="B349" s="4"/>
      <c r="C349" s="4"/>
      <c r="D349" s="4"/>
      <c r="E349" s="4"/>
      <c r="F349" s="4"/>
      <c r="G349" s="4"/>
      <c r="I349" s="4" t="s">
        <v>76</v>
      </c>
      <c r="P349" s="1381"/>
      <c r="Q349" s="1381"/>
      <c r="R349" s="1381"/>
      <c r="S349" s="1381"/>
      <c r="T349" s="1381"/>
      <c r="U349" s="1381"/>
      <c r="V349" s="1381"/>
      <c r="W349" s="1381"/>
      <c r="X349" s="1381"/>
      <c r="Y349" s="1381"/>
      <c r="Z349" s="1381"/>
      <c r="AA349" s="1381"/>
      <c r="AB349" s="1381"/>
      <c r="AC349" s="1381"/>
      <c r="AD349" s="1381"/>
      <c r="AE349" s="1381"/>
    </row>
    <row r="350" spans="1:66" ht="13" customHeight="1">
      <c r="T350" s="8"/>
      <c r="U350" s="8"/>
      <c r="V350" s="8"/>
      <c r="W350" s="8"/>
      <c r="X350" s="8"/>
      <c r="Y350" s="8"/>
      <c r="Z350" s="8"/>
      <c r="AU350" s="95"/>
      <c r="AV350" s="95"/>
      <c r="AW350" s="95"/>
      <c r="AX350" s="95"/>
      <c r="AY350" s="95"/>
    </row>
    <row r="351" spans="1:66" ht="13" customHeight="1">
      <c r="A351" s="1654" t="s">
        <v>551</v>
      </c>
      <c r="B351" s="1654"/>
      <c r="C351" s="1654"/>
      <c r="D351" s="1654"/>
      <c r="E351" s="1654"/>
      <c r="F351" s="1654"/>
      <c r="G351" s="1654"/>
      <c r="H351" s="1654"/>
      <c r="I351" s="1654"/>
      <c r="J351" s="1654"/>
      <c r="K351" s="1654"/>
      <c r="L351" s="1654"/>
      <c r="M351" s="1654"/>
      <c r="N351" s="1654"/>
      <c r="O351" s="1654"/>
      <c r="P351" s="1654"/>
      <c r="Q351" s="1654"/>
      <c r="R351" s="1654"/>
      <c r="S351" s="1654"/>
      <c r="T351" s="1654"/>
      <c r="U351" s="1654"/>
      <c r="V351" s="1654"/>
      <c r="W351" s="1654"/>
      <c r="X351" s="1654"/>
      <c r="Y351" s="1654"/>
      <c r="Z351" s="1654"/>
      <c r="AA351" s="1654"/>
      <c r="AB351" s="1654"/>
      <c r="AC351" s="1654"/>
      <c r="AD351" s="1654"/>
      <c r="AE351" s="1654"/>
      <c r="AF351" s="1654"/>
      <c r="AG351" s="1654"/>
      <c r="AH351" s="1654"/>
      <c r="AI351" s="1654"/>
      <c r="AJ351" s="1654"/>
      <c r="AK351" s="1654"/>
      <c r="AL351" s="1654"/>
      <c r="AM351" s="1654"/>
      <c r="AN351" s="1654"/>
      <c r="AO351" s="1654"/>
      <c r="AP351" s="1654"/>
      <c r="AQ351" s="1654"/>
      <c r="AR351" s="1654"/>
      <c r="AS351" s="1654"/>
      <c r="AT351" s="1654"/>
      <c r="AU351" s="95"/>
      <c r="AV351" s="95"/>
      <c r="AW351" s="95"/>
      <c r="AX351" s="95"/>
      <c r="AY351" s="95"/>
    </row>
    <row r="352" spans="1:66" ht="13" customHeight="1">
      <c r="A352" s="1654"/>
      <c r="B352" s="1654"/>
      <c r="C352" s="1654"/>
      <c r="D352" s="1654"/>
      <c r="E352" s="1654"/>
      <c r="F352" s="1654"/>
      <c r="G352" s="1654"/>
      <c r="H352" s="1654"/>
      <c r="I352" s="1654"/>
      <c r="J352" s="1654"/>
      <c r="K352" s="1654"/>
      <c r="L352" s="1654"/>
      <c r="M352" s="1654"/>
      <c r="N352" s="1654"/>
      <c r="O352" s="1654"/>
      <c r="P352" s="1654"/>
      <c r="Q352" s="1654"/>
      <c r="R352" s="1654"/>
      <c r="S352" s="1654"/>
      <c r="T352" s="1654"/>
      <c r="U352" s="1654"/>
      <c r="V352" s="1654"/>
      <c r="W352" s="1654"/>
      <c r="X352" s="1654"/>
      <c r="Y352" s="1654"/>
      <c r="Z352" s="1654"/>
      <c r="AA352" s="1654"/>
      <c r="AB352" s="1654"/>
      <c r="AC352" s="1654"/>
      <c r="AD352" s="1654"/>
      <c r="AE352" s="1654"/>
      <c r="AF352" s="1654"/>
      <c r="AG352" s="1654"/>
      <c r="AH352" s="1654"/>
      <c r="AI352" s="1654"/>
      <c r="AJ352" s="1654"/>
      <c r="AK352" s="1654"/>
      <c r="AL352" s="1654"/>
      <c r="AM352" s="1654"/>
      <c r="AN352" s="1654"/>
      <c r="AO352" s="1654"/>
      <c r="AP352" s="1654"/>
      <c r="AQ352" s="1654"/>
      <c r="AR352" s="1654"/>
      <c r="AS352" s="1654"/>
      <c r="AT352" s="1654"/>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792</v>
      </c>
    </row>
    <row r="355" spans="1:46" ht="13" customHeight="1">
      <c r="D355" s="3" t="s">
        <v>2417</v>
      </c>
      <c r="M355" s="1383" t="s">
        <v>554</v>
      </c>
      <c r="N355" s="1383"/>
      <c r="P355" t="s">
        <v>1763</v>
      </c>
      <c r="AJ355" s="1383" t="s">
        <v>678</v>
      </c>
      <c r="AK355" s="1383"/>
    </row>
    <row r="356" spans="1:46" ht="13" customHeight="1">
      <c r="D356" s="3" t="s">
        <v>1752</v>
      </c>
      <c r="M356" s="1383" t="s">
        <v>600</v>
      </c>
      <c r="N356" s="1383"/>
      <c r="P356" s="3" t="s">
        <v>1909</v>
      </c>
      <c r="AJ356" s="1431">
        <v>0</v>
      </c>
      <c r="AK356" s="1431"/>
    </row>
    <row r="357" spans="1:46" ht="13" customHeight="1">
      <c r="D357" s="3" t="s">
        <v>714</v>
      </c>
      <c r="M357" s="1383" t="s">
        <v>600</v>
      </c>
      <c r="N357" s="1383"/>
      <c r="P357" t="s">
        <v>1762</v>
      </c>
      <c r="AJ357" s="1383" t="s">
        <v>600</v>
      </c>
      <c r="AK357" s="1383"/>
    </row>
    <row r="358" spans="1:46" ht="13" customHeight="1">
      <c r="D358" s="3" t="s">
        <v>715</v>
      </c>
      <c r="M358" s="1383" t="s">
        <v>600</v>
      </c>
      <c r="N358" s="1383"/>
      <c r="Q358" s="4"/>
    </row>
    <row r="359" spans="1:46" ht="13" customHeight="1">
      <c r="Q359" s="4"/>
    </row>
    <row r="360" spans="1:46" ht="13" customHeight="1">
      <c r="Q360" s="4"/>
    </row>
    <row r="361" spans="1:46" ht="13" customHeight="1">
      <c r="A361" s="2" t="s">
        <v>585</v>
      </c>
      <c r="B361" s="2"/>
      <c r="C361" s="2" t="s">
        <v>561</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383" t="s">
        <v>600</v>
      </c>
      <c r="O363" s="1383"/>
      <c r="P363" s="40"/>
      <c r="Q363" s="40"/>
      <c r="R363" s="40"/>
      <c r="S363" s="40"/>
      <c r="T363" s="40"/>
      <c r="U363" s="40"/>
      <c r="V363" s="40"/>
      <c r="W363" s="40"/>
      <c r="X363" s="40"/>
      <c r="Y363" s="40"/>
      <c r="Z363" s="40"/>
      <c r="AC363" s="40"/>
      <c r="AD363" s="40"/>
      <c r="AE363" s="40"/>
    </row>
    <row r="364" spans="1:46" ht="13" customHeight="1">
      <c r="E364" t="s">
        <v>371</v>
      </c>
      <c r="Y364" s="1383" t="s">
        <v>600</v>
      </c>
      <c r="Z364" s="1383"/>
    </row>
    <row r="365" spans="1:46" ht="13" customHeight="1">
      <c r="D365" s="4" t="s">
        <v>998</v>
      </c>
      <c r="Q365" s="1381" t="s">
        <v>600</v>
      </c>
      <c r="R365" s="1381"/>
      <c r="S365" s="1381"/>
      <c r="T365" s="1381"/>
      <c r="U365" s="1381"/>
      <c r="V365" s="1381"/>
      <c r="W365" s="1381"/>
      <c r="X365" s="1381"/>
      <c r="Y365" s="1381"/>
      <c r="Z365" s="1381"/>
      <c r="AA365" s="1381"/>
      <c r="AB365" s="1381"/>
      <c r="AC365" s="1381"/>
      <c r="AD365" s="1381"/>
      <c r="AE365" s="1381"/>
      <c r="AF365" s="1381"/>
      <c r="AG365" s="1381"/>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383" t="s">
        <v>600</v>
      </c>
      <c r="K367" s="1383"/>
      <c r="L367" s="40"/>
      <c r="M367" s="40"/>
      <c r="N367" s="40"/>
      <c r="O367" s="40"/>
      <c r="P367" s="40"/>
      <c r="Q367" s="40"/>
      <c r="R367" s="40"/>
      <c r="S367" s="40"/>
      <c r="T367" s="40"/>
      <c r="U367" s="40"/>
      <c r="V367" s="40"/>
      <c r="W367" s="40"/>
      <c r="X367" s="40"/>
      <c r="Y367" s="40"/>
      <c r="Z367" s="40"/>
      <c r="AC367" s="40"/>
      <c r="AD367" s="40"/>
      <c r="AE367" s="40"/>
    </row>
    <row r="368" spans="1:46" ht="13" customHeight="1">
      <c r="E368" s="1550" t="s">
        <v>716</v>
      </c>
      <c r="F368" s="1550"/>
      <c r="G368" s="1550"/>
      <c r="H368" s="1550"/>
      <c r="I368" s="1550"/>
      <c r="J368" s="1550"/>
      <c r="K368" s="1550"/>
      <c r="L368" s="1550"/>
      <c r="M368" s="1550"/>
      <c r="N368" s="1550"/>
      <c r="O368" s="1550"/>
      <c r="P368" s="1550"/>
      <c r="Q368" s="1550"/>
      <c r="R368" s="1550"/>
      <c r="S368" s="1550"/>
      <c r="T368" s="1550"/>
      <c r="U368" s="1550"/>
      <c r="V368" s="1550"/>
      <c r="W368" s="1550"/>
      <c r="X368" s="1550"/>
      <c r="Y368" s="1550"/>
      <c r="Z368" s="1550"/>
      <c r="AA368" s="1550"/>
      <c r="AB368" s="1550"/>
      <c r="AC368" s="1550"/>
      <c r="AD368" s="1550"/>
      <c r="AE368" s="1550"/>
      <c r="AF368" s="1550"/>
      <c r="AG368" s="1550"/>
      <c r="AH368" s="1550"/>
    </row>
    <row r="369" spans="1:34" ht="13" customHeight="1">
      <c r="E369" s="1550"/>
      <c r="F369" s="1550"/>
      <c r="G369" s="1550"/>
      <c r="H369" s="1550"/>
      <c r="I369" s="1550"/>
      <c r="J369" s="1550"/>
      <c r="K369" s="1550"/>
      <c r="L369" s="1550"/>
      <c r="M369" s="1550"/>
      <c r="N369" s="1550"/>
      <c r="O369" s="1550"/>
      <c r="P369" s="1550"/>
      <c r="Q369" s="1550"/>
      <c r="R369" s="1550"/>
      <c r="S369" s="1550"/>
      <c r="T369" s="1550"/>
      <c r="U369" s="1550"/>
      <c r="V369" s="1550"/>
      <c r="W369" s="1550"/>
      <c r="X369" s="1550"/>
      <c r="Y369" s="1550"/>
      <c r="Z369" s="1550"/>
      <c r="AA369" s="1550"/>
      <c r="AB369" s="1550"/>
      <c r="AC369" s="1550"/>
      <c r="AD369" s="1550"/>
      <c r="AE369" s="1550"/>
      <c r="AF369" s="1550"/>
      <c r="AG369" s="1550"/>
      <c r="AH369" s="1550"/>
    </row>
    <row r="370" spans="1:34" ht="13" customHeight="1">
      <c r="E370" s="4" t="s">
        <v>457</v>
      </c>
      <c r="F370" s="4"/>
      <c r="G370" s="4"/>
      <c r="H370" s="4"/>
      <c r="I370" s="4"/>
      <c r="J370" s="4"/>
      <c r="K370" s="4"/>
      <c r="L370" s="4"/>
      <c r="N370" s="1441"/>
      <c r="O370" s="1441"/>
      <c r="P370" s="1441"/>
      <c r="Q370" s="1441"/>
      <c r="R370" s="4"/>
      <c r="U370" s="4" t="s">
        <v>458</v>
      </c>
      <c r="V370" s="4"/>
      <c r="W370" s="4"/>
      <c r="X370" s="4"/>
      <c r="Y370" s="4"/>
      <c r="Z370" s="4"/>
      <c r="AA370" s="4"/>
      <c r="AB370" s="4"/>
      <c r="AC370" s="1441"/>
      <c r="AD370" s="1441"/>
      <c r="AE370" s="1441"/>
      <c r="AF370" s="1441"/>
    </row>
    <row r="371" spans="1:34" ht="13" customHeight="1">
      <c r="E371" s="4" t="s">
        <v>459</v>
      </c>
      <c r="F371" s="4"/>
      <c r="G371" s="4"/>
      <c r="H371" s="4"/>
      <c r="I371" s="4"/>
      <c r="J371" s="4"/>
      <c r="K371" s="4"/>
      <c r="L371" s="4"/>
      <c r="N371" s="1441"/>
      <c r="O371" s="1441"/>
      <c r="P371" s="1441"/>
      <c r="Q371" s="1441"/>
      <c r="R371" s="4"/>
      <c r="U371" s="4" t="s">
        <v>0</v>
      </c>
      <c r="V371" s="4"/>
      <c r="W371" s="4"/>
      <c r="X371" s="4"/>
      <c r="Y371" s="4"/>
      <c r="Z371" s="4"/>
      <c r="AA371" s="4"/>
      <c r="AB371" s="4"/>
      <c r="AC371" s="1441"/>
      <c r="AD371" s="1441"/>
      <c r="AE371" s="1441"/>
      <c r="AF371" s="1441"/>
    </row>
    <row r="372" spans="1:34" ht="13" customHeight="1">
      <c r="E372" s="4" t="s">
        <v>1</v>
      </c>
      <c r="F372" s="4"/>
      <c r="G372" s="4"/>
      <c r="H372" s="4"/>
      <c r="I372" s="4"/>
      <c r="J372" s="4"/>
      <c r="K372" s="4"/>
      <c r="L372" s="4"/>
      <c r="N372" s="1441"/>
      <c r="O372" s="1441"/>
      <c r="P372" s="1441"/>
      <c r="Q372" s="1441"/>
      <c r="R372" s="4"/>
      <c r="V372" s="4"/>
      <c r="W372" s="4"/>
      <c r="X372" s="4"/>
      <c r="Y372" s="4"/>
      <c r="Z372" s="4"/>
      <c r="AA372" s="4"/>
      <c r="AB372" s="4"/>
    </row>
    <row r="373" spans="1:34" ht="13" customHeight="1">
      <c r="E373" s="4" t="s">
        <v>2</v>
      </c>
      <c r="F373" s="4"/>
      <c r="G373" s="4"/>
      <c r="H373" s="4"/>
      <c r="I373" s="4"/>
      <c r="J373" s="4"/>
      <c r="K373" s="4"/>
      <c r="L373" s="4"/>
      <c r="N373" s="1494"/>
      <c r="O373" s="1494"/>
      <c r="P373" s="1494"/>
      <c r="Q373" s="1494"/>
      <c r="R373" s="1494"/>
      <c r="S373" s="1494"/>
      <c r="T373" s="1494"/>
      <c r="U373" s="1494"/>
      <c r="V373" s="1494"/>
      <c r="W373" s="1494"/>
      <c r="X373" s="1494"/>
      <c r="Y373" s="1494"/>
      <c r="Z373" s="1494"/>
      <c r="AA373" s="1494"/>
      <c r="AB373" s="1494"/>
      <c r="AC373" s="1494"/>
      <c r="AD373" s="1494"/>
      <c r="AE373" s="1494"/>
      <c r="AF373" s="1494"/>
    </row>
    <row r="374" spans="1:34" ht="13" customHeight="1">
      <c r="E374" s="4"/>
      <c r="F374" s="4"/>
      <c r="G374" s="4"/>
      <c r="H374" s="4"/>
      <c r="I374" s="4"/>
      <c r="J374" s="4"/>
      <c r="K374" s="4"/>
      <c r="L374" s="4"/>
      <c r="N374" s="1495"/>
      <c r="O374" s="1495"/>
      <c r="P374" s="1495"/>
      <c r="Q374" s="1495"/>
      <c r="R374" s="1495"/>
      <c r="S374" s="1495"/>
      <c r="T374" s="1495"/>
      <c r="U374" s="1495"/>
      <c r="V374" s="1495"/>
      <c r="W374" s="1495"/>
      <c r="X374" s="1495"/>
      <c r="Y374" s="1495"/>
      <c r="Z374" s="1495"/>
      <c r="AA374" s="1495"/>
      <c r="AB374" s="1495"/>
      <c r="AC374" s="1495"/>
      <c r="AD374" s="1495"/>
      <c r="AE374" s="1495"/>
      <c r="AF374" s="1495"/>
    </row>
    <row r="375" spans="1:34" ht="13" customHeight="1">
      <c r="C375" s="546"/>
      <c r="E375" s="4"/>
      <c r="F375" s="4"/>
      <c r="G375" s="4"/>
      <c r="H375" s="4"/>
      <c r="I375" s="4"/>
      <c r="J375" s="4"/>
      <c r="K375" s="4"/>
      <c r="L375" s="4"/>
    </row>
    <row r="376" spans="1:34" ht="13" customHeight="1">
      <c r="D376" s="2" t="s">
        <v>995</v>
      </c>
      <c r="E376" s="2"/>
      <c r="F376" s="4"/>
      <c r="G376" s="4"/>
      <c r="H376" s="4"/>
      <c r="I376" s="4"/>
      <c r="J376" s="4"/>
      <c r="K376" s="4"/>
      <c r="L376" s="4"/>
    </row>
    <row r="377" spans="1:34" ht="13" customHeight="1">
      <c r="E377" s="4" t="s">
        <v>2401</v>
      </c>
      <c r="F377" s="4"/>
      <c r="G377" s="4"/>
      <c r="H377" s="4"/>
      <c r="I377" s="4"/>
      <c r="J377" s="4"/>
      <c r="K377" s="4"/>
      <c r="L377" s="4"/>
      <c r="N377" t="s">
        <v>2396</v>
      </c>
      <c r="R377" s="27" t="s">
        <v>306</v>
      </c>
      <c r="S377" s="1475"/>
      <c r="T377" s="1475"/>
      <c r="U377" s="1" t="s">
        <v>307</v>
      </c>
      <c r="V377" s="1475"/>
      <c r="W377" s="1475"/>
      <c r="Y377" t="s">
        <v>2396</v>
      </c>
      <c r="AC377" s="27" t="s">
        <v>306</v>
      </c>
      <c r="AD377" s="1475"/>
      <c r="AE377" s="1475"/>
      <c r="AF377" s="1" t="s">
        <v>307</v>
      </c>
      <c r="AG377" s="1475"/>
      <c r="AH377" s="1475"/>
    </row>
    <row r="378" spans="1:34" ht="13" customHeight="1">
      <c r="E378" s="4" t="s">
        <v>1012</v>
      </c>
      <c r="F378" s="4"/>
      <c r="G378" s="4"/>
      <c r="H378" s="4"/>
      <c r="I378" s="4"/>
      <c r="J378" s="4"/>
      <c r="K378" s="4"/>
      <c r="L378" s="4"/>
      <c r="N378" s="1475"/>
      <c r="O378" s="1475"/>
      <c r="P378" s="1475"/>
    </row>
    <row r="379" spans="1:34" ht="13" customHeight="1">
      <c r="E379" s="218" t="s">
        <v>2402</v>
      </c>
      <c r="F379" s="4"/>
      <c r="G379" s="4"/>
      <c r="H379" s="4"/>
      <c r="I379" s="4"/>
      <c r="J379" s="4"/>
      <c r="K379" s="4"/>
      <c r="L379" s="4"/>
      <c r="AG379" s="1542" t="s">
        <v>600</v>
      </c>
      <c r="AH379" s="1542"/>
    </row>
    <row r="380" spans="1:34" ht="13" customHeight="1">
      <c r="E380" s="4"/>
      <c r="F380" s="4"/>
      <c r="G380" s="4" t="s">
        <v>2403</v>
      </c>
      <c r="H380" s="4"/>
      <c r="I380" s="4"/>
      <c r="J380" s="4"/>
      <c r="K380" s="4"/>
      <c r="L380" s="4"/>
      <c r="AG380" s="1542" t="s">
        <v>600</v>
      </c>
      <c r="AH380" s="1542"/>
    </row>
    <row r="381" spans="1:34" ht="13" customHeight="1">
      <c r="E381" s="4"/>
      <c r="F381" s="4"/>
      <c r="G381" s="348" t="s">
        <v>1013</v>
      </c>
      <c r="H381" s="4"/>
      <c r="I381" s="4"/>
      <c r="J381" s="4"/>
      <c r="K381" s="4"/>
      <c r="L381" s="4"/>
      <c r="V381" s="1383" t="s">
        <v>600</v>
      </c>
      <c r="W381" s="1383"/>
      <c r="Y381" s="22" t="s">
        <v>1000</v>
      </c>
    </row>
    <row r="382" spans="1:34" ht="13" customHeight="1">
      <c r="E382" s="4" t="s">
        <v>1001</v>
      </c>
      <c r="F382" s="4"/>
      <c r="G382" s="4"/>
      <c r="H382" s="4"/>
      <c r="I382" s="4"/>
      <c r="J382" s="4"/>
      <c r="K382" s="4"/>
      <c r="L382" s="4"/>
      <c r="V382" s="1383" t="s">
        <v>600</v>
      </c>
      <c r="W382" s="1383"/>
      <c r="Y382" s="4" t="s">
        <v>1002</v>
      </c>
    </row>
    <row r="383" spans="1:34" ht="13" customHeight="1"/>
    <row r="384" spans="1:34" ht="13" customHeight="1">
      <c r="A384" s="2" t="s">
        <v>78</v>
      </c>
      <c r="B384" s="2"/>
    </row>
    <row r="385" spans="4:36" ht="13" customHeight="1">
      <c r="D385" t="s">
        <v>429</v>
      </c>
      <c r="J385" s="1381" t="s">
        <v>2744</v>
      </c>
      <c r="K385" s="1381"/>
      <c r="L385" s="1381"/>
      <c r="M385" s="1381"/>
      <c r="N385" s="1381"/>
      <c r="O385" s="1381"/>
      <c r="P385" s="1381"/>
      <c r="Q385" s="1381"/>
      <c r="R385" s="1381"/>
      <c r="S385" s="1381"/>
      <c r="T385" s="1381"/>
      <c r="U385" s="1381"/>
      <c r="V385" s="8" t="s">
        <v>83</v>
      </c>
      <c r="W385" s="8"/>
      <c r="X385" s="8"/>
      <c r="Y385" s="8"/>
      <c r="Z385" s="8"/>
      <c r="AA385" s="8"/>
      <c r="AB385" s="8"/>
      <c r="AC385" s="1381" t="s">
        <v>2745</v>
      </c>
      <c r="AD385" s="1381"/>
      <c r="AE385" s="1381"/>
      <c r="AF385" s="1381"/>
      <c r="AG385" s="1381"/>
      <c r="AH385" s="1381"/>
      <c r="AI385" s="1381"/>
      <c r="AJ385" s="1381"/>
    </row>
    <row r="386" spans="4:36" ht="13" customHeight="1">
      <c r="D386" s="3" t="s">
        <v>1289</v>
      </c>
      <c r="J386" s="1438" t="s">
        <v>2745</v>
      </c>
      <c r="K386" s="1438"/>
      <c r="L386" s="1438"/>
      <c r="M386" s="1438"/>
      <c r="N386" s="1438"/>
      <c r="O386" s="1438"/>
      <c r="P386" s="1438"/>
      <c r="Q386" s="1438"/>
      <c r="R386" s="1438"/>
      <c r="S386" s="1438"/>
      <c r="T386" s="1438"/>
      <c r="U386" s="1438"/>
      <c r="V386" s="3" t="s">
        <v>1289</v>
      </c>
      <c r="W386" s="8"/>
      <c r="X386" s="8"/>
      <c r="Y386" s="8"/>
      <c r="Z386" s="8"/>
      <c r="AA386" s="8"/>
      <c r="AB386" s="8"/>
      <c r="AC386" s="1381"/>
      <c r="AD386" s="1381"/>
      <c r="AE386" s="1381"/>
      <c r="AF386" s="1381"/>
      <c r="AG386" s="1381"/>
      <c r="AH386" s="1381"/>
      <c r="AI386" s="1381"/>
      <c r="AJ386" s="1381"/>
    </row>
    <row r="387" spans="4:36" ht="13" customHeight="1">
      <c r="D387" s="3" t="s">
        <v>444</v>
      </c>
      <c r="J387" s="1438" t="s">
        <v>2703</v>
      </c>
      <c r="K387" s="1438"/>
      <c r="L387" s="1438"/>
      <c r="M387" s="1438"/>
      <c r="N387" s="1438"/>
      <c r="O387" s="1438"/>
      <c r="P387" s="1438"/>
      <c r="Q387" s="1438"/>
      <c r="R387" s="1438"/>
      <c r="S387" s="1438"/>
      <c r="T387" s="1438"/>
      <c r="U387" s="1438"/>
      <c r="V387" s="3" t="s">
        <v>444</v>
      </c>
      <c r="W387" s="8"/>
      <c r="X387" s="8"/>
      <c r="Y387" s="8"/>
      <c r="Z387" s="8"/>
      <c r="AA387" s="8"/>
      <c r="AB387" s="8"/>
      <c r="AC387" s="1381"/>
      <c r="AD387" s="1381"/>
      <c r="AE387" s="1381"/>
      <c r="AF387" s="1381"/>
      <c r="AG387" s="1381"/>
      <c r="AH387" s="1381"/>
      <c r="AI387" s="1381"/>
      <c r="AJ387" s="1381"/>
    </row>
    <row r="388" spans="4:36" ht="13" customHeight="1">
      <c r="D388" t="s">
        <v>1285</v>
      </c>
      <c r="J388" s="1417"/>
      <c r="K388" s="1417"/>
      <c r="L388" s="1417"/>
      <c r="M388" s="1417"/>
      <c r="N388" s="1417"/>
      <c r="O388" s="1417"/>
      <c r="P388" s="1417"/>
      <c r="Q388" s="1417"/>
      <c r="R388" s="1417"/>
      <c r="S388" s="1417"/>
      <c r="T388" s="1417"/>
      <c r="U388" s="1417"/>
      <c r="V388" s="1381"/>
      <c r="W388" s="1381"/>
      <c r="X388" s="1381"/>
      <c r="Y388" s="1381"/>
      <c r="Z388" s="1381"/>
      <c r="AA388" s="1381"/>
      <c r="AB388" s="1381"/>
      <c r="AC388" s="1381"/>
      <c r="AD388" s="1381"/>
      <c r="AE388" s="1381"/>
      <c r="AF388" s="1381"/>
      <c r="AG388" s="1381"/>
      <c r="AH388" s="1381"/>
      <c r="AI388" s="1381"/>
      <c r="AJ388" s="1381"/>
    </row>
    <row r="389" spans="4:36" ht="13" customHeight="1">
      <c r="D389" t="s">
        <v>4</v>
      </c>
      <c r="Q389" s="1715">
        <v>45505</v>
      </c>
      <c r="R389" s="1715"/>
      <c r="S389" s="1715"/>
      <c r="T389" s="1715"/>
      <c r="U389" s="1715"/>
      <c r="V389" t="s">
        <v>310</v>
      </c>
      <c r="AI389" s="1383" t="s">
        <v>678</v>
      </c>
      <c r="AJ389" s="1383"/>
    </row>
    <row r="390" spans="4:36" ht="13" customHeight="1">
      <c r="D390" t="s">
        <v>5</v>
      </c>
      <c r="Q390" s="1612">
        <v>46042</v>
      </c>
      <c r="R390" s="1711"/>
      <c r="S390" s="1711"/>
      <c r="T390" s="1711"/>
      <c r="U390" s="1711"/>
      <c r="W390" s="21" t="s">
        <v>74</v>
      </c>
      <c r="AG390" s="1500"/>
      <c r="AH390" s="1500"/>
      <c r="AI390" s="1500"/>
      <c r="AJ390" s="1500"/>
    </row>
    <row r="391" spans="4:36" ht="13" customHeight="1">
      <c r="D391" t="s">
        <v>428</v>
      </c>
      <c r="Q391" s="1710">
        <f>'Sources and Uses Budget'!C4</f>
        <v>4510000</v>
      </c>
      <c r="R391" s="1710"/>
      <c r="S391" s="1710"/>
      <c r="T391" s="1710"/>
      <c r="U391" s="1710"/>
      <c r="V391" s="3" t="s">
        <v>1288</v>
      </c>
      <c r="AG391" s="1530">
        <v>45819</v>
      </c>
      <c r="AH391" s="1530"/>
      <c r="AI391" s="1530"/>
      <c r="AJ391" s="1530"/>
    </row>
    <row r="392" spans="4:36" ht="13" customHeight="1">
      <c r="D392" t="s">
        <v>88</v>
      </c>
      <c r="I392" s="1535" t="s">
        <v>2656</v>
      </c>
      <c r="J392" s="1490"/>
      <c r="K392" s="1490"/>
      <c r="L392" s="1490"/>
      <c r="M392" s="1490"/>
      <c r="N392" s="1490"/>
      <c r="Q392" s="4" t="s">
        <v>207</v>
      </c>
      <c r="S392" s="1713"/>
      <c r="T392" s="1713"/>
      <c r="U392" s="1713"/>
      <c r="V392" t="s">
        <v>73</v>
      </c>
      <c r="AI392" s="1383" t="s">
        <v>678</v>
      </c>
      <c r="AJ392" s="1383"/>
    </row>
    <row r="393" spans="4:36" ht="13" customHeight="1">
      <c r="D393" t="s">
        <v>311</v>
      </c>
      <c r="Q393" s="1541"/>
      <c r="R393" s="1541"/>
      <c r="S393" s="1541"/>
      <c r="T393" s="1541"/>
      <c r="U393" s="1541"/>
      <c r="V393" t="s">
        <v>312</v>
      </c>
      <c r="AG393" s="1500"/>
      <c r="AH393" s="1500"/>
      <c r="AI393" s="1500"/>
      <c r="AJ393" s="1500"/>
    </row>
    <row r="394" spans="4:36" ht="13" customHeight="1">
      <c r="D394" t="s">
        <v>313</v>
      </c>
      <c r="Q394" s="1582"/>
      <c r="R394" s="1582"/>
      <c r="S394" s="1582"/>
      <c r="T394" s="1582"/>
      <c r="U394" s="1582"/>
      <c r="V394" t="s">
        <v>1269</v>
      </c>
      <c r="AG394" s="1500"/>
      <c r="AH394" s="1500"/>
      <c r="AI394" s="1500"/>
      <c r="AJ394" s="1500"/>
    </row>
    <row r="395" spans="4:36" ht="13" customHeight="1">
      <c r="D395" t="s">
        <v>1268</v>
      </c>
      <c r="AG395" s="1500"/>
      <c r="AH395" s="1500"/>
      <c r="AI395" s="1500"/>
      <c r="AJ395" s="1500"/>
    </row>
    <row r="396" spans="4:36" ht="13" customHeight="1">
      <c r="AG396" s="490"/>
      <c r="AH396" s="490"/>
      <c r="AI396" s="490"/>
      <c r="AJ396" s="490"/>
    </row>
    <row r="397" spans="4:36" ht="13" customHeight="1">
      <c r="D397" s="3" t="s">
        <v>2502</v>
      </c>
      <c r="AG397" s="490"/>
      <c r="AH397" s="490"/>
      <c r="AI397" s="1383" t="s">
        <v>678</v>
      </c>
      <c r="AJ397" s="1383"/>
    </row>
    <row r="398" spans="4:36" ht="13" customHeight="1">
      <c r="D398" s="3" t="s">
        <v>1781</v>
      </c>
      <c r="T398" s="1476"/>
      <c r="U398" s="1476"/>
      <c r="V398" s="1476"/>
      <c r="W398" s="1476"/>
      <c r="X398" s="1476"/>
      <c r="Y398" s="1476"/>
      <c r="Z398" s="1476"/>
      <c r="AA398" s="1476"/>
      <c r="AB398" s="1476"/>
      <c r="AC398" s="1476"/>
      <c r="AD398" s="1476"/>
      <c r="AE398" s="1476"/>
      <c r="AF398" s="1476"/>
      <c r="AG398" s="1476"/>
      <c r="AH398" s="1476"/>
      <c r="AI398" s="1476"/>
      <c r="AJ398" s="1476"/>
    </row>
    <row r="399" spans="4:36" ht="13" customHeight="1">
      <c r="D399" s="3" t="s">
        <v>1780</v>
      </c>
      <c r="T399" s="1476"/>
      <c r="U399" s="1476"/>
      <c r="V399" s="1476"/>
      <c r="W399" s="1476"/>
      <c r="X399" s="1476"/>
      <c r="Y399" s="1476"/>
      <c r="Z399" s="1476"/>
      <c r="AA399" s="1476"/>
      <c r="AB399" s="1476"/>
      <c r="AC399" s="1476"/>
      <c r="AD399" s="1476"/>
      <c r="AE399" s="1476"/>
      <c r="AF399" s="1476"/>
      <c r="AG399" s="1476"/>
      <c r="AH399" s="1476"/>
      <c r="AI399" s="1476"/>
      <c r="AJ399" s="1476"/>
    </row>
    <row r="400" spans="4:36" ht="13" customHeight="1">
      <c r="AG400" s="490"/>
      <c r="AH400" s="490"/>
      <c r="AI400" s="490"/>
      <c r="AJ400" s="490"/>
    </row>
    <row r="401" spans="1:36" ht="13" customHeight="1">
      <c r="D401" s="3" t="s">
        <v>1774</v>
      </c>
      <c r="S401" s="1476" t="s">
        <v>678</v>
      </c>
      <c r="T401" s="1476"/>
      <c r="U401" s="1476"/>
      <c r="V401" t="s">
        <v>1775</v>
      </c>
      <c r="AG401" s="1532"/>
      <c r="AH401" s="1532"/>
      <c r="AI401" s="1532"/>
      <c r="AJ401" s="1532"/>
    </row>
    <row r="402" spans="1:36" ht="13" customHeight="1">
      <c r="D402" s="3" t="s">
        <v>1772</v>
      </c>
      <c r="S402" s="1476" t="s">
        <v>600</v>
      </c>
      <c r="T402" s="1476"/>
      <c r="U402" s="1476"/>
      <c r="V402" t="s">
        <v>1777</v>
      </c>
      <c r="AE402" s="1498"/>
      <c r="AF402" s="1498"/>
      <c r="AG402" s="1498"/>
      <c r="AH402" s="1498"/>
      <c r="AI402" s="1498"/>
      <c r="AJ402" s="1498"/>
    </row>
    <row r="403" spans="1:36" ht="13" customHeight="1">
      <c r="D403" s="3" t="s">
        <v>1773</v>
      </c>
      <c r="K403" s="1531"/>
      <c r="L403" s="1531"/>
      <c r="M403" s="1531"/>
      <c r="N403" s="1531"/>
      <c r="O403" s="1531"/>
      <c r="P403" s="1531"/>
      <c r="Q403" s="1531"/>
      <c r="R403" s="1531"/>
      <c r="S403" s="1531"/>
      <c r="T403" s="1531"/>
      <c r="U403" s="1531"/>
      <c r="V403" s="1531"/>
      <c r="W403" s="1531"/>
      <c r="X403" s="1531"/>
      <c r="Y403" s="1531"/>
      <c r="Z403" s="1531"/>
      <c r="AA403" s="1531"/>
      <c r="AB403" s="1531"/>
      <c r="AC403" s="1531"/>
      <c r="AD403" s="1531"/>
      <c r="AE403" s="1531"/>
      <c r="AF403" s="1531"/>
      <c r="AG403" s="1531"/>
      <c r="AH403" s="1531"/>
      <c r="AI403" s="1531"/>
      <c r="AJ403" s="1531"/>
    </row>
    <row r="404" spans="1:36" ht="13" customHeight="1">
      <c r="D404" s="3" t="s">
        <v>1776</v>
      </c>
      <c r="K404" s="1531"/>
      <c r="L404" s="1531"/>
      <c r="M404" s="1531"/>
      <c r="N404" s="1531"/>
      <c r="O404" s="1531"/>
      <c r="P404" s="1531"/>
      <c r="Q404" s="1531"/>
      <c r="R404" s="1531"/>
      <c r="S404" s="1531"/>
      <c r="T404" s="1531"/>
      <c r="U404" s="1531"/>
      <c r="V404" s="1531"/>
      <c r="W404" s="1531"/>
      <c r="X404" s="1531"/>
      <c r="Y404" s="1531"/>
      <c r="Z404" s="1531"/>
      <c r="AA404" s="1531"/>
      <c r="AB404" s="1531"/>
      <c r="AC404" s="1531"/>
      <c r="AD404" s="1531"/>
      <c r="AE404" s="1531"/>
      <c r="AF404" s="1531"/>
      <c r="AG404" s="1531"/>
      <c r="AH404" s="1531"/>
      <c r="AI404" s="1531"/>
      <c r="AJ404" s="1531"/>
    </row>
    <row r="405" spans="1:36" ht="13" customHeight="1">
      <c r="D405" s="3" t="s">
        <v>1779</v>
      </c>
      <c r="E405" s="511"/>
      <c r="F405" s="511"/>
      <c r="G405" s="511"/>
      <c r="H405" s="511"/>
      <c r="I405" s="511"/>
      <c r="J405" s="511"/>
      <c r="K405" s="511"/>
      <c r="L405" s="511"/>
      <c r="M405" s="511"/>
      <c r="N405" s="511"/>
      <c r="O405" s="511"/>
      <c r="P405" s="511"/>
      <c r="Q405" s="511"/>
      <c r="R405" s="511"/>
      <c r="S405" s="1507" t="s">
        <v>1291</v>
      </c>
      <c r="T405" s="1507"/>
      <c r="U405" s="1507"/>
      <c r="V405" s="1507"/>
      <c r="W405" s="1507"/>
      <c r="X405" s="1507"/>
      <c r="Y405" s="1507"/>
      <c r="Z405" s="1507"/>
      <c r="AA405" s="1507"/>
      <c r="AB405" s="1507"/>
      <c r="AC405" s="1507"/>
      <c r="AD405" s="1507"/>
      <c r="AE405" s="1507"/>
      <c r="AF405" s="1507"/>
      <c r="AG405" s="1507"/>
      <c r="AH405" s="1507"/>
      <c r="AI405" s="1507"/>
      <c r="AJ405" s="1507"/>
    </row>
    <row r="406" spans="1:36" ht="13" customHeight="1">
      <c r="D406" s="1270" t="s">
        <v>1778</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 customHeight="1">
      <c r="AG408" s="490"/>
      <c r="AH408" s="490"/>
      <c r="AI408" s="490"/>
      <c r="AJ408" s="490"/>
    </row>
    <row r="409" spans="1:36" ht="13" customHeight="1">
      <c r="A409" s="2" t="s">
        <v>598</v>
      </c>
      <c r="B409" s="2"/>
      <c r="C409" s="2" t="s">
        <v>111</v>
      </c>
    </row>
    <row r="410" spans="1:36" ht="13" customHeight="1">
      <c r="B410" s="2"/>
      <c r="C410" s="2"/>
      <c r="D410" s="2" t="s">
        <v>1311</v>
      </c>
      <c r="I410" s="1489" t="s">
        <v>2704</v>
      </c>
      <c r="J410" s="1489"/>
      <c r="K410" s="1489"/>
      <c r="L410" s="1489"/>
      <c r="M410" s="1489"/>
      <c r="N410" s="1489"/>
      <c r="O410" s="1489"/>
      <c r="P410" s="1489"/>
      <c r="Q410" s="1489"/>
      <c r="R410" s="1489"/>
      <c r="S410" s="1489"/>
      <c r="T410" s="1489"/>
      <c r="U410" s="1489"/>
      <c r="V410" s="1489"/>
      <c r="W410" s="1489"/>
      <c r="X410" s="1489"/>
      <c r="Y410" s="1489"/>
      <c r="Z410" s="1489"/>
      <c r="AA410" s="1489"/>
      <c r="AB410" s="1489"/>
      <c r="AC410" s="1489"/>
      <c r="AD410" s="1489"/>
      <c r="AE410" s="1489"/>
    </row>
    <row r="411" spans="1:36" ht="13" customHeight="1">
      <c r="E411" t="s">
        <v>106</v>
      </c>
      <c r="R411" s="1383" t="s">
        <v>554</v>
      </c>
      <c r="S411" s="1383"/>
      <c r="AC411" s="27" t="s">
        <v>579</v>
      </c>
      <c r="AD411" s="1441">
        <v>5</v>
      </c>
      <c r="AE411" s="1441"/>
    </row>
    <row r="412" spans="1:36" ht="13" customHeight="1">
      <c r="E412" t="s">
        <v>107</v>
      </c>
      <c r="R412" s="1383" t="s">
        <v>600</v>
      </c>
      <c r="S412" s="1383"/>
      <c r="AC412" s="27" t="s">
        <v>579</v>
      </c>
      <c r="AD412" s="1441"/>
      <c r="AE412" s="1441"/>
    </row>
    <row r="413" spans="1:36" ht="13" customHeight="1">
      <c r="E413" t="s">
        <v>108</v>
      </c>
      <c r="S413" s="1383" t="s">
        <v>600</v>
      </c>
      <c r="T413" s="1383"/>
    </row>
    <row r="414" spans="1:36" ht="13" customHeight="1">
      <c r="E414" t="s">
        <v>170</v>
      </c>
      <c r="H414" s="1533" t="s">
        <v>335</v>
      </c>
      <c r="I414" s="1533"/>
      <c r="J414" s="1533"/>
      <c r="K414" s="1533"/>
      <c r="L414" s="1533"/>
      <c r="M414" s="1533"/>
      <c r="N414" s="1533"/>
      <c r="O414" s="1533"/>
      <c r="P414" s="1533"/>
      <c r="Q414" s="1533"/>
      <c r="R414" s="1533"/>
      <c r="S414" s="1533"/>
      <c r="T414" s="1533"/>
      <c r="U414" s="1533"/>
      <c r="V414" s="1533"/>
      <c r="W414" s="1533"/>
      <c r="X414" s="1533"/>
      <c r="Y414" s="1533"/>
      <c r="Z414" s="1533"/>
      <c r="AA414" s="1533"/>
      <c r="AB414" s="1533"/>
      <c r="AC414" s="1533"/>
      <c r="AD414" s="1533"/>
      <c r="AE414" s="1533"/>
    </row>
    <row r="415" spans="1:36" ht="13" customHeight="1">
      <c r="H415" s="1534"/>
      <c r="I415" s="1534"/>
      <c r="J415" s="1534"/>
      <c r="K415" s="1534"/>
      <c r="L415" s="1534"/>
      <c r="M415" s="1534"/>
      <c r="N415" s="1534"/>
      <c r="O415" s="1534"/>
      <c r="P415" s="1534"/>
      <c r="Q415" s="1534"/>
      <c r="R415" s="1534"/>
      <c r="S415" s="1534"/>
      <c r="T415" s="1534"/>
      <c r="U415" s="1534"/>
      <c r="V415" s="1534"/>
      <c r="W415" s="1534"/>
      <c r="X415" s="1534"/>
      <c r="Y415" s="1534"/>
      <c r="Z415" s="1534"/>
      <c r="AA415" s="1534"/>
      <c r="AB415" s="1534"/>
      <c r="AC415" s="1534"/>
      <c r="AD415" s="1534"/>
      <c r="AE415" s="1534"/>
    </row>
    <row r="416" spans="1:36" ht="13" customHeight="1"/>
    <row r="417" spans="1:39" ht="13" customHeight="1">
      <c r="A417" s="2" t="s">
        <v>599</v>
      </c>
      <c r="B417" s="2"/>
      <c r="C417" s="2"/>
      <c r="D417" s="2" t="s">
        <v>114</v>
      </c>
      <c r="AF417" s="2" t="s">
        <v>977</v>
      </c>
    </row>
    <row r="418" spans="1:39" ht="13" customHeight="1">
      <c r="E418" s="1475"/>
      <c r="F418" s="1475"/>
      <c r="G418" s="1475"/>
      <c r="H418" s="13" t="s">
        <v>115</v>
      </c>
      <c r="I418" s="1475"/>
      <c r="J418" s="1475"/>
      <c r="K418" s="1475"/>
      <c r="L418" t="s">
        <v>116</v>
      </c>
      <c r="N418" s="27" t="s">
        <v>584</v>
      </c>
      <c r="P418" s="1712">
        <v>0.46</v>
      </c>
      <c r="Q418" s="1712"/>
      <c r="R418" s="1712"/>
      <c r="S418" t="s">
        <v>117</v>
      </c>
      <c r="W418" s="1404">
        <f>IF(E418&gt;0,(E418*I418),(P418*43560))</f>
        <v>20037.600000000002</v>
      </c>
      <c r="X418" s="1404"/>
      <c r="Y418" s="1404"/>
      <c r="Z418" t="s">
        <v>118</v>
      </c>
      <c r="AF418" s="1709">
        <f>IFERROR(IF(P418&gt;0,(AG437/P418),(AG437/(W418/43560))),0)</f>
        <v>173.91304347826087</v>
      </c>
      <c r="AG418" s="1709"/>
      <c r="AH418" s="1709"/>
      <c r="AM418" s="3"/>
    </row>
    <row r="419" spans="1:39" ht="13" customHeight="1">
      <c r="E419" t="s">
        <v>51</v>
      </c>
    </row>
    <row r="420" spans="1:39" ht="13" customHeight="1">
      <c r="E420" s="1501"/>
      <c r="F420" s="1501"/>
      <c r="G420" s="1501"/>
      <c r="H420" s="1501"/>
      <c r="I420" s="1501"/>
      <c r="J420" s="1501"/>
      <c r="K420" s="1501"/>
      <c r="L420" s="1501"/>
      <c r="M420" s="1501"/>
      <c r="N420" s="1501"/>
      <c r="O420" s="1501"/>
      <c r="P420" s="1501"/>
      <c r="Q420" s="1501"/>
      <c r="R420" s="1501"/>
      <c r="S420" s="1501"/>
      <c r="T420" s="1501"/>
      <c r="U420" s="1501"/>
      <c r="V420" s="1501"/>
      <c r="W420" s="1501"/>
      <c r="X420" s="1501"/>
      <c r="Y420" s="1501"/>
      <c r="Z420" s="1501"/>
      <c r="AA420" s="1501"/>
      <c r="AB420" s="1501"/>
      <c r="AC420" s="1501"/>
      <c r="AD420" s="1501"/>
      <c r="AE420" s="1501"/>
      <c r="AF420" s="1501"/>
      <c r="AG420" s="1501"/>
      <c r="AH420" s="1501"/>
      <c r="AI420" s="1501"/>
      <c r="AJ420" s="1501"/>
    </row>
    <row r="421" spans="1:39" ht="13" customHeight="1">
      <c r="E421" s="118" t="s">
        <v>1926</v>
      </c>
      <c r="F421" s="1048"/>
      <c r="G421" s="1048"/>
      <c r="H421" s="1048"/>
      <c r="I421" s="1575">
        <f>P418</f>
        <v>0.46</v>
      </c>
      <c r="J421" s="1575"/>
      <c r="K421" s="1575"/>
      <c r="L421" s="1048"/>
      <c r="M421" s="118"/>
      <c r="N421" s="1048"/>
      <c r="O421" s="1048"/>
      <c r="P421" s="1849">
        <f>(CS634+CS642+CS658)/I421</f>
        <v>200</v>
      </c>
      <c r="Q421" s="1849"/>
      <c r="R421" s="1849"/>
      <c r="S421" s="118" t="s">
        <v>1927</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601</v>
      </c>
      <c r="B423" s="2"/>
      <c r="C423" s="2"/>
      <c r="D423" s="2" t="s">
        <v>120</v>
      </c>
    </row>
    <row r="424" spans="1:39" ht="13" customHeight="1">
      <c r="E424" t="s">
        <v>121</v>
      </c>
      <c r="P424" s="1383">
        <v>1</v>
      </c>
      <c r="Q424" s="1383"/>
      <c r="S424" t="s">
        <v>190</v>
      </c>
      <c r="AE424" s="1383">
        <v>1</v>
      </c>
      <c r="AF424" s="1383"/>
    </row>
    <row r="425" spans="1:39" ht="13" customHeight="1">
      <c r="E425" t="s">
        <v>191</v>
      </c>
      <c r="P425" s="1383">
        <v>0</v>
      </c>
      <c r="Q425" s="1383"/>
      <c r="S425" t="s">
        <v>131</v>
      </c>
      <c r="AE425" s="1383" t="s">
        <v>600</v>
      </c>
      <c r="AF425" s="1383"/>
    </row>
    <row r="426" spans="1:39" ht="13" customHeight="1">
      <c r="F426" s="28" t="s">
        <v>132</v>
      </c>
    </row>
    <row r="427" spans="1:39" ht="13" customHeight="1">
      <c r="F427" s="1496"/>
      <c r="G427" s="1496"/>
      <c r="H427" s="1496"/>
      <c r="I427" s="1496"/>
      <c r="J427" s="1496"/>
      <c r="K427" s="1496"/>
      <c r="L427" s="1496"/>
      <c r="M427" s="1496"/>
      <c r="N427" s="1496"/>
      <c r="O427" s="1496"/>
      <c r="P427" s="1496"/>
      <c r="Q427" s="1496"/>
      <c r="R427" s="1496"/>
      <c r="S427" s="1496"/>
      <c r="T427" s="1496"/>
      <c r="U427" s="1496"/>
      <c r="V427" s="1496"/>
      <c r="W427" s="1496"/>
      <c r="X427" s="1496"/>
      <c r="Y427" s="1496"/>
      <c r="Z427" s="1496"/>
      <c r="AA427" s="1496"/>
      <c r="AB427" s="1496"/>
      <c r="AC427" s="1496"/>
      <c r="AD427" s="1496"/>
      <c r="AE427" s="1496"/>
      <c r="AF427" s="1496"/>
      <c r="AG427" s="1496"/>
      <c r="AH427" s="1496"/>
    </row>
    <row r="428" spans="1:39" ht="13" customHeight="1">
      <c r="F428" s="1497"/>
      <c r="G428" s="1497"/>
      <c r="H428" s="1497"/>
      <c r="I428" s="1497"/>
      <c r="J428" s="1497"/>
      <c r="K428" s="1497"/>
      <c r="L428" s="1497"/>
      <c r="M428" s="1497"/>
      <c r="N428" s="1497"/>
      <c r="O428" s="1497"/>
      <c r="P428" s="1497"/>
      <c r="Q428" s="1497"/>
      <c r="R428" s="1497"/>
      <c r="S428" s="1497"/>
      <c r="T428" s="1497"/>
      <c r="U428" s="1497"/>
      <c r="V428" s="1497"/>
      <c r="W428" s="1497"/>
      <c r="X428" s="1497"/>
      <c r="Y428" s="1497"/>
      <c r="Z428" s="1497"/>
      <c r="AA428" s="1497"/>
      <c r="AB428" s="1497"/>
      <c r="AC428" s="1497"/>
      <c r="AD428" s="1497"/>
      <c r="AE428" s="1497"/>
      <c r="AF428" s="1497"/>
      <c r="AG428" s="1497"/>
      <c r="AH428" s="1497"/>
    </row>
    <row r="429" spans="1:39" ht="13" customHeight="1">
      <c r="E429" t="s">
        <v>617</v>
      </c>
      <c r="P429" s="1"/>
      <c r="Q429" s="1383" t="s">
        <v>554</v>
      </c>
      <c r="R429" s="1383"/>
    </row>
    <row r="430" spans="1:39" ht="13" customHeight="1">
      <c r="F430" t="s">
        <v>618</v>
      </c>
      <c r="P430" s="1"/>
      <c r="Q430" s="1"/>
      <c r="AF430" s="1383" t="s">
        <v>600</v>
      </c>
      <c r="AG430" s="1487"/>
    </row>
    <row r="431" spans="1:39" ht="13" customHeight="1"/>
    <row r="432" spans="1:39" ht="13" customHeight="1">
      <c r="A432" s="2"/>
      <c r="B432" s="2"/>
      <c r="C432" s="2"/>
      <c r="E432" s="4" t="s">
        <v>309</v>
      </c>
      <c r="Z432" s="1383" t="s">
        <v>678</v>
      </c>
      <c r="AA432" s="1383"/>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717</v>
      </c>
      <c r="G434" s="40"/>
      <c r="I434" s="40"/>
      <c r="J434" s="40"/>
      <c r="K434" s="40"/>
      <c r="L434" s="40"/>
      <c r="M434" s="40"/>
      <c r="N434" s="40"/>
      <c r="O434" s="28"/>
      <c r="P434" s="40"/>
      <c r="Q434" s="40"/>
      <c r="R434" s="40"/>
      <c r="S434" s="40"/>
      <c r="T434" s="40"/>
      <c r="U434" s="40"/>
      <c r="V434" s="40"/>
      <c r="W434" s="40"/>
      <c r="Z434" s="1383" t="s">
        <v>600</v>
      </c>
      <c r="AA434" s="1383"/>
    </row>
    <row r="435" spans="1:110" ht="13" customHeight="1"/>
    <row r="436" spans="1:110" ht="13" customHeight="1">
      <c r="A436" s="2" t="s">
        <v>476</v>
      </c>
      <c r="B436" s="2"/>
      <c r="C436" s="2"/>
      <c r="D436" s="2" t="s">
        <v>774</v>
      </c>
      <c r="AF436" s="48"/>
    </row>
    <row r="437" spans="1:110" ht="13" customHeight="1">
      <c r="D437" s="1472" t="s">
        <v>43</v>
      </c>
      <c r="E437" s="1448"/>
      <c r="F437" s="1448"/>
      <c r="G437" s="1448"/>
      <c r="H437" s="1448"/>
      <c r="I437" s="1448"/>
      <c r="J437" s="1448"/>
      <c r="K437" s="1448"/>
      <c r="L437" s="1448"/>
      <c r="M437" s="1448"/>
      <c r="N437" s="1448"/>
      <c r="O437" s="1448"/>
      <c r="P437" s="1448"/>
      <c r="Q437" s="1448"/>
      <c r="R437" s="1448"/>
      <c r="S437" s="1448"/>
      <c r="T437" s="1448"/>
      <c r="U437" s="1448"/>
      <c r="V437" s="1448"/>
      <c r="W437" s="1448"/>
      <c r="X437" s="1448"/>
      <c r="Y437" s="1448"/>
      <c r="Z437" s="1448"/>
      <c r="AA437" s="1448"/>
      <c r="AB437" s="1448"/>
      <c r="AC437" s="1448"/>
      <c r="AD437" s="1448"/>
      <c r="AE437" s="1448"/>
      <c r="AF437" s="1449"/>
      <c r="AG437" s="1419">
        <f>G753+1</f>
        <v>80</v>
      </c>
      <c r="AH437" s="1420"/>
      <c r="AI437" s="1420"/>
      <c r="AJ437" s="1420"/>
    </row>
    <row r="438" spans="1:110" ht="13" customHeight="1">
      <c r="D438" s="1409" t="s">
        <v>1330</v>
      </c>
      <c r="E438" s="1410"/>
      <c r="F438" s="1410"/>
      <c r="G438" s="1410"/>
      <c r="H438" s="1410"/>
      <c r="I438" s="1410"/>
      <c r="J438" s="1410"/>
      <c r="K438" s="1410"/>
      <c r="L438" s="1410"/>
      <c r="M438" s="1410"/>
      <c r="N438" s="1410"/>
      <c r="O438" s="1410"/>
      <c r="P438" s="1410"/>
      <c r="Q438" s="1410"/>
      <c r="R438" s="1410"/>
      <c r="S438" s="1410"/>
      <c r="T438" s="1410"/>
      <c r="U438" s="1410"/>
      <c r="V438" s="1410"/>
      <c r="W438" s="1410"/>
      <c r="X438" s="1410"/>
      <c r="Y438" s="1410"/>
      <c r="Z438" s="1410"/>
      <c r="AA438" s="1410"/>
      <c r="AB438" s="1410"/>
      <c r="AC438" s="1410"/>
      <c r="AD438" s="1410"/>
      <c r="AE438" s="1410"/>
      <c r="AF438" s="1411"/>
      <c r="AG438" s="1499">
        <v>0</v>
      </c>
      <c r="AH438" s="1419"/>
      <c r="AI438" s="1419"/>
      <c r="AJ438" s="1419"/>
    </row>
    <row r="439" spans="1:110" ht="13" customHeight="1">
      <c r="D439" s="1409" t="s">
        <v>1056</v>
      </c>
      <c r="E439" s="1410"/>
      <c r="F439" s="1410"/>
      <c r="G439" s="1410"/>
      <c r="H439" s="1410"/>
      <c r="I439" s="1410"/>
      <c r="J439" s="1410"/>
      <c r="K439" s="1410"/>
      <c r="L439" s="1410"/>
      <c r="M439" s="1410"/>
      <c r="N439" s="1410"/>
      <c r="O439" s="1410"/>
      <c r="P439" s="1410"/>
      <c r="Q439" s="1410"/>
      <c r="R439" s="1410"/>
      <c r="S439" s="1410"/>
      <c r="T439" s="1410"/>
      <c r="U439" s="1410"/>
      <c r="V439" s="1410"/>
      <c r="W439" s="1410"/>
      <c r="X439" s="1410"/>
      <c r="Y439" s="1410"/>
      <c r="Z439" s="1410"/>
      <c r="AA439" s="1410"/>
      <c r="AB439" s="1410"/>
      <c r="AC439" s="1410"/>
      <c r="AD439" s="1410"/>
      <c r="AE439" s="1410"/>
      <c r="AF439" s="1411"/>
      <c r="AG439" s="1420">
        <f>AG437-1</f>
        <v>79</v>
      </c>
      <c r="AH439" s="1420"/>
      <c r="AI439" s="1420"/>
      <c r="AJ439" s="1420"/>
    </row>
    <row r="440" spans="1:110" ht="13" customHeight="1">
      <c r="D440" s="1409" t="s">
        <v>1057</v>
      </c>
      <c r="E440" s="1410"/>
      <c r="F440" s="1410"/>
      <c r="G440" s="1410"/>
      <c r="H440" s="1410"/>
      <c r="I440" s="1410"/>
      <c r="J440" s="1410"/>
      <c r="K440" s="1410"/>
      <c r="L440" s="1410"/>
      <c r="M440" s="1410"/>
      <c r="N440" s="1410"/>
      <c r="O440" s="1410"/>
      <c r="P440" s="1410"/>
      <c r="Q440" s="1410"/>
      <c r="R440" s="1410"/>
      <c r="S440" s="1410"/>
      <c r="T440" s="1410"/>
      <c r="U440" s="1410"/>
      <c r="V440" s="1410"/>
      <c r="W440" s="1410"/>
      <c r="X440" s="1410"/>
      <c r="Y440" s="1410"/>
      <c r="Z440" s="1410"/>
      <c r="AA440" s="1410"/>
      <c r="AB440" s="1410"/>
      <c r="AC440" s="1410"/>
      <c r="AD440" s="1410"/>
      <c r="AE440" s="1410"/>
      <c r="AF440" s="1411"/>
      <c r="AG440" s="1420">
        <f>AG439</f>
        <v>79</v>
      </c>
      <c r="AH440" s="1420"/>
      <c r="AI440" s="1420"/>
      <c r="AJ440" s="1420"/>
    </row>
    <row r="441" spans="1:110" ht="13" customHeight="1">
      <c r="D441" s="1409" t="s">
        <v>1059</v>
      </c>
      <c r="E441" s="1410"/>
      <c r="F441" s="1410"/>
      <c r="G441" s="1410"/>
      <c r="H441" s="1410"/>
      <c r="I441" s="1410"/>
      <c r="J441" s="1410"/>
      <c r="K441" s="1410"/>
      <c r="L441" s="1410"/>
      <c r="M441" s="1410"/>
      <c r="N441" s="1410"/>
      <c r="O441" s="1410"/>
      <c r="P441" s="1410"/>
      <c r="Q441" s="1410"/>
      <c r="R441" s="1410"/>
      <c r="S441" s="1410"/>
      <c r="T441" s="1410"/>
      <c r="U441" s="1410"/>
      <c r="V441" s="1410"/>
      <c r="W441" s="1410"/>
      <c r="X441" s="1410"/>
      <c r="Y441" s="1410"/>
      <c r="Z441" s="1410"/>
      <c r="AA441" s="1410"/>
      <c r="AB441" s="1410"/>
      <c r="AC441" s="1410"/>
      <c r="AD441" s="1410"/>
      <c r="AE441" s="1410"/>
      <c r="AF441" s="1411"/>
      <c r="AG441" s="1456">
        <f>IF(ISERROR(AG440/AG439),"",AG440/AG439)</f>
        <v>1</v>
      </c>
      <c r="AH441" s="1456"/>
      <c r="AI441" s="1456"/>
      <c r="AJ441" s="1456"/>
    </row>
    <row r="442" spans="1:110" ht="13" customHeight="1">
      <c r="D442" s="1409" t="s">
        <v>1058</v>
      </c>
      <c r="E442" s="1410"/>
      <c r="F442" s="1410"/>
      <c r="G442" s="1410"/>
      <c r="H442" s="1410"/>
      <c r="I442" s="1410"/>
      <c r="J442" s="1410"/>
      <c r="K442" s="1410"/>
      <c r="L442" s="1410"/>
      <c r="M442" s="1410"/>
      <c r="N442" s="1410"/>
      <c r="O442" s="1410"/>
      <c r="P442" s="1410"/>
      <c r="Q442" s="1410"/>
      <c r="R442" s="1410"/>
      <c r="S442" s="1410"/>
      <c r="T442" s="1410"/>
      <c r="U442" s="1410"/>
      <c r="V442" s="1410"/>
      <c r="W442" s="1410"/>
      <c r="X442" s="1410"/>
      <c r="Y442" s="1410"/>
      <c r="Z442" s="1410"/>
      <c r="AA442" s="1410"/>
      <c r="AB442" s="1410"/>
      <c r="AC442" s="1410"/>
      <c r="AD442" s="1410"/>
      <c r="AE442" s="1410"/>
      <c r="AF442" s="1411"/>
      <c r="AG442" s="1408">
        <f>47256+7984+490+180</f>
        <v>55910</v>
      </c>
      <c r="AH442" s="1408"/>
      <c r="AI442" s="1408"/>
      <c r="AJ442" s="1408"/>
    </row>
    <row r="443" spans="1:110" ht="13" customHeight="1">
      <c r="D443" s="1409" t="s">
        <v>1060</v>
      </c>
      <c r="E443" s="1410"/>
      <c r="F443" s="1410"/>
      <c r="G443" s="1410"/>
      <c r="H443" s="1410"/>
      <c r="I443" s="1410"/>
      <c r="J443" s="1410"/>
      <c r="K443" s="1410"/>
      <c r="L443" s="1410"/>
      <c r="M443" s="1410"/>
      <c r="N443" s="1410"/>
      <c r="O443" s="1410"/>
      <c r="P443" s="1410"/>
      <c r="Q443" s="1410"/>
      <c r="R443" s="1410"/>
      <c r="S443" s="1410"/>
      <c r="T443" s="1410"/>
      <c r="U443" s="1410"/>
      <c r="V443" s="1410"/>
      <c r="W443" s="1410"/>
      <c r="X443" s="1410"/>
      <c r="Y443" s="1410"/>
      <c r="Z443" s="1410"/>
      <c r="AA443" s="1410"/>
      <c r="AB443" s="1410"/>
      <c r="AC443" s="1410"/>
      <c r="AD443" s="1410"/>
      <c r="AE443" s="1410"/>
      <c r="AF443" s="1411"/>
      <c r="AG443" s="1408">
        <f>AG442</f>
        <v>55910</v>
      </c>
      <c r="AH443" s="1408"/>
      <c r="AI443" s="1408"/>
      <c r="AJ443" s="1408"/>
    </row>
    <row r="444" spans="1:110" ht="13" customHeight="1">
      <c r="D444" s="1409" t="s">
        <v>1061</v>
      </c>
      <c r="E444" s="1410"/>
      <c r="F444" s="1410"/>
      <c r="G444" s="1410"/>
      <c r="H444" s="1410"/>
      <c r="I444" s="1410"/>
      <c r="J444" s="1410"/>
      <c r="K444" s="1410"/>
      <c r="L444" s="1410"/>
      <c r="M444" s="1410"/>
      <c r="N444" s="1410"/>
      <c r="O444" s="1410"/>
      <c r="P444" s="1410"/>
      <c r="Q444" s="1410"/>
      <c r="R444" s="1410"/>
      <c r="S444" s="1410"/>
      <c r="T444" s="1410"/>
      <c r="U444" s="1410"/>
      <c r="V444" s="1410"/>
      <c r="W444" s="1410"/>
      <c r="X444" s="1410"/>
      <c r="Y444" s="1410"/>
      <c r="Z444" s="1410"/>
      <c r="AA444" s="1410"/>
      <c r="AB444" s="1410"/>
      <c r="AC444" s="1410"/>
      <c r="AD444" s="1410"/>
      <c r="AE444" s="1410"/>
      <c r="AF444" s="1411"/>
      <c r="AG444" s="1456">
        <f>IF(ISERROR(AG443/AG442),"",AG443/AG442)</f>
        <v>1</v>
      </c>
      <c r="AH444" s="1456"/>
      <c r="AI444" s="1456"/>
      <c r="AJ444" s="1456"/>
    </row>
    <row r="445" spans="1:110" ht="13" customHeight="1">
      <c r="D445" s="1409" t="s">
        <v>1062</v>
      </c>
      <c r="E445" s="1410"/>
      <c r="F445" s="1410"/>
      <c r="G445" s="1410"/>
      <c r="H445" s="1410"/>
      <c r="I445" s="1410"/>
      <c r="J445" s="1410"/>
      <c r="K445" s="1410"/>
      <c r="L445" s="1410"/>
      <c r="M445" s="1410"/>
      <c r="N445" s="1410"/>
      <c r="O445" s="1410"/>
      <c r="P445" s="1410"/>
      <c r="Q445" s="1410"/>
      <c r="R445" s="1410"/>
      <c r="S445" s="1410"/>
      <c r="T445" s="1410"/>
      <c r="U445" s="1410"/>
      <c r="V445" s="1410"/>
      <c r="W445" s="1410"/>
      <c r="X445" s="1410"/>
      <c r="Y445" s="1410"/>
      <c r="Z445" s="1410"/>
      <c r="AA445" s="1410"/>
      <c r="AB445" s="1410"/>
      <c r="AC445" s="1410"/>
      <c r="AD445" s="1410"/>
      <c r="AE445" s="1410"/>
      <c r="AF445" s="1411"/>
      <c r="AG445" s="1456">
        <f>MIN(IF(AG441&gt;AG444,AG444,AG441),1)</f>
        <v>1</v>
      </c>
      <c r="AH445" s="1456"/>
      <c r="AI445" s="1456"/>
      <c r="AJ445" s="1456"/>
    </row>
    <row r="446" spans="1:110" ht="13" customHeight="1">
      <c r="D446" s="1409" t="s">
        <v>2404</v>
      </c>
      <c r="E446" s="1448"/>
      <c r="F446" s="1448"/>
      <c r="G446" s="1448"/>
      <c r="H446" s="1448"/>
      <c r="I446" s="1448"/>
      <c r="J446" s="1448"/>
      <c r="K446" s="1448"/>
      <c r="L446" s="1448"/>
      <c r="M446" s="1448"/>
      <c r="N446" s="1448"/>
      <c r="O446" s="1448"/>
      <c r="P446" s="1448"/>
      <c r="Q446" s="1448"/>
      <c r="R446" s="1448"/>
      <c r="S446" s="1448"/>
      <c r="T446" s="1448"/>
      <c r="U446" s="1448"/>
      <c r="V446" s="1448"/>
      <c r="W446" s="1448"/>
      <c r="X446" s="1448"/>
      <c r="Y446" s="1448"/>
      <c r="Z446" s="1448"/>
      <c r="AA446" s="1448"/>
      <c r="AB446" s="1448"/>
      <c r="AC446" s="1448"/>
      <c r="AD446" s="1448"/>
      <c r="AE446" s="1448"/>
      <c r="AF446" s="1449"/>
      <c r="AG446" s="1408">
        <f>630+828</f>
        <v>1458</v>
      </c>
      <c r="AH446" s="1408"/>
      <c r="AI446" s="1408"/>
      <c r="AJ446" s="1408"/>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72" t="s">
        <v>578</v>
      </c>
      <c r="E447" s="1448"/>
      <c r="F447" s="1448"/>
      <c r="G447" s="1448"/>
      <c r="H447" s="1448"/>
      <c r="I447" s="1448"/>
      <c r="J447" s="1448"/>
      <c r="K447" s="1448"/>
      <c r="L447" s="1448"/>
      <c r="M447" s="1448"/>
      <c r="N447" s="1448"/>
      <c r="O447" s="1448"/>
      <c r="P447" s="1448"/>
      <c r="Q447" s="1448"/>
      <c r="R447" s="1448"/>
      <c r="S447" s="1448"/>
      <c r="T447" s="1448"/>
      <c r="U447" s="1448"/>
      <c r="V447" s="1448"/>
      <c r="W447" s="1448"/>
      <c r="X447" s="1448"/>
      <c r="Y447" s="1448"/>
      <c r="Z447" s="1448"/>
      <c r="AA447" s="1448"/>
      <c r="AB447" s="1448"/>
      <c r="AC447" s="1448"/>
      <c r="AD447" s="1448"/>
      <c r="AE447" s="1448"/>
      <c r="AF447" s="1449"/>
      <c r="AG447" s="1408">
        <v>0</v>
      </c>
      <c r="AH447" s="1408"/>
      <c r="AI447" s="1408"/>
      <c r="AJ447" s="1408"/>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409" t="s">
        <v>1312</v>
      </c>
      <c r="E448" s="1448"/>
      <c r="F448" s="1448"/>
      <c r="G448" s="1448"/>
      <c r="H448" s="1448"/>
      <c r="I448" s="1448"/>
      <c r="J448" s="1448"/>
      <c r="K448" s="1448"/>
      <c r="L448" s="1448"/>
      <c r="M448" s="1448"/>
      <c r="N448" s="1448"/>
      <c r="O448" s="1448"/>
      <c r="P448" s="1448"/>
      <c r="Q448" s="1448"/>
      <c r="R448" s="1448"/>
      <c r="S448" s="1448"/>
      <c r="T448" s="1448"/>
      <c r="U448" s="1448"/>
      <c r="V448" s="1448"/>
      <c r="W448" s="1448"/>
      <c r="X448" s="1448"/>
      <c r="Y448" s="1448"/>
      <c r="Z448" s="1448"/>
      <c r="AA448" s="1448"/>
      <c r="AB448" s="1448"/>
      <c r="AC448" s="1448"/>
      <c r="AD448" s="1448"/>
      <c r="AE448" s="1448"/>
      <c r="AF448" s="1449"/>
      <c r="AG448" s="1408">
        <f>804+108+595+360</f>
        <v>1867</v>
      </c>
      <c r="AH448" s="1408"/>
      <c r="AI448" s="1408"/>
      <c r="AJ448" s="1408"/>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409" t="s">
        <v>1063</v>
      </c>
      <c r="E449" s="1448"/>
      <c r="F449" s="1448"/>
      <c r="G449" s="1448"/>
      <c r="H449" s="1448"/>
      <c r="I449" s="1448"/>
      <c r="J449" s="1448"/>
      <c r="K449" s="1448"/>
      <c r="L449" s="1448"/>
      <c r="M449" s="1448"/>
      <c r="N449" s="1448"/>
      <c r="O449" s="1448"/>
      <c r="P449" s="1448"/>
      <c r="Q449" s="1448"/>
      <c r="R449" s="1448"/>
      <c r="S449" s="1448"/>
      <c r="T449" s="1448"/>
      <c r="U449" s="1448"/>
      <c r="V449" s="1448"/>
      <c r="W449" s="1448"/>
      <c r="X449" s="1448"/>
      <c r="Y449" s="1448"/>
      <c r="Z449" s="1448"/>
      <c r="AA449" s="1448"/>
      <c r="AB449" s="1448"/>
      <c r="AC449" s="1448"/>
      <c r="AD449" s="1448"/>
      <c r="AE449" s="1448"/>
      <c r="AF449" s="1449"/>
      <c r="AG449" s="1408">
        <f>9333+708</f>
        <v>10041</v>
      </c>
      <c r="AH449" s="1408"/>
      <c r="AI449" s="1408"/>
      <c r="AJ449" s="1408"/>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467" t="s">
        <v>1064</v>
      </c>
      <c r="E450" s="1468"/>
      <c r="F450" s="1468"/>
      <c r="G450" s="1468"/>
      <c r="H450" s="1468"/>
      <c r="I450" s="1468"/>
      <c r="J450" s="1468"/>
      <c r="K450" s="1468"/>
      <c r="L450" s="1468"/>
      <c r="M450" s="1468"/>
      <c r="N450" s="1468"/>
      <c r="O450" s="1468"/>
      <c r="P450" s="1468"/>
      <c r="Q450" s="1468"/>
      <c r="R450" s="1468"/>
      <c r="S450" s="1468"/>
      <c r="T450" s="1468"/>
      <c r="U450" s="1468"/>
      <c r="V450" s="1468"/>
      <c r="W450" s="1468"/>
      <c r="X450" s="1468"/>
      <c r="Y450" s="1468"/>
      <c r="Z450" s="1468"/>
      <c r="AA450" s="1468"/>
      <c r="AB450" s="1468"/>
      <c r="AC450" s="1468"/>
      <c r="AD450" s="1468"/>
      <c r="AE450" s="1468"/>
      <c r="AF450" s="1469"/>
      <c r="AG450" s="1421">
        <f>AG442+AG446+AG448+AG449</f>
        <v>69276</v>
      </c>
      <c r="AH450" s="1421"/>
      <c r="AI450" s="1421"/>
      <c r="AJ450" s="142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470" t="s">
        <v>1313</v>
      </c>
      <c r="E451" s="1470"/>
      <c r="F451" s="1470"/>
      <c r="G451" s="1470"/>
      <c r="H451" s="1470"/>
      <c r="I451" s="1470"/>
      <c r="J451" s="1470"/>
      <c r="K451" s="1470"/>
      <c r="L451" s="1470"/>
      <c r="M451" s="1470"/>
      <c r="N451" s="1470"/>
      <c r="O451" s="1470"/>
      <c r="P451" s="1470"/>
      <c r="Q451" s="1470"/>
      <c r="R451" s="1470"/>
      <c r="S451" s="1470"/>
      <c r="T451" s="1470"/>
      <c r="U451" s="1470"/>
      <c r="V451" s="1470"/>
      <c r="W451" s="1470"/>
      <c r="X451" s="1470"/>
      <c r="Y451" s="1470"/>
      <c r="Z451" s="1470"/>
      <c r="AA451" s="1470"/>
      <c r="AB451" s="1470"/>
      <c r="AC451" s="1470"/>
      <c r="AD451" s="1470"/>
      <c r="AE451" s="1470"/>
      <c r="AF451" s="1470"/>
      <c r="AG451" s="1470"/>
      <c r="AH451" s="1470"/>
      <c r="AI451" s="1470"/>
      <c r="AJ451" s="147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471"/>
      <c r="E452" s="1471"/>
      <c r="F452" s="1471"/>
      <c r="G452" s="1471"/>
      <c r="H452" s="1471"/>
      <c r="I452" s="1471"/>
      <c r="J452" s="1471"/>
      <c r="K452" s="1471"/>
      <c r="L452" s="1471"/>
      <c r="M452" s="1471"/>
      <c r="N452" s="1471"/>
      <c r="O452" s="1471"/>
      <c r="P452" s="1471"/>
      <c r="Q452" s="1471"/>
      <c r="R452" s="1471"/>
      <c r="S452" s="1471"/>
      <c r="T452" s="1471"/>
      <c r="U452" s="1471"/>
      <c r="V452" s="1471"/>
      <c r="W452" s="1471"/>
      <c r="X452" s="1471"/>
      <c r="Y452" s="1471"/>
      <c r="Z452" s="1471"/>
      <c r="AA452" s="1471"/>
      <c r="AB452" s="1471"/>
      <c r="AC452" s="1471"/>
      <c r="AD452" s="1471"/>
      <c r="AE452" s="1471"/>
      <c r="AF452" s="1471"/>
      <c r="AG452" s="1471"/>
      <c r="AH452" s="1471"/>
      <c r="AI452" s="1471"/>
      <c r="AJ452" s="147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2">
        <f>IF(AG437=0,"",'Sources and Uses Budget'!B105/Application!AG437)</f>
        <v>713905.61250000005</v>
      </c>
      <c r="AD454" s="1422"/>
      <c r="AE454" s="1422"/>
      <c r="AF454" s="142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2">
        <f>IF(AG437=0,"",'Sources and Uses Budget'!C105/Application!AG437)</f>
        <v>713905.61250000005</v>
      </c>
      <c r="AD455" s="1422"/>
      <c r="AE455" s="1422"/>
      <c r="AF455" s="142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2">
        <f>IF(AG437=0,"",('Sources and Uses Budget'!$S$107+'Sources and Uses Budget'!$T$107)/Application!AG437)</f>
        <v>651360.23750000005</v>
      </c>
      <c r="AD456" s="1422"/>
      <c r="AE456" s="1422"/>
      <c r="AF456" s="142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2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33" t="s">
        <v>2418</v>
      </c>
      <c r="E465" s="1425"/>
      <c r="F465" s="1425"/>
      <c r="G465" s="1425"/>
      <c r="H465" s="1425"/>
      <c r="I465" s="1425"/>
      <c r="J465" s="1425"/>
      <c r="K465" s="1425"/>
      <c r="L465" s="1425"/>
      <c r="M465" s="1425"/>
      <c r="N465" s="1425"/>
      <c r="O465" s="1425"/>
      <c r="P465" s="1425"/>
      <c r="Q465" s="1425"/>
      <c r="R465" s="1425"/>
      <c r="S465" s="1425"/>
      <c r="T465" s="1425"/>
      <c r="U465" s="1425"/>
      <c r="V465" s="1426"/>
      <c r="W465" s="1434">
        <v>0</v>
      </c>
      <c r="X465" s="1435"/>
      <c r="Y465" s="143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24" t="s">
        <v>703</v>
      </c>
      <c r="E466" s="1425"/>
      <c r="F466" s="1425"/>
      <c r="G466" s="1425"/>
      <c r="H466" s="1425"/>
      <c r="I466" s="1425"/>
      <c r="J466" s="1425"/>
      <c r="K466" s="1425"/>
      <c r="L466" s="1425"/>
      <c r="M466" s="1425"/>
      <c r="N466" s="1425"/>
      <c r="O466" s="1425"/>
      <c r="P466" s="1425"/>
      <c r="Q466" s="1425"/>
      <c r="R466" s="1425"/>
      <c r="S466" s="1425"/>
      <c r="T466" s="1425"/>
      <c r="U466" s="1425"/>
      <c r="V466" s="1426"/>
      <c r="W466" s="1434">
        <v>0</v>
      </c>
      <c r="X466" s="1435"/>
      <c r="Y466" s="143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24" t="s">
        <v>704</v>
      </c>
      <c r="E467" s="1425"/>
      <c r="F467" s="1425"/>
      <c r="G467" s="1425"/>
      <c r="H467" s="1425"/>
      <c r="I467" s="1425"/>
      <c r="J467" s="1425"/>
      <c r="K467" s="1425"/>
      <c r="L467" s="1425"/>
      <c r="M467" s="1425"/>
      <c r="N467" s="1425"/>
      <c r="O467" s="1425"/>
      <c r="P467" s="1425"/>
      <c r="Q467" s="1425"/>
      <c r="R467" s="1425"/>
      <c r="S467" s="1425"/>
      <c r="T467" s="1425"/>
      <c r="U467" s="1425"/>
      <c r="V467" s="1426"/>
      <c r="W467" s="1434">
        <v>0</v>
      </c>
      <c r="X467" s="1435"/>
      <c r="Y467" s="143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24" t="s">
        <v>705</v>
      </c>
      <c r="E468" s="1425"/>
      <c r="F468" s="1425"/>
      <c r="G468" s="1425"/>
      <c r="H468" s="1425"/>
      <c r="I468" s="1425"/>
      <c r="J468" s="1425"/>
      <c r="K468" s="1425"/>
      <c r="L468" s="1425"/>
      <c r="M468" s="1425"/>
      <c r="N468" s="1425"/>
      <c r="O468" s="1425"/>
      <c r="P468" s="1425"/>
      <c r="Q468" s="1425"/>
      <c r="R468" s="1425"/>
      <c r="S468" s="1425"/>
      <c r="T468" s="1425"/>
      <c r="U468" s="1425"/>
      <c r="V468" s="1426"/>
      <c r="W468" s="1434">
        <v>0</v>
      </c>
      <c r="X468" s="1435"/>
      <c r="Y468" s="143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24" t="s">
        <v>894</v>
      </c>
      <c r="E469" s="1425"/>
      <c r="F469" s="1425"/>
      <c r="G469" s="1425"/>
      <c r="H469" s="1425"/>
      <c r="I469" s="1425"/>
      <c r="J469" s="1425"/>
      <c r="K469" s="1425"/>
      <c r="L469" s="1425"/>
      <c r="M469" s="1425"/>
      <c r="N469" s="1425"/>
      <c r="O469" s="1425"/>
      <c r="P469" s="1425"/>
      <c r="Q469" s="1425"/>
      <c r="R469" s="1425"/>
      <c r="S469" s="1425"/>
      <c r="T469" s="1425"/>
      <c r="U469" s="1425"/>
      <c r="V469" s="1426"/>
      <c r="W469" s="1434">
        <v>0</v>
      </c>
      <c r="X469" s="1435"/>
      <c r="Y469" s="143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24" t="s">
        <v>706</v>
      </c>
      <c r="E470" s="1425"/>
      <c r="F470" s="1425"/>
      <c r="G470" s="1425"/>
      <c r="H470" s="1425"/>
      <c r="I470" s="1425"/>
      <c r="J470" s="1425"/>
      <c r="K470" s="1425"/>
      <c r="L470" s="1425"/>
      <c r="M470" s="1425"/>
      <c r="N470" s="1425"/>
      <c r="O470" s="1425"/>
      <c r="P470" s="1425"/>
      <c r="Q470" s="1425"/>
      <c r="R470" s="1425"/>
      <c r="S470" s="1425"/>
      <c r="T470" s="1425"/>
      <c r="U470" s="1425"/>
      <c r="V470" s="1426"/>
      <c r="W470" s="1434">
        <v>0</v>
      </c>
      <c r="X470" s="1435"/>
      <c r="Y470" s="1436"/>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24" t="s">
        <v>1037</v>
      </c>
      <c r="E471" s="1425"/>
      <c r="F471" s="1425"/>
      <c r="G471" s="1425"/>
      <c r="H471" s="1425"/>
      <c r="I471" s="1425"/>
      <c r="J471" s="1425"/>
      <c r="K471" s="1425"/>
      <c r="L471" s="1425"/>
      <c r="M471" s="1425"/>
      <c r="N471" s="1425"/>
      <c r="O471" s="1425"/>
      <c r="P471" s="1425"/>
      <c r="Q471" s="1425"/>
      <c r="R471" s="1425"/>
      <c r="S471" s="1425"/>
      <c r="T471" s="1425"/>
      <c r="U471" s="1425"/>
      <c r="V471" s="1426"/>
      <c r="W471" s="1434">
        <v>0</v>
      </c>
      <c r="X471" s="1435"/>
      <c r="Y471" s="143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33" t="s">
        <v>2553</v>
      </c>
      <c r="E472" s="1473"/>
      <c r="F472" s="1473"/>
      <c r="G472" s="1473"/>
      <c r="H472" s="1473"/>
      <c r="I472" s="1473"/>
      <c r="J472" s="1473"/>
      <c r="K472" s="1473"/>
      <c r="L472" s="1473"/>
      <c r="M472" s="1473"/>
      <c r="N472" s="1473"/>
      <c r="O472" s="1473"/>
      <c r="P472" s="1473"/>
      <c r="Q472" s="1473"/>
      <c r="R472" s="1473"/>
      <c r="S472" s="1473"/>
      <c r="T472" s="1473"/>
      <c r="U472" s="1473"/>
      <c r="V472" s="1474"/>
      <c r="W472" s="1434">
        <v>0</v>
      </c>
      <c r="X472" s="1435"/>
      <c r="Y472" s="143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33" t="s">
        <v>1767</v>
      </c>
      <c r="E473" s="1425"/>
      <c r="F473" s="1425"/>
      <c r="G473" s="1425"/>
      <c r="H473" s="1425"/>
      <c r="I473" s="1425"/>
      <c r="J473" s="1425"/>
      <c r="K473" s="1425"/>
      <c r="L473" s="1425"/>
      <c r="M473" s="1425"/>
      <c r="N473" s="1425"/>
      <c r="O473" s="1425"/>
      <c r="P473" s="1425"/>
      <c r="Q473" s="1425"/>
      <c r="R473" s="1425"/>
      <c r="S473" s="1425"/>
      <c r="T473" s="1425"/>
      <c r="U473" s="1425"/>
      <c r="V473" s="1426"/>
      <c r="W473" s="1434">
        <v>12</v>
      </c>
      <c r="X473" s="1435"/>
      <c r="Y473" s="143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453" t="s">
        <v>2741</v>
      </c>
      <c r="H474" s="1454"/>
      <c r="I474" s="1454"/>
      <c r="J474" s="1454"/>
      <c r="K474" s="1454"/>
      <c r="L474" s="1454"/>
      <c r="M474" s="1454"/>
      <c r="N474" s="1454"/>
      <c r="O474" s="1454"/>
      <c r="P474" s="1454"/>
      <c r="Q474" s="1454"/>
      <c r="R474" s="1454"/>
      <c r="S474" s="1454"/>
      <c r="T474" s="1454"/>
      <c r="U474" s="1454"/>
      <c r="V474" s="1455"/>
      <c r="W474" s="1434">
        <v>8</v>
      </c>
      <c r="X474" s="1435"/>
      <c r="Y474" s="143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f>AG599</f>
        <v>0</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654" t="s">
        <v>820</v>
      </c>
      <c r="B480" s="1654"/>
      <c r="C480" s="1654"/>
      <c r="D480" s="1654"/>
      <c r="E480" s="1654"/>
      <c r="F480" s="1654"/>
      <c r="G480" s="1654"/>
      <c r="H480" s="1654"/>
      <c r="I480" s="1654"/>
      <c r="J480" s="1654"/>
      <c r="K480" s="1654"/>
      <c r="L480" s="1654"/>
      <c r="M480" s="1654"/>
      <c r="N480" s="1654"/>
      <c r="O480" s="1654"/>
      <c r="P480" s="1654"/>
      <c r="Q480" s="1654"/>
      <c r="R480" s="1654"/>
      <c r="S480" s="1654"/>
      <c r="T480" s="1654"/>
      <c r="U480" s="1654"/>
      <c r="V480" s="1654"/>
      <c r="W480" s="1654"/>
      <c r="X480" s="1654"/>
      <c r="Y480" s="1654"/>
      <c r="Z480" s="1654"/>
      <c r="AA480" s="1654"/>
      <c r="AB480" s="1654"/>
      <c r="AC480" s="1654"/>
      <c r="AD480" s="1654"/>
      <c r="AE480" s="1654"/>
      <c r="AF480" s="1654"/>
      <c r="AG480" s="1654"/>
      <c r="AH480" s="1654"/>
      <c r="AI480" s="1654"/>
      <c r="AJ480" s="1654"/>
      <c r="AK480" s="1654"/>
      <c r="AL480" s="1654"/>
      <c r="AM480" s="1654"/>
      <c r="AN480" s="1654"/>
      <c r="AO480" s="1654"/>
      <c r="AP480" s="1654"/>
      <c r="AQ480" s="1654"/>
      <c r="AR480" s="1654"/>
      <c r="AS480" s="1654"/>
      <c r="AT480" s="1654"/>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654"/>
      <c r="B481" s="1654"/>
      <c r="C481" s="1654"/>
      <c r="D481" s="1654"/>
      <c r="E481" s="1654"/>
      <c r="F481" s="1654"/>
      <c r="G481" s="1654"/>
      <c r="H481" s="1654"/>
      <c r="I481" s="1654"/>
      <c r="J481" s="1654"/>
      <c r="K481" s="1654"/>
      <c r="L481" s="1654"/>
      <c r="M481" s="1654"/>
      <c r="N481" s="1654"/>
      <c r="O481" s="1654"/>
      <c r="P481" s="1654"/>
      <c r="Q481" s="1654"/>
      <c r="R481" s="1654"/>
      <c r="S481" s="1654"/>
      <c r="T481" s="1654"/>
      <c r="U481" s="1654"/>
      <c r="V481" s="1654"/>
      <c r="W481" s="1654"/>
      <c r="X481" s="1654"/>
      <c r="Y481" s="1654"/>
      <c r="Z481" s="1654"/>
      <c r="AA481" s="1654"/>
      <c r="AB481" s="1654"/>
      <c r="AC481" s="1654"/>
      <c r="AD481" s="1654"/>
      <c r="AE481" s="1654"/>
      <c r="AF481" s="1654"/>
      <c r="AG481" s="1654"/>
      <c r="AH481" s="1654"/>
      <c r="AI481" s="1654"/>
      <c r="AJ481" s="1654"/>
      <c r="AK481" s="1654"/>
      <c r="AL481" s="1654"/>
      <c r="AM481" s="1654"/>
      <c r="AN481" s="1654"/>
      <c r="AO481" s="1654"/>
      <c r="AP481" s="1654"/>
      <c r="AQ481" s="1654"/>
      <c r="AR481" s="1654"/>
      <c r="AS481" s="1654"/>
      <c r="AT481" s="165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450" t="s">
        <v>394</v>
      </c>
      <c r="R485" s="1451"/>
      <c r="S485" s="1451"/>
      <c r="T485" s="1451"/>
      <c r="U485" s="1451"/>
      <c r="V485" s="1451"/>
      <c r="W485" s="1451"/>
      <c r="X485" s="1451"/>
      <c r="Y485" s="1451"/>
      <c r="Z485" s="1451"/>
      <c r="AA485" s="1451"/>
      <c r="AB485" s="1451"/>
      <c r="AC485" s="1451"/>
      <c r="AD485" s="1451"/>
      <c r="AE485" s="1451"/>
      <c r="AF485" s="1451"/>
      <c r="AG485" s="1451"/>
      <c r="AH485" s="1451"/>
      <c r="AI485" s="1451"/>
      <c r="AJ485" s="1451"/>
      <c r="AK485" s="1452"/>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437" t="s">
        <v>2705</v>
      </c>
      <c r="R486" s="1438"/>
      <c r="S486" s="1438"/>
      <c r="T486" s="1438"/>
      <c r="U486" s="1438"/>
      <c r="V486" s="1438"/>
      <c r="W486" s="1438"/>
      <c r="X486" s="1438"/>
      <c r="Y486" s="1438"/>
      <c r="Z486" s="1438"/>
      <c r="AA486" s="1438"/>
      <c r="AB486" s="1438"/>
      <c r="AC486" s="1438"/>
      <c r="AD486" s="1438"/>
      <c r="AE486" s="1438"/>
      <c r="AF486" s="1438"/>
      <c r="AG486" s="1438"/>
      <c r="AH486" s="1438"/>
      <c r="AI486" s="1438"/>
      <c r="AJ486" s="1438"/>
      <c r="AK486" s="1439"/>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437" t="s">
        <v>2706</v>
      </c>
      <c r="R487" s="1438"/>
      <c r="S487" s="1438"/>
      <c r="T487" s="1438"/>
      <c r="U487" s="1438"/>
      <c r="V487" s="1438"/>
      <c r="W487" s="1438"/>
      <c r="X487" s="1438"/>
      <c r="Y487" s="1438"/>
      <c r="Z487" s="1438"/>
      <c r="AA487" s="1438"/>
      <c r="AB487" s="1438"/>
      <c r="AC487" s="1438"/>
      <c r="AD487" s="1438"/>
      <c r="AE487" s="1438"/>
      <c r="AF487" s="1438"/>
      <c r="AG487" s="1438"/>
      <c r="AH487" s="1438"/>
      <c r="AI487" s="1438"/>
      <c r="AJ487" s="1438"/>
      <c r="AK487" s="1439"/>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437" t="s">
        <v>2707</v>
      </c>
      <c r="R488" s="1438"/>
      <c r="S488" s="1438"/>
      <c r="T488" s="1438"/>
      <c r="U488" s="1438"/>
      <c r="V488" s="1438"/>
      <c r="W488" s="1438"/>
      <c r="X488" s="1438"/>
      <c r="Y488" s="1438"/>
      <c r="Z488" s="1438"/>
      <c r="AA488" s="1438"/>
      <c r="AB488" s="1438"/>
      <c r="AC488" s="1438"/>
      <c r="AD488" s="1438"/>
      <c r="AE488" s="1438"/>
      <c r="AF488" s="1438"/>
      <c r="AG488" s="1438"/>
      <c r="AH488" s="1438"/>
      <c r="AI488" s="1438"/>
      <c r="AJ488" s="1438"/>
      <c r="AK488" s="143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57" t="s">
        <v>398</v>
      </c>
      <c r="C489" s="1458"/>
      <c r="D489" s="1458"/>
      <c r="E489" s="1458"/>
      <c r="F489" s="1458"/>
      <c r="G489" s="1458"/>
      <c r="H489" s="1458"/>
      <c r="I489" s="1458"/>
      <c r="J489" s="1458"/>
      <c r="K489" s="1458"/>
      <c r="L489" s="1458"/>
      <c r="M489" s="1458"/>
      <c r="N489" s="1458"/>
      <c r="O489" s="1458"/>
      <c r="P489" s="1459"/>
      <c r="Q489" s="1463" t="s">
        <v>678</v>
      </c>
      <c r="R489" s="1464"/>
      <c r="S489" s="1536" t="s">
        <v>166</v>
      </c>
      <c r="T489" s="1537"/>
      <c r="U489" s="1537"/>
      <c r="V489" s="1537"/>
      <c r="W489" s="1537"/>
      <c r="X489" s="1537"/>
      <c r="Y489" s="1537"/>
      <c r="Z489" s="1537"/>
      <c r="AA489" s="1537"/>
      <c r="AB489" s="1537"/>
      <c r="AC489" s="1537"/>
      <c r="AD489" s="1537"/>
      <c r="AE489" s="1537"/>
      <c r="AF489" s="1537"/>
      <c r="AG489" s="1537"/>
      <c r="AH489" s="1537"/>
      <c r="AI489" s="1537"/>
      <c r="AJ489" s="1537"/>
      <c r="AK489" s="153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60"/>
      <c r="C490" s="1461"/>
      <c r="D490" s="1461"/>
      <c r="E490" s="1461"/>
      <c r="F490" s="1461"/>
      <c r="G490" s="1461"/>
      <c r="H490" s="1461"/>
      <c r="I490" s="1461"/>
      <c r="J490" s="1461"/>
      <c r="K490" s="1461"/>
      <c r="L490" s="1461"/>
      <c r="M490" s="1461"/>
      <c r="N490" s="1461"/>
      <c r="O490" s="1461"/>
      <c r="P490" s="1462"/>
      <c r="Q490" s="1465"/>
      <c r="R490" s="1466"/>
      <c r="S490" s="1539"/>
      <c r="T490" s="1497"/>
      <c r="U490" s="1497"/>
      <c r="V490" s="1497"/>
      <c r="W490" s="1497"/>
      <c r="X490" s="1497"/>
      <c r="Y490" s="1497"/>
      <c r="Z490" s="1497"/>
      <c r="AA490" s="1497"/>
      <c r="AB490" s="1497"/>
      <c r="AC490" s="1497"/>
      <c r="AD490" s="1497"/>
      <c r="AE490" s="1497"/>
      <c r="AF490" s="1497"/>
      <c r="AG490" s="1497"/>
      <c r="AH490" s="1497"/>
      <c r="AI490" s="1497"/>
      <c r="AJ490" s="1497"/>
      <c r="AK490" s="154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1785</v>
      </c>
      <c r="C491" s="907"/>
      <c r="D491" s="907"/>
      <c r="E491" s="907"/>
      <c r="F491" s="907"/>
      <c r="G491" s="907"/>
      <c r="H491" s="907"/>
      <c r="I491" s="907"/>
      <c r="J491" s="907"/>
      <c r="K491" s="907"/>
      <c r="L491" s="907"/>
      <c r="M491" s="907"/>
      <c r="N491" s="907"/>
      <c r="O491" s="907"/>
      <c r="P491" s="907"/>
      <c r="Q491" s="1427" t="s">
        <v>678</v>
      </c>
      <c r="R491" s="1428"/>
      <c r="S491" s="1428"/>
      <c r="T491" s="1428"/>
      <c r="U491" s="1428"/>
      <c r="V491" s="1428"/>
      <c r="W491" s="1428"/>
      <c r="X491" s="1428"/>
      <c r="Y491" s="1428"/>
      <c r="Z491" s="1428"/>
      <c r="AA491" s="1428"/>
      <c r="AB491" s="1428"/>
      <c r="AC491" s="1428"/>
      <c r="AD491" s="1428"/>
      <c r="AE491" s="1428"/>
      <c r="AF491" s="1428"/>
      <c r="AG491" s="1428"/>
      <c r="AH491" s="1428"/>
      <c r="AI491" s="1428"/>
      <c r="AJ491" s="1428"/>
      <c r="AK491" s="142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437" t="s">
        <v>2708</v>
      </c>
      <c r="R492" s="1438"/>
      <c r="S492" s="1438"/>
      <c r="T492" s="1438"/>
      <c r="U492" s="1438"/>
      <c r="V492" s="1438"/>
      <c r="W492" s="1438"/>
      <c r="X492" s="1438"/>
      <c r="Y492" s="1438"/>
      <c r="Z492" s="1438"/>
      <c r="AA492" s="1438"/>
      <c r="AB492" s="1438"/>
      <c r="AC492" s="1438"/>
      <c r="AD492" s="1438"/>
      <c r="AE492" s="1438"/>
      <c r="AF492" s="1438"/>
      <c r="AG492" s="1438"/>
      <c r="AH492" s="1438"/>
      <c r="AI492" s="1438"/>
      <c r="AJ492" s="1438"/>
      <c r="AK492" s="143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437" t="s">
        <v>2701</v>
      </c>
      <c r="R493" s="1438"/>
      <c r="S493" s="1438"/>
      <c r="T493" s="1438"/>
      <c r="U493" s="1438"/>
      <c r="V493" s="1438"/>
      <c r="W493" s="1438"/>
      <c r="X493" s="1438"/>
      <c r="Y493" s="1438"/>
      <c r="Z493" s="1438"/>
      <c r="AA493" s="1438"/>
      <c r="AB493" s="1438"/>
      <c r="AC493" s="1438"/>
      <c r="AD493" s="1438"/>
      <c r="AE493" s="1438"/>
      <c r="AF493" s="1438"/>
      <c r="AG493" s="1438"/>
      <c r="AH493" s="1438"/>
      <c r="AI493" s="1438"/>
      <c r="AJ493" s="1438"/>
      <c r="AK493" s="143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1782</v>
      </c>
      <c r="C494" s="5"/>
      <c r="D494" s="5"/>
      <c r="E494" s="5"/>
      <c r="F494" s="5"/>
      <c r="G494" s="5"/>
      <c r="H494" s="5"/>
      <c r="I494" s="5"/>
      <c r="J494" s="5"/>
      <c r="K494" s="5"/>
      <c r="L494" s="5"/>
      <c r="M494" s="5"/>
      <c r="N494" s="5"/>
      <c r="O494" s="5"/>
      <c r="P494" s="5"/>
      <c r="Q494" s="1437">
        <v>30</v>
      </c>
      <c r="R494" s="1438"/>
      <c r="S494" s="1438"/>
      <c r="T494" s="1438"/>
      <c r="U494" s="1438"/>
      <c r="V494" s="1438"/>
      <c r="W494" s="1438"/>
      <c r="X494" s="1438"/>
      <c r="Y494" s="1438"/>
      <c r="Z494" s="1438"/>
      <c r="AA494" s="1438"/>
      <c r="AB494" s="1438"/>
      <c r="AC494" s="1438"/>
      <c r="AD494" s="1438"/>
      <c r="AE494" s="1438"/>
      <c r="AF494" s="1438"/>
      <c r="AG494" s="1438"/>
      <c r="AH494" s="1438"/>
      <c r="AI494" s="1438"/>
      <c r="AJ494" s="1438"/>
      <c r="AK494" s="143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1783</v>
      </c>
      <c r="C495" s="5"/>
      <c r="D495" s="5"/>
      <c r="E495" s="5"/>
      <c r="F495" s="5"/>
      <c r="G495" s="5"/>
      <c r="H495" s="5"/>
      <c r="I495" s="5"/>
      <c r="J495" s="5"/>
      <c r="K495" s="5"/>
      <c r="L495" s="5"/>
      <c r="M495" s="1430">
        <f>Q494</f>
        <v>30</v>
      </c>
      <c r="N495" s="1431"/>
      <c r="O495" s="1431"/>
      <c r="P495" s="1432"/>
      <c r="Q495" s="121" t="s">
        <v>1784</v>
      </c>
      <c r="R495" s="5"/>
      <c r="S495" s="5"/>
      <c r="T495" s="5"/>
      <c r="U495" s="5"/>
      <c r="V495" s="5"/>
      <c r="W495" s="5"/>
      <c r="X495" s="5"/>
      <c r="Y495" s="5"/>
      <c r="Z495" s="5"/>
      <c r="AA495" s="5"/>
      <c r="AB495" s="5"/>
      <c r="AC495" s="5"/>
      <c r="AD495" s="5"/>
      <c r="AE495" s="5"/>
      <c r="AF495" s="5"/>
      <c r="AG495" s="5"/>
      <c r="AH495" s="1430"/>
      <c r="AI495" s="1431"/>
      <c r="AJ495" s="1431"/>
      <c r="AK495" s="1432"/>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0" t="s">
        <v>402</v>
      </c>
      <c r="AD499" s="1451"/>
      <c r="AE499" s="1451"/>
      <c r="AF499" s="1451"/>
      <c r="AG499" s="1451"/>
      <c r="AH499" s="1451"/>
      <c r="AI499" s="1451"/>
      <c r="AJ499" s="1451"/>
      <c r="AK499" s="1452"/>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0" t="s">
        <v>403</v>
      </c>
      <c r="AD500" s="1451"/>
      <c r="AE500" s="1451"/>
      <c r="AF500" s="1451"/>
      <c r="AG500" s="50" t="s">
        <v>404</v>
      </c>
      <c r="AH500" s="1451" t="s">
        <v>405</v>
      </c>
      <c r="AI500" s="1451"/>
      <c r="AJ500" s="1451"/>
      <c r="AK500" s="1452"/>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77" t="s">
        <v>406</v>
      </c>
      <c r="C501" s="1478"/>
      <c r="D501" s="1478"/>
      <c r="E501" s="1478"/>
      <c r="F501" s="1478"/>
      <c r="G501" s="1478"/>
      <c r="H501" s="1479"/>
      <c r="I501" s="42" t="s">
        <v>407</v>
      </c>
      <c r="J501" s="42"/>
      <c r="K501" s="42"/>
      <c r="L501" s="42"/>
      <c r="M501" s="42"/>
      <c r="N501" s="42"/>
      <c r="O501" s="42"/>
      <c r="P501" s="42"/>
      <c r="Q501" s="42"/>
      <c r="R501" s="42"/>
      <c r="S501" s="42"/>
      <c r="T501" s="42"/>
      <c r="U501" s="42"/>
      <c r="V501" s="42"/>
      <c r="W501" s="42"/>
      <c r="AC501" s="1440" t="s">
        <v>600</v>
      </c>
      <c r="AD501" s="1441"/>
      <c r="AE501" s="1441"/>
      <c r="AF501" s="1441"/>
      <c r="AG501" s="13" t="s">
        <v>404</v>
      </c>
      <c r="AH501" s="1417" t="s">
        <v>600</v>
      </c>
      <c r="AI501" s="1417"/>
      <c r="AJ501" s="1417"/>
      <c r="AK501" s="141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80"/>
      <c r="C502" s="1481"/>
      <c r="D502" s="1481"/>
      <c r="E502" s="1481"/>
      <c r="F502" s="1481"/>
      <c r="G502" s="1481"/>
      <c r="H502" s="1482"/>
      <c r="I502" s="48" t="s">
        <v>408</v>
      </c>
      <c r="J502" s="48"/>
      <c r="K502" s="48"/>
      <c r="L502" s="48"/>
      <c r="M502" s="48"/>
      <c r="N502" s="48"/>
      <c r="O502" s="48"/>
      <c r="P502" s="48"/>
      <c r="Q502" s="48"/>
      <c r="R502" s="48"/>
      <c r="S502" s="48"/>
      <c r="T502" s="48"/>
      <c r="U502" s="48"/>
      <c r="V502" s="48"/>
      <c r="W502" s="48"/>
      <c r="X502" s="48"/>
      <c r="Y502" s="48"/>
      <c r="Z502" s="48"/>
      <c r="AA502" s="48"/>
      <c r="AB502" s="48"/>
      <c r="AC502" s="1440">
        <v>6</v>
      </c>
      <c r="AD502" s="1441"/>
      <c r="AE502" s="1441"/>
      <c r="AF502" s="1441"/>
      <c r="AG502" s="38" t="s">
        <v>404</v>
      </c>
      <c r="AH502" s="1417">
        <v>2025</v>
      </c>
      <c r="AI502" s="1417"/>
      <c r="AJ502" s="1417"/>
      <c r="AK502" s="141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77" t="s">
        <v>409</v>
      </c>
      <c r="C503" s="1478"/>
      <c r="D503" s="1478"/>
      <c r="E503" s="1478"/>
      <c r="F503" s="1478"/>
      <c r="G503" s="1478"/>
      <c r="H503" s="1479"/>
      <c r="I503" s="42" t="s">
        <v>410</v>
      </c>
      <c r="J503" s="42"/>
      <c r="K503" s="42"/>
      <c r="L503" s="42"/>
      <c r="M503" s="42"/>
      <c r="N503" s="42"/>
      <c r="O503" s="42"/>
      <c r="P503" s="42"/>
      <c r="Q503" s="42"/>
      <c r="R503" s="42"/>
      <c r="S503" s="42"/>
      <c r="T503" s="42"/>
      <c r="U503" s="42"/>
      <c r="V503" s="42"/>
      <c r="W503" s="42"/>
      <c r="AC503" s="1440" t="s">
        <v>600</v>
      </c>
      <c r="AD503" s="1441"/>
      <c r="AE503" s="1441"/>
      <c r="AF503" s="1441"/>
      <c r="AG503" s="13" t="s">
        <v>404</v>
      </c>
      <c r="AH503" s="1417"/>
      <c r="AI503" s="1417"/>
      <c r="AJ503" s="1417"/>
      <c r="AK503" s="141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80"/>
      <c r="C504" s="1481"/>
      <c r="D504" s="1481"/>
      <c r="E504" s="1481"/>
      <c r="F504" s="1481"/>
      <c r="G504" s="1481"/>
      <c r="H504" s="1482"/>
      <c r="I504" t="s">
        <v>411</v>
      </c>
      <c r="AC504" s="1440" t="s">
        <v>600</v>
      </c>
      <c r="AD504" s="1441"/>
      <c r="AE504" s="1441"/>
      <c r="AF504" s="1441"/>
      <c r="AG504" s="13" t="s">
        <v>404</v>
      </c>
      <c r="AH504" s="1417"/>
      <c r="AI504" s="1417"/>
      <c r="AJ504" s="1417"/>
      <c r="AK504" s="141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80"/>
      <c r="C505" s="1481"/>
      <c r="D505" s="1481"/>
      <c r="E505" s="1481"/>
      <c r="F505" s="1481"/>
      <c r="G505" s="1481"/>
      <c r="H505" s="1482"/>
      <c r="I505" t="s">
        <v>412</v>
      </c>
      <c r="AC505" s="1440">
        <v>1</v>
      </c>
      <c r="AD505" s="1441"/>
      <c r="AE505" s="1441"/>
      <c r="AF505" s="1441"/>
      <c r="AG505" s="13" t="s">
        <v>404</v>
      </c>
      <c r="AH505" s="1417">
        <v>2025</v>
      </c>
      <c r="AI505" s="1417"/>
      <c r="AJ505" s="1417"/>
      <c r="AK505" s="141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80"/>
      <c r="C506" s="1481"/>
      <c r="D506" s="1481"/>
      <c r="E506" s="1481"/>
      <c r="F506" s="1481"/>
      <c r="G506" s="1481"/>
      <c r="H506" s="1482"/>
      <c r="I506" t="s">
        <v>413</v>
      </c>
      <c r="AC506" s="1440" t="s">
        <v>600</v>
      </c>
      <c r="AD506" s="1441"/>
      <c r="AE506" s="1441"/>
      <c r="AF506" s="1441"/>
      <c r="AG506" s="13" t="s">
        <v>404</v>
      </c>
      <c r="AH506" s="1417"/>
      <c r="AI506" s="1417"/>
      <c r="AJ506" s="1417"/>
      <c r="AK506" s="141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80"/>
      <c r="C507" s="1481"/>
      <c r="D507" s="1481"/>
      <c r="E507" s="1481"/>
      <c r="F507" s="1481"/>
      <c r="G507" s="1481"/>
      <c r="H507" s="1482"/>
      <c r="I507" s="3" t="s">
        <v>414</v>
      </c>
      <c r="AC507" s="1357">
        <v>4</v>
      </c>
      <c r="AD507" s="1358"/>
      <c r="AE507" s="1358"/>
      <c r="AF507" s="1358"/>
      <c r="AG507" s="13" t="s">
        <v>404</v>
      </c>
      <c r="AH507" s="1417">
        <v>2025</v>
      </c>
      <c r="AI507" s="1417"/>
      <c r="AJ507" s="1417"/>
      <c r="AK507" s="141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80"/>
      <c r="C508" s="1481"/>
      <c r="D508" s="1481"/>
      <c r="E508" s="1481"/>
      <c r="F508" s="1481"/>
      <c r="G508" s="1481"/>
      <c r="H508" s="1482"/>
      <c r="I508" s="931" t="s">
        <v>170</v>
      </c>
      <c r="J508" s="48"/>
      <c r="K508" s="48"/>
      <c r="L508" s="1486" t="s">
        <v>335</v>
      </c>
      <c r="M508" s="1476"/>
      <c r="N508" s="1476"/>
      <c r="O508" s="1476"/>
      <c r="P508" s="1476"/>
      <c r="Q508" s="1476"/>
      <c r="R508" s="1476"/>
      <c r="S508" s="1476"/>
      <c r="T508" s="1476"/>
      <c r="U508" s="1476"/>
      <c r="V508" s="1476"/>
      <c r="W508" s="1476"/>
      <c r="X508" s="1476"/>
      <c r="Y508" s="1476"/>
      <c r="Z508" s="1476"/>
      <c r="AA508" s="1476"/>
      <c r="AB508" s="1791"/>
      <c r="AC508" s="1440" t="s">
        <v>600</v>
      </c>
      <c r="AD508" s="1441"/>
      <c r="AE508" s="1441"/>
      <c r="AF508" s="1441"/>
      <c r="AG508" s="38" t="s">
        <v>404</v>
      </c>
      <c r="AH508" s="1417"/>
      <c r="AI508" s="1417"/>
      <c r="AJ508" s="1417"/>
      <c r="AK508" s="141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1789</v>
      </c>
      <c r="AC509" s="1420" t="s">
        <v>678</v>
      </c>
      <c r="AD509" s="1420"/>
      <c r="AE509" s="1420"/>
      <c r="AF509" s="1420"/>
      <c r="AG509" s="13"/>
      <c r="AH509" s="1303"/>
      <c r="AI509" s="1303"/>
      <c r="AJ509" s="1303"/>
      <c r="AK509" s="141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1786</v>
      </c>
      <c r="AC510" s="1357"/>
      <c r="AD510" s="1358"/>
      <c r="AE510" s="1358"/>
      <c r="AF510" s="1359"/>
      <c r="AG510" s="13"/>
      <c r="AH510" s="1303"/>
      <c r="AI510" s="1303"/>
      <c r="AJ510" s="1303"/>
      <c r="AK510" s="141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1787</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1788</v>
      </c>
      <c r="J512" s="48"/>
      <c r="K512" s="48"/>
      <c r="L512" s="48"/>
      <c r="M512" s="48"/>
      <c r="N512" s="48"/>
      <c r="O512" s="48"/>
      <c r="P512" s="48"/>
      <c r="Q512" s="48"/>
      <c r="R512" s="48"/>
      <c r="S512" s="48"/>
      <c r="T512" s="48"/>
      <c r="U512" s="48"/>
      <c r="V512" s="48"/>
      <c r="W512" s="48"/>
      <c r="X512" s="48"/>
      <c r="Y512" s="48"/>
      <c r="Z512" s="48"/>
      <c r="AA512" s="48"/>
      <c r="AB512" s="48"/>
      <c r="AC512" s="1502">
        <v>0.4</v>
      </c>
      <c r="AD512" s="1503"/>
      <c r="AE512" s="1503"/>
      <c r="AF512" s="1504"/>
      <c r="AG512" s="38"/>
      <c r="AH512" s="1505"/>
      <c r="AI512" s="1505"/>
      <c r="AJ512" s="1505"/>
      <c r="AK512" s="1506"/>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15" t="s">
        <v>403</v>
      </c>
      <c r="AD513" s="1416"/>
      <c r="AE513" s="1416"/>
      <c r="AF513" s="1416"/>
      <c r="AG513" s="38" t="s">
        <v>404</v>
      </c>
      <c r="AH513" s="1416" t="s">
        <v>405</v>
      </c>
      <c r="AI513" s="1416"/>
      <c r="AJ513" s="1416"/>
      <c r="AK513" s="1708"/>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77" t="s">
        <v>415</v>
      </c>
      <c r="C514" s="1478"/>
      <c r="D514" s="1478"/>
      <c r="E514" s="1478"/>
      <c r="F514" s="1478"/>
      <c r="G514" s="1478"/>
      <c r="H514" s="1479"/>
      <c r="I514" s="42" t="s">
        <v>416</v>
      </c>
      <c r="J514" s="42"/>
      <c r="K514" s="42"/>
      <c r="L514" s="42"/>
      <c r="M514" s="42"/>
      <c r="N514" s="42"/>
      <c r="O514" s="42"/>
      <c r="P514" s="42"/>
      <c r="Q514" s="42"/>
      <c r="R514" s="42"/>
      <c r="S514" s="42"/>
      <c r="T514" s="42"/>
      <c r="U514" s="42"/>
      <c r="V514" s="42"/>
      <c r="W514" s="42"/>
      <c r="AC514" s="1440">
        <v>8</v>
      </c>
      <c r="AD514" s="1441"/>
      <c r="AE514" s="1441"/>
      <c r="AF514" s="1441"/>
      <c r="AG514" s="13" t="s">
        <v>404</v>
      </c>
      <c r="AH514" s="1417">
        <v>2024</v>
      </c>
      <c r="AI514" s="1417"/>
      <c r="AJ514" s="1417"/>
      <c r="AK514" s="1418"/>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80"/>
      <c r="C515" s="1481"/>
      <c r="D515" s="1481"/>
      <c r="E515" s="1481"/>
      <c r="F515" s="1481"/>
      <c r="G515" s="1481"/>
      <c r="H515" s="1482"/>
      <c r="I515" t="s">
        <v>417</v>
      </c>
      <c r="AC515" s="1440">
        <v>8</v>
      </c>
      <c r="AD515" s="1441"/>
      <c r="AE515" s="1441"/>
      <c r="AF515" s="1441"/>
      <c r="AG515" s="13" t="s">
        <v>404</v>
      </c>
      <c r="AH515" s="1417">
        <v>2024</v>
      </c>
      <c r="AI515" s="1417"/>
      <c r="AJ515" s="1417"/>
      <c r="AK515" s="1418"/>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80"/>
      <c r="C516" s="1481"/>
      <c r="D516" s="1481"/>
      <c r="E516" s="1481"/>
      <c r="F516" s="1481"/>
      <c r="G516" s="1481"/>
      <c r="H516" s="1482"/>
      <c r="I516" s="48" t="s">
        <v>418</v>
      </c>
      <c r="J516" s="48"/>
      <c r="K516" s="48"/>
      <c r="L516" s="48"/>
      <c r="M516" s="48"/>
      <c r="N516" s="48"/>
      <c r="O516" s="48"/>
      <c r="P516" s="48"/>
      <c r="Q516" s="48"/>
      <c r="R516" s="48"/>
      <c r="S516" s="48"/>
      <c r="T516" s="48"/>
      <c r="U516" s="48"/>
      <c r="V516" s="48"/>
      <c r="W516" s="48"/>
      <c r="X516" s="48"/>
      <c r="Y516" s="48"/>
      <c r="Z516" s="48"/>
      <c r="AA516" s="48"/>
      <c r="AB516" s="48"/>
      <c r="AC516" s="1440">
        <v>6</v>
      </c>
      <c r="AD516" s="1441"/>
      <c r="AE516" s="1441"/>
      <c r="AF516" s="1441"/>
      <c r="AG516" s="38" t="s">
        <v>404</v>
      </c>
      <c r="AH516" s="1417">
        <v>2025</v>
      </c>
      <c r="AI516" s="1417"/>
      <c r="AJ516" s="1417"/>
      <c r="AK516" s="1418"/>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77" t="s">
        <v>419</v>
      </c>
      <c r="C517" s="1478"/>
      <c r="D517" s="1478"/>
      <c r="E517" s="1478"/>
      <c r="F517" s="1478"/>
      <c r="G517" s="1478"/>
      <c r="H517" s="1479"/>
      <c r="I517" s="42" t="s">
        <v>416</v>
      </c>
      <c r="J517" s="42"/>
      <c r="K517" s="42"/>
      <c r="L517" s="42"/>
      <c r="M517" s="42"/>
      <c r="N517" s="42"/>
      <c r="O517" s="42"/>
      <c r="P517" s="42"/>
      <c r="Q517" s="42"/>
      <c r="R517" s="42"/>
      <c r="S517" s="42"/>
      <c r="T517" s="42"/>
      <c r="U517" s="42"/>
      <c r="V517" s="42"/>
      <c r="W517" s="42"/>
      <c r="X517" s="42"/>
      <c r="Y517" s="42"/>
      <c r="Z517" s="42"/>
      <c r="AA517" s="42"/>
      <c r="AB517" s="42"/>
      <c r="AC517" s="1357">
        <v>8</v>
      </c>
      <c r="AD517" s="1358"/>
      <c r="AE517" s="1358"/>
      <c r="AF517" s="1358"/>
      <c r="AG517" s="129" t="s">
        <v>404</v>
      </c>
      <c r="AH517" s="1417">
        <v>2024</v>
      </c>
      <c r="AI517" s="1417"/>
      <c r="AJ517" s="1417"/>
      <c r="AK517" s="1418"/>
      <c r="AZ517" s="3"/>
      <c r="BB517" s="3"/>
      <c r="BC517" s="3"/>
      <c r="BD517" s="3"/>
      <c r="BE517" s="3"/>
      <c r="BF517" s="3"/>
      <c r="BG517" s="3"/>
      <c r="BH517" s="3"/>
      <c r="BI517" s="3"/>
      <c r="BJ517" s="3"/>
      <c r="BK517" s="3"/>
      <c r="BL517" s="3"/>
      <c r="BM517" s="3"/>
      <c r="BN517" s="3" t="s">
        <v>2428</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80"/>
      <c r="C518" s="1481"/>
      <c r="D518" s="1481"/>
      <c r="E518" s="1481"/>
      <c r="F518" s="1481"/>
      <c r="G518" s="1481"/>
      <c r="H518" s="1482"/>
      <c r="I518" t="s">
        <v>417</v>
      </c>
      <c r="AC518" s="1440">
        <v>8</v>
      </c>
      <c r="AD518" s="1441"/>
      <c r="AE518" s="1441"/>
      <c r="AF518" s="1441"/>
      <c r="AG518" s="13" t="s">
        <v>404</v>
      </c>
      <c r="AH518" s="1417">
        <v>2024</v>
      </c>
      <c r="AI518" s="1417"/>
      <c r="AJ518" s="1417"/>
      <c r="AK518" s="1418"/>
      <c r="BB518" s="3"/>
      <c r="BC518" s="3"/>
      <c r="BD518" s="3"/>
      <c r="BE518" s="3"/>
      <c r="BF518" s="3"/>
      <c r="BG518" s="3"/>
      <c r="BH518" s="3"/>
      <c r="BI518" s="3"/>
      <c r="BJ518" s="3"/>
      <c r="BK518" s="3"/>
      <c r="BL518" s="3"/>
      <c r="BM518" s="3"/>
      <c r="BN518" s="3" t="s">
        <v>2429</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83"/>
      <c r="C519" s="1484"/>
      <c r="D519" s="1484"/>
      <c r="E519" s="1484"/>
      <c r="F519" s="1484"/>
      <c r="G519" s="1484"/>
      <c r="H519" s="1485"/>
      <c r="I519" s="48" t="s">
        <v>418</v>
      </c>
      <c r="J519" s="48"/>
      <c r="K519" s="48"/>
      <c r="L519" s="48"/>
      <c r="M519" s="48"/>
      <c r="N519" s="48"/>
      <c r="O519" s="48"/>
      <c r="P519" s="48"/>
      <c r="Q519" s="48"/>
      <c r="R519" s="48"/>
      <c r="S519" s="48"/>
      <c r="T519" s="48"/>
      <c r="U519" s="48"/>
      <c r="V519" s="48"/>
      <c r="W519" s="48"/>
      <c r="X519" s="48"/>
      <c r="Y519" s="48"/>
      <c r="Z519" s="48"/>
      <c r="AA519" s="48"/>
      <c r="AB519" s="48"/>
      <c r="AC519" s="1440">
        <v>4</v>
      </c>
      <c r="AD519" s="1441"/>
      <c r="AE519" s="1441"/>
      <c r="AF519" s="1441"/>
      <c r="AG519" s="38" t="s">
        <v>404</v>
      </c>
      <c r="AH519" s="1417">
        <v>2028</v>
      </c>
      <c r="AI519" s="1417"/>
      <c r="AJ519" s="1417"/>
      <c r="AK519" s="1418"/>
      <c r="BB519" s="3"/>
      <c r="BC519" s="3"/>
      <c r="BD519" s="3"/>
      <c r="BE519" s="3"/>
      <c r="BF519" s="3"/>
      <c r="BG519" s="3"/>
      <c r="BH519" s="3"/>
      <c r="BI519" s="3"/>
      <c r="BJ519" s="3"/>
      <c r="BK519" s="3"/>
      <c r="BL519" s="3"/>
      <c r="BM519" s="3"/>
      <c r="BN519" s="3" t="s">
        <v>2430</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77" t="s">
        <v>420</v>
      </c>
      <c r="C520" s="1478"/>
      <c r="D520" s="1478"/>
      <c r="E520" s="1478"/>
      <c r="F520" s="1478"/>
      <c r="G520" s="1478"/>
      <c r="H520" s="1479"/>
      <c r="I520" s="41" t="s">
        <v>421</v>
      </c>
      <c r="J520" s="42"/>
      <c r="K520" s="42"/>
      <c r="L520" s="42"/>
      <c r="M520" s="42"/>
      <c r="N520" s="42"/>
      <c r="O520" s="1486" t="s">
        <v>335</v>
      </c>
      <c r="P520" s="1476"/>
      <c r="Q520" s="1476"/>
      <c r="R520" s="1476"/>
      <c r="S520" s="1476"/>
      <c r="T520" s="1476"/>
      <c r="U520" s="1476"/>
      <c r="V520" s="1476"/>
      <c r="W520" s="1476"/>
      <c r="X520" s="1476"/>
      <c r="Y520" s="1476"/>
      <c r="Z520" s="1476"/>
      <c r="AA520" s="1476"/>
      <c r="AB520" s="58"/>
      <c r="AC520" s="1357" t="s">
        <v>600</v>
      </c>
      <c r="AD520" s="1358"/>
      <c r="AE520" s="1358"/>
      <c r="AF520" s="1358"/>
      <c r="AG520" s="129" t="s">
        <v>404</v>
      </c>
      <c r="AH520" s="1417"/>
      <c r="AI520" s="1417"/>
      <c r="AJ520" s="1417"/>
      <c r="AK520" s="1418"/>
      <c r="AZ520" s="3"/>
      <c r="BB520" s="3"/>
      <c r="BC520" s="3"/>
      <c r="BD520" s="3"/>
      <c r="BE520" s="3"/>
      <c r="BF520" s="3"/>
      <c r="BG520" s="3"/>
      <c r="BH520" s="3"/>
      <c r="BI520" s="3"/>
      <c r="BJ520" s="3"/>
      <c r="BK520" s="3"/>
      <c r="BL520" s="3"/>
      <c r="BM520" s="3"/>
      <c r="BN520" s="3" t="s">
        <v>2431</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80"/>
      <c r="C521" s="1481"/>
      <c r="D521" s="1481"/>
      <c r="E521" s="1481"/>
      <c r="F521" s="1481"/>
      <c r="G521" s="1481"/>
      <c r="H521" s="1482"/>
      <c r="I521" s="114" t="s">
        <v>422</v>
      </c>
      <c r="AB521" s="65"/>
      <c r="AC521" s="1440" t="s">
        <v>600</v>
      </c>
      <c r="AD521" s="1441"/>
      <c r="AE521" s="1441"/>
      <c r="AF521" s="1441"/>
      <c r="AG521" s="13" t="s">
        <v>404</v>
      </c>
      <c r="AH521" s="1417"/>
      <c r="AI521" s="1417"/>
      <c r="AJ521" s="1417"/>
      <c r="AK521" s="1418"/>
      <c r="AZ521" s="3"/>
      <c r="BB521" s="3"/>
      <c r="BC521" s="3"/>
      <c r="BD521" s="3"/>
      <c r="BE521" s="3"/>
      <c r="BF521" s="3"/>
      <c r="BG521" s="3"/>
      <c r="BH521" s="3"/>
      <c r="BI521" s="3"/>
      <c r="BJ521" s="3"/>
      <c r="BK521" s="3"/>
      <c r="BL521" s="3"/>
      <c r="BM521" s="3"/>
      <c r="BN521" s="3" t="s">
        <v>2432</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80"/>
      <c r="C522" s="1481"/>
      <c r="D522" s="1481"/>
      <c r="E522" s="1481"/>
      <c r="F522" s="1481"/>
      <c r="G522" s="1481"/>
      <c r="H522" s="1482"/>
      <c r="I522" s="47" t="s">
        <v>423</v>
      </c>
      <c r="J522" s="48"/>
      <c r="K522" s="48"/>
      <c r="L522" s="48"/>
      <c r="M522" s="48"/>
      <c r="N522" s="48"/>
      <c r="O522" s="48"/>
      <c r="P522" s="48"/>
      <c r="Q522" s="48"/>
      <c r="R522" s="48"/>
      <c r="S522" s="48"/>
      <c r="T522" s="48"/>
      <c r="U522" s="48"/>
      <c r="V522" s="48"/>
      <c r="W522" s="48"/>
      <c r="X522" s="48"/>
      <c r="Y522" s="48"/>
      <c r="Z522" s="48"/>
      <c r="AA522" s="48"/>
      <c r="AB522" s="49"/>
      <c r="AC522" s="1440" t="s">
        <v>600</v>
      </c>
      <c r="AD522" s="1441"/>
      <c r="AE522" s="1441"/>
      <c r="AF522" s="1441"/>
      <c r="AG522" s="38" t="s">
        <v>404</v>
      </c>
      <c r="AH522" s="1417"/>
      <c r="AI522" s="1417"/>
      <c r="AJ522" s="1417"/>
      <c r="AK522" s="1418"/>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80"/>
      <c r="C523" s="1481"/>
      <c r="D523" s="1481"/>
      <c r="E523" s="1481"/>
      <c r="F523" s="1481"/>
      <c r="G523" s="1481"/>
      <c r="H523" s="1482"/>
      <c r="I523" s="42" t="s">
        <v>424</v>
      </c>
      <c r="J523" s="42"/>
      <c r="K523" s="42"/>
      <c r="L523" s="42"/>
      <c r="M523" s="42"/>
      <c r="N523" s="42"/>
      <c r="O523" s="1486" t="s">
        <v>335</v>
      </c>
      <c r="P523" s="1476"/>
      <c r="Q523" s="1476"/>
      <c r="R523" s="1476"/>
      <c r="S523" s="1476"/>
      <c r="T523" s="1476"/>
      <c r="U523" s="1476"/>
      <c r="V523" s="1476"/>
      <c r="W523" s="1476"/>
      <c r="X523" s="1476"/>
      <c r="Y523" s="1476"/>
      <c r="Z523" s="1476"/>
      <c r="AA523" s="1476"/>
      <c r="AC523" s="1440" t="s">
        <v>600</v>
      </c>
      <c r="AD523" s="1441"/>
      <c r="AE523" s="1441"/>
      <c r="AF523" s="1441"/>
      <c r="AG523" s="13" t="s">
        <v>404</v>
      </c>
      <c r="AH523" s="1417"/>
      <c r="AI523" s="1417"/>
      <c r="AJ523" s="1417"/>
      <c r="AK523" s="1418"/>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80"/>
      <c r="C524" s="1481"/>
      <c r="D524" s="1481"/>
      <c r="E524" s="1481"/>
      <c r="F524" s="1481"/>
      <c r="G524" s="1481"/>
      <c r="H524" s="1482"/>
      <c r="I524" t="s">
        <v>422</v>
      </c>
      <c r="AC524" s="1440" t="s">
        <v>600</v>
      </c>
      <c r="AD524" s="1441"/>
      <c r="AE524" s="1441"/>
      <c r="AF524" s="1441"/>
      <c r="AG524" s="13" t="s">
        <v>404</v>
      </c>
      <c r="AH524" s="1417"/>
      <c r="AI524" s="1417"/>
      <c r="AJ524" s="1417"/>
      <c r="AK524" s="1418"/>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80"/>
      <c r="C525" s="1481"/>
      <c r="D525" s="1481"/>
      <c r="E525" s="1481"/>
      <c r="F525" s="1481"/>
      <c r="G525" s="1481"/>
      <c r="H525" s="1482"/>
      <c r="I525" s="48" t="s">
        <v>423</v>
      </c>
      <c r="J525" s="48"/>
      <c r="K525" s="48"/>
      <c r="L525" s="48"/>
      <c r="M525" s="48"/>
      <c r="N525" s="48"/>
      <c r="O525" s="48"/>
      <c r="P525" s="48"/>
      <c r="Q525" s="48"/>
      <c r="R525" s="48"/>
      <c r="S525" s="48"/>
      <c r="T525" s="48"/>
      <c r="U525" s="48"/>
      <c r="V525" s="48"/>
      <c r="W525" s="48"/>
      <c r="X525" s="48"/>
      <c r="Y525" s="48"/>
      <c r="Z525" s="48"/>
      <c r="AA525" s="48"/>
      <c r="AB525" s="48"/>
      <c r="AC525" s="1440" t="s">
        <v>600</v>
      </c>
      <c r="AD525" s="1441"/>
      <c r="AE525" s="1441"/>
      <c r="AF525" s="1441"/>
      <c r="AG525" s="38" t="s">
        <v>404</v>
      </c>
      <c r="AH525" s="1417"/>
      <c r="AI525" s="1417"/>
      <c r="AJ525" s="1417"/>
      <c r="AK525" s="1418"/>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80"/>
      <c r="C526" s="1481"/>
      <c r="D526" s="1481"/>
      <c r="E526" s="1481"/>
      <c r="F526" s="1481"/>
      <c r="G526" s="1481"/>
      <c r="H526" s="1482"/>
      <c r="I526" s="42" t="s">
        <v>424</v>
      </c>
      <c r="J526" s="42"/>
      <c r="K526" s="42"/>
      <c r="L526" s="42"/>
      <c r="M526" s="42"/>
      <c r="N526" s="42"/>
      <c r="O526" s="1486" t="s">
        <v>335</v>
      </c>
      <c r="P526" s="1476"/>
      <c r="Q526" s="1476"/>
      <c r="R526" s="1476"/>
      <c r="S526" s="1476"/>
      <c r="T526" s="1476"/>
      <c r="U526" s="1476"/>
      <c r="V526" s="1476"/>
      <c r="W526" s="1476"/>
      <c r="X526" s="1476"/>
      <c r="Y526" s="1476"/>
      <c r="Z526" s="1476"/>
      <c r="AA526" s="1476"/>
      <c r="AC526" s="1440" t="s">
        <v>600</v>
      </c>
      <c r="AD526" s="1441"/>
      <c r="AE526" s="1441"/>
      <c r="AF526" s="1441"/>
      <c r="AG526" s="13" t="s">
        <v>404</v>
      </c>
      <c r="AH526" s="1417"/>
      <c r="AI526" s="1417"/>
      <c r="AJ526" s="1417"/>
      <c r="AK526" s="1418"/>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80"/>
      <c r="C527" s="1481"/>
      <c r="D527" s="1481"/>
      <c r="E527" s="1481"/>
      <c r="F527" s="1481"/>
      <c r="G527" s="1481"/>
      <c r="H527" s="1482"/>
      <c r="I527" t="s">
        <v>422</v>
      </c>
      <c r="AC527" s="1440" t="s">
        <v>600</v>
      </c>
      <c r="AD527" s="1441"/>
      <c r="AE527" s="1441"/>
      <c r="AF527" s="1441"/>
      <c r="AG527" s="13" t="s">
        <v>404</v>
      </c>
      <c r="AH527" s="1417"/>
      <c r="AI527" s="1417"/>
      <c r="AJ527" s="1417"/>
      <c r="AK527" s="1418"/>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80"/>
      <c r="C528" s="1481"/>
      <c r="D528" s="1481"/>
      <c r="E528" s="1481"/>
      <c r="F528" s="1481"/>
      <c r="G528" s="1481"/>
      <c r="H528" s="1482"/>
      <c r="I528" s="48" t="s">
        <v>423</v>
      </c>
      <c r="J528" s="48"/>
      <c r="K528" s="48"/>
      <c r="L528" s="48"/>
      <c r="M528" s="48"/>
      <c r="N528" s="48"/>
      <c r="O528" s="48"/>
      <c r="P528" s="48"/>
      <c r="Q528" s="48"/>
      <c r="R528" s="48"/>
      <c r="S528" s="48"/>
      <c r="T528" s="48"/>
      <c r="U528" s="48"/>
      <c r="V528" s="48"/>
      <c r="W528" s="48"/>
      <c r="X528" s="48"/>
      <c r="Y528" s="48"/>
      <c r="Z528" s="48"/>
      <c r="AA528" s="48"/>
      <c r="AB528" s="48"/>
      <c r="AC528" s="1440" t="s">
        <v>600</v>
      </c>
      <c r="AD528" s="1441"/>
      <c r="AE528" s="1441"/>
      <c r="AF528" s="1441"/>
      <c r="AG528" s="38" t="s">
        <v>404</v>
      </c>
      <c r="AH528" s="1417"/>
      <c r="AI528" s="1417"/>
      <c r="AJ528" s="1417"/>
      <c r="AK528" s="1418"/>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80"/>
      <c r="C529" s="1481"/>
      <c r="D529" s="1481"/>
      <c r="E529" s="1481"/>
      <c r="F529" s="1481"/>
      <c r="G529" s="1481"/>
      <c r="H529" s="1482"/>
      <c r="I529" s="42" t="s">
        <v>424</v>
      </c>
      <c r="J529" s="42"/>
      <c r="K529" s="42"/>
      <c r="L529" s="42"/>
      <c r="M529" s="42"/>
      <c r="N529" s="42"/>
      <c r="O529" s="1486" t="s">
        <v>335</v>
      </c>
      <c r="P529" s="1476"/>
      <c r="Q529" s="1476"/>
      <c r="R529" s="1476"/>
      <c r="S529" s="1476"/>
      <c r="T529" s="1476"/>
      <c r="U529" s="1476"/>
      <c r="V529" s="1476"/>
      <c r="W529" s="1476"/>
      <c r="X529" s="1476"/>
      <c r="Y529" s="1476"/>
      <c r="Z529" s="1476"/>
      <c r="AA529" s="1476"/>
      <c r="AC529" s="1440" t="s">
        <v>600</v>
      </c>
      <c r="AD529" s="1441"/>
      <c r="AE529" s="1441"/>
      <c r="AF529" s="1441"/>
      <c r="AG529" s="13" t="s">
        <v>404</v>
      </c>
      <c r="AH529" s="1417"/>
      <c r="AI529" s="1417"/>
      <c r="AJ529" s="1417"/>
      <c r="AK529" s="1418"/>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80"/>
      <c r="C530" s="1481"/>
      <c r="D530" s="1481"/>
      <c r="E530" s="1481"/>
      <c r="F530" s="1481"/>
      <c r="G530" s="1481"/>
      <c r="H530" s="1482"/>
      <c r="I530" t="s">
        <v>422</v>
      </c>
      <c r="AC530" s="1440" t="s">
        <v>600</v>
      </c>
      <c r="AD530" s="1441"/>
      <c r="AE530" s="1441"/>
      <c r="AF530" s="1441"/>
      <c r="AG530" s="13" t="s">
        <v>404</v>
      </c>
      <c r="AH530" s="1417"/>
      <c r="AI530" s="1417"/>
      <c r="AJ530" s="1417"/>
      <c r="AK530" s="1418"/>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80"/>
      <c r="C531" s="1481"/>
      <c r="D531" s="1481"/>
      <c r="E531" s="1481"/>
      <c r="F531" s="1481"/>
      <c r="G531" s="1481"/>
      <c r="H531" s="1482"/>
      <c r="I531" s="48" t="s">
        <v>423</v>
      </c>
      <c r="J531" s="48"/>
      <c r="K531" s="48"/>
      <c r="L531" s="48"/>
      <c r="M531" s="48"/>
      <c r="N531" s="48"/>
      <c r="O531" s="48"/>
      <c r="P531" s="48"/>
      <c r="Q531" s="48"/>
      <c r="R531" s="48"/>
      <c r="S531" s="48"/>
      <c r="T531" s="48"/>
      <c r="U531" s="48"/>
      <c r="V531" s="48"/>
      <c r="W531" s="48"/>
      <c r="X531" s="48"/>
      <c r="Y531" s="48"/>
      <c r="Z531" s="48"/>
      <c r="AA531" s="48"/>
      <c r="AB531" s="48"/>
      <c r="AC531" s="1440" t="s">
        <v>600</v>
      </c>
      <c r="AD531" s="1441"/>
      <c r="AE531" s="1441"/>
      <c r="AF531" s="1441"/>
      <c r="AG531" s="38" t="s">
        <v>404</v>
      </c>
      <c r="AH531" s="1417"/>
      <c r="AI531" s="1417"/>
      <c r="AJ531" s="1417"/>
      <c r="AK531" s="1418"/>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80"/>
      <c r="C532" s="1481"/>
      <c r="D532" s="1481"/>
      <c r="E532" s="1481"/>
      <c r="F532" s="1481"/>
      <c r="G532" s="1481"/>
      <c r="H532" s="1482"/>
      <c r="I532" s="42" t="s">
        <v>424</v>
      </c>
      <c r="J532" s="42"/>
      <c r="K532" s="42"/>
      <c r="L532" s="42"/>
      <c r="M532" s="42"/>
      <c r="N532" s="42"/>
      <c r="O532" s="1486" t="s">
        <v>335</v>
      </c>
      <c r="P532" s="1476"/>
      <c r="Q532" s="1476"/>
      <c r="R532" s="1476"/>
      <c r="S532" s="1476"/>
      <c r="T532" s="1476"/>
      <c r="U532" s="1476"/>
      <c r="V532" s="1476"/>
      <c r="W532" s="1476"/>
      <c r="X532" s="1476"/>
      <c r="Y532" s="1476"/>
      <c r="Z532" s="1476"/>
      <c r="AA532" s="1476"/>
      <c r="AC532" s="1440" t="s">
        <v>600</v>
      </c>
      <c r="AD532" s="1441"/>
      <c r="AE532" s="1441"/>
      <c r="AF532" s="1441"/>
      <c r="AG532" s="13" t="s">
        <v>404</v>
      </c>
      <c r="AH532" s="1417"/>
      <c r="AI532" s="1417"/>
      <c r="AJ532" s="1417"/>
      <c r="AK532" s="1418"/>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80"/>
      <c r="C533" s="1481"/>
      <c r="D533" s="1481"/>
      <c r="E533" s="1481"/>
      <c r="F533" s="1481"/>
      <c r="G533" s="1481"/>
      <c r="H533" s="1482"/>
      <c r="I533" t="s">
        <v>422</v>
      </c>
      <c r="AC533" s="1440" t="s">
        <v>600</v>
      </c>
      <c r="AD533" s="1441"/>
      <c r="AE533" s="1441"/>
      <c r="AF533" s="1441"/>
      <c r="AG533" s="38" t="s">
        <v>404</v>
      </c>
      <c r="AH533" s="1417"/>
      <c r="AI533" s="1417"/>
      <c r="AJ533" s="1417"/>
      <c r="AK533" s="1418"/>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80"/>
      <c r="C534" s="1481"/>
      <c r="D534" s="1481"/>
      <c r="E534" s="1481"/>
      <c r="F534" s="1481"/>
      <c r="G534" s="1481"/>
      <c r="H534" s="1482"/>
      <c r="I534" s="48" t="s">
        <v>423</v>
      </c>
      <c r="J534" s="48"/>
      <c r="K534" s="48"/>
      <c r="L534" s="48"/>
      <c r="M534" s="48"/>
      <c r="N534" s="48"/>
      <c r="O534" s="48"/>
      <c r="P534" s="48"/>
      <c r="Q534" s="48"/>
      <c r="R534" s="48"/>
      <c r="S534" s="48"/>
      <c r="T534" s="48"/>
      <c r="U534" s="48"/>
      <c r="V534" s="48"/>
      <c r="W534" s="48"/>
      <c r="X534" s="48"/>
      <c r="Y534" s="48"/>
      <c r="Z534" s="48"/>
      <c r="AA534" s="48"/>
      <c r="AB534" s="48"/>
      <c r="AC534" s="1440" t="s">
        <v>600</v>
      </c>
      <c r="AD534" s="1441"/>
      <c r="AE534" s="1441"/>
      <c r="AF534" s="1441"/>
      <c r="AG534" s="13" t="s">
        <v>404</v>
      </c>
      <c r="AH534" s="1417"/>
      <c r="AI534" s="1417"/>
      <c r="AJ534" s="1417"/>
      <c r="AK534" s="1418"/>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80"/>
      <c r="C535" s="1481"/>
      <c r="D535" s="1481"/>
      <c r="E535" s="1481"/>
      <c r="F535" s="1481"/>
      <c r="G535" s="1481"/>
      <c r="H535" s="1482"/>
      <c r="I535" s="42" t="s">
        <v>424</v>
      </c>
      <c r="J535" s="42"/>
      <c r="K535" s="42"/>
      <c r="L535" s="42"/>
      <c r="M535" s="42"/>
      <c r="N535" s="42"/>
      <c r="O535" s="1486" t="s">
        <v>335</v>
      </c>
      <c r="P535" s="1476"/>
      <c r="Q535" s="1476"/>
      <c r="R535" s="1476"/>
      <c r="S535" s="1476"/>
      <c r="T535" s="1476"/>
      <c r="U535" s="1476"/>
      <c r="V535" s="1476"/>
      <c r="W535" s="1476"/>
      <c r="X535" s="1476"/>
      <c r="Y535" s="1476"/>
      <c r="Z535" s="1476"/>
      <c r="AA535" s="1476"/>
      <c r="AC535" s="1440" t="s">
        <v>600</v>
      </c>
      <c r="AD535" s="1441"/>
      <c r="AE535" s="1441"/>
      <c r="AF535" s="1441"/>
      <c r="AG535" s="38" t="s">
        <v>404</v>
      </c>
      <c r="AH535" s="1417"/>
      <c r="AI535" s="1417"/>
      <c r="AJ535" s="1417"/>
      <c r="AK535" s="1418"/>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80"/>
      <c r="C536" s="1481"/>
      <c r="D536" s="1481"/>
      <c r="E536" s="1481"/>
      <c r="F536" s="1481"/>
      <c r="G536" s="1481"/>
      <c r="H536" s="1482"/>
      <c r="I536" t="s">
        <v>422</v>
      </c>
      <c r="AC536" s="1440" t="s">
        <v>600</v>
      </c>
      <c r="AD536" s="1441"/>
      <c r="AE536" s="1441"/>
      <c r="AF536" s="1441"/>
      <c r="AG536" s="13" t="s">
        <v>404</v>
      </c>
      <c r="AH536" s="1417"/>
      <c r="AI536" s="1417"/>
      <c r="AJ536" s="1417"/>
      <c r="AK536" s="1418"/>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80"/>
      <c r="C537" s="1481"/>
      <c r="D537" s="1481"/>
      <c r="E537" s="1481"/>
      <c r="F537" s="1481"/>
      <c r="G537" s="1481"/>
      <c r="H537" s="1482"/>
      <c r="I537" s="48" t="s">
        <v>423</v>
      </c>
      <c r="J537" s="48"/>
      <c r="K537" s="48"/>
      <c r="L537" s="48"/>
      <c r="M537" s="48"/>
      <c r="N537" s="48"/>
      <c r="O537" s="48"/>
      <c r="P537" s="48"/>
      <c r="Q537" s="48"/>
      <c r="R537" s="48"/>
      <c r="S537" s="48"/>
      <c r="T537" s="48"/>
      <c r="U537" s="48"/>
      <c r="V537" s="48"/>
      <c r="W537" s="48"/>
      <c r="X537" s="48"/>
      <c r="Y537" s="48"/>
      <c r="Z537" s="48"/>
      <c r="AA537" s="48"/>
      <c r="AB537" s="48"/>
      <c r="AC537" s="1440" t="s">
        <v>600</v>
      </c>
      <c r="AD537" s="1441"/>
      <c r="AE537" s="1441"/>
      <c r="AF537" s="1441"/>
      <c r="AG537" s="38" t="s">
        <v>404</v>
      </c>
      <c r="AH537" s="1417"/>
      <c r="AI537" s="1417"/>
      <c r="AJ537" s="1417"/>
      <c r="AK537" s="1418"/>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80"/>
      <c r="C538" s="1481"/>
      <c r="D538" s="1481"/>
      <c r="E538" s="1481"/>
      <c r="F538" s="1481"/>
      <c r="G538" s="1481"/>
      <c r="H538" s="1482"/>
      <c r="I538" s="42" t="s">
        <v>571</v>
      </c>
      <c r="J538" s="42"/>
      <c r="K538" s="42"/>
      <c r="L538" s="42"/>
      <c r="M538" s="42"/>
      <c r="N538" s="42"/>
      <c r="O538" s="42"/>
      <c r="P538" s="42"/>
      <c r="Q538" s="42"/>
      <c r="R538" s="42"/>
      <c r="S538" s="42"/>
      <c r="T538" s="42"/>
      <c r="U538" s="42"/>
      <c r="V538" s="42"/>
      <c r="W538" s="42"/>
      <c r="AC538" s="1440">
        <v>8</v>
      </c>
      <c r="AD538" s="1441"/>
      <c r="AE538" s="1441"/>
      <c r="AF538" s="1441"/>
      <c r="AG538" s="38" t="s">
        <v>404</v>
      </c>
      <c r="AH538" s="1417">
        <v>2025</v>
      </c>
      <c r="AI538" s="1417"/>
      <c r="AJ538" s="1417"/>
      <c r="AK538" s="141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80"/>
      <c r="C539" s="1481"/>
      <c r="D539" s="1481"/>
      <c r="E539" s="1481"/>
      <c r="F539" s="1481"/>
      <c r="G539" s="1481"/>
      <c r="H539" s="1482"/>
      <c r="I539" t="s">
        <v>572</v>
      </c>
      <c r="AC539" s="1440">
        <v>6</v>
      </c>
      <c r="AD539" s="1441"/>
      <c r="AE539" s="1441"/>
      <c r="AF539" s="1441"/>
      <c r="AG539" s="13" t="s">
        <v>404</v>
      </c>
      <c r="AH539" s="1417">
        <v>2025</v>
      </c>
      <c r="AI539" s="1417"/>
      <c r="AJ539" s="1417"/>
      <c r="AK539" s="141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80"/>
      <c r="C540" s="1481"/>
      <c r="D540" s="1481"/>
      <c r="E540" s="1481"/>
      <c r="F540" s="1481"/>
      <c r="G540" s="1481"/>
      <c r="H540" s="1482"/>
      <c r="I540" t="s">
        <v>573</v>
      </c>
      <c r="AC540" s="1440">
        <v>4</v>
      </c>
      <c r="AD540" s="1441"/>
      <c r="AE540" s="1441"/>
      <c r="AF540" s="1441"/>
      <c r="AG540" s="38" t="s">
        <v>404</v>
      </c>
      <c r="AH540" s="1417">
        <v>2027</v>
      </c>
      <c r="AI540" s="1417"/>
      <c r="AJ540" s="1417"/>
      <c r="AK540" s="141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80"/>
      <c r="C541" s="1481"/>
      <c r="D541" s="1481"/>
      <c r="E541" s="1481"/>
      <c r="F541" s="1481"/>
      <c r="G541" s="1481"/>
      <c r="H541" s="1482"/>
      <c r="I541" t="s">
        <v>574</v>
      </c>
      <c r="AC541" s="1440">
        <v>10</v>
      </c>
      <c r="AD541" s="1441"/>
      <c r="AE541" s="1441"/>
      <c r="AF541" s="1441"/>
      <c r="AG541" s="38" t="s">
        <v>404</v>
      </c>
      <c r="AH541" s="1417">
        <v>2027</v>
      </c>
      <c r="AI541" s="1417"/>
      <c r="AJ541" s="1417"/>
      <c r="AK541" s="141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83"/>
      <c r="C542" s="1484"/>
      <c r="D542" s="1484"/>
      <c r="E542" s="1484"/>
      <c r="F542" s="1484"/>
      <c r="G542" s="1484"/>
      <c r="H542" s="1485"/>
      <c r="I542" s="48" t="s">
        <v>460</v>
      </c>
      <c r="J542" s="48"/>
      <c r="K542" s="48"/>
      <c r="L542" s="48"/>
      <c r="M542" s="48"/>
      <c r="N542" s="48"/>
      <c r="O542" s="48"/>
      <c r="P542" s="48"/>
      <c r="Q542" s="48"/>
      <c r="R542" s="48"/>
      <c r="S542" s="48"/>
      <c r="T542" s="48"/>
      <c r="U542" s="48"/>
      <c r="V542" s="48"/>
      <c r="W542" s="48"/>
      <c r="X542" s="48"/>
      <c r="Y542" s="48"/>
      <c r="Z542" s="48"/>
      <c r="AA542" s="48"/>
      <c r="AB542" s="48"/>
      <c r="AC542" s="1440">
        <v>8</v>
      </c>
      <c r="AD542" s="1441"/>
      <c r="AE542" s="1441"/>
      <c r="AF542" s="1441"/>
      <c r="AG542" s="38" t="s">
        <v>404</v>
      </c>
      <c r="AH542" s="1417">
        <v>2027</v>
      </c>
      <c r="AI542" s="1417"/>
      <c r="AJ542" s="1417"/>
      <c r="AK542" s="141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77" t="s">
        <v>2422</v>
      </c>
      <c r="C551" s="1478"/>
      <c r="D551" s="1478"/>
      <c r="E551" s="1478"/>
      <c r="F551" s="1478"/>
      <c r="G551" s="1478"/>
      <c r="H551" s="1478"/>
      <c r="I551" s="1478"/>
      <c r="J551" s="1478"/>
      <c r="K551" s="1478"/>
      <c r="L551" s="1479"/>
      <c r="M551" s="1477" t="s">
        <v>2423</v>
      </c>
      <c r="N551" s="1478"/>
      <c r="O551" s="1478"/>
      <c r="P551" s="1479"/>
      <c r="Q551" s="1477" t="s">
        <v>2449</v>
      </c>
      <c r="R551" s="1478"/>
      <c r="S551" s="1479"/>
      <c r="T551" s="1477" t="s">
        <v>2450</v>
      </c>
      <c r="U551" s="1478"/>
      <c r="V551" s="1479"/>
      <c r="W551" s="1477" t="s">
        <v>462</v>
      </c>
      <c r="X551" s="1478"/>
      <c r="Y551" s="1479"/>
      <c r="Z551" s="1477" t="s">
        <v>2043</v>
      </c>
      <c r="AA551" s="1478"/>
      <c r="AB551" s="1478"/>
      <c r="AC551" s="1478"/>
      <c r="AD551" s="1479"/>
      <c r="AE551" s="1477" t="s">
        <v>1865</v>
      </c>
      <c r="AF551" s="1478"/>
      <c r="AG551" s="1478"/>
      <c r="AH551" s="1479"/>
      <c r="AI551" s="1477" t="s">
        <v>1866</v>
      </c>
      <c r="AJ551" s="1478"/>
      <c r="AK551" s="1478"/>
      <c r="AL551" s="1479"/>
      <c r="AM551" s="1477" t="s">
        <v>463</v>
      </c>
      <c r="AN551" s="1478"/>
      <c r="AO551" s="1478"/>
      <c r="AP551" s="1478"/>
      <c r="AQ551" s="1478"/>
      <c r="AR551" s="1478"/>
      <c r="AS551" s="1479"/>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80"/>
      <c r="C552" s="1481"/>
      <c r="D552" s="1481"/>
      <c r="E552" s="1481"/>
      <c r="F552" s="1481"/>
      <c r="G552" s="1481"/>
      <c r="H552" s="1481"/>
      <c r="I552" s="1481"/>
      <c r="J552" s="1481"/>
      <c r="K552" s="1481"/>
      <c r="L552" s="1482"/>
      <c r="M552" s="1480"/>
      <c r="N552" s="1481"/>
      <c r="O552" s="1481"/>
      <c r="P552" s="1482"/>
      <c r="Q552" s="1480"/>
      <c r="R552" s="1481"/>
      <c r="S552" s="1482"/>
      <c r="T552" s="1480"/>
      <c r="U552" s="1481"/>
      <c r="V552" s="1482"/>
      <c r="W552" s="1480"/>
      <c r="X552" s="1481"/>
      <c r="Y552" s="1482"/>
      <c r="Z552" s="1480"/>
      <c r="AA552" s="1481"/>
      <c r="AB552" s="1481"/>
      <c r="AC552" s="1481"/>
      <c r="AD552" s="1482"/>
      <c r="AE552" s="1480"/>
      <c r="AF552" s="1481"/>
      <c r="AG552" s="1481"/>
      <c r="AH552" s="1482"/>
      <c r="AI552" s="1480"/>
      <c r="AJ552" s="1481"/>
      <c r="AK552" s="1481"/>
      <c r="AL552" s="1482"/>
      <c r="AM552" s="1480"/>
      <c r="AN552" s="1481"/>
      <c r="AO552" s="1481"/>
      <c r="AP552" s="1481"/>
      <c r="AQ552" s="1481"/>
      <c r="AR552" s="1481"/>
      <c r="AS552" s="1482"/>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83"/>
      <c r="C553" s="1484"/>
      <c r="D553" s="1484"/>
      <c r="E553" s="1484"/>
      <c r="F553" s="1484"/>
      <c r="G553" s="1484"/>
      <c r="H553" s="1484"/>
      <c r="I553" s="1484"/>
      <c r="J553" s="1484"/>
      <c r="K553" s="1484"/>
      <c r="L553" s="1485"/>
      <c r="M553" s="1483"/>
      <c r="N553" s="1484"/>
      <c r="O553" s="1484"/>
      <c r="P553" s="1485"/>
      <c r="Q553" s="1483"/>
      <c r="R553" s="1484"/>
      <c r="S553" s="1485"/>
      <c r="T553" s="1483"/>
      <c r="U553" s="1484"/>
      <c r="V553" s="1485"/>
      <c r="W553" s="1483"/>
      <c r="X553" s="1484"/>
      <c r="Y553" s="1485"/>
      <c r="Z553" s="1483"/>
      <c r="AA553" s="1484"/>
      <c r="AB553" s="1484"/>
      <c r="AC553" s="1484"/>
      <c r="AD553" s="1485"/>
      <c r="AE553" s="1483"/>
      <c r="AF553" s="1484"/>
      <c r="AG553" s="1484"/>
      <c r="AH553" s="1485"/>
      <c r="AI553" s="1483"/>
      <c r="AJ553" s="1484"/>
      <c r="AK553" s="1484"/>
      <c r="AL553" s="1485"/>
      <c r="AM553" s="1483"/>
      <c r="AN553" s="1484"/>
      <c r="AO553" s="1484"/>
      <c r="AP553" s="1484"/>
      <c r="AQ553" s="1484"/>
      <c r="AR553" s="1484"/>
      <c r="AS553" s="148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14" t="s">
        <v>2754</v>
      </c>
      <c r="D554" s="1514"/>
      <c r="E554" s="1514"/>
      <c r="F554" s="1514"/>
      <c r="G554" s="1514"/>
      <c r="H554" s="1514"/>
      <c r="I554" s="1514"/>
      <c r="J554" s="1514"/>
      <c r="K554" s="1514"/>
      <c r="L554" s="1514"/>
      <c r="M554" s="1514" t="s">
        <v>2439</v>
      </c>
      <c r="N554" s="1514"/>
      <c r="O554" s="1514"/>
      <c r="P554" s="1514"/>
      <c r="Q554" s="1443">
        <v>36</v>
      </c>
      <c r="R554" s="1443"/>
      <c r="S554" s="1444"/>
      <c r="T554" s="1442">
        <v>36</v>
      </c>
      <c r="U554" s="1443"/>
      <c r="V554" s="1444"/>
      <c r="W554" s="1516">
        <v>7.6999999999999999E-2</v>
      </c>
      <c r="X554" s="1517"/>
      <c r="Y554" s="1518"/>
      <c r="Z554" s="1510" t="s">
        <v>2752</v>
      </c>
      <c r="AA554" s="1510"/>
      <c r="AB554" s="1510"/>
      <c r="AC554" s="1510"/>
      <c r="AD554" s="1510"/>
      <c r="AE554" s="1511">
        <v>1</v>
      </c>
      <c r="AF554" s="1512"/>
      <c r="AG554" s="1512"/>
      <c r="AH554" s="1513"/>
      <c r="AI554" s="1445"/>
      <c r="AJ554" s="1446"/>
      <c r="AK554" s="1446"/>
      <c r="AL554" s="1447"/>
      <c r="AM554" s="1405">
        <v>31217200</v>
      </c>
      <c r="AN554" s="1406"/>
      <c r="AO554" s="1406"/>
      <c r="AP554" s="1406"/>
      <c r="AQ554" s="1406"/>
      <c r="AR554" s="1406"/>
      <c r="AS554" s="1407"/>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515" t="s">
        <v>2750</v>
      </c>
      <c r="D555" s="1515"/>
      <c r="E555" s="1515"/>
      <c r="F555" s="1515"/>
      <c r="G555" s="1515"/>
      <c r="H555" s="1515"/>
      <c r="I555" s="1515"/>
      <c r="J555" s="1515"/>
      <c r="K555" s="1515"/>
      <c r="L555" s="1515"/>
      <c r="M555" s="1514" t="s">
        <v>2440</v>
      </c>
      <c r="N555" s="1514"/>
      <c r="O555" s="1514"/>
      <c r="P555" s="1514"/>
      <c r="Q555" s="1442">
        <v>36</v>
      </c>
      <c r="R555" s="1443"/>
      <c r="S555" s="1444"/>
      <c r="T555" s="1442">
        <v>36</v>
      </c>
      <c r="U555" s="1443"/>
      <c r="V555" s="1444"/>
      <c r="W555" s="1516">
        <v>7.6999999999999999E-2</v>
      </c>
      <c r="X555" s="1517"/>
      <c r="Y555" s="1518"/>
      <c r="Z555" s="1510" t="s">
        <v>2752</v>
      </c>
      <c r="AA555" s="1510"/>
      <c r="AB555" s="1510"/>
      <c r="AC555" s="1510"/>
      <c r="AD555" s="1510"/>
      <c r="AE555" s="1511">
        <v>2</v>
      </c>
      <c r="AF555" s="1512"/>
      <c r="AG555" s="1512"/>
      <c r="AH555" s="1513"/>
      <c r="AI555" s="1445"/>
      <c r="AJ555" s="1446"/>
      <c r="AK555" s="1446"/>
      <c r="AL555" s="1447"/>
      <c r="AM555" s="1405">
        <f>ROUND(0.08*AO641,0)</f>
        <v>4568996</v>
      </c>
      <c r="AN555" s="1406"/>
      <c r="AO555" s="1406"/>
      <c r="AP555" s="1406"/>
      <c r="AQ555" s="1406"/>
      <c r="AR555" s="1406"/>
      <c r="AS555" s="1407"/>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515" t="s">
        <v>2710</v>
      </c>
      <c r="D556" s="1515"/>
      <c r="E556" s="1515"/>
      <c r="F556" s="1515"/>
      <c r="G556" s="1515"/>
      <c r="H556" s="1515"/>
      <c r="I556" s="1515"/>
      <c r="J556" s="1515"/>
      <c r="K556" s="1515"/>
      <c r="L556" s="1515"/>
      <c r="M556" s="1514" t="s">
        <v>2429</v>
      </c>
      <c r="N556" s="1514"/>
      <c r="O556" s="1514"/>
      <c r="P556" s="1514"/>
      <c r="Q556" s="1442"/>
      <c r="R556" s="1443"/>
      <c r="S556" s="1444"/>
      <c r="T556" s="1442"/>
      <c r="U556" s="1443"/>
      <c r="V556" s="1444"/>
      <c r="W556" s="1516"/>
      <c r="X556" s="1517"/>
      <c r="Y556" s="1518"/>
      <c r="Z556" s="1510" t="s">
        <v>1291</v>
      </c>
      <c r="AA556" s="1510"/>
      <c r="AB556" s="1510"/>
      <c r="AC556" s="1510"/>
      <c r="AD556" s="1510"/>
      <c r="AE556" s="1511"/>
      <c r="AF556" s="1512"/>
      <c r="AG556" s="1512"/>
      <c r="AH556" s="1513"/>
      <c r="AI556" s="1445"/>
      <c r="AJ556" s="1446"/>
      <c r="AK556" s="1446"/>
      <c r="AL556" s="1447"/>
      <c r="AM556" s="1405">
        <v>100</v>
      </c>
      <c r="AN556" s="1406"/>
      <c r="AO556" s="1406"/>
      <c r="AP556" s="1406"/>
      <c r="AQ556" s="1406"/>
      <c r="AR556" s="1406"/>
      <c r="AS556" s="1407"/>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590</v>
      </c>
      <c r="C557" s="1515" t="s">
        <v>2709</v>
      </c>
      <c r="D557" s="1515"/>
      <c r="E557" s="1515"/>
      <c r="F557" s="1515"/>
      <c r="G557" s="1515"/>
      <c r="H557" s="1515"/>
      <c r="I557" s="1515"/>
      <c r="J557" s="1515"/>
      <c r="K557" s="1515"/>
      <c r="L557" s="1515"/>
      <c r="M557" s="1514" t="s">
        <v>2430</v>
      </c>
      <c r="N557" s="1514"/>
      <c r="O557" s="1514"/>
      <c r="P557" s="1514"/>
      <c r="Q557" s="1442"/>
      <c r="R557" s="1443"/>
      <c r="S557" s="1444"/>
      <c r="T557" s="1442"/>
      <c r="U557" s="1443"/>
      <c r="V557" s="1444"/>
      <c r="W557" s="1516"/>
      <c r="X557" s="1517"/>
      <c r="Y557" s="1518"/>
      <c r="Z557" s="1510" t="s">
        <v>1291</v>
      </c>
      <c r="AA557" s="1510"/>
      <c r="AB557" s="1510"/>
      <c r="AC557" s="1510"/>
      <c r="AD557" s="1510"/>
      <c r="AE557" s="1511"/>
      <c r="AF557" s="1512"/>
      <c r="AG557" s="1512"/>
      <c r="AH557" s="1513"/>
      <c r="AI557" s="1445"/>
      <c r="AJ557" s="1446"/>
      <c r="AK557" s="1446"/>
      <c r="AL557" s="1447"/>
      <c r="AM557" s="1405">
        <f>ROUND(0.2*AO640,0)</f>
        <v>5094159</v>
      </c>
      <c r="AN557" s="1406"/>
      <c r="AO557" s="1406"/>
      <c r="AP557" s="1406"/>
      <c r="AQ557" s="1406"/>
      <c r="AR557" s="1406"/>
      <c r="AS557" s="1407"/>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773</v>
      </c>
      <c r="C558" s="1515" t="s">
        <v>1851</v>
      </c>
      <c r="D558" s="1515"/>
      <c r="E558" s="1515"/>
      <c r="F558" s="1515"/>
      <c r="G558" s="1515"/>
      <c r="H558" s="1515"/>
      <c r="I558" s="1515"/>
      <c r="J558" s="1515"/>
      <c r="K558" s="1515"/>
      <c r="L558" s="1515"/>
      <c r="M558" s="1514" t="s">
        <v>2426</v>
      </c>
      <c r="N558" s="1514"/>
      <c r="O558" s="1514"/>
      <c r="P558" s="1514"/>
      <c r="Q558" s="1442"/>
      <c r="R558" s="1443"/>
      <c r="S558" s="1444"/>
      <c r="T558" s="1442"/>
      <c r="U558" s="1443"/>
      <c r="V558" s="1444"/>
      <c r="W558" s="1516"/>
      <c r="X558" s="1517"/>
      <c r="Y558" s="1518"/>
      <c r="Z558" s="1510" t="s">
        <v>1291</v>
      </c>
      <c r="AA558" s="1510"/>
      <c r="AB558" s="1510"/>
      <c r="AC558" s="1510"/>
      <c r="AD558" s="1510"/>
      <c r="AE558" s="1511"/>
      <c r="AF558" s="1512"/>
      <c r="AG558" s="1512"/>
      <c r="AH558" s="1513"/>
      <c r="AI558" s="1445"/>
      <c r="AJ558" s="1446"/>
      <c r="AK558" s="1446"/>
      <c r="AL558" s="1447"/>
      <c r="AM558" s="1405">
        <f>'Sources and Uses Budget'!C99-1010751</f>
        <v>7674052</v>
      </c>
      <c r="AN558" s="1406"/>
      <c r="AO558" s="1406"/>
      <c r="AP558" s="1406"/>
      <c r="AQ558" s="1406"/>
      <c r="AR558" s="1406"/>
      <c r="AS558" s="1407"/>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593</v>
      </c>
      <c r="C559" s="1515" t="s">
        <v>2742</v>
      </c>
      <c r="D559" s="1515"/>
      <c r="E559" s="1515"/>
      <c r="F559" s="1515"/>
      <c r="G559" s="1515"/>
      <c r="H559" s="1515"/>
      <c r="I559" s="1515"/>
      <c r="J559" s="1515"/>
      <c r="K559" s="1515"/>
      <c r="L559" s="1515"/>
      <c r="M559" s="1514" t="s">
        <v>2425</v>
      </c>
      <c r="N559" s="1514"/>
      <c r="O559" s="1514"/>
      <c r="P559" s="1514"/>
      <c r="Q559" s="1442"/>
      <c r="R559" s="1443"/>
      <c r="S559" s="1444"/>
      <c r="T559" s="1442"/>
      <c r="U559" s="1443"/>
      <c r="V559" s="1444"/>
      <c r="W559" s="1516"/>
      <c r="X559" s="1517"/>
      <c r="Y559" s="1518"/>
      <c r="Z559" s="1510" t="s">
        <v>1291</v>
      </c>
      <c r="AA559" s="1510"/>
      <c r="AB559" s="1510"/>
      <c r="AC559" s="1510"/>
      <c r="AD559" s="1510"/>
      <c r="AE559" s="1511"/>
      <c r="AF559" s="1512"/>
      <c r="AG559" s="1512"/>
      <c r="AH559" s="1513"/>
      <c r="AI559" s="1445"/>
      <c r="AJ559" s="1446"/>
      <c r="AK559" s="1446"/>
      <c r="AL559" s="1447"/>
      <c r="AM559" s="1405">
        <f>AO641-SUM(AM553:AS558)-AM560</f>
        <v>4560071</v>
      </c>
      <c r="AN559" s="1406"/>
      <c r="AO559" s="1406"/>
      <c r="AP559" s="1406"/>
      <c r="AQ559" s="1406"/>
      <c r="AR559" s="1406"/>
      <c r="AS559" s="1407"/>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464</v>
      </c>
      <c r="C560" s="1515" t="s">
        <v>2751</v>
      </c>
      <c r="D560" s="1515"/>
      <c r="E560" s="1515"/>
      <c r="F560" s="1515"/>
      <c r="G560" s="1515"/>
      <c r="H560" s="1515"/>
      <c r="I560" s="1515"/>
      <c r="J560" s="1515"/>
      <c r="K560" s="1515"/>
      <c r="L560" s="1515"/>
      <c r="M560" s="1514" t="s">
        <v>2438</v>
      </c>
      <c r="N560" s="1514"/>
      <c r="O560" s="1514"/>
      <c r="P560" s="1514"/>
      <c r="Q560" s="1442">
        <v>36</v>
      </c>
      <c r="R560" s="1443"/>
      <c r="S560" s="1444"/>
      <c r="T560" s="1442">
        <v>36</v>
      </c>
      <c r="U560" s="1443"/>
      <c r="V560" s="1444"/>
      <c r="W560" s="1516">
        <v>7.6999999999999999E-2</v>
      </c>
      <c r="X560" s="1517"/>
      <c r="Y560" s="1518"/>
      <c r="Z560" s="1510" t="s">
        <v>2752</v>
      </c>
      <c r="AA560" s="1510"/>
      <c r="AB560" s="1510"/>
      <c r="AC560" s="1510"/>
      <c r="AD560" s="1510"/>
      <c r="AE560" s="1511">
        <v>3</v>
      </c>
      <c r="AF560" s="1512"/>
      <c r="AG560" s="1512"/>
      <c r="AH560" s="1513"/>
      <c r="AI560" s="1445"/>
      <c r="AJ560" s="1446"/>
      <c r="AK560" s="1446"/>
      <c r="AL560" s="1447"/>
      <c r="AM560" s="1405">
        <f>ROUND(0.07*AO641,0)</f>
        <v>3997871</v>
      </c>
      <c r="AN560" s="1406"/>
      <c r="AO560" s="1406"/>
      <c r="AP560" s="1406"/>
      <c r="AQ560" s="1406"/>
      <c r="AR560" s="1406"/>
      <c r="AS560" s="1407"/>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465</v>
      </c>
      <c r="C561" s="1515"/>
      <c r="D561" s="1515"/>
      <c r="E561" s="1515"/>
      <c r="F561" s="1515"/>
      <c r="G561" s="1515"/>
      <c r="H561" s="1515"/>
      <c r="I561" s="1515"/>
      <c r="J561" s="1515"/>
      <c r="K561" s="1515"/>
      <c r="L561" s="1515"/>
      <c r="M561" s="1514" t="s">
        <v>1291</v>
      </c>
      <c r="N561" s="1514"/>
      <c r="O561" s="1514"/>
      <c r="P561" s="1514"/>
      <c r="Q561" s="1442"/>
      <c r="R561" s="1443"/>
      <c r="S561" s="1444"/>
      <c r="T561" s="1442"/>
      <c r="U561" s="1443"/>
      <c r="V561" s="1444"/>
      <c r="W561" s="1516"/>
      <c r="X561" s="1517"/>
      <c r="Y561" s="1518"/>
      <c r="Z561" s="1510" t="s">
        <v>1291</v>
      </c>
      <c r="AA561" s="1510"/>
      <c r="AB561" s="1510"/>
      <c r="AC561" s="1510"/>
      <c r="AD561" s="1510"/>
      <c r="AE561" s="1511"/>
      <c r="AF561" s="1512"/>
      <c r="AG561" s="1512"/>
      <c r="AH561" s="1513"/>
      <c r="AI561" s="1445"/>
      <c r="AJ561" s="1446"/>
      <c r="AK561" s="1446"/>
      <c r="AL561" s="1447"/>
      <c r="AM561" s="1405"/>
      <c r="AN561" s="1406"/>
      <c r="AO561" s="1406"/>
      <c r="AP561" s="1406"/>
      <c r="AQ561" s="1406"/>
      <c r="AR561" s="1406"/>
      <c r="AS561" s="1407"/>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470</v>
      </c>
      <c r="C562" s="1515"/>
      <c r="D562" s="1515"/>
      <c r="E562" s="1515"/>
      <c r="F562" s="1515"/>
      <c r="G562" s="1515"/>
      <c r="H562" s="1515"/>
      <c r="I562" s="1515"/>
      <c r="J562" s="1515"/>
      <c r="K562" s="1515"/>
      <c r="L562" s="1515"/>
      <c r="M562" s="1514" t="s">
        <v>1291</v>
      </c>
      <c r="N562" s="1514"/>
      <c r="O562" s="1514"/>
      <c r="P562" s="1514"/>
      <c r="Q562" s="1442"/>
      <c r="R562" s="1443"/>
      <c r="S562" s="1444"/>
      <c r="T562" s="1442"/>
      <c r="U562" s="1443"/>
      <c r="V562" s="1444"/>
      <c r="W562" s="1516"/>
      <c r="X562" s="1517"/>
      <c r="Y562" s="1518"/>
      <c r="Z562" s="1510" t="s">
        <v>1291</v>
      </c>
      <c r="AA562" s="1510"/>
      <c r="AB562" s="1510"/>
      <c r="AC562" s="1510"/>
      <c r="AD562" s="1510"/>
      <c r="AE562" s="1511"/>
      <c r="AF562" s="1512"/>
      <c r="AG562" s="1512"/>
      <c r="AH562" s="1513"/>
      <c r="AI562" s="1445"/>
      <c r="AJ562" s="1446"/>
      <c r="AK562" s="1446"/>
      <c r="AL562" s="1447"/>
      <c r="AM562" s="1405"/>
      <c r="AN562" s="1406"/>
      <c r="AO562" s="1406"/>
      <c r="AP562" s="1406"/>
      <c r="AQ562" s="1406"/>
      <c r="AR562" s="1406"/>
      <c r="AS562" s="1407"/>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655</v>
      </c>
      <c r="C563" s="1515"/>
      <c r="D563" s="1515"/>
      <c r="E563" s="1515"/>
      <c r="F563" s="1515"/>
      <c r="G563" s="1515"/>
      <c r="H563" s="1515"/>
      <c r="I563" s="1515"/>
      <c r="J563" s="1515"/>
      <c r="K563" s="1515"/>
      <c r="L563" s="1515"/>
      <c r="M563" s="1514" t="s">
        <v>1291</v>
      </c>
      <c r="N563" s="1514"/>
      <c r="O563" s="1514"/>
      <c r="P563" s="1514"/>
      <c r="Q563" s="1442"/>
      <c r="R563" s="1443"/>
      <c r="S563" s="1444"/>
      <c r="T563" s="1442"/>
      <c r="U563" s="1443"/>
      <c r="V563" s="1444"/>
      <c r="W563" s="1516"/>
      <c r="X563" s="1517"/>
      <c r="Y563" s="1518"/>
      <c r="Z563" s="1510" t="s">
        <v>1291</v>
      </c>
      <c r="AA563" s="1510"/>
      <c r="AB563" s="1510"/>
      <c r="AC563" s="1510"/>
      <c r="AD563" s="1510"/>
      <c r="AE563" s="1511"/>
      <c r="AF563" s="1512"/>
      <c r="AG563" s="1512"/>
      <c r="AH563" s="1513"/>
      <c r="AI563" s="1445"/>
      <c r="AJ563" s="1446"/>
      <c r="AK563" s="1446"/>
      <c r="AL563" s="1447"/>
      <c r="AM563" s="1405"/>
      <c r="AN563" s="1406"/>
      <c r="AO563" s="1406"/>
      <c r="AP563" s="1406"/>
      <c r="AQ563" s="1406"/>
      <c r="AR563" s="1406"/>
      <c r="AS563" s="1407"/>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515"/>
      <c r="D564" s="1515"/>
      <c r="E564" s="1515"/>
      <c r="F564" s="1515"/>
      <c r="G564" s="1515"/>
      <c r="H564" s="1515"/>
      <c r="I564" s="1515"/>
      <c r="J564" s="1515"/>
      <c r="K564" s="1515"/>
      <c r="L564" s="1515"/>
      <c r="M564" s="1514" t="s">
        <v>1291</v>
      </c>
      <c r="N564" s="1514"/>
      <c r="O564" s="1514"/>
      <c r="P564" s="1514"/>
      <c r="Q564" s="1442"/>
      <c r="R564" s="1443"/>
      <c r="S564" s="1444"/>
      <c r="T564" s="1442"/>
      <c r="U564" s="1443"/>
      <c r="V564" s="1444"/>
      <c r="W564" s="1516"/>
      <c r="X564" s="1517"/>
      <c r="Y564" s="1518"/>
      <c r="Z564" s="1510" t="s">
        <v>1291</v>
      </c>
      <c r="AA564" s="1510"/>
      <c r="AB564" s="1510"/>
      <c r="AC564" s="1510"/>
      <c r="AD564" s="1510"/>
      <c r="AE564" s="1511"/>
      <c r="AF564" s="1512"/>
      <c r="AG564" s="1512"/>
      <c r="AH564" s="1513"/>
      <c r="AI564" s="1445"/>
      <c r="AJ564" s="1446"/>
      <c r="AK564" s="1446"/>
      <c r="AL564" s="1447"/>
      <c r="AM564" s="1405"/>
      <c r="AN564" s="1406"/>
      <c r="AO564" s="1406"/>
      <c r="AP564" s="1406"/>
      <c r="AQ564" s="1406"/>
      <c r="AR564" s="1406"/>
      <c r="AS564" s="1407"/>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515"/>
      <c r="D565" s="1515"/>
      <c r="E565" s="1515"/>
      <c r="F565" s="1515"/>
      <c r="G565" s="1515"/>
      <c r="H565" s="1515"/>
      <c r="I565" s="1515"/>
      <c r="J565" s="1515"/>
      <c r="K565" s="1515"/>
      <c r="L565" s="1515"/>
      <c r="M565" s="1514" t="s">
        <v>1291</v>
      </c>
      <c r="N565" s="1514"/>
      <c r="O565" s="1514"/>
      <c r="P565" s="1514"/>
      <c r="Q565" s="1442"/>
      <c r="R565" s="1443"/>
      <c r="S565" s="1444"/>
      <c r="T565" s="1442"/>
      <c r="U565" s="1443"/>
      <c r="V565" s="1444"/>
      <c r="W565" s="1516"/>
      <c r="X565" s="1517"/>
      <c r="Y565" s="1518"/>
      <c r="Z565" s="1510" t="s">
        <v>1291</v>
      </c>
      <c r="AA565" s="1510"/>
      <c r="AB565" s="1510"/>
      <c r="AC565" s="1510"/>
      <c r="AD565" s="1510"/>
      <c r="AE565" s="1511"/>
      <c r="AF565" s="1512"/>
      <c r="AG565" s="1512"/>
      <c r="AH565" s="1513"/>
      <c r="AI565" s="1445"/>
      <c r="AJ565" s="1446"/>
      <c r="AK565" s="1446"/>
      <c r="AL565" s="1447"/>
      <c r="AM565" s="1405"/>
      <c r="AN565" s="1406"/>
      <c r="AO565" s="1406"/>
      <c r="AP565" s="1406"/>
      <c r="AQ565" s="1406"/>
      <c r="AR565" s="1406"/>
      <c r="AS565" s="1407"/>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592" t="s">
        <v>127</v>
      </c>
      <c r="C566" s="1593"/>
      <c r="D566" s="1593"/>
      <c r="E566" s="1593"/>
      <c r="F566" s="1593"/>
      <c r="G566" s="1593"/>
      <c r="H566" s="1593"/>
      <c r="I566" s="1593"/>
      <c r="J566" s="1593"/>
      <c r="K566" s="1593"/>
      <c r="L566" s="1593"/>
      <c r="M566" s="1593"/>
      <c r="N566" s="1593"/>
      <c r="O566" s="1593"/>
      <c r="P566" s="1593"/>
      <c r="Q566" s="1593"/>
      <c r="R566" s="1593"/>
      <c r="S566" s="1593"/>
      <c r="T566" s="1593"/>
      <c r="U566" s="1672"/>
      <c r="V566" s="1593"/>
      <c r="W566" s="1593"/>
      <c r="X566" s="1593"/>
      <c r="Y566" s="1593"/>
      <c r="Z566" s="1593"/>
      <c r="AA566" s="1593"/>
      <c r="AB566" s="1593"/>
      <c r="AC566" s="1593"/>
      <c r="AD566" s="1593"/>
      <c r="AE566" s="1593"/>
      <c r="AF566" s="1593"/>
      <c r="AG566" s="1593"/>
      <c r="AH566" s="1593"/>
      <c r="AI566" s="1593"/>
      <c r="AJ566" s="1593"/>
      <c r="AK566" s="1593"/>
      <c r="AL566" s="1594"/>
      <c r="AM566" s="1676">
        <f>SUM(AM554:AS565)</f>
        <v>57112449</v>
      </c>
      <c r="AN566" s="1677"/>
      <c r="AO566" s="1677"/>
      <c r="AP566" s="1677"/>
      <c r="AQ566" s="1677"/>
      <c r="AR566" s="1677"/>
      <c r="AS566" s="1678"/>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472</v>
      </c>
      <c r="G568" s="1382" t="str">
        <f>C554</f>
        <v>GreyStone[GHI] - Tax Exempt</v>
      </c>
      <c r="H568" s="1382"/>
      <c r="I568" s="1382"/>
      <c r="J568" s="1382"/>
      <c r="K568" s="1382"/>
      <c r="L568" s="1382"/>
      <c r="M568" s="1382"/>
      <c r="N568" s="1382"/>
      <c r="O568" s="1382"/>
      <c r="P568" s="1382"/>
      <c r="Q568" s="1382"/>
      <c r="R568" s="1382"/>
      <c r="S568" s="8"/>
      <c r="T568" s="55" t="s">
        <v>113</v>
      </c>
      <c r="U568" t="s">
        <v>472</v>
      </c>
      <c r="Z568" s="1382" t="str">
        <f>C555</f>
        <v>GreyStone[GHI] - Recycled Bonds</v>
      </c>
      <c r="AA568" s="1382"/>
      <c r="AB568" s="1382"/>
      <c r="AC568" s="1382"/>
      <c r="AD568" s="1382"/>
      <c r="AE568" s="1382"/>
      <c r="AF568" s="1382"/>
      <c r="AG568" s="1382"/>
      <c r="AH568" s="1382"/>
      <c r="AI568" s="1382"/>
      <c r="AJ568" s="1382"/>
      <c r="AK568" s="138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381" t="s">
        <v>2711</v>
      </c>
      <c r="H569" s="1381"/>
      <c r="I569" s="1381"/>
      <c r="J569" s="1381"/>
      <c r="K569" s="1381"/>
      <c r="L569" s="1381"/>
      <c r="M569" s="1381"/>
      <c r="N569" s="1381"/>
      <c r="O569" s="1381"/>
      <c r="P569" s="1381"/>
      <c r="Q569" s="1381"/>
      <c r="R569" s="1381"/>
      <c r="S569" s="8"/>
      <c r="T569" s="22"/>
      <c r="U569" t="s">
        <v>85</v>
      </c>
      <c r="Z569" s="1381" t="str">
        <f>$G$569</f>
        <v xml:space="preserve">14301 FNB Parkway </v>
      </c>
      <c r="AA569" s="1381"/>
      <c r="AB569" s="1381"/>
      <c r="AC569" s="1381"/>
      <c r="AD569" s="1381"/>
      <c r="AE569" s="1381"/>
      <c r="AF569" s="1381"/>
      <c r="AG569" s="1381"/>
      <c r="AH569" s="1381"/>
      <c r="AI569" s="1381"/>
      <c r="AJ569" s="1381"/>
      <c r="AK569" s="138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589</v>
      </c>
      <c r="G570" s="1381" t="s">
        <v>2712</v>
      </c>
      <c r="H570" s="1381"/>
      <c r="I570" s="1381"/>
      <c r="J570" s="1381"/>
      <c r="K570" s="1381"/>
      <c r="L570" s="1381"/>
      <c r="M570" s="1381"/>
      <c r="N570" s="1381"/>
      <c r="O570" s="1381"/>
      <c r="P570" s="1381"/>
      <c r="Q570" s="1381"/>
      <c r="R570" s="1381"/>
      <c r="T570" s="22"/>
      <c r="U570" t="s">
        <v>589</v>
      </c>
      <c r="Z570" s="1438" t="str">
        <f>$G$570</f>
        <v>Omaha</v>
      </c>
      <c r="AA570" s="1438"/>
      <c r="AB570" s="1438"/>
      <c r="AC570" s="1438"/>
      <c r="AD570" s="1438"/>
      <c r="AE570" s="1438"/>
      <c r="AF570" s="1438"/>
      <c r="AG570" s="1438"/>
      <c r="AH570" s="1438"/>
      <c r="AI570" s="1438"/>
      <c r="AJ570" s="1438"/>
      <c r="AK570" s="1438"/>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381" t="s">
        <v>2713</v>
      </c>
      <c r="H571" s="1381"/>
      <c r="I571" s="1381"/>
      <c r="J571" s="1381"/>
      <c r="K571" s="1381"/>
      <c r="L571" s="1381"/>
      <c r="M571" s="1381"/>
      <c r="N571" s="1381"/>
      <c r="O571" s="1381"/>
      <c r="P571" s="1381"/>
      <c r="Q571" s="1381"/>
      <c r="R571" s="1381"/>
      <c r="S571" s="8"/>
      <c r="T571" s="22"/>
      <c r="U571" t="s">
        <v>17</v>
      </c>
      <c r="Z571" s="1438" t="str">
        <f>$G$571</f>
        <v>Frank Bravo</v>
      </c>
      <c r="AA571" s="1438"/>
      <c r="AB571" s="1438"/>
      <c r="AC571" s="1438"/>
      <c r="AD571" s="1438"/>
      <c r="AE571" s="1438"/>
      <c r="AF571" s="1438"/>
      <c r="AG571" s="1438"/>
      <c r="AH571" s="1438"/>
      <c r="AI571" s="1438"/>
      <c r="AJ571" s="1438"/>
      <c r="AK571" s="1438"/>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493" t="s">
        <v>2714</v>
      </c>
      <c r="H572" s="1493"/>
      <c r="I572" s="1493"/>
      <c r="J572" s="1493"/>
      <c r="K572" s="1493"/>
      <c r="L572" s="1493"/>
      <c r="O572" s="33" t="s">
        <v>207</v>
      </c>
      <c r="P572" s="1412"/>
      <c r="Q572" s="1412"/>
      <c r="R572" s="1412"/>
      <c r="S572" s="10"/>
      <c r="T572" s="22"/>
      <c r="U572" t="s">
        <v>317</v>
      </c>
      <c r="Z572" s="1493" t="str">
        <f>$G$572</f>
        <v>619.613.5527</v>
      </c>
      <c r="AA572" s="1493"/>
      <c r="AB572" s="1493"/>
      <c r="AC572" s="1493"/>
      <c r="AD572" s="1493"/>
      <c r="AE572" s="1493"/>
      <c r="AH572" s="33" t="s">
        <v>207</v>
      </c>
      <c r="AI572" s="1412"/>
      <c r="AJ572" s="1412"/>
      <c r="AK572" s="141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381" t="str">
        <f>M554</f>
        <v>Loan, Tax-Exempt</v>
      </c>
      <c r="I573" s="1381"/>
      <c r="J573" s="1381"/>
      <c r="K573" s="1381"/>
      <c r="L573" s="1381"/>
      <c r="M573" s="1381"/>
      <c r="N573" s="1381"/>
      <c r="O573" s="1381"/>
      <c r="P573" s="1381"/>
      <c r="Q573" s="1381"/>
      <c r="R573" s="1381"/>
      <c r="S573" s="8"/>
      <c r="T573" s="22"/>
      <c r="U573" t="s">
        <v>18</v>
      </c>
      <c r="AA573" s="1381" t="str">
        <f>M555</f>
        <v>Loan, Tax-Exempt, Recycled</v>
      </c>
      <c r="AB573" s="1381"/>
      <c r="AC573" s="1381"/>
      <c r="AD573" s="1381"/>
      <c r="AE573" s="1381"/>
      <c r="AF573" s="1381"/>
      <c r="AG573" s="1381"/>
      <c r="AH573" s="1381"/>
      <c r="AI573" s="1381"/>
      <c r="AJ573" s="1381"/>
      <c r="AK573" s="138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1292</v>
      </c>
      <c r="H574" s="8"/>
      <c r="I574" s="8"/>
      <c r="J574" s="8"/>
      <c r="K574" s="8"/>
      <c r="L574" s="8"/>
      <c r="M574" s="1509"/>
      <c r="N574" s="1509"/>
      <c r="O574" s="1509"/>
      <c r="P574" s="1509"/>
      <c r="Q574" s="1509"/>
      <c r="R574" s="1509"/>
      <c r="S574" s="8"/>
      <c r="T574" s="22"/>
      <c r="U574" s="348" t="s">
        <v>1292</v>
      </c>
      <c r="AA574" s="8"/>
      <c r="AB574" s="8"/>
      <c r="AC574" s="8"/>
      <c r="AD574" s="8"/>
      <c r="AE574" s="8"/>
      <c r="AF574" s="1509"/>
      <c r="AG574" s="1509"/>
      <c r="AH574" s="1509"/>
      <c r="AI574" s="1509"/>
      <c r="AJ574" s="1509"/>
      <c r="AK574" s="1509"/>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383" t="s">
        <v>554</v>
      </c>
      <c r="O575" s="1383"/>
      <c r="T575" s="22"/>
      <c r="U575" t="s">
        <v>20</v>
      </c>
      <c r="AG575" s="1383" t="s">
        <v>554</v>
      </c>
      <c r="AH575" s="138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472</v>
      </c>
      <c r="G577" s="1382" t="str">
        <f>C556</f>
        <v>GP Equity</v>
      </c>
      <c r="H577" s="1382"/>
      <c r="I577" s="1382"/>
      <c r="J577" s="1382"/>
      <c r="K577" s="1382"/>
      <c r="L577" s="1382"/>
      <c r="M577" s="1382"/>
      <c r="N577" s="1382"/>
      <c r="O577" s="1382"/>
      <c r="P577" s="1382"/>
      <c r="Q577" s="1382"/>
      <c r="R577" s="1382"/>
      <c r="T577" s="55" t="s">
        <v>590</v>
      </c>
      <c r="U577" t="s">
        <v>472</v>
      </c>
      <c r="Z577" s="1382" t="str">
        <f>C557</f>
        <v>Investor Equity</v>
      </c>
      <c r="AA577" s="1382"/>
      <c r="AB577" s="1382"/>
      <c r="AC577" s="1382"/>
      <c r="AD577" s="1382"/>
      <c r="AE577" s="1382"/>
      <c r="AF577" s="1382"/>
      <c r="AG577" s="1382"/>
      <c r="AH577" s="1382"/>
      <c r="AI577" s="1382"/>
      <c r="AJ577" s="1382"/>
      <c r="AK577" s="138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381" t="s">
        <v>2652</v>
      </c>
      <c r="H578" s="1381"/>
      <c r="I578" s="1381"/>
      <c r="J578" s="1381"/>
      <c r="K578" s="1381"/>
      <c r="L578" s="1381"/>
      <c r="M578" s="1381"/>
      <c r="N578" s="1381"/>
      <c r="O578" s="1381"/>
      <c r="P578" s="1381"/>
      <c r="Q578" s="1381"/>
      <c r="R578" s="1381"/>
      <c r="T578" s="22"/>
      <c r="U578" t="s">
        <v>85</v>
      </c>
      <c r="Z578" s="1381"/>
      <c r="AA578" s="1381"/>
      <c r="AB578" s="1381"/>
      <c r="AC578" s="1381"/>
      <c r="AD578" s="1381"/>
      <c r="AE578" s="1381"/>
      <c r="AF578" s="1381"/>
      <c r="AG578" s="1381"/>
      <c r="AH578" s="1381"/>
      <c r="AI578" s="1381"/>
      <c r="AJ578" s="1381"/>
      <c r="AK578" s="138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589</v>
      </c>
      <c r="G579" s="1438" t="s">
        <v>2653</v>
      </c>
      <c r="H579" s="1438"/>
      <c r="I579" s="1438"/>
      <c r="J579" s="1438"/>
      <c r="K579" s="1438"/>
      <c r="L579" s="1438"/>
      <c r="M579" s="1438"/>
      <c r="N579" s="1438"/>
      <c r="O579" s="1438"/>
      <c r="P579" s="1438"/>
      <c r="Q579" s="1438"/>
      <c r="R579" s="1438"/>
      <c r="T579" s="22"/>
      <c r="U579" t="s">
        <v>589</v>
      </c>
      <c r="Z579" s="1438"/>
      <c r="AA579" s="1438"/>
      <c r="AB579" s="1438"/>
      <c r="AC579" s="1438"/>
      <c r="AD579" s="1438"/>
      <c r="AE579" s="1438"/>
      <c r="AF579" s="1438"/>
      <c r="AG579" s="1438"/>
      <c r="AH579" s="1438"/>
      <c r="AI579" s="1438"/>
      <c r="AJ579" s="1438"/>
      <c r="AK579" s="1438"/>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38" t="s">
        <v>2655</v>
      </c>
      <c r="H580" s="1438"/>
      <c r="I580" s="1438"/>
      <c r="J580" s="1438"/>
      <c r="K580" s="1438"/>
      <c r="L580" s="1438"/>
      <c r="M580" s="1438"/>
      <c r="N580" s="1438"/>
      <c r="O580" s="1438"/>
      <c r="P580" s="1438"/>
      <c r="Q580" s="1438"/>
      <c r="R580" s="1438"/>
      <c r="T580" s="22"/>
      <c r="U580" t="s">
        <v>17</v>
      </c>
      <c r="Z580" s="1438"/>
      <c r="AA580" s="1438"/>
      <c r="AB580" s="1438"/>
      <c r="AC580" s="1438"/>
      <c r="AD580" s="1438"/>
      <c r="AE580" s="1438"/>
      <c r="AF580" s="1438"/>
      <c r="AG580" s="1438"/>
      <c r="AH580" s="1438"/>
      <c r="AI580" s="1438"/>
      <c r="AJ580" s="1438"/>
      <c r="AK580" s="1438"/>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493" t="s">
        <v>2656</v>
      </c>
      <c r="H581" s="1493"/>
      <c r="I581" s="1493"/>
      <c r="J581" s="1493"/>
      <c r="K581" s="1493"/>
      <c r="L581" s="1493"/>
      <c r="O581" s="33" t="s">
        <v>207</v>
      </c>
      <c r="P581" s="1412"/>
      <c r="Q581" s="1412"/>
      <c r="R581" s="1412"/>
      <c r="T581" s="22"/>
      <c r="U581" t="s">
        <v>317</v>
      </c>
      <c r="Z581" s="1493"/>
      <c r="AA581" s="1493"/>
      <c r="AB581" s="1493"/>
      <c r="AC581" s="1493"/>
      <c r="AD581" s="1493"/>
      <c r="AE581" s="1493"/>
      <c r="AH581" s="33" t="s">
        <v>207</v>
      </c>
      <c r="AI581" s="1412"/>
      <c r="AJ581" s="1412"/>
      <c r="AK581" s="141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381" t="str">
        <f>M556</f>
        <v>Equity, General Partner</v>
      </c>
      <c r="I582" s="1381"/>
      <c r="J582" s="1381"/>
      <c r="K582" s="1381"/>
      <c r="L582" s="1381"/>
      <c r="M582" s="1381"/>
      <c r="N582" s="1381"/>
      <c r="O582" s="1381"/>
      <c r="P582" s="1381"/>
      <c r="Q582" s="1381"/>
      <c r="R582" s="1381"/>
      <c r="T582" s="22"/>
      <c r="U582" t="s">
        <v>18</v>
      </c>
      <c r="AA582" s="1381" t="str">
        <f>M557</f>
        <v>Equity, LIHTC Investor</v>
      </c>
      <c r="AB582" s="1381"/>
      <c r="AC582" s="1381"/>
      <c r="AD582" s="1381"/>
      <c r="AE582" s="1381"/>
      <c r="AF582" s="1381"/>
      <c r="AG582" s="1381"/>
      <c r="AH582" s="1381"/>
      <c r="AI582" s="1381"/>
      <c r="AJ582" s="1381"/>
      <c r="AK582" s="138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383" t="s">
        <v>554</v>
      </c>
      <c r="O583" s="1383"/>
      <c r="T583" s="22"/>
      <c r="U583" t="s">
        <v>20</v>
      </c>
      <c r="AG583" s="1383" t="s">
        <v>554</v>
      </c>
      <c r="AH583" s="138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773</v>
      </c>
      <c r="B585" t="s">
        <v>472</v>
      </c>
      <c r="G585" s="1382" t="str">
        <f>C558</f>
        <v>Deferred Developer Fee</v>
      </c>
      <c r="H585" s="1382"/>
      <c r="I585" s="1382"/>
      <c r="J585" s="1382"/>
      <c r="K585" s="1382"/>
      <c r="L585" s="1382"/>
      <c r="M585" s="1382"/>
      <c r="N585" s="1382"/>
      <c r="O585" s="1382"/>
      <c r="P585" s="1382"/>
      <c r="Q585" s="1382"/>
      <c r="R585" s="1382"/>
      <c r="T585" s="55" t="s">
        <v>593</v>
      </c>
      <c r="U585" t="s">
        <v>472</v>
      </c>
      <c r="Z585" s="1382" t="str">
        <f>C559</f>
        <v>Deferred to Permanent Conversion</v>
      </c>
      <c r="AA585" s="1382"/>
      <c r="AB585" s="1382"/>
      <c r="AC585" s="1382"/>
      <c r="AD585" s="1382"/>
      <c r="AE585" s="1382"/>
      <c r="AF585" s="1382"/>
      <c r="AG585" s="1382"/>
      <c r="AH585" s="1382"/>
      <c r="AI585" s="1382"/>
      <c r="AJ585" s="1382"/>
      <c r="AK585" s="138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381" t="s">
        <v>2652</v>
      </c>
      <c r="H586" s="1381"/>
      <c r="I586" s="1381"/>
      <c r="J586" s="1381"/>
      <c r="K586" s="1381"/>
      <c r="L586" s="1381"/>
      <c r="M586" s="1381"/>
      <c r="N586" s="1381"/>
      <c r="O586" s="1381"/>
      <c r="P586" s="1381"/>
      <c r="Q586" s="1381"/>
      <c r="R586" s="1381"/>
      <c r="T586" s="22"/>
      <c r="U586" t="s">
        <v>85</v>
      </c>
      <c r="Z586" s="1381" t="s">
        <v>2652</v>
      </c>
      <c r="AA586" s="1381"/>
      <c r="AB586" s="1381"/>
      <c r="AC586" s="1381"/>
      <c r="AD586" s="1381"/>
      <c r="AE586" s="1381"/>
      <c r="AF586" s="1381"/>
      <c r="AG586" s="1381"/>
      <c r="AH586" s="1381"/>
      <c r="AI586" s="1381"/>
      <c r="AJ586" s="1381"/>
      <c r="AK586" s="138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589</v>
      </c>
      <c r="G587" s="1381" t="s">
        <v>2653</v>
      </c>
      <c r="H587" s="1381"/>
      <c r="I587" s="1381"/>
      <c r="J587" s="1381"/>
      <c r="K587" s="1381"/>
      <c r="L587" s="1381"/>
      <c r="M587" s="1381"/>
      <c r="N587" s="1381"/>
      <c r="O587" s="1381"/>
      <c r="P587" s="1381"/>
      <c r="Q587" s="1381"/>
      <c r="R587" s="1381"/>
      <c r="T587" s="22"/>
      <c r="U587" t="s">
        <v>589</v>
      </c>
      <c r="Z587" s="1438" t="s">
        <v>2653</v>
      </c>
      <c r="AA587" s="1438"/>
      <c r="AB587" s="1438"/>
      <c r="AC587" s="1438"/>
      <c r="AD587" s="1438"/>
      <c r="AE587" s="1438"/>
      <c r="AF587" s="1438"/>
      <c r="AG587" s="1438"/>
      <c r="AH587" s="1438"/>
      <c r="AI587" s="1438"/>
      <c r="AJ587" s="1438"/>
      <c r="AK587" s="1438"/>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381" t="s">
        <v>2655</v>
      </c>
      <c r="H588" s="1381"/>
      <c r="I588" s="1381"/>
      <c r="J588" s="1381"/>
      <c r="K588" s="1381"/>
      <c r="L588" s="1381"/>
      <c r="M588" s="1381"/>
      <c r="N588" s="1381"/>
      <c r="O588" s="1381"/>
      <c r="P588" s="1381"/>
      <c r="Q588" s="1381"/>
      <c r="R588" s="1381"/>
      <c r="T588" s="22"/>
      <c r="U588" t="s">
        <v>17</v>
      </c>
      <c r="Z588" s="1438" t="s">
        <v>2655</v>
      </c>
      <c r="AA588" s="1438"/>
      <c r="AB588" s="1438"/>
      <c r="AC588" s="1438"/>
      <c r="AD588" s="1438"/>
      <c r="AE588" s="1438"/>
      <c r="AF588" s="1438"/>
      <c r="AG588" s="1438"/>
      <c r="AH588" s="1438"/>
      <c r="AI588" s="1438"/>
      <c r="AJ588" s="1438"/>
      <c r="AK588" s="1438"/>
    </row>
    <row r="589" spans="1:110" ht="13" customHeight="1">
      <c r="A589" s="22"/>
      <c r="B589" t="s">
        <v>317</v>
      </c>
      <c r="G589" s="1714" t="s">
        <v>2656</v>
      </c>
      <c r="H589" s="1493"/>
      <c r="I589" s="1493"/>
      <c r="J589" s="1493"/>
      <c r="K589" s="1493"/>
      <c r="L589" s="1493"/>
      <c r="O589" s="33" t="s">
        <v>207</v>
      </c>
      <c r="P589" s="1412"/>
      <c r="Q589" s="1412"/>
      <c r="R589" s="1412"/>
      <c r="T589" s="22"/>
      <c r="U589" t="s">
        <v>317</v>
      </c>
      <c r="Z589" s="1493" t="str">
        <f>$G$589</f>
        <v>408-647-4720</v>
      </c>
      <c r="AA589" s="1493"/>
      <c r="AB589" s="1493"/>
      <c r="AC589" s="1493"/>
      <c r="AD589" s="1493"/>
      <c r="AE589" s="1493"/>
      <c r="AH589" s="33" t="s">
        <v>207</v>
      </c>
      <c r="AI589" s="1412"/>
      <c r="AJ589" s="1412"/>
      <c r="AK589" s="141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381" t="str">
        <f>M558</f>
        <v>Developer Fee, Deferral</v>
      </c>
      <c r="I590" s="1381"/>
      <c r="J590" s="1381"/>
      <c r="K590" s="1381"/>
      <c r="L590" s="1381"/>
      <c r="M590" s="1381"/>
      <c r="N590" s="1381"/>
      <c r="O590" s="1381"/>
      <c r="P590" s="1381"/>
      <c r="Q590" s="1381"/>
      <c r="R590" s="1381"/>
      <c r="T590" s="22"/>
      <c r="U590" t="s">
        <v>18</v>
      </c>
      <c r="AA590" s="1381" t="str">
        <f>M559</f>
        <v>Cost Deferral</v>
      </c>
      <c r="AB590" s="1381"/>
      <c r="AC590" s="1381"/>
      <c r="AD590" s="1381"/>
      <c r="AE590" s="1381"/>
      <c r="AF590" s="1381"/>
      <c r="AG590" s="1381"/>
      <c r="AH590" s="1381"/>
      <c r="AI590" s="1381"/>
      <c r="AJ590" s="1381"/>
      <c r="AK590" s="138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383" t="s">
        <v>554</v>
      </c>
      <c r="O591" s="1383"/>
      <c r="T591" s="22"/>
      <c r="U591" t="s">
        <v>20</v>
      </c>
      <c r="AG591" s="1383" t="s">
        <v>554</v>
      </c>
      <c r="AH591" s="138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464</v>
      </c>
      <c r="B593" t="s">
        <v>472</v>
      </c>
      <c r="G593" s="1382" t="str">
        <f>C560</f>
        <v>GreyStone[GHII] - Taxable Bond</v>
      </c>
      <c r="H593" s="1382"/>
      <c r="I593" s="1382"/>
      <c r="J593" s="1382"/>
      <c r="K593" s="1382"/>
      <c r="L593" s="1382"/>
      <c r="M593" s="1382"/>
      <c r="N593" s="1382"/>
      <c r="O593" s="1382"/>
      <c r="P593" s="1382"/>
      <c r="Q593" s="1382"/>
      <c r="R593" s="1382"/>
      <c r="T593" s="55" t="s">
        <v>465</v>
      </c>
      <c r="U593" t="s">
        <v>472</v>
      </c>
      <c r="Z593" s="1382">
        <f>C561</f>
        <v>0</v>
      </c>
      <c r="AA593" s="1382"/>
      <c r="AB593" s="1382"/>
      <c r="AC593" s="1382"/>
      <c r="AD593" s="1382"/>
      <c r="AE593" s="1382"/>
      <c r="AF593" s="1382"/>
      <c r="AG593" s="1382"/>
      <c r="AH593" s="1382"/>
      <c r="AI593" s="1382"/>
      <c r="AJ593" s="1382"/>
      <c r="AK593" s="138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381" t="str">
        <f>$G$569</f>
        <v xml:space="preserve">14301 FNB Parkway </v>
      </c>
      <c r="H594" s="1381"/>
      <c r="I594" s="1381"/>
      <c r="J594" s="1381"/>
      <c r="K594" s="1381"/>
      <c r="L594" s="1381"/>
      <c r="M594" s="1381"/>
      <c r="N594" s="1381"/>
      <c r="O594" s="1381"/>
      <c r="P594" s="1381"/>
      <c r="Q594" s="1381"/>
      <c r="R594" s="1381"/>
      <c r="S594"/>
      <c r="T594" s="22"/>
      <c r="U594" t="s">
        <v>85</v>
      </c>
      <c r="V594"/>
      <c r="W594"/>
      <c r="X594"/>
      <c r="Y594"/>
      <c r="Z594" s="1381"/>
      <c r="AA594" s="1381"/>
      <c r="AB594" s="1381"/>
      <c r="AC594" s="1381"/>
      <c r="AD594" s="1381"/>
      <c r="AE594" s="1381"/>
      <c r="AF594" s="1381"/>
      <c r="AG594" s="1381"/>
      <c r="AH594" s="1381"/>
      <c r="AI594" s="1381"/>
      <c r="AJ594" s="1381"/>
      <c r="AK594" s="138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589</v>
      </c>
      <c r="C595"/>
      <c r="D595"/>
      <c r="E595"/>
      <c r="F595"/>
      <c r="G595" s="1381" t="str">
        <f>$G$570</f>
        <v>Omaha</v>
      </c>
      <c r="H595" s="1381"/>
      <c r="I595" s="1381"/>
      <c r="J595" s="1381"/>
      <c r="K595" s="1381"/>
      <c r="L595" s="1381"/>
      <c r="M595" s="1381"/>
      <c r="N595" s="1381"/>
      <c r="O595" s="1381"/>
      <c r="P595" s="1381"/>
      <c r="Q595" s="1381"/>
      <c r="R595" s="1381"/>
      <c r="S595"/>
      <c r="T595" s="22"/>
      <c r="U595" t="s">
        <v>589</v>
      </c>
      <c r="V595"/>
      <c r="W595"/>
      <c r="X595"/>
      <c r="Y595"/>
      <c r="Z595" s="1438"/>
      <c r="AA595" s="1438"/>
      <c r="AB595" s="1438"/>
      <c r="AC595" s="1438"/>
      <c r="AD595" s="1438"/>
      <c r="AE595" s="1438"/>
      <c r="AF595" s="1438"/>
      <c r="AG595" s="1438"/>
      <c r="AH595" s="1438"/>
      <c r="AI595" s="1438"/>
      <c r="AJ595" s="1438"/>
      <c r="AK595" s="1438"/>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381" t="str">
        <f>$G$571</f>
        <v>Frank Bravo</v>
      </c>
      <c r="H596" s="1381"/>
      <c r="I596" s="1381"/>
      <c r="J596" s="1381"/>
      <c r="K596" s="1381"/>
      <c r="L596" s="1381"/>
      <c r="M596" s="1381"/>
      <c r="N596" s="1381"/>
      <c r="O596" s="1381"/>
      <c r="P596" s="1381"/>
      <c r="Q596" s="1381"/>
      <c r="R596" s="1381"/>
      <c r="S596"/>
      <c r="T596" s="22"/>
      <c r="U596" t="s">
        <v>17</v>
      </c>
      <c r="V596"/>
      <c r="W596"/>
      <c r="X596"/>
      <c r="Y596"/>
      <c r="Z596" s="1438"/>
      <c r="AA596" s="1438"/>
      <c r="AB596" s="1438"/>
      <c r="AC596" s="1438"/>
      <c r="AD596" s="1438"/>
      <c r="AE596" s="1438"/>
      <c r="AF596" s="1438"/>
      <c r="AG596" s="1438"/>
      <c r="AH596" s="1438"/>
      <c r="AI596" s="1438"/>
      <c r="AJ596" s="1438"/>
      <c r="AK596" s="1438"/>
      <c r="AL596"/>
      <c r="AM596"/>
      <c r="AN596"/>
      <c r="AO596"/>
      <c r="AP596"/>
      <c r="AQ596"/>
      <c r="AR596"/>
      <c r="AS596"/>
      <c r="AT596"/>
      <c r="AU596"/>
      <c r="AV596"/>
      <c r="AW596"/>
      <c r="AX596"/>
      <c r="AY596"/>
      <c r="BA596" s="4" t="s">
        <v>325</v>
      </c>
      <c r="BB596" s="3"/>
      <c r="BC596" s="3"/>
      <c r="BD596" s="3"/>
      <c r="BE596" s="121" t="s">
        <v>483</v>
      </c>
      <c r="BF596" s="122"/>
      <c r="BG596" s="1399"/>
      <c r="BH596" s="1400"/>
      <c r="BI596" s="121" t="s">
        <v>484</v>
      </c>
      <c r="BJ596" s="122"/>
      <c r="BK596" s="1399"/>
      <c r="BL596" s="1400"/>
      <c r="BM596" s="3"/>
      <c r="BN596" s="1524" t="s">
        <v>642</v>
      </c>
      <c r="BO596" s="1525"/>
      <c r="BP596" s="1525"/>
      <c r="BQ596" s="1525"/>
      <c r="BR596" s="1526"/>
      <c r="BS596" s="1523" t="s">
        <v>326</v>
      </c>
      <c r="BT596" s="1523"/>
      <c r="BU596" s="1523"/>
      <c r="BV596" s="1523"/>
      <c r="BW596" s="1523"/>
      <c r="BX596" s="1523" t="s">
        <v>163</v>
      </c>
      <c r="BY596" s="1523"/>
      <c r="BZ596" s="1523"/>
      <c r="CA596" s="1523"/>
      <c r="CB596" s="1523"/>
      <c r="CC596" s="1523" t="s">
        <v>164</v>
      </c>
      <c r="CD596" s="1523"/>
      <c r="CE596" s="1523"/>
      <c r="CF596" s="1523"/>
      <c r="CG596" s="1523"/>
      <c r="CH596" s="1523" t="s">
        <v>469</v>
      </c>
      <c r="CI596" s="1523"/>
      <c r="CJ596" s="1523"/>
      <c r="CK596" s="1523"/>
      <c r="CL596" s="1523"/>
      <c r="CM596" s="1523" t="s">
        <v>30</v>
      </c>
      <c r="CN596" s="1523"/>
      <c r="CO596" s="1523"/>
      <c r="CP596" s="1523"/>
      <c r="CQ596" s="1523"/>
      <c r="CR596" s="89"/>
      <c r="CS596" s="1523" t="s">
        <v>642</v>
      </c>
      <c r="CT596" s="1523"/>
      <c r="CU596" s="1523"/>
      <c r="CV596" s="1523"/>
      <c r="CW596" s="1523"/>
      <c r="CX596" s="1523" t="s">
        <v>326</v>
      </c>
      <c r="CY596" s="1523"/>
      <c r="CZ596" s="1523"/>
      <c r="DA596" s="1523"/>
      <c r="DB596" s="1523"/>
      <c r="DC596" s="1523" t="s">
        <v>163</v>
      </c>
      <c r="DD596" s="1523"/>
      <c r="DE596" s="1523"/>
      <c r="DF596" s="1523"/>
      <c r="DG596" s="1523"/>
      <c r="DH596" s="1523" t="s">
        <v>164</v>
      </c>
      <c r="DI596" s="1523"/>
      <c r="DJ596" s="1523"/>
      <c r="DK596" s="1523"/>
      <c r="DL596" s="1523"/>
      <c r="DM596" s="1523" t="s">
        <v>469</v>
      </c>
      <c r="DN596" s="1523"/>
      <c r="DO596" s="1523"/>
      <c r="DP596" s="1523"/>
      <c r="DQ596" s="1523"/>
      <c r="DR596" s="1523" t="s">
        <v>30</v>
      </c>
      <c r="DS596" s="1523"/>
      <c r="DT596" s="1523"/>
      <c r="DU596" s="1523"/>
      <c r="DV596" s="1523"/>
      <c r="DX596" s="1523" t="s">
        <v>642</v>
      </c>
      <c r="DY596" s="1523"/>
      <c r="DZ596" s="1523"/>
      <c r="EA596" s="1523"/>
      <c r="EB596" s="1523"/>
      <c r="EC596" s="1523" t="s">
        <v>326</v>
      </c>
      <c r="ED596" s="1523"/>
      <c r="EE596" s="1523"/>
      <c r="EF596" s="1523"/>
      <c r="EG596" s="1523"/>
      <c r="EH596" s="1523" t="s">
        <v>163</v>
      </c>
      <c r="EI596" s="1523"/>
      <c r="EJ596" s="1523"/>
      <c r="EK596" s="1523"/>
      <c r="EL596" s="1523"/>
      <c r="EM596" s="1523" t="s">
        <v>164</v>
      </c>
      <c r="EN596" s="1523"/>
      <c r="EO596" s="1523"/>
      <c r="EP596" s="1523"/>
      <c r="EQ596" s="1523"/>
      <c r="ER596" s="1523" t="s">
        <v>469</v>
      </c>
      <c r="ES596" s="1523"/>
      <c r="ET596" s="1523"/>
      <c r="EU596" s="1523"/>
      <c r="EV596" s="1523"/>
      <c r="EW596" s="1523" t="s">
        <v>30</v>
      </c>
      <c r="EX596" s="1523"/>
      <c r="EY596" s="1523"/>
      <c r="EZ596" s="1523"/>
      <c r="FA596" s="1523"/>
    </row>
    <row r="597" spans="1:157" s="4" customFormat="1" ht="13" customHeight="1">
      <c r="A597" s="22"/>
      <c r="B597" t="s">
        <v>317</v>
      </c>
      <c r="C597"/>
      <c r="D597"/>
      <c r="E597"/>
      <c r="F597"/>
      <c r="G597" s="1493" t="str">
        <f>$G$572</f>
        <v>619.613.5527</v>
      </c>
      <c r="H597" s="1493"/>
      <c r="I597" s="1493"/>
      <c r="J597" s="1493"/>
      <c r="K597" s="1493"/>
      <c r="L597" s="1493"/>
      <c r="M597"/>
      <c r="N597"/>
      <c r="O597" s="33" t="s">
        <v>207</v>
      </c>
      <c r="P597" s="1412"/>
      <c r="Q597" s="1412"/>
      <c r="R597" s="1412"/>
      <c r="S597"/>
      <c r="T597" s="22"/>
      <c r="U597" t="s">
        <v>317</v>
      </c>
      <c r="V597"/>
      <c r="W597"/>
      <c r="X597"/>
      <c r="Y597"/>
      <c r="Z597" s="1493"/>
      <c r="AA597" s="1493"/>
      <c r="AB597" s="1493"/>
      <c r="AC597" s="1493"/>
      <c r="AD597" s="1493"/>
      <c r="AE597" s="1493"/>
      <c r="AF597"/>
      <c r="AG597"/>
      <c r="AH597" s="33" t="s">
        <v>207</v>
      </c>
      <c r="AI597" s="1412"/>
      <c r="AJ597" s="1412"/>
      <c r="AK597" s="1412"/>
      <c r="AL597"/>
      <c r="AM597"/>
      <c r="AN597"/>
      <c r="AO597"/>
      <c r="AP597"/>
      <c r="AQ597"/>
      <c r="AR597"/>
      <c r="AS597"/>
      <c r="AT597"/>
      <c r="AU597"/>
      <c r="AV597"/>
      <c r="AW597"/>
      <c r="AX597"/>
      <c r="AY597"/>
      <c r="BA597" s="4" t="s">
        <v>326</v>
      </c>
      <c r="BB597" s="3"/>
      <c r="BC597" s="3"/>
      <c r="BD597" s="3"/>
      <c r="BE597" s="1393">
        <f t="shared" ref="BE597:BE631" si="1">IF(AND(AC718&lt;=0.5,AC718&gt;=0.36),1,0)</f>
        <v>0</v>
      </c>
      <c r="BF597" s="1395"/>
      <c r="BG597" s="1399">
        <f t="shared" ref="BG597:BG631" si="2">IF(BE597=1,G718,0)</f>
        <v>0</v>
      </c>
      <c r="BH597" s="1400"/>
      <c r="BI597" s="1393">
        <f t="shared" ref="BI597:BI631" si="3">IF(AND(AC718&lt;=0.35,AC718&gt;0),1,0)</f>
        <v>1</v>
      </c>
      <c r="BJ597" s="1395"/>
      <c r="BK597" s="1399">
        <f t="shared" ref="BK597:BK631" si="4">IF(BI597=1,G718,0)</f>
        <v>9</v>
      </c>
      <c r="BL597" s="1400"/>
      <c r="BM597" s="3"/>
      <c r="BN597" s="1401">
        <f t="shared" ref="BN597:BN631" si="5">IF(B718="SRO/Studio",G718,0)</f>
        <v>9</v>
      </c>
      <c r="BO597" s="1402"/>
      <c r="BP597" s="1402"/>
      <c r="BQ597" s="1402"/>
      <c r="BR597" s="1403"/>
      <c r="BS597" s="1398">
        <f t="shared" ref="BS597:BS631" si="6">IF(B718="1 Bedroom",G718,0)</f>
        <v>0</v>
      </c>
      <c r="BT597" s="1398"/>
      <c r="BU597" s="1398"/>
      <c r="BV597" s="1398"/>
      <c r="BW597" s="1398"/>
      <c r="BX597" s="1398">
        <f t="shared" ref="BX597:BX631" si="7">IF(B718="2 Bedrooms",G718,0)</f>
        <v>0</v>
      </c>
      <c r="BY597" s="1398"/>
      <c r="BZ597" s="1398"/>
      <c r="CA597" s="1398"/>
      <c r="CB597" s="1398"/>
      <c r="CC597" s="1398">
        <f t="shared" ref="CC597:CC631" si="8">IF(B718="3 Bedrooms",G718,0)</f>
        <v>0</v>
      </c>
      <c r="CD597" s="1398"/>
      <c r="CE597" s="1398"/>
      <c r="CF597" s="1398"/>
      <c r="CG597" s="1398"/>
      <c r="CH597" s="1398">
        <f t="shared" ref="CH597:CH631" si="9">IF(B718="4 Bedrooms",G718,0)</f>
        <v>0</v>
      </c>
      <c r="CI597" s="1398"/>
      <c r="CJ597" s="1398"/>
      <c r="CK597" s="1398"/>
      <c r="CL597" s="1398"/>
      <c r="CM597" s="1398">
        <f t="shared" ref="CM597:CM631" si="10">IF(B718="5 Bedrooms",G718,0)</f>
        <v>0</v>
      </c>
      <c r="CN597" s="1398"/>
      <c r="CO597" s="1398"/>
      <c r="CP597" s="1398"/>
      <c r="CQ597" s="1398"/>
      <c r="CR597" s="6"/>
      <c r="CS597" s="1397">
        <f t="shared" ref="CS597:CS631" si="11">IF(AND(B718="SRO/Studio",AC718&lt;=0.3),G718,0)</f>
        <v>9</v>
      </c>
      <c r="CT597" s="1397"/>
      <c r="CU597" s="1397"/>
      <c r="CV597" s="1397"/>
      <c r="CW597" s="1397"/>
      <c r="CX597" s="1397">
        <f t="shared" ref="CX597:CX631" si="12">IF(AND(B718="1 Bedroom",AC718&lt;=0.3),G718,0)</f>
        <v>0</v>
      </c>
      <c r="CY597" s="1397"/>
      <c r="CZ597" s="1397"/>
      <c r="DA597" s="1397"/>
      <c r="DB597" s="1397"/>
      <c r="DC597" s="1397">
        <f t="shared" ref="DC597:DC631" si="13">IF(AND(B718="2 Bedrooms",AC718&lt;=0.3),G718,0)</f>
        <v>0</v>
      </c>
      <c r="DD597" s="1397"/>
      <c r="DE597" s="1397"/>
      <c r="DF597" s="1397"/>
      <c r="DG597" s="1397"/>
      <c r="DH597" s="1397">
        <f t="shared" ref="DH597:DH631" si="14">IF(AND(B718="3 Bedrooms",AC718&lt;=0.3),G718,0)</f>
        <v>0</v>
      </c>
      <c r="DI597" s="1397"/>
      <c r="DJ597" s="1397"/>
      <c r="DK597" s="1397"/>
      <c r="DL597" s="1397"/>
      <c r="DM597" s="1397">
        <f t="shared" ref="DM597:DM631" si="15">IF(AND(B718="4 Bedrooms",AC718&lt;=0.3),G718,0)</f>
        <v>0</v>
      </c>
      <c r="DN597" s="1397"/>
      <c r="DO597" s="1397"/>
      <c r="DP597" s="1397"/>
      <c r="DQ597" s="1397"/>
      <c r="DR597" s="1397">
        <f t="shared" ref="DR597:DR631" si="16">IF(AND(B718="5 Bedrooms",AC718&lt;=0.3),G718,0)</f>
        <v>0</v>
      </c>
      <c r="DS597" s="1397"/>
      <c r="DT597" s="1397"/>
      <c r="DU597" s="1397"/>
      <c r="DV597" s="1397"/>
      <c r="DX597" s="1393">
        <f t="shared" ref="DX597:DX631" si="17">IF(BN597&gt;0,O718,"")</f>
        <v>743</v>
      </c>
      <c r="DY597" s="1394"/>
      <c r="DZ597" s="1394"/>
      <c r="EA597" s="1394"/>
      <c r="EB597" s="1395"/>
      <c r="EC597" s="1393" t="str">
        <f t="shared" ref="EC597:EC631" si="18">IF(BS597&gt;0,O718,"")</f>
        <v/>
      </c>
      <c r="ED597" s="1394"/>
      <c r="EE597" s="1394"/>
      <c r="EF597" s="1394"/>
      <c r="EG597" s="1395"/>
      <c r="EH597" s="1393" t="str">
        <f t="shared" ref="EH597:EH631" si="19">IF(BX597&gt;0,O718,"")</f>
        <v/>
      </c>
      <c r="EI597" s="1394"/>
      <c r="EJ597" s="1394"/>
      <c r="EK597" s="1394"/>
      <c r="EL597" s="1395"/>
      <c r="EM597" s="1393" t="str">
        <f t="shared" ref="EM597:EM631" si="20">IF(CC597&gt;0,O718,"")</f>
        <v/>
      </c>
      <c r="EN597" s="1394"/>
      <c r="EO597" s="1394"/>
      <c r="EP597" s="1394"/>
      <c r="EQ597" s="1395"/>
      <c r="ER597" s="1393" t="str">
        <f t="shared" ref="ER597:ER631" si="21">IF(CH597&gt;0,O718,"")</f>
        <v/>
      </c>
      <c r="ES597" s="1394"/>
      <c r="ET597" s="1394"/>
      <c r="EU597" s="1394"/>
      <c r="EV597" s="1395"/>
      <c r="EW597" s="1393" t="str">
        <f t="shared" ref="EW597:EW631" si="22">IF(CM597&gt;0,O718,"")</f>
        <v/>
      </c>
      <c r="EX597" s="1394"/>
      <c r="EY597" s="1394"/>
      <c r="EZ597" s="1394"/>
      <c r="FA597" s="1395"/>
    </row>
    <row r="598" spans="1:157" s="4" customFormat="1" ht="13" customHeight="1">
      <c r="A598" s="22"/>
      <c r="B598" t="s">
        <v>18</v>
      </c>
      <c r="C598"/>
      <c r="D598"/>
      <c r="E598"/>
      <c r="F598"/>
      <c r="G598"/>
      <c r="H598" s="1381" t="str">
        <f>M560</f>
        <v>Loan, Taxable</v>
      </c>
      <c r="I598" s="1381"/>
      <c r="J598" s="1381"/>
      <c r="K598" s="1381"/>
      <c r="L598" s="1381"/>
      <c r="M598" s="1381"/>
      <c r="N598" s="1381"/>
      <c r="O598" s="1381"/>
      <c r="P598" s="1381"/>
      <c r="Q598" s="1381"/>
      <c r="R598" s="1381"/>
      <c r="S598"/>
      <c r="T598" s="22"/>
      <c r="U598" t="s">
        <v>18</v>
      </c>
      <c r="V598"/>
      <c r="W598"/>
      <c r="X598"/>
      <c r="Y598"/>
      <c r="Z598"/>
      <c r="AA598" s="1381"/>
      <c r="AB598" s="1381"/>
      <c r="AC598" s="1381"/>
      <c r="AD598" s="1381"/>
      <c r="AE598" s="1381"/>
      <c r="AF598" s="1381"/>
      <c r="AG598" s="1381"/>
      <c r="AH598" s="1381"/>
      <c r="AI598" s="1381"/>
      <c r="AJ598" s="1381"/>
      <c r="AK598" s="1381"/>
      <c r="AL598"/>
      <c r="AM598"/>
      <c r="AN598"/>
      <c r="AO598"/>
      <c r="AP598"/>
      <c r="AQ598"/>
      <c r="AR598"/>
      <c r="AS598"/>
      <c r="AT598"/>
      <c r="AU598"/>
      <c r="AV598"/>
      <c r="AW598"/>
      <c r="AX598"/>
      <c r="AY598"/>
      <c r="BA598" s="4" t="s">
        <v>163</v>
      </c>
      <c r="BB598" s="3"/>
      <c r="BC598" s="3"/>
      <c r="BD598" s="3"/>
      <c r="BE598" s="1393">
        <f t="shared" si="1"/>
        <v>1</v>
      </c>
      <c r="BF598" s="1395"/>
      <c r="BG598" s="1399">
        <f t="shared" si="2"/>
        <v>23</v>
      </c>
      <c r="BH598" s="1400"/>
      <c r="BI598" s="1393">
        <f t="shared" si="3"/>
        <v>0</v>
      </c>
      <c r="BJ598" s="1395"/>
      <c r="BK598" s="1399">
        <f t="shared" si="4"/>
        <v>0</v>
      </c>
      <c r="BL598" s="1400"/>
      <c r="BM598" s="3"/>
      <c r="BN598" s="1401">
        <f t="shared" si="5"/>
        <v>23</v>
      </c>
      <c r="BO598" s="1402"/>
      <c r="BP598" s="1402"/>
      <c r="BQ598" s="1402"/>
      <c r="BR598" s="1403"/>
      <c r="BS598" s="1398">
        <f t="shared" si="6"/>
        <v>0</v>
      </c>
      <c r="BT598" s="1398"/>
      <c r="BU598" s="1398"/>
      <c r="BV598" s="1398"/>
      <c r="BW598" s="1398"/>
      <c r="BX598" s="1398">
        <f t="shared" si="7"/>
        <v>0</v>
      </c>
      <c r="BY598" s="1398"/>
      <c r="BZ598" s="1398"/>
      <c r="CA598" s="1398"/>
      <c r="CB598" s="1398"/>
      <c r="CC598" s="1398">
        <f t="shared" si="8"/>
        <v>0</v>
      </c>
      <c r="CD598" s="1398"/>
      <c r="CE598" s="1398"/>
      <c r="CF598" s="1398"/>
      <c r="CG598" s="1398"/>
      <c r="CH598" s="1398">
        <f t="shared" si="9"/>
        <v>0</v>
      </c>
      <c r="CI598" s="1398"/>
      <c r="CJ598" s="1398"/>
      <c r="CK598" s="1398"/>
      <c r="CL598" s="1398"/>
      <c r="CM598" s="1398">
        <f t="shared" si="10"/>
        <v>0</v>
      </c>
      <c r="CN598" s="1398"/>
      <c r="CO598" s="1398"/>
      <c r="CP598" s="1398"/>
      <c r="CQ598" s="1398"/>
      <c r="CR598" s="6"/>
      <c r="CS598" s="1397">
        <f t="shared" si="11"/>
        <v>0</v>
      </c>
      <c r="CT598" s="1397"/>
      <c r="CU598" s="1397"/>
      <c r="CV598" s="1397"/>
      <c r="CW598" s="1397"/>
      <c r="CX598" s="1397">
        <f t="shared" si="12"/>
        <v>0</v>
      </c>
      <c r="CY598" s="1397"/>
      <c r="CZ598" s="1397"/>
      <c r="DA598" s="1397"/>
      <c r="DB598" s="1397"/>
      <c r="DC598" s="1397">
        <f t="shared" si="13"/>
        <v>0</v>
      </c>
      <c r="DD598" s="1397"/>
      <c r="DE598" s="1397"/>
      <c r="DF598" s="1397"/>
      <c r="DG598" s="1397"/>
      <c r="DH598" s="1397">
        <f t="shared" si="14"/>
        <v>0</v>
      </c>
      <c r="DI598" s="1397"/>
      <c r="DJ598" s="1397"/>
      <c r="DK598" s="1397"/>
      <c r="DL598" s="1397"/>
      <c r="DM598" s="1397">
        <f t="shared" si="15"/>
        <v>0</v>
      </c>
      <c r="DN598" s="1397"/>
      <c r="DO598" s="1397"/>
      <c r="DP598" s="1397"/>
      <c r="DQ598" s="1397"/>
      <c r="DR598" s="1397">
        <f t="shared" si="16"/>
        <v>0</v>
      </c>
      <c r="DS598" s="1397"/>
      <c r="DT598" s="1397"/>
      <c r="DU598" s="1397"/>
      <c r="DV598" s="1397"/>
      <c r="DX598" s="1393">
        <f t="shared" si="17"/>
        <v>1288</v>
      </c>
      <c r="DY598" s="1394"/>
      <c r="DZ598" s="1394"/>
      <c r="EA598" s="1394"/>
      <c r="EB598" s="1395"/>
      <c r="EC598" s="1393" t="str">
        <f t="shared" si="18"/>
        <v/>
      </c>
      <c r="ED598" s="1394"/>
      <c r="EE598" s="1394"/>
      <c r="EF598" s="1394"/>
      <c r="EG598" s="1395"/>
      <c r="EH598" s="1393" t="str">
        <f t="shared" si="19"/>
        <v/>
      </c>
      <c r="EI598" s="1394"/>
      <c r="EJ598" s="1394"/>
      <c r="EK598" s="1394"/>
      <c r="EL598" s="1395"/>
      <c r="EM598" s="1393" t="str">
        <f t="shared" si="20"/>
        <v/>
      </c>
      <c r="EN598" s="1394"/>
      <c r="EO598" s="1394"/>
      <c r="EP598" s="1394"/>
      <c r="EQ598" s="1395"/>
      <c r="ER598" s="1393" t="str">
        <f t="shared" si="21"/>
        <v/>
      </c>
      <c r="ES598" s="1394"/>
      <c r="ET598" s="1394"/>
      <c r="EU598" s="1394"/>
      <c r="EV598" s="1395"/>
      <c r="EW598" s="1393" t="str">
        <f t="shared" si="22"/>
        <v/>
      </c>
      <c r="EX598" s="1394"/>
      <c r="EY598" s="1394"/>
      <c r="EZ598" s="1394"/>
      <c r="FA598" s="1395"/>
    </row>
    <row r="599" spans="1:157" ht="13" customHeight="1">
      <c r="A599" s="22"/>
      <c r="B599" t="s">
        <v>20</v>
      </c>
      <c r="N599" s="1383" t="s">
        <v>554</v>
      </c>
      <c r="O599" s="1383"/>
      <c r="T599" s="22"/>
      <c r="U599" t="s">
        <v>20</v>
      </c>
      <c r="AG599" s="1383"/>
      <c r="AH599" s="1383"/>
      <c r="BA599" s="4" t="s">
        <v>164</v>
      </c>
      <c r="BB599" s="3"/>
      <c r="BC599" s="3"/>
      <c r="BD599" s="3"/>
      <c r="BE599" s="1393">
        <f t="shared" si="1"/>
        <v>0</v>
      </c>
      <c r="BF599" s="1395"/>
      <c r="BG599" s="1399">
        <f t="shared" si="2"/>
        <v>0</v>
      </c>
      <c r="BH599" s="1400"/>
      <c r="BI599" s="1393">
        <f t="shared" si="3"/>
        <v>0</v>
      </c>
      <c r="BJ599" s="1395"/>
      <c r="BK599" s="1399">
        <f t="shared" si="4"/>
        <v>0</v>
      </c>
      <c r="BL599" s="1400"/>
      <c r="BM599" s="3"/>
      <c r="BN599" s="1401">
        <f t="shared" si="5"/>
        <v>12</v>
      </c>
      <c r="BO599" s="1402"/>
      <c r="BP599" s="1402"/>
      <c r="BQ599" s="1402"/>
      <c r="BR599" s="1403"/>
      <c r="BS599" s="1398">
        <f t="shared" si="6"/>
        <v>0</v>
      </c>
      <c r="BT599" s="1398"/>
      <c r="BU599" s="1398"/>
      <c r="BV599" s="1398"/>
      <c r="BW599" s="1398"/>
      <c r="BX599" s="1398">
        <f t="shared" si="7"/>
        <v>0</v>
      </c>
      <c r="BY599" s="1398"/>
      <c r="BZ599" s="1398"/>
      <c r="CA599" s="1398"/>
      <c r="CB599" s="1398"/>
      <c r="CC599" s="1398">
        <f t="shared" si="8"/>
        <v>0</v>
      </c>
      <c r="CD599" s="1398"/>
      <c r="CE599" s="1398"/>
      <c r="CF599" s="1398"/>
      <c r="CG599" s="1398"/>
      <c r="CH599" s="1398">
        <f t="shared" si="9"/>
        <v>0</v>
      </c>
      <c r="CI599" s="1398"/>
      <c r="CJ599" s="1398"/>
      <c r="CK599" s="1398"/>
      <c r="CL599" s="1398"/>
      <c r="CM599" s="1398">
        <f t="shared" si="10"/>
        <v>0</v>
      </c>
      <c r="CN599" s="1398"/>
      <c r="CO599" s="1398"/>
      <c r="CP599" s="1398"/>
      <c r="CQ599" s="1398"/>
      <c r="CR599" s="6"/>
      <c r="CS599" s="1397">
        <f t="shared" si="11"/>
        <v>0</v>
      </c>
      <c r="CT599" s="1397"/>
      <c r="CU599" s="1397"/>
      <c r="CV599" s="1397"/>
      <c r="CW599" s="1397"/>
      <c r="CX599" s="1397">
        <f t="shared" si="12"/>
        <v>0</v>
      </c>
      <c r="CY599" s="1397"/>
      <c r="CZ599" s="1397"/>
      <c r="DA599" s="1397"/>
      <c r="DB599" s="1397"/>
      <c r="DC599" s="1397">
        <f t="shared" si="13"/>
        <v>0</v>
      </c>
      <c r="DD599" s="1397"/>
      <c r="DE599" s="1397"/>
      <c r="DF599" s="1397"/>
      <c r="DG599" s="1397"/>
      <c r="DH599" s="1397">
        <f t="shared" si="14"/>
        <v>0</v>
      </c>
      <c r="DI599" s="1397"/>
      <c r="DJ599" s="1397"/>
      <c r="DK599" s="1397"/>
      <c r="DL599" s="1397"/>
      <c r="DM599" s="1397">
        <f t="shared" si="15"/>
        <v>0</v>
      </c>
      <c r="DN599" s="1397"/>
      <c r="DO599" s="1397"/>
      <c r="DP599" s="1397"/>
      <c r="DQ599" s="1397"/>
      <c r="DR599" s="1397">
        <f t="shared" si="16"/>
        <v>0</v>
      </c>
      <c r="DS599" s="1397"/>
      <c r="DT599" s="1397"/>
      <c r="DU599" s="1397"/>
      <c r="DV599" s="1397"/>
      <c r="DX599" s="1393">
        <f t="shared" si="17"/>
        <v>1561</v>
      </c>
      <c r="DY599" s="1394"/>
      <c r="DZ599" s="1394"/>
      <c r="EA599" s="1394"/>
      <c r="EB599" s="1395"/>
      <c r="EC599" s="1393" t="str">
        <f t="shared" si="18"/>
        <v/>
      </c>
      <c r="ED599" s="1394"/>
      <c r="EE599" s="1394"/>
      <c r="EF599" s="1394"/>
      <c r="EG599" s="1395"/>
      <c r="EH599" s="1393" t="str">
        <f t="shared" si="19"/>
        <v/>
      </c>
      <c r="EI599" s="1394"/>
      <c r="EJ599" s="1394"/>
      <c r="EK599" s="1394"/>
      <c r="EL599" s="1395"/>
      <c r="EM599" s="1393" t="str">
        <f t="shared" si="20"/>
        <v/>
      </c>
      <c r="EN599" s="1394"/>
      <c r="EO599" s="1394"/>
      <c r="EP599" s="1394"/>
      <c r="EQ599" s="1395"/>
      <c r="ER599" s="1393" t="str">
        <f t="shared" si="21"/>
        <v/>
      </c>
      <c r="ES599" s="1394"/>
      <c r="ET599" s="1394"/>
      <c r="EU599" s="1394"/>
      <c r="EV599" s="1395"/>
      <c r="EW599" s="1393" t="str">
        <f t="shared" si="22"/>
        <v/>
      </c>
      <c r="EX599" s="1394"/>
      <c r="EY599" s="1394"/>
      <c r="EZ599" s="1394"/>
      <c r="FA599" s="1395"/>
    </row>
    <row r="600" spans="1:157" ht="13" customHeight="1">
      <c r="A600" s="22"/>
      <c r="T600" s="22"/>
      <c r="BA600" s="4" t="s">
        <v>165</v>
      </c>
      <c r="BB600" s="3"/>
      <c r="BC600" s="3"/>
      <c r="BD600" s="3"/>
      <c r="BE600" s="1393">
        <f t="shared" si="1"/>
        <v>0</v>
      </c>
      <c r="BF600" s="1395"/>
      <c r="BG600" s="1399">
        <f t="shared" si="2"/>
        <v>0</v>
      </c>
      <c r="BH600" s="1400"/>
      <c r="BI600" s="1393">
        <f t="shared" si="3"/>
        <v>0</v>
      </c>
      <c r="BJ600" s="1395"/>
      <c r="BK600" s="1399">
        <f t="shared" si="4"/>
        <v>0</v>
      </c>
      <c r="BL600" s="1400"/>
      <c r="BM600" s="3"/>
      <c r="BN600" s="1401">
        <f t="shared" si="5"/>
        <v>0</v>
      </c>
      <c r="BO600" s="1402"/>
      <c r="BP600" s="1402"/>
      <c r="BQ600" s="1402"/>
      <c r="BR600" s="1403"/>
      <c r="BS600" s="1398">
        <f t="shared" si="6"/>
        <v>8</v>
      </c>
      <c r="BT600" s="1398"/>
      <c r="BU600" s="1398"/>
      <c r="BV600" s="1398"/>
      <c r="BW600" s="1398"/>
      <c r="BX600" s="1398">
        <f t="shared" si="7"/>
        <v>0</v>
      </c>
      <c r="BY600" s="1398"/>
      <c r="BZ600" s="1398"/>
      <c r="CA600" s="1398"/>
      <c r="CB600" s="1398"/>
      <c r="CC600" s="1398">
        <f t="shared" si="8"/>
        <v>0</v>
      </c>
      <c r="CD600" s="1398"/>
      <c r="CE600" s="1398"/>
      <c r="CF600" s="1398"/>
      <c r="CG600" s="1398"/>
      <c r="CH600" s="1398">
        <f t="shared" si="9"/>
        <v>0</v>
      </c>
      <c r="CI600" s="1398"/>
      <c r="CJ600" s="1398"/>
      <c r="CK600" s="1398"/>
      <c r="CL600" s="1398"/>
      <c r="CM600" s="1398">
        <f t="shared" si="10"/>
        <v>0</v>
      </c>
      <c r="CN600" s="1398"/>
      <c r="CO600" s="1398"/>
      <c r="CP600" s="1398"/>
      <c r="CQ600" s="1398"/>
      <c r="CR600" s="6"/>
      <c r="CS600" s="1397">
        <f t="shared" si="11"/>
        <v>0</v>
      </c>
      <c r="CT600" s="1397"/>
      <c r="CU600" s="1397"/>
      <c r="CV600" s="1397"/>
      <c r="CW600" s="1397"/>
      <c r="CX600" s="1397">
        <f t="shared" si="12"/>
        <v>0</v>
      </c>
      <c r="CY600" s="1397"/>
      <c r="CZ600" s="1397"/>
      <c r="DA600" s="1397"/>
      <c r="DB600" s="1397"/>
      <c r="DC600" s="1397">
        <f t="shared" si="13"/>
        <v>0</v>
      </c>
      <c r="DD600" s="1397"/>
      <c r="DE600" s="1397"/>
      <c r="DF600" s="1397"/>
      <c r="DG600" s="1397"/>
      <c r="DH600" s="1397">
        <f t="shared" si="14"/>
        <v>0</v>
      </c>
      <c r="DI600" s="1397"/>
      <c r="DJ600" s="1397"/>
      <c r="DK600" s="1397"/>
      <c r="DL600" s="1397"/>
      <c r="DM600" s="1397">
        <f t="shared" si="15"/>
        <v>0</v>
      </c>
      <c r="DN600" s="1397"/>
      <c r="DO600" s="1397"/>
      <c r="DP600" s="1397"/>
      <c r="DQ600" s="1397"/>
      <c r="DR600" s="1397">
        <f t="shared" si="16"/>
        <v>0</v>
      </c>
      <c r="DS600" s="1397"/>
      <c r="DT600" s="1397"/>
      <c r="DU600" s="1397"/>
      <c r="DV600" s="1397"/>
      <c r="DX600" s="1393" t="str">
        <f t="shared" si="17"/>
        <v/>
      </c>
      <c r="DY600" s="1394"/>
      <c r="DZ600" s="1394"/>
      <c r="EA600" s="1394"/>
      <c r="EB600" s="1395"/>
      <c r="EC600" s="1393">
        <f t="shared" si="18"/>
        <v>1664</v>
      </c>
      <c r="ED600" s="1394"/>
      <c r="EE600" s="1394"/>
      <c r="EF600" s="1394"/>
      <c r="EG600" s="1395"/>
      <c r="EH600" s="1393" t="str">
        <f t="shared" si="19"/>
        <v/>
      </c>
      <c r="EI600" s="1394"/>
      <c r="EJ600" s="1394"/>
      <c r="EK600" s="1394"/>
      <c r="EL600" s="1395"/>
      <c r="EM600" s="1393" t="str">
        <f t="shared" si="20"/>
        <v/>
      </c>
      <c r="EN600" s="1394"/>
      <c r="EO600" s="1394"/>
      <c r="EP600" s="1394"/>
      <c r="EQ600" s="1395"/>
      <c r="ER600" s="1393" t="str">
        <f t="shared" si="21"/>
        <v/>
      </c>
      <c r="ES600" s="1394"/>
      <c r="ET600" s="1394"/>
      <c r="EU600" s="1394"/>
      <c r="EV600" s="1395"/>
      <c r="EW600" s="1393" t="str">
        <f t="shared" si="22"/>
        <v/>
      </c>
      <c r="EX600" s="1394"/>
      <c r="EY600" s="1394"/>
      <c r="EZ600" s="1394"/>
      <c r="FA600" s="1395"/>
    </row>
    <row r="601" spans="1:157" ht="13" customHeight="1">
      <c r="A601" s="55" t="s">
        <v>470</v>
      </c>
      <c r="B601" t="s">
        <v>472</v>
      </c>
      <c r="G601" s="1382">
        <f>C562</f>
        <v>0</v>
      </c>
      <c r="H601" s="1382"/>
      <c r="I601" s="1382"/>
      <c r="J601" s="1382"/>
      <c r="K601" s="1382"/>
      <c r="L601" s="1382"/>
      <c r="M601" s="1382"/>
      <c r="N601" s="1382"/>
      <c r="O601" s="1382"/>
      <c r="P601" s="1382"/>
      <c r="Q601" s="1382"/>
      <c r="R601" s="1382"/>
      <c r="T601" s="55" t="s">
        <v>655</v>
      </c>
      <c r="U601" t="s">
        <v>472</v>
      </c>
      <c r="Z601" s="1382">
        <f>C563</f>
        <v>0</v>
      </c>
      <c r="AA601" s="1382"/>
      <c r="AB601" s="1382"/>
      <c r="AC601" s="1382"/>
      <c r="AD601" s="1382"/>
      <c r="AE601" s="1382"/>
      <c r="AF601" s="1382"/>
      <c r="AG601" s="1382"/>
      <c r="AH601" s="1382"/>
      <c r="AI601" s="1382"/>
      <c r="AJ601" s="1382"/>
      <c r="AK601" s="1382"/>
      <c r="BA601" s="4" t="s">
        <v>30</v>
      </c>
      <c r="BB601" s="3"/>
      <c r="BC601" s="3"/>
      <c r="BD601" s="3"/>
      <c r="BE601" s="1393">
        <f t="shared" si="1"/>
        <v>0</v>
      </c>
      <c r="BF601" s="1395"/>
      <c r="BG601" s="1399">
        <f t="shared" si="2"/>
        <v>0</v>
      </c>
      <c r="BH601" s="1400"/>
      <c r="BI601" s="1393">
        <f t="shared" si="3"/>
        <v>0</v>
      </c>
      <c r="BJ601" s="1395"/>
      <c r="BK601" s="1399">
        <f t="shared" si="4"/>
        <v>0</v>
      </c>
      <c r="BL601" s="1400"/>
      <c r="BM601" s="3"/>
      <c r="BN601" s="1401">
        <f t="shared" si="5"/>
        <v>0</v>
      </c>
      <c r="BO601" s="1402"/>
      <c r="BP601" s="1402"/>
      <c r="BQ601" s="1402"/>
      <c r="BR601" s="1403"/>
      <c r="BS601" s="1398">
        <f t="shared" si="6"/>
        <v>16</v>
      </c>
      <c r="BT601" s="1398"/>
      <c r="BU601" s="1398"/>
      <c r="BV601" s="1398"/>
      <c r="BW601" s="1398"/>
      <c r="BX601" s="1398">
        <f t="shared" si="7"/>
        <v>0</v>
      </c>
      <c r="BY601" s="1398"/>
      <c r="BZ601" s="1398"/>
      <c r="CA601" s="1398"/>
      <c r="CB601" s="1398"/>
      <c r="CC601" s="1398">
        <f t="shared" si="8"/>
        <v>0</v>
      </c>
      <c r="CD601" s="1398"/>
      <c r="CE601" s="1398"/>
      <c r="CF601" s="1398"/>
      <c r="CG601" s="1398"/>
      <c r="CH601" s="1398">
        <f t="shared" si="9"/>
        <v>0</v>
      </c>
      <c r="CI601" s="1398"/>
      <c r="CJ601" s="1398"/>
      <c r="CK601" s="1398"/>
      <c r="CL601" s="1398"/>
      <c r="CM601" s="1398">
        <f t="shared" si="10"/>
        <v>0</v>
      </c>
      <c r="CN601" s="1398"/>
      <c r="CO601" s="1398"/>
      <c r="CP601" s="1398"/>
      <c r="CQ601" s="1398"/>
      <c r="CR601" s="6"/>
      <c r="CS601" s="1397">
        <f t="shared" si="11"/>
        <v>0</v>
      </c>
      <c r="CT601" s="1397"/>
      <c r="CU601" s="1397"/>
      <c r="CV601" s="1397"/>
      <c r="CW601" s="1397"/>
      <c r="CX601" s="1397">
        <f t="shared" si="12"/>
        <v>0</v>
      </c>
      <c r="CY601" s="1397"/>
      <c r="CZ601" s="1397"/>
      <c r="DA601" s="1397"/>
      <c r="DB601" s="1397"/>
      <c r="DC601" s="1397">
        <f t="shared" si="13"/>
        <v>0</v>
      </c>
      <c r="DD601" s="1397"/>
      <c r="DE601" s="1397"/>
      <c r="DF601" s="1397"/>
      <c r="DG601" s="1397"/>
      <c r="DH601" s="1397">
        <f t="shared" si="14"/>
        <v>0</v>
      </c>
      <c r="DI601" s="1397"/>
      <c r="DJ601" s="1397"/>
      <c r="DK601" s="1397"/>
      <c r="DL601" s="1397"/>
      <c r="DM601" s="1397">
        <f t="shared" si="15"/>
        <v>0</v>
      </c>
      <c r="DN601" s="1397"/>
      <c r="DO601" s="1397"/>
      <c r="DP601" s="1397"/>
      <c r="DQ601" s="1397"/>
      <c r="DR601" s="1397">
        <f t="shared" si="16"/>
        <v>0</v>
      </c>
      <c r="DS601" s="1397"/>
      <c r="DT601" s="1397"/>
      <c r="DU601" s="1397"/>
      <c r="DV601" s="1397"/>
      <c r="DX601" s="1393" t="str">
        <f t="shared" si="17"/>
        <v/>
      </c>
      <c r="DY601" s="1394"/>
      <c r="DZ601" s="1394"/>
      <c r="EA601" s="1394"/>
      <c r="EB601" s="1395"/>
      <c r="EC601" s="1393">
        <f t="shared" si="18"/>
        <v>2248</v>
      </c>
      <c r="ED601" s="1394"/>
      <c r="EE601" s="1394"/>
      <c r="EF601" s="1394"/>
      <c r="EG601" s="1395"/>
      <c r="EH601" s="1393" t="str">
        <f t="shared" si="19"/>
        <v/>
      </c>
      <c r="EI601" s="1394"/>
      <c r="EJ601" s="1394"/>
      <c r="EK601" s="1394"/>
      <c r="EL601" s="1395"/>
      <c r="EM601" s="1393" t="str">
        <f t="shared" si="20"/>
        <v/>
      </c>
      <c r="EN601" s="1394"/>
      <c r="EO601" s="1394"/>
      <c r="EP601" s="1394"/>
      <c r="EQ601" s="1395"/>
      <c r="ER601" s="1393" t="str">
        <f t="shared" si="21"/>
        <v/>
      </c>
      <c r="ES601" s="1394"/>
      <c r="ET601" s="1394"/>
      <c r="EU601" s="1394"/>
      <c r="EV601" s="1395"/>
      <c r="EW601" s="1393" t="str">
        <f t="shared" si="22"/>
        <v/>
      </c>
      <c r="EX601" s="1394"/>
      <c r="EY601" s="1394"/>
      <c r="EZ601" s="1394"/>
      <c r="FA601" s="1395"/>
    </row>
    <row r="602" spans="1:157" ht="13" customHeight="1">
      <c r="A602" s="22"/>
      <c r="B602" t="s">
        <v>85</v>
      </c>
      <c r="G602" s="1381"/>
      <c r="H602" s="1381"/>
      <c r="I602" s="1381"/>
      <c r="J602" s="1381"/>
      <c r="K602" s="1381"/>
      <c r="L602" s="1381"/>
      <c r="M602" s="1381"/>
      <c r="N602" s="1381"/>
      <c r="O602" s="1381"/>
      <c r="P602" s="1381"/>
      <c r="Q602" s="1381"/>
      <c r="R602" s="1381"/>
      <c r="T602" s="22"/>
      <c r="U602" t="s">
        <v>85</v>
      </c>
      <c r="Z602" s="1381"/>
      <c r="AA602" s="1381"/>
      <c r="AB602" s="1381"/>
      <c r="AC602" s="1381"/>
      <c r="AD602" s="1381"/>
      <c r="AE602" s="1381"/>
      <c r="AF602" s="1381"/>
      <c r="AG602" s="1381"/>
      <c r="AH602" s="1381"/>
      <c r="AI602" s="1381"/>
      <c r="AJ602" s="1381"/>
      <c r="AK602" s="1381"/>
      <c r="AZ602" s="3"/>
      <c r="BA602" s="3"/>
      <c r="BB602" s="3"/>
      <c r="BC602" s="3"/>
      <c r="BD602" s="3"/>
      <c r="BE602" s="1393">
        <f t="shared" si="1"/>
        <v>0</v>
      </c>
      <c r="BF602" s="1395"/>
      <c r="BG602" s="1399">
        <f t="shared" si="2"/>
        <v>0</v>
      </c>
      <c r="BH602" s="1400"/>
      <c r="BI602" s="1393">
        <f t="shared" si="3"/>
        <v>0</v>
      </c>
      <c r="BJ602" s="1395"/>
      <c r="BK602" s="1399">
        <f t="shared" si="4"/>
        <v>0</v>
      </c>
      <c r="BL602" s="1400"/>
      <c r="BM602" s="3"/>
      <c r="BN602" s="1401">
        <f t="shared" si="5"/>
        <v>0</v>
      </c>
      <c r="BO602" s="1402"/>
      <c r="BP602" s="1402"/>
      <c r="BQ602" s="1402"/>
      <c r="BR602" s="1403"/>
      <c r="BS602" s="1398">
        <f t="shared" si="6"/>
        <v>0</v>
      </c>
      <c r="BT602" s="1398"/>
      <c r="BU602" s="1398"/>
      <c r="BV602" s="1398"/>
      <c r="BW602" s="1398"/>
      <c r="BX602" s="1398">
        <f t="shared" si="7"/>
        <v>3</v>
      </c>
      <c r="BY602" s="1398"/>
      <c r="BZ602" s="1398"/>
      <c r="CA602" s="1398"/>
      <c r="CB602" s="1398"/>
      <c r="CC602" s="1398">
        <f t="shared" si="8"/>
        <v>0</v>
      </c>
      <c r="CD602" s="1398"/>
      <c r="CE602" s="1398"/>
      <c r="CF602" s="1398"/>
      <c r="CG602" s="1398"/>
      <c r="CH602" s="1398">
        <f t="shared" si="9"/>
        <v>0</v>
      </c>
      <c r="CI602" s="1398"/>
      <c r="CJ602" s="1398"/>
      <c r="CK602" s="1398"/>
      <c r="CL602" s="1398"/>
      <c r="CM602" s="1398">
        <f t="shared" si="10"/>
        <v>0</v>
      </c>
      <c r="CN602" s="1398"/>
      <c r="CO602" s="1398"/>
      <c r="CP602" s="1398"/>
      <c r="CQ602" s="1398"/>
      <c r="CR602" s="6"/>
      <c r="CS602" s="1397">
        <f t="shared" si="11"/>
        <v>0</v>
      </c>
      <c r="CT602" s="1397"/>
      <c r="CU602" s="1397"/>
      <c r="CV602" s="1397"/>
      <c r="CW602" s="1397"/>
      <c r="CX602" s="1397">
        <f t="shared" si="12"/>
        <v>0</v>
      </c>
      <c r="CY602" s="1397"/>
      <c r="CZ602" s="1397"/>
      <c r="DA602" s="1397"/>
      <c r="DB602" s="1397"/>
      <c r="DC602" s="1397">
        <f t="shared" si="13"/>
        <v>0</v>
      </c>
      <c r="DD602" s="1397"/>
      <c r="DE602" s="1397"/>
      <c r="DF602" s="1397"/>
      <c r="DG602" s="1397"/>
      <c r="DH602" s="1397">
        <f t="shared" si="14"/>
        <v>0</v>
      </c>
      <c r="DI602" s="1397"/>
      <c r="DJ602" s="1397"/>
      <c r="DK602" s="1397"/>
      <c r="DL602" s="1397"/>
      <c r="DM602" s="1397">
        <f t="shared" si="15"/>
        <v>0</v>
      </c>
      <c r="DN602" s="1397"/>
      <c r="DO602" s="1397"/>
      <c r="DP602" s="1397"/>
      <c r="DQ602" s="1397"/>
      <c r="DR602" s="1397">
        <f t="shared" si="16"/>
        <v>0</v>
      </c>
      <c r="DS602" s="1397"/>
      <c r="DT602" s="1397"/>
      <c r="DU602" s="1397"/>
      <c r="DV602" s="1397"/>
      <c r="DX602" s="1393" t="str">
        <f t="shared" si="17"/>
        <v/>
      </c>
      <c r="DY602" s="1394"/>
      <c r="DZ602" s="1394"/>
      <c r="EA602" s="1394"/>
      <c r="EB602" s="1395"/>
      <c r="EC602" s="1393" t="str">
        <f t="shared" si="18"/>
        <v/>
      </c>
      <c r="ED602" s="1394"/>
      <c r="EE602" s="1394"/>
      <c r="EF602" s="1394"/>
      <c r="EG602" s="1395"/>
      <c r="EH602" s="1393">
        <f t="shared" si="19"/>
        <v>1979</v>
      </c>
      <c r="EI602" s="1394"/>
      <c r="EJ602" s="1394"/>
      <c r="EK602" s="1394"/>
      <c r="EL602" s="1395"/>
      <c r="EM602" s="1393" t="str">
        <f t="shared" si="20"/>
        <v/>
      </c>
      <c r="EN602" s="1394"/>
      <c r="EO602" s="1394"/>
      <c r="EP602" s="1394"/>
      <c r="EQ602" s="1395"/>
      <c r="ER602" s="1393" t="str">
        <f t="shared" si="21"/>
        <v/>
      </c>
      <c r="ES602" s="1394"/>
      <c r="ET602" s="1394"/>
      <c r="EU602" s="1394"/>
      <c r="EV602" s="1395"/>
      <c r="EW602" s="1393" t="str">
        <f t="shared" si="22"/>
        <v/>
      </c>
      <c r="EX602" s="1394"/>
      <c r="EY602" s="1394"/>
      <c r="EZ602" s="1394"/>
      <c r="FA602" s="1395"/>
    </row>
    <row r="603" spans="1:157" ht="13" customHeight="1">
      <c r="A603" s="22"/>
      <c r="B603" t="s">
        <v>589</v>
      </c>
      <c r="G603" s="1381"/>
      <c r="H603" s="1381"/>
      <c r="I603" s="1381"/>
      <c r="J603" s="1381"/>
      <c r="K603" s="1381"/>
      <c r="L603" s="1381"/>
      <c r="M603" s="1381"/>
      <c r="N603" s="1381"/>
      <c r="O603" s="1381"/>
      <c r="P603" s="1381"/>
      <c r="Q603" s="1381"/>
      <c r="R603" s="1381"/>
      <c r="T603" s="22"/>
      <c r="U603" t="s">
        <v>589</v>
      </c>
      <c r="Z603" s="1438"/>
      <c r="AA603" s="1438"/>
      <c r="AB603" s="1438"/>
      <c r="AC603" s="1438"/>
      <c r="AD603" s="1438"/>
      <c r="AE603" s="1438"/>
      <c r="AF603" s="1438"/>
      <c r="AG603" s="1438"/>
      <c r="AH603" s="1438"/>
      <c r="AI603" s="1438"/>
      <c r="AJ603" s="1438"/>
      <c r="AK603" s="1438"/>
      <c r="AZ603" s="3"/>
      <c r="BA603" s="3"/>
      <c r="BB603" s="3"/>
      <c r="BC603" s="3"/>
      <c r="BD603" s="3"/>
      <c r="BE603" s="1393">
        <f t="shared" si="1"/>
        <v>0</v>
      </c>
      <c r="BF603" s="1395"/>
      <c r="BG603" s="1399">
        <f t="shared" si="2"/>
        <v>0</v>
      </c>
      <c r="BH603" s="1400"/>
      <c r="BI603" s="1393">
        <f t="shared" si="3"/>
        <v>0</v>
      </c>
      <c r="BJ603" s="1395"/>
      <c r="BK603" s="1399">
        <f t="shared" si="4"/>
        <v>0</v>
      </c>
      <c r="BL603" s="1400"/>
      <c r="BM603" s="3"/>
      <c r="BN603" s="1401">
        <f t="shared" si="5"/>
        <v>0</v>
      </c>
      <c r="BO603" s="1402"/>
      <c r="BP603" s="1402"/>
      <c r="BQ603" s="1402"/>
      <c r="BR603" s="1403"/>
      <c r="BS603" s="1398">
        <f t="shared" si="6"/>
        <v>0</v>
      </c>
      <c r="BT603" s="1398"/>
      <c r="BU603" s="1398"/>
      <c r="BV603" s="1398"/>
      <c r="BW603" s="1398"/>
      <c r="BX603" s="1398">
        <f t="shared" si="7"/>
        <v>8</v>
      </c>
      <c r="BY603" s="1398"/>
      <c r="BZ603" s="1398"/>
      <c r="CA603" s="1398"/>
      <c r="CB603" s="1398"/>
      <c r="CC603" s="1398">
        <f t="shared" si="8"/>
        <v>0</v>
      </c>
      <c r="CD603" s="1398"/>
      <c r="CE603" s="1398"/>
      <c r="CF603" s="1398"/>
      <c r="CG603" s="1398"/>
      <c r="CH603" s="1398">
        <f t="shared" si="9"/>
        <v>0</v>
      </c>
      <c r="CI603" s="1398"/>
      <c r="CJ603" s="1398"/>
      <c r="CK603" s="1398"/>
      <c r="CL603" s="1398"/>
      <c r="CM603" s="1398">
        <f t="shared" si="10"/>
        <v>0</v>
      </c>
      <c r="CN603" s="1398"/>
      <c r="CO603" s="1398"/>
      <c r="CP603" s="1398"/>
      <c r="CQ603" s="1398"/>
      <c r="CR603" s="6"/>
      <c r="CS603" s="1397">
        <f t="shared" si="11"/>
        <v>0</v>
      </c>
      <c r="CT603" s="1397"/>
      <c r="CU603" s="1397"/>
      <c r="CV603" s="1397"/>
      <c r="CW603" s="1397"/>
      <c r="CX603" s="1397">
        <f t="shared" si="12"/>
        <v>0</v>
      </c>
      <c r="CY603" s="1397"/>
      <c r="CZ603" s="1397"/>
      <c r="DA603" s="1397"/>
      <c r="DB603" s="1397"/>
      <c r="DC603" s="1397">
        <f t="shared" si="13"/>
        <v>0</v>
      </c>
      <c r="DD603" s="1397"/>
      <c r="DE603" s="1397"/>
      <c r="DF603" s="1397"/>
      <c r="DG603" s="1397"/>
      <c r="DH603" s="1397">
        <f t="shared" si="14"/>
        <v>0</v>
      </c>
      <c r="DI603" s="1397"/>
      <c r="DJ603" s="1397"/>
      <c r="DK603" s="1397"/>
      <c r="DL603" s="1397"/>
      <c r="DM603" s="1397">
        <f t="shared" si="15"/>
        <v>0</v>
      </c>
      <c r="DN603" s="1397"/>
      <c r="DO603" s="1397"/>
      <c r="DP603" s="1397"/>
      <c r="DQ603" s="1397"/>
      <c r="DR603" s="1397">
        <f t="shared" si="16"/>
        <v>0</v>
      </c>
      <c r="DS603" s="1397"/>
      <c r="DT603" s="1397"/>
      <c r="DU603" s="1397"/>
      <c r="DV603" s="1397"/>
      <c r="DX603" s="1393" t="str">
        <f t="shared" si="17"/>
        <v/>
      </c>
      <c r="DY603" s="1394"/>
      <c r="DZ603" s="1394"/>
      <c r="EA603" s="1394"/>
      <c r="EB603" s="1395"/>
      <c r="EC603" s="1393" t="str">
        <f t="shared" si="18"/>
        <v/>
      </c>
      <c r="ED603" s="1394"/>
      <c r="EE603" s="1394"/>
      <c r="EF603" s="1394"/>
      <c r="EG603" s="1395"/>
      <c r="EH603" s="1393">
        <f t="shared" si="19"/>
        <v>2680</v>
      </c>
      <c r="EI603" s="1394"/>
      <c r="EJ603" s="1394"/>
      <c r="EK603" s="1394"/>
      <c r="EL603" s="1395"/>
      <c r="EM603" s="1393" t="str">
        <f t="shared" si="20"/>
        <v/>
      </c>
      <c r="EN603" s="1394"/>
      <c r="EO603" s="1394"/>
      <c r="EP603" s="1394"/>
      <c r="EQ603" s="1395"/>
      <c r="ER603" s="1393" t="str">
        <f t="shared" si="21"/>
        <v/>
      </c>
      <c r="ES603" s="1394"/>
      <c r="ET603" s="1394"/>
      <c r="EU603" s="1394"/>
      <c r="EV603" s="1395"/>
      <c r="EW603" s="1393" t="str">
        <f t="shared" si="22"/>
        <v/>
      </c>
      <c r="EX603" s="1394"/>
      <c r="EY603" s="1394"/>
      <c r="EZ603" s="1394"/>
      <c r="FA603" s="1395"/>
    </row>
    <row r="604" spans="1:157" ht="13" customHeight="1">
      <c r="A604" s="22"/>
      <c r="B604" t="s">
        <v>17</v>
      </c>
      <c r="G604" s="1381"/>
      <c r="H604" s="1381"/>
      <c r="I604" s="1381"/>
      <c r="J604" s="1381"/>
      <c r="K604" s="1381"/>
      <c r="L604" s="1381"/>
      <c r="M604" s="1381"/>
      <c r="N604" s="1381"/>
      <c r="O604" s="1381"/>
      <c r="P604" s="1381"/>
      <c r="Q604" s="1381"/>
      <c r="R604" s="1381"/>
      <c r="T604" s="22"/>
      <c r="U604" t="s">
        <v>17</v>
      </c>
      <c r="Z604" s="1438"/>
      <c r="AA604" s="1438"/>
      <c r="AB604" s="1438"/>
      <c r="AC604" s="1438"/>
      <c r="AD604" s="1438"/>
      <c r="AE604" s="1438"/>
      <c r="AF604" s="1438"/>
      <c r="AG604" s="1438"/>
      <c r="AH604" s="1438"/>
      <c r="AI604" s="1438"/>
      <c r="AJ604" s="1438"/>
      <c r="AK604" s="1438"/>
      <c r="AZ604" s="3"/>
      <c r="BA604" s="3"/>
      <c r="BB604" s="3"/>
      <c r="BC604" s="3"/>
      <c r="BD604" s="3"/>
      <c r="BE604" s="1393">
        <f t="shared" si="1"/>
        <v>0</v>
      </c>
      <c r="BF604" s="1395"/>
      <c r="BG604" s="1399">
        <f t="shared" si="2"/>
        <v>0</v>
      </c>
      <c r="BH604" s="1400"/>
      <c r="BI604" s="1393">
        <f t="shared" si="3"/>
        <v>0</v>
      </c>
      <c r="BJ604" s="1395"/>
      <c r="BK604" s="1399">
        <f t="shared" si="4"/>
        <v>0</v>
      </c>
      <c r="BL604" s="1400"/>
      <c r="BM604" s="3"/>
      <c r="BN604" s="1401">
        <f t="shared" si="5"/>
        <v>0</v>
      </c>
      <c r="BO604" s="1402"/>
      <c r="BP604" s="1402"/>
      <c r="BQ604" s="1402"/>
      <c r="BR604" s="1403"/>
      <c r="BS604" s="1398">
        <f t="shared" si="6"/>
        <v>0</v>
      </c>
      <c r="BT604" s="1398"/>
      <c r="BU604" s="1398"/>
      <c r="BV604" s="1398"/>
      <c r="BW604" s="1398"/>
      <c r="BX604" s="1398">
        <f t="shared" si="7"/>
        <v>0</v>
      </c>
      <c r="BY604" s="1398"/>
      <c r="BZ604" s="1398"/>
      <c r="CA604" s="1398"/>
      <c r="CB604" s="1398"/>
      <c r="CC604" s="1398">
        <f t="shared" si="8"/>
        <v>0</v>
      </c>
      <c r="CD604" s="1398"/>
      <c r="CE604" s="1398"/>
      <c r="CF604" s="1398"/>
      <c r="CG604" s="1398"/>
      <c r="CH604" s="1398">
        <f t="shared" si="9"/>
        <v>0</v>
      </c>
      <c r="CI604" s="1398"/>
      <c r="CJ604" s="1398"/>
      <c r="CK604" s="1398"/>
      <c r="CL604" s="1398"/>
      <c r="CM604" s="1398">
        <f t="shared" si="10"/>
        <v>0</v>
      </c>
      <c r="CN604" s="1398"/>
      <c r="CO604" s="1398"/>
      <c r="CP604" s="1398"/>
      <c r="CQ604" s="1398"/>
      <c r="CR604" s="6"/>
      <c r="CS604" s="1397">
        <f t="shared" si="11"/>
        <v>0</v>
      </c>
      <c r="CT604" s="1397"/>
      <c r="CU604" s="1397"/>
      <c r="CV604" s="1397"/>
      <c r="CW604" s="1397"/>
      <c r="CX604" s="1397">
        <f t="shared" si="12"/>
        <v>0</v>
      </c>
      <c r="CY604" s="1397"/>
      <c r="CZ604" s="1397"/>
      <c r="DA604" s="1397"/>
      <c r="DB604" s="1397"/>
      <c r="DC604" s="1397">
        <f t="shared" si="13"/>
        <v>0</v>
      </c>
      <c r="DD604" s="1397"/>
      <c r="DE604" s="1397"/>
      <c r="DF604" s="1397"/>
      <c r="DG604" s="1397"/>
      <c r="DH604" s="1397">
        <f t="shared" si="14"/>
        <v>0</v>
      </c>
      <c r="DI604" s="1397"/>
      <c r="DJ604" s="1397"/>
      <c r="DK604" s="1397"/>
      <c r="DL604" s="1397"/>
      <c r="DM604" s="1397">
        <f t="shared" si="15"/>
        <v>0</v>
      </c>
      <c r="DN604" s="1397"/>
      <c r="DO604" s="1397"/>
      <c r="DP604" s="1397"/>
      <c r="DQ604" s="1397"/>
      <c r="DR604" s="1397">
        <f t="shared" si="16"/>
        <v>0</v>
      </c>
      <c r="DS604" s="1397"/>
      <c r="DT604" s="1397"/>
      <c r="DU604" s="1397"/>
      <c r="DV604" s="1397"/>
      <c r="DX604" s="1393" t="str">
        <f t="shared" si="17"/>
        <v/>
      </c>
      <c r="DY604" s="1394"/>
      <c r="DZ604" s="1394"/>
      <c r="EA604" s="1394"/>
      <c r="EB604" s="1395"/>
      <c r="EC604" s="1393" t="str">
        <f t="shared" si="18"/>
        <v/>
      </c>
      <c r="ED604" s="1394"/>
      <c r="EE604" s="1394"/>
      <c r="EF604" s="1394"/>
      <c r="EG604" s="1395"/>
      <c r="EH604" s="1393" t="str">
        <f t="shared" si="19"/>
        <v/>
      </c>
      <c r="EI604" s="1394"/>
      <c r="EJ604" s="1394"/>
      <c r="EK604" s="1394"/>
      <c r="EL604" s="1395"/>
      <c r="EM604" s="1393" t="str">
        <f t="shared" si="20"/>
        <v/>
      </c>
      <c r="EN604" s="1394"/>
      <c r="EO604" s="1394"/>
      <c r="EP604" s="1394"/>
      <c r="EQ604" s="1395"/>
      <c r="ER604" s="1393" t="str">
        <f t="shared" si="21"/>
        <v/>
      </c>
      <c r="ES604" s="1394"/>
      <c r="ET604" s="1394"/>
      <c r="EU604" s="1394"/>
      <c r="EV604" s="1395"/>
      <c r="EW604" s="1393" t="str">
        <f t="shared" si="22"/>
        <v/>
      </c>
      <c r="EX604" s="1394"/>
      <c r="EY604" s="1394"/>
      <c r="EZ604" s="1394"/>
      <c r="FA604" s="1395"/>
    </row>
    <row r="605" spans="1:157" s="4" customFormat="1" ht="13" customHeight="1">
      <c r="A605" s="22"/>
      <c r="B605" t="s">
        <v>317</v>
      </c>
      <c r="C605"/>
      <c r="D605"/>
      <c r="E605"/>
      <c r="F605"/>
      <c r="G605" s="1493"/>
      <c r="H605" s="1493"/>
      <c r="I605" s="1493"/>
      <c r="J605" s="1493"/>
      <c r="K605" s="1493"/>
      <c r="L605" s="1493"/>
      <c r="M605"/>
      <c r="N605"/>
      <c r="O605" s="33" t="s">
        <v>207</v>
      </c>
      <c r="P605" s="1412"/>
      <c r="Q605" s="1412"/>
      <c r="R605" s="1412"/>
      <c r="S605"/>
      <c r="T605" s="22"/>
      <c r="U605" t="s">
        <v>317</v>
      </c>
      <c r="V605"/>
      <c r="W605"/>
      <c r="X605"/>
      <c r="Y605"/>
      <c r="Z605" s="1493"/>
      <c r="AA605" s="1493"/>
      <c r="AB605" s="1493"/>
      <c r="AC605" s="1493"/>
      <c r="AD605" s="1493"/>
      <c r="AE605" s="1493"/>
      <c r="AF605"/>
      <c r="AG605"/>
      <c r="AH605" s="33" t="s">
        <v>207</v>
      </c>
      <c r="AI605" s="1412"/>
      <c r="AJ605" s="1412"/>
      <c r="AK605" s="1412"/>
      <c r="AL605"/>
      <c r="AM605"/>
      <c r="AN605"/>
      <c r="AO605"/>
      <c r="AP605"/>
      <c r="AQ605"/>
      <c r="AR605"/>
      <c r="AS605"/>
      <c r="AT605"/>
      <c r="AU605"/>
      <c r="AV605"/>
      <c r="AW605"/>
      <c r="AX605"/>
      <c r="AY605"/>
      <c r="AZ605" s="3"/>
      <c r="BA605" s="3"/>
      <c r="BB605" s="3"/>
      <c r="BC605" s="3"/>
      <c r="BD605" s="3"/>
      <c r="BE605" s="1393">
        <f t="shared" si="1"/>
        <v>0</v>
      </c>
      <c r="BF605" s="1395"/>
      <c r="BG605" s="1399">
        <f t="shared" si="2"/>
        <v>0</v>
      </c>
      <c r="BH605" s="1400"/>
      <c r="BI605" s="1393">
        <f t="shared" si="3"/>
        <v>0</v>
      </c>
      <c r="BJ605" s="1395"/>
      <c r="BK605" s="1399">
        <f t="shared" si="4"/>
        <v>0</v>
      </c>
      <c r="BL605" s="1400"/>
      <c r="BM605" s="3"/>
      <c r="BN605" s="1401">
        <f t="shared" si="5"/>
        <v>0</v>
      </c>
      <c r="BO605" s="1402"/>
      <c r="BP605" s="1402"/>
      <c r="BQ605" s="1402"/>
      <c r="BR605" s="1403"/>
      <c r="BS605" s="1398">
        <f t="shared" si="6"/>
        <v>0</v>
      </c>
      <c r="BT605" s="1398"/>
      <c r="BU605" s="1398"/>
      <c r="BV605" s="1398"/>
      <c r="BW605" s="1398"/>
      <c r="BX605" s="1398">
        <f t="shared" si="7"/>
        <v>0</v>
      </c>
      <c r="BY605" s="1398"/>
      <c r="BZ605" s="1398"/>
      <c r="CA605" s="1398"/>
      <c r="CB605" s="1398"/>
      <c r="CC605" s="1398">
        <f t="shared" si="8"/>
        <v>0</v>
      </c>
      <c r="CD605" s="1398"/>
      <c r="CE605" s="1398"/>
      <c r="CF605" s="1398"/>
      <c r="CG605" s="1398"/>
      <c r="CH605" s="1398">
        <f t="shared" si="9"/>
        <v>0</v>
      </c>
      <c r="CI605" s="1398"/>
      <c r="CJ605" s="1398"/>
      <c r="CK605" s="1398"/>
      <c r="CL605" s="1398"/>
      <c r="CM605" s="1398">
        <f t="shared" si="10"/>
        <v>0</v>
      </c>
      <c r="CN605" s="1398"/>
      <c r="CO605" s="1398"/>
      <c r="CP605" s="1398"/>
      <c r="CQ605" s="1398"/>
      <c r="CR605" s="6"/>
      <c r="CS605" s="1397">
        <f t="shared" si="11"/>
        <v>0</v>
      </c>
      <c r="CT605" s="1397"/>
      <c r="CU605" s="1397"/>
      <c r="CV605" s="1397"/>
      <c r="CW605" s="1397"/>
      <c r="CX605" s="1397">
        <f t="shared" si="12"/>
        <v>0</v>
      </c>
      <c r="CY605" s="1397"/>
      <c r="CZ605" s="1397"/>
      <c r="DA605" s="1397"/>
      <c r="DB605" s="1397"/>
      <c r="DC605" s="1397">
        <f t="shared" si="13"/>
        <v>0</v>
      </c>
      <c r="DD605" s="1397"/>
      <c r="DE605" s="1397"/>
      <c r="DF605" s="1397"/>
      <c r="DG605" s="1397"/>
      <c r="DH605" s="1397">
        <f t="shared" si="14"/>
        <v>0</v>
      </c>
      <c r="DI605" s="1397"/>
      <c r="DJ605" s="1397"/>
      <c r="DK605" s="1397"/>
      <c r="DL605" s="1397"/>
      <c r="DM605" s="1397">
        <f t="shared" si="15"/>
        <v>0</v>
      </c>
      <c r="DN605" s="1397"/>
      <c r="DO605" s="1397"/>
      <c r="DP605" s="1397"/>
      <c r="DQ605" s="1397"/>
      <c r="DR605" s="1397">
        <f t="shared" si="16"/>
        <v>0</v>
      </c>
      <c r="DS605" s="1397"/>
      <c r="DT605" s="1397"/>
      <c r="DU605" s="1397"/>
      <c r="DV605" s="1397"/>
      <c r="DX605" s="1393" t="str">
        <f t="shared" si="17"/>
        <v/>
      </c>
      <c r="DY605" s="1394"/>
      <c r="DZ605" s="1394"/>
      <c r="EA605" s="1394"/>
      <c r="EB605" s="1395"/>
      <c r="EC605" s="1393" t="str">
        <f t="shared" si="18"/>
        <v/>
      </c>
      <c r="ED605" s="1394"/>
      <c r="EE605" s="1394"/>
      <c r="EF605" s="1394"/>
      <c r="EG605" s="1395"/>
      <c r="EH605" s="1393" t="str">
        <f t="shared" si="19"/>
        <v/>
      </c>
      <c r="EI605" s="1394"/>
      <c r="EJ605" s="1394"/>
      <c r="EK605" s="1394"/>
      <c r="EL605" s="1395"/>
      <c r="EM605" s="1393" t="str">
        <f t="shared" si="20"/>
        <v/>
      </c>
      <c r="EN605" s="1394"/>
      <c r="EO605" s="1394"/>
      <c r="EP605" s="1394"/>
      <c r="EQ605" s="1395"/>
      <c r="ER605" s="1393" t="str">
        <f t="shared" si="21"/>
        <v/>
      </c>
      <c r="ES605" s="1394"/>
      <c r="ET605" s="1394"/>
      <c r="EU605" s="1394"/>
      <c r="EV605" s="1395"/>
      <c r="EW605" s="1393" t="str">
        <f t="shared" si="22"/>
        <v/>
      </c>
      <c r="EX605" s="1394"/>
      <c r="EY605" s="1394"/>
      <c r="EZ605" s="1394"/>
      <c r="FA605" s="1395"/>
    </row>
    <row r="606" spans="1:157" s="4" customFormat="1" ht="13" customHeight="1">
      <c r="A606" s="22"/>
      <c r="B606" t="s">
        <v>18</v>
      </c>
      <c r="C606"/>
      <c r="D606"/>
      <c r="E606"/>
      <c r="F606"/>
      <c r="G606"/>
      <c r="H606" s="1381"/>
      <c r="I606" s="1381"/>
      <c r="J606" s="1381"/>
      <c r="K606" s="1381"/>
      <c r="L606" s="1381"/>
      <c r="M606" s="1381"/>
      <c r="N606" s="1381"/>
      <c r="O606" s="1381"/>
      <c r="P606" s="1381"/>
      <c r="Q606" s="1381"/>
      <c r="R606" s="1381"/>
      <c r="S606"/>
      <c r="T606" s="22"/>
      <c r="U606" t="s">
        <v>18</v>
      </c>
      <c r="V606"/>
      <c r="W606"/>
      <c r="X606"/>
      <c r="Y606"/>
      <c r="Z606"/>
      <c r="AA606" s="1381"/>
      <c r="AB606" s="1381"/>
      <c r="AC606" s="1381"/>
      <c r="AD606" s="1381"/>
      <c r="AE606" s="1381"/>
      <c r="AF606" s="1381"/>
      <c r="AG606" s="1381"/>
      <c r="AH606" s="1381"/>
      <c r="AI606" s="1381"/>
      <c r="AJ606" s="1381"/>
      <c r="AK606" s="1381"/>
      <c r="AL606"/>
      <c r="AM606"/>
      <c r="AN606"/>
      <c r="AO606"/>
      <c r="AP606"/>
      <c r="AQ606"/>
      <c r="AR606"/>
      <c r="AS606"/>
      <c r="AT606"/>
      <c r="AU606"/>
      <c r="AV606"/>
      <c r="AW606"/>
      <c r="AX606"/>
      <c r="AY606"/>
      <c r="AZ606" s="3"/>
      <c r="BA606" s="3"/>
      <c r="BB606" s="3"/>
      <c r="BC606" s="3"/>
      <c r="BD606" s="3"/>
      <c r="BE606" s="1393">
        <f t="shared" si="1"/>
        <v>0</v>
      </c>
      <c r="BF606" s="1395"/>
      <c r="BG606" s="1399">
        <f t="shared" si="2"/>
        <v>0</v>
      </c>
      <c r="BH606" s="1400"/>
      <c r="BI606" s="1393">
        <f t="shared" si="3"/>
        <v>0</v>
      </c>
      <c r="BJ606" s="1395"/>
      <c r="BK606" s="1399">
        <f t="shared" si="4"/>
        <v>0</v>
      </c>
      <c r="BL606" s="1400"/>
      <c r="BM606" s="3"/>
      <c r="BN606" s="1401">
        <f t="shared" si="5"/>
        <v>0</v>
      </c>
      <c r="BO606" s="1402"/>
      <c r="BP606" s="1402"/>
      <c r="BQ606" s="1402"/>
      <c r="BR606" s="1403"/>
      <c r="BS606" s="1398">
        <f t="shared" si="6"/>
        <v>0</v>
      </c>
      <c r="BT606" s="1398"/>
      <c r="BU606" s="1398"/>
      <c r="BV606" s="1398"/>
      <c r="BW606" s="1398"/>
      <c r="BX606" s="1398">
        <f t="shared" si="7"/>
        <v>0</v>
      </c>
      <c r="BY606" s="1398"/>
      <c r="BZ606" s="1398"/>
      <c r="CA606" s="1398"/>
      <c r="CB606" s="1398"/>
      <c r="CC606" s="1398">
        <f t="shared" si="8"/>
        <v>0</v>
      </c>
      <c r="CD606" s="1398"/>
      <c r="CE606" s="1398"/>
      <c r="CF606" s="1398"/>
      <c r="CG606" s="1398"/>
      <c r="CH606" s="1398">
        <f t="shared" si="9"/>
        <v>0</v>
      </c>
      <c r="CI606" s="1398"/>
      <c r="CJ606" s="1398"/>
      <c r="CK606" s="1398"/>
      <c r="CL606" s="1398"/>
      <c r="CM606" s="1398">
        <f t="shared" si="10"/>
        <v>0</v>
      </c>
      <c r="CN606" s="1398"/>
      <c r="CO606" s="1398"/>
      <c r="CP606" s="1398"/>
      <c r="CQ606" s="1398"/>
      <c r="CR606" s="6"/>
      <c r="CS606" s="1397">
        <f t="shared" si="11"/>
        <v>0</v>
      </c>
      <c r="CT606" s="1397"/>
      <c r="CU606" s="1397"/>
      <c r="CV606" s="1397"/>
      <c r="CW606" s="1397"/>
      <c r="CX606" s="1397">
        <f t="shared" si="12"/>
        <v>0</v>
      </c>
      <c r="CY606" s="1397"/>
      <c r="CZ606" s="1397"/>
      <c r="DA606" s="1397"/>
      <c r="DB606" s="1397"/>
      <c r="DC606" s="1397">
        <f t="shared" si="13"/>
        <v>0</v>
      </c>
      <c r="DD606" s="1397"/>
      <c r="DE606" s="1397"/>
      <c r="DF606" s="1397"/>
      <c r="DG606" s="1397"/>
      <c r="DH606" s="1397">
        <f t="shared" si="14"/>
        <v>0</v>
      </c>
      <c r="DI606" s="1397"/>
      <c r="DJ606" s="1397"/>
      <c r="DK606" s="1397"/>
      <c r="DL606" s="1397"/>
      <c r="DM606" s="1397">
        <f t="shared" si="15"/>
        <v>0</v>
      </c>
      <c r="DN606" s="1397"/>
      <c r="DO606" s="1397"/>
      <c r="DP606" s="1397"/>
      <c r="DQ606" s="1397"/>
      <c r="DR606" s="1397">
        <f t="shared" si="16"/>
        <v>0</v>
      </c>
      <c r="DS606" s="1397"/>
      <c r="DT606" s="1397"/>
      <c r="DU606" s="1397"/>
      <c r="DV606" s="1397"/>
      <c r="DX606" s="1393" t="str">
        <f t="shared" si="17"/>
        <v/>
      </c>
      <c r="DY606" s="1394"/>
      <c r="DZ606" s="1394"/>
      <c r="EA606" s="1394"/>
      <c r="EB606" s="1395"/>
      <c r="EC606" s="1393" t="str">
        <f t="shared" si="18"/>
        <v/>
      </c>
      <c r="ED606" s="1394"/>
      <c r="EE606" s="1394"/>
      <c r="EF606" s="1394"/>
      <c r="EG606" s="1395"/>
      <c r="EH606" s="1393" t="str">
        <f t="shared" si="19"/>
        <v/>
      </c>
      <c r="EI606" s="1394"/>
      <c r="EJ606" s="1394"/>
      <c r="EK606" s="1394"/>
      <c r="EL606" s="1395"/>
      <c r="EM606" s="1393" t="str">
        <f t="shared" si="20"/>
        <v/>
      </c>
      <c r="EN606" s="1394"/>
      <c r="EO606" s="1394"/>
      <c r="EP606" s="1394"/>
      <c r="EQ606" s="1395"/>
      <c r="ER606" s="1393" t="str">
        <f t="shared" si="21"/>
        <v/>
      </c>
      <c r="ES606" s="1394"/>
      <c r="ET606" s="1394"/>
      <c r="EU606" s="1394"/>
      <c r="EV606" s="1395"/>
      <c r="EW606" s="1393" t="str">
        <f t="shared" si="22"/>
        <v/>
      </c>
      <c r="EX606" s="1394"/>
      <c r="EY606" s="1394"/>
      <c r="EZ606" s="1394"/>
      <c r="FA606" s="1395"/>
    </row>
    <row r="607" spans="1:157" s="4" customFormat="1" ht="13" customHeight="1">
      <c r="A607" s="22"/>
      <c r="B607" t="s">
        <v>20</v>
      </c>
      <c r="C607"/>
      <c r="D607"/>
      <c r="E607"/>
      <c r="F607"/>
      <c r="G607"/>
      <c r="H607"/>
      <c r="I607"/>
      <c r="J607"/>
      <c r="K607"/>
      <c r="L607"/>
      <c r="M607"/>
      <c r="N607" s="1383" t="s">
        <v>678</v>
      </c>
      <c r="O607" s="1383"/>
      <c r="P607"/>
      <c r="Q607"/>
      <c r="R607"/>
      <c r="S607"/>
      <c r="T607" s="22"/>
      <c r="U607" t="s">
        <v>20</v>
      </c>
      <c r="V607"/>
      <c r="W607"/>
      <c r="X607"/>
      <c r="Y607"/>
      <c r="Z607"/>
      <c r="AA607"/>
      <c r="AB607"/>
      <c r="AC607"/>
      <c r="AD607"/>
      <c r="AE607"/>
      <c r="AF607"/>
      <c r="AG607" s="1383" t="s">
        <v>678</v>
      </c>
      <c r="AH607" s="1383"/>
      <c r="AI607"/>
      <c r="AJ607"/>
      <c r="AK607"/>
      <c r="AL607"/>
      <c r="AM607"/>
      <c r="AN607"/>
      <c r="AO607"/>
      <c r="AP607"/>
      <c r="AQ607"/>
      <c r="AR607"/>
      <c r="AS607"/>
      <c r="AT607"/>
      <c r="AU607"/>
      <c r="AV607"/>
      <c r="AW607"/>
      <c r="AX607"/>
      <c r="AY607"/>
      <c r="AZ607" s="3"/>
      <c r="BA607" s="3"/>
      <c r="BB607" s="3"/>
      <c r="BC607" s="3"/>
      <c r="BD607" s="3"/>
      <c r="BE607" s="1393">
        <f t="shared" si="1"/>
        <v>0</v>
      </c>
      <c r="BF607" s="1395"/>
      <c r="BG607" s="1399">
        <f t="shared" si="2"/>
        <v>0</v>
      </c>
      <c r="BH607" s="1400"/>
      <c r="BI607" s="1393">
        <f t="shared" si="3"/>
        <v>0</v>
      </c>
      <c r="BJ607" s="1395"/>
      <c r="BK607" s="1399">
        <f t="shared" si="4"/>
        <v>0</v>
      </c>
      <c r="BL607" s="1400"/>
      <c r="BM607" s="3"/>
      <c r="BN607" s="1401">
        <f t="shared" si="5"/>
        <v>0</v>
      </c>
      <c r="BO607" s="1402"/>
      <c r="BP607" s="1402"/>
      <c r="BQ607" s="1402"/>
      <c r="BR607" s="1403"/>
      <c r="BS607" s="1398">
        <f t="shared" si="6"/>
        <v>0</v>
      </c>
      <c r="BT607" s="1398"/>
      <c r="BU607" s="1398"/>
      <c r="BV607" s="1398"/>
      <c r="BW607" s="1398"/>
      <c r="BX607" s="1398">
        <f t="shared" si="7"/>
        <v>0</v>
      </c>
      <c r="BY607" s="1398"/>
      <c r="BZ607" s="1398"/>
      <c r="CA607" s="1398"/>
      <c r="CB607" s="1398"/>
      <c r="CC607" s="1398">
        <f t="shared" si="8"/>
        <v>0</v>
      </c>
      <c r="CD607" s="1398"/>
      <c r="CE607" s="1398"/>
      <c r="CF607" s="1398"/>
      <c r="CG607" s="1398"/>
      <c r="CH607" s="1398">
        <f t="shared" si="9"/>
        <v>0</v>
      </c>
      <c r="CI607" s="1398"/>
      <c r="CJ607" s="1398"/>
      <c r="CK607" s="1398"/>
      <c r="CL607" s="1398"/>
      <c r="CM607" s="1398">
        <f t="shared" si="10"/>
        <v>0</v>
      </c>
      <c r="CN607" s="1398"/>
      <c r="CO607" s="1398"/>
      <c r="CP607" s="1398"/>
      <c r="CQ607" s="1398"/>
      <c r="CR607" s="6"/>
      <c r="CS607" s="1397">
        <f t="shared" si="11"/>
        <v>0</v>
      </c>
      <c r="CT607" s="1397"/>
      <c r="CU607" s="1397"/>
      <c r="CV607" s="1397"/>
      <c r="CW607" s="1397"/>
      <c r="CX607" s="1397">
        <f t="shared" si="12"/>
        <v>0</v>
      </c>
      <c r="CY607" s="1397"/>
      <c r="CZ607" s="1397"/>
      <c r="DA607" s="1397"/>
      <c r="DB607" s="1397"/>
      <c r="DC607" s="1397">
        <f t="shared" si="13"/>
        <v>0</v>
      </c>
      <c r="DD607" s="1397"/>
      <c r="DE607" s="1397"/>
      <c r="DF607" s="1397"/>
      <c r="DG607" s="1397"/>
      <c r="DH607" s="1397">
        <f t="shared" si="14"/>
        <v>0</v>
      </c>
      <c r="DI607" s="1397"/>
      <c r="DJ607" s="1397"/>
      <c r="DK607" s="1397"/>
      <c r="DL607" s="1397"/>
      <c r="DM607" s="1397">
        <f t="shared" si="15"/>
        <v>0</v>
      </c>
      <c r="DN607" s="1397"/>
      <c r="DO607" s="1397"/>
      <c r="DP607" s="1397"/>
      <c r="DQ607" s="1397"/>
      <c r="DR607" s="1397">
        <f t="shared" si="16"/>
        <v>0</v>
      </c>
      <c r="DS607" s="1397"/>
      <c r="DT607" s="1397"/>
      <c r="DU607" s="1397"/>
      <c r="DV607" s="1397"/>
      <c r="DX607" s="1393" t="str">
        <f t="shared" si="17"/>
        <v/>
      </c>
      <c r="DY607" s="1394"/>
      <c r="DZ607" s="1394"/>
      <c r="EA607" s="1394"/>
      <c r="EB607" s="1395"/>
      <c r="EC607" s="1393" t="str">
        <f t="shared" si="18"/>
        <v/>
      </c>
      <c r="ED607" s="1394"/>
      <c r="EE607" s="1394"/>
      <c r="EF607" s="1394"/>
      <c r="EG607" s="1395"/>
      <c r="EH607" s="1393" t="str">
        <f t="shared" si="19"/>
        <v/>
      </c>
      <c r="EI607" s="1394"/>
      <c r="EJ607" s="1394"/>
      <c r="EK607" s="1394"/>
      <c r="EL607" s="1395"/>
      <c r="EM607" s="1393" t="str">
        <f t="shared" si="20"/>
        <v/>
      </c>
      <c r="EN607" s="1394"/>
      <c r="EO607" s="1394"/>
      <c r="EP607" s="1394"/>
      <c r="EQ607" s="1395"/>
      <c r="ER607" s="1393" t="str">
        <f t="shared" si="21"/>
        <v/>
      </c>
      <c r="ES607" s="1394"/>
      <c r="ET607" s="1394"/>
      <c r="EU607" s="1394"/>
      <c r="EV607" s="1395"/>
      <c r="EW607" s="1393" t="str">
        <f t="shared" si="22"/>
        <v/>
      </c>
      <c r="EX607" s="1394"/>
      <c r="EY607" s="1394"/>
      <c r="EZ607" s="1394"/>
      <c r="FA607" s="1395"/>
    </row>
    <row r="608" spans="1:157" ht="13" customHeight="1">
      <c r="A608" s="22"/>
      <c r="T608" s="22"/>
      <c r="AZ608" s="3"/>
      <c r="BA608" s="3"/>
      <c r="BB608" s="3"/>
      <c r="BC608" s="3"/>
      <c r="BD608" s="3"/>
      <c r="BE608" s="1393">
        <f t="shared" si="1"/>
        <v>0</v>
      </c>
      <c r="BF608" s="1395"/>
      <c r="BG608" s="1399">
        <f t="shared" si="2"/>
        <v>0</v>
      </c>
      <c r="BH608" s="1400"/>
      <c r="BI608" s="1393">
        <f t="shared" si="3"/>
        <v>0</v>
      </c>
      <c r="BJ608" s="1395"/>
      <c r="BK608" s="1399">
        <f t="shared" si="4"/>
        <v>0</v>
      </c>
      <c r="BL608" s="1400"/>
      <c r="BM608" s="3"/>
      <c r="BN608" s="1401">
        <f t="shared" si="5"/>
        <v>0</v>
      </c>
      <c r="BO608" s="1402"/>
      <c r="BP608" s="1402"/>
      <c r="BQ608" s="1402"/>
      <c r="BR608" s="1403"/>
      <c r="BS608" s="1398">
        <f t="shared" si="6"/>
        <v>0</v>
      </c>
      <c r="BT608" s="1398"/>
      <c r="BU608" s="1398"/>
      <c r="BV608" s="1398"/>
      <c r="BW608" s="1398"/>
      <c r="BX608" s="1398">
        <f t="shared" si="7"/>
        <v>0</v>
      </c>
      <c r="BY608" s="1398"/>
      <c r="BZ608" s="1398"/>
      <c r="CA608" s="1398"/>
      <c r="CB608" s="1398"/>
      <c r="CC608" s="1398">
        <f t="shared" si="8"/>
        <v>0</v>
      </c>
      <c r="CD608" s="1398"/>
      <c r="CE608" s="1398"/>
      <c r="CF608" s="1398"/>
      <c r="CG608" s="1398"/>
      <c r="CH608" s="1398">
        <f t="shared" si="9"/>
        <v>0</v>
      </c>
      <c r="CI608" s="1398"/>
      <c r="CJ608" s="1398"/>
      <c r="CK608" s="1398"/>
      <c r="CL608" s="1398"/>
      <c r="CM608" s="1398">
        <f t="shared" si="10"/>
        <v>0</v>
      </c>
      <c r="CN608" s="1398"/>
      <c r="CO608" s="1398"/>
      <c r="CP608" s="1398"/>
      <c r="CQ608" s="1398"/>
      <c r="CR608" s="6"/>
      <c r="CS608" s="1397">
        <f t="shared" si="11"/>
        <v>0</v>
      </c>
      <c r="CT608" s="1397"/>
      <c r="CU608" s="1397"/>
      <c r="CV608" s="1397"/>
      <c r="CW608" s="1397"/>
      <c r="CX608" s="1397">
        <f t="shared" si="12"/>
        <v>0</v>
      </c>
      <c r="CY608" s="1397"/>
      <c r="CZ608" s="1397"/>
      <c r="DA608" s="1397"/>
      <c r="DB608" s="1397"/>
      <c r="DC608" s="1397">
        <f t="shared" si="13"/>
        <v>0</v>
      </c>
      <c r="DD608" s="1397"/>
      <c r="DE608" s="1397"/>
      <c r="DF608" s="1397"/>
      <c r="DG608" s="1397"/>
      <c r="DH608" s="1397">
        <f t="shared" si="14"/>
        <v>0</v>
      </c>
      <c r="DI608" s="1397"/>
      <c r="DJ608" s="1397"/>
      <c r="DK608" s="1397"/>
      <c r="DL608" s="1397"/>
      <c r="DM608" s="1397">
        <f t="shared" si="15"/>
        <v>0</v>
      </c>
      <c r="DN608" s="1397"/>
      <c r="DO608" s="1397"/>
      <c r="DP608" s="1397"/>
      <c r="DQ608" s="1397"/>
      <c r="DR608" s="1397">
        <f t="shared" si="16"/>
        <v>0</v>
      </c>
      <c r="DS608" s="1397"/>
      <c r="DT608" s="1397"/>
      <c r="DU608" s="1397"/>
      <c r="DV608" s="1397"/>
      <c r="DX608" s="1393" t="str">
        <f t="shared" si="17"/>
        <v/>
      </c>
      <c r="DY608" s="1394"/>
      <c r="DZ608" s="1394"/>
      <c r="EA608" s="1394"/>
      <c r="EB608" s="1395"/>
      <c r="EC608" s="1393" t="str">
        <f t="shared" si="18"/>
        <v/>
      </c>
      <c r="ED608" s="1394"/>
      <c r="EE608" s="1394"/>
      <c r="EF608" s="1394"/>
      <c r="EG608" s="1395"/>
      <c r="EH608" s="1393" t="str">
        <f t="shared" si="19"/>
        <v/>
      </c>
      <c r="EI608" s="1394"/>
      <c r="EJ608" s="1394"/>
      <c r="EK608" s="1394"/>
      <c r="EL608" s="1395"/>
      <c r="EM608" s="1393" t="str">
        <f t="shared" si="20"/>
        <v/>
      </c>
      <c r="EN608" s="1394"/>
      <c r="EO608" s="1394"/>
      <c r="EP608" s="1394"/>
      <c r="EQ608" s="1395"/>
      <c r="ER608" s="1393" t="str">
        <f t="shared" si="21"/>
        <v/>
      </c>
      <c r="ES608" s="1394"/>
      <c r="ET608" s="1394"/>
      <c r="EU608" s="1394"/>
      <c r="EV608" s="1395"/>
      <c r="EW608" s="1393" t="str">
        <f t="shared" si="22"/>
        <v/>
      </c>
      <c r="EX608" s="1394"/>
      <c r="EY608" s="1394"/>
      <c r="EZ608" s="1394"/>
      <c r="FA608" s="1395"/>
    </row>
    <row r="609" spans="1:157" ht="13" customHeight="1">
      <c r="A609" s="55" t="s">
        <v>363</v>
      </c>
      <c r="B609" t="s">
        <v>472</v>
      </c>
      <c r="G609" s="1382">
        <f>C564</f>
        <v>0</v>
      </c>
      <c r="H609" s="1382"/>
      <c r="I609" s="1382"/>
      <c r="J609" s="1382"/>
      <c r="K609" s="1382"/>
      <c r="L609" s="1382"/>
      <c r="M609" s="1382"/>
      <c r="N609" s="1382"/>
      <c r="O609" s="1382"/>
      <c r="P609" s="1382"/>
      <c r="Q609" s="1382"/>
      <c r="R609" s="1382"/>
      <c r="T609" s="55" t="s">
        <v>364</v>
      </c>
      <c r="U609" t="s">
        <v>472</v>
      </c>
      <c r="Z609" s="1382">
        <f>C565</f>
        <v>0</v>
      </c>
      <c r="AA609" s="1382"/>
      <c r="AB609" s="1382"/>
      <c r="AC609" s="1382"/>
      <c r="AD609" s="1382"/>
      <c r="AE609" s="1382"/>
      <c r="AF609" s="1382"/>
      <c r="AG609" s="1382"/>
      <c r="AH609" s="1382"/>
      <c r="AI609" s="1382"/>
      <c r="AJ609" s="1382"/>
      <c r="AK609" s="1382"/>
      <c r="AZ609" s="3"/>
      <c r="BA609" s="3"/>
      <c r="BB609" s="3"/>
      <c r="BC609" s="3"/>
      <c r="BD609" s="3"/>
      <c r="BE609" s="1393">
        <f t="shared" si="1"/>
        <v>0</v>
      </c>
      <c r="BF609" s="1395"/>
      <c r="BG609" s="1399">
        <f t="shared" si="2"/>
        <v>0</v>
      </c>
      <c r="BH609" s="1400"/>
      <c r="BI609" s="1393">
        <f t="shared" si="3"/>
        <v>0</v>
      </c>
      <c r="BJ609" s="1395"/>
      <c r="BK609" s="1399">
        <f t="shared" si="4"/>
        <v>0</v>
      </c>
      <c r="BL609" s="1400"/>
      <c r="BM609" s="3"/>
      <c r="BN609" s="1401">
        <f t="shared" si="5"/>
        <v>0</v>
      </c>
      <c r="BO609" s="1402"/>
      <c r="BP609" s="1402"/>
      <c r="BQ609" s="1402"/>
      <c r="BR609" s="1403"/>
      <c r="BS609" s="1398">
        <f t="shared" si="6"/>
        <v>0</v>
      </c>
      <c r="BT609" s="1398"/>
      <c r="BU609" s="1398"/>
      <c r="BV609" s="1398"/>
      <c r="BW609" s="1398"/>
      <c r="BX609" s="1398">
        <f t="shared" si="7"/>
        <v>0</v>
      </c>
      <c r="BY609" s="1398"/>
      <c r="BZ609" s="1398"/>
      <c r="CA609" s="1398"/>
      <c r="CB609" s="1398"/>
      <c r="CC609" s="1398">
        <f t="shared" si="8"/>
        <v>0</v>
      </c>
      <c r="CD609" s="1398"/>
      <c r="CE609" s="1398"/>
      <c r="CF609" s="1398"/>
      <c r="CG609" s="1398"/>
      <c r="CH609" s="1398">
        <f t="shared" si="9"/>
        <v>0</v>
      </c>
      <c r="CI609" s="1398"/>
      <c r="CJ609" s="1398"/>
      <c r="CK609" s="1398"/>
      <c r="CL609" s="1398"/>
      <c r="CM609" s="1398">
        <f t="shared" si="10"/>
        <v>0</v>
      </c>
      <c r="CN609" s="1398"/>
      <c r="CO609" s="1398"/>
      <c r="CP609" s="1398"/>
      <c r="CQ609" s="1398"/>
      <c r="CR609" s="6"/>
      <c r="CS609" s="1397">
        <f t="shared" si="11"/>
        <v>0</v>
      </c>
      <c r="CT609" s="1397"/>
      <c r="CU609" s="1397"/>
      <c r="CV609" s="1397"/>
      <c r="CW609" s="1397"/>
      <c r="CX609" s="1397">
        <f t="shared" si="12"/>
        <v>0</v>
      </c>
      <c r="CY609" s="1397"/>
      <c r="CZ609" s="1397"/>
      <c r="DA609" s="1397"/>
      <c r="DB609" s="1397"/>
      <c r="DC609" s="1397">
        <f t="shared" si="13"/>
        <v>0</v>
      </c>
      <c r="DD609" s="1397"/>
      <c r="DE609" s="1397"/>
      <c r="DF609" s="1397"/>
      <c r="DG609" s="1397"/>
      <c r="DH609" s="1397">
        <f t="shared" si="14"/>
        <v>0</v>
      </c>
      <c r="DI609" s="1397"/>
      <c r="DJ609" s="1397"/>
      <c r="DK609" s="1397"/>
      <c r="DL609" s="1397"/>
      <c r="DM609" s="1397">
        <f t="shared" si="15"/>
        <v>0</v>
      </c>
      <c r="DN609" s="1397"/>
      <c r="DO609" s="1397"/>
      <c r="DP609" s="1397"/>
      <c r="DQ609" s="1397"/>
      <c r="DR609" s="1397">
        <f t="shared" si="16"/>
        <v>0</v>
      </c>
      <c r="DS609" s="1397"/>
      <c r="DT609" s="1397"/>
      <c r="DU609" s="1397"/>
      <c r="DV609" s="1397"/>
      <c r="DX609" s="1393" t="str">
        <f t="shared" si="17"/>
        <v/>
      </c>
      <c r="DY609" s="1394"/>
      <c r="DZ609" s="1394"/>
      <c r="EA609" s="1394"/>
      <c r="EB609" s="1395"/>
      <c r="EC609" s="1393" t="str">
        <f t="shared" si="18"/>
        <v/>
      </c>
      <c r="ED609" s="1394"/>
      <c r="EE609" s="1394"/>
      <c r="EF609" s="1394"/>
      <c r="EG609" s="1395"/>
      <c r="EH609" s="1393" t="str">
        <f t="shared" si="19"/>
        <v/>
      </c>
      <c r="EI609" s="1394"/>
      <c r="EJ609" s="1394"/>
      <c r="EK609" s="1394"/>
      <c r="EL609" s="1395"/>
      <c r="EM609" s="1393" t="str">
        <f t="shared" si="20"/>
        <v/>
      </c>
      <c r="EN609" s="1394"/>
      <c r="EO609" s="1394"/>
      <c r="EP609" s="1394"/>
      <c r="EQ609" s="1395"/>
      <c r="ER609" s="1393" t="str">
        <f t="shared" si="21"/>
        <v/>
      </c>
      <c r="ES609" s="1394"/>
      <c r="ET609" s="1394"/>
      <c r="EU609" s="1394"/>
      <c r="EV609" s="1395"/>
      <c r="EW609" s="1393" t="str">
        <f t="shared" si="22"/>
        <v/>
      </c>
      <c r="EX609" s="1394"/>
      <c r="EY609" s="1394"/>
      <c r="EZ609" s="1394"/>
      <c r="FA609" s="1395"/>
    </row>
    <row r="610" spans="1:157" ht="13" customHeight="1">
      <c r="B610" t="s">
        <v>85</v>
      </c>
      <c r="G610" s="1381"/>
      <c r="H610" s="1381"/>
      <c r="I610" s="1381"/>
      <c r="J610" s="1381"/>
      <c r="K610" s="1381"/>
      <c r="L610" s="1381"/>
      <c r="M610" s="1381"/>
      <c r="N610" s="1381"/>
      <c r="O610" s="1381"/>
      <c r="P610" s="1381"/>
      <c r="Q610" s="1381"/>
      <c r="R610" s="1381"/>
      <c r="U610" t="s">
        <v>85</v>
      </c>
      <c r="Z610" s="1381"/>
      <c r="AA610" s="1381"/>
      <c r="AB610" s="1381"/>
      <c r="AC610" s="1381"/>
      <c r="AD610" s="1381"/>
      <c r="AE610" s="1381"/>
      <c r="AF610" s="1381"/>
      <c r="AG610" s="1381"/>
      <c r="AH610" s="1381"/>
      <c r="AI610" s="1381"/>
      <c r="AJ610" s="1381"/>
      <c r="AK610" s="1381"/>
      <c r="AZ610" s="3"/>
      <c r="BA610" s="3"/>
      <c r="BB610" s="3"/>
      <c r="BC610" s="3"/>
      <c r="BD610" s="3"/>
      <c r="BE610" s="1393">
        <f t="shared" si="1"/>
        <v>0</v>
      </c>
      <c r="BF610" s="1395"/>
      <c r="BG610" s="1399">
        <f t="shared" si="2"/>
        <v>0</v>
      </c>
      <c r="BH610" s="1400"/>
      <c r="BI610" s="1393">
        <f t="shared" si="3"/>
        <v>0</v>
      </c>
      <c r="BJ610" s="1395"/>
      <c r="BK610" s="1399">
        <f t="shared" si="4"/>
        <v>0</v>
      </c>
      <c r="BL610" s="1400"/>
      <c r="BM610" s="3"/>
      <c r="BN610" s="1401">
        <f t="shared" si="5"/>
        <v>0</v>
      </c>
      <c r="BO610" s="1402"/>
      <c r="BP610" s="1402"/>
      <c r="BQ610" s="1402"/>
      <c r="BR610" s="1403"/>
      <c r="BS610" s="1398">
        <f t="shared" si="6"/>
        <v>0</v>
      </c>
      <c r="BT610" s="1398"/>
      <c r="BU610" s="1398"/>
      <c r="BV610" s="1398"/>
      <c r="BW610" s="1398"/>
      <c r="BX610" s="1398">
        <f t="shared" si="7"/>
        <v>0</v>
      </c>
      <c r="BY610" s="1398"/>
      <c r="BZ610" s="1398"/>
      <c r="CA610" s="1398"/>
      <c r="CB610" s="1398"/>
      <c r="CC610" s="1398">
        <f t="shared" si="8"/>
        <v>0</v>
      </c>
      <c r="CD610" s="1398"/>
      <c r="CE610" s="1398"/>
      <c r="CF610" s="1398"/>
      <c r="CG610" s="1398"/>
      <c r="CH610" s="1398">
        <f t="shared" si="9"/>
        <v>0</v>
      </c>
      <c r="CI610" s="1398"/>
      <c r="CJ610" s="1398"/>
      <c r="CK610" s="1398"/>
      <c r="CL610" s="1398"/>
      <c r="CM610" s="1398">
        <f t="shared" si="10"/>
        <v>0</v>
      </c>
      <c r="CN610" s="1398"/>
      <c r="CO610" s="1398"/>
      <c r="CP610" s="1398"/>
      <c r="CQ610" s="1398"/>
      <c r="CR610" s="6"/>
      <c r="CS610" s="1397">
        <f t="shared" si="11"/>
        <v>0</v>
      </c>
      <c r="CT610" s="1397"/>
      <c r="CU610" s="1397"/>
      <c r="CV610" s="1397"/>
      <c r="CW610" s="1397"/>
      <c r="CX610" s="1397">
        <f t="shared" si="12"/>
        <v>0</v>
      </c>
      <c r="CY610" s="1397"/>
      <c r="CZ610" s="1397"/>
      <c r="DA610" s="1397"/>
      <c r="DB610" s="1397"/>
      <c r="DC610" s="1397">
        <f t="shared" si="13"/>
        <v>0</v>
      </c>
      <c r="DD610" s="1397"/>
      <c r="DE610" s="1397"/>
      <c r="DF610" s="1397"/>
      <c r="DG610" s="1397"/>
      <c r="DH610" s="1397">
        <f t="shared" si="14"/>
        <v>0</v>
      </c>
      <c r="DI610" s="1397"/>
      <c r="DJ610" s="1397"/>
      <c r="DK610" s="1397"/>
      <c r="DL610" s="1397"/>
      <c r="DM610" s="1397">
        <f t="shared" si="15"/>
        <v>0</v>
      </c>
      <c r="DN610" s="1397"/>
      <c r="DO610" s="1397"/>
      <c r="DP610" s="1397"/>
      <c r="DQ610" s="1397"/>
      <c r="DR610" s="1397">
        <f t="shared" si="16"/>
        <v>0</v>
      </c>
      <c r="DS610" s="1397"/>
      <c r="DT610" s="1397"/>
      <c r="DU610" s="1397"/>
      <c r="DV610" s="1397"/>
      <c r="DX610" s="1393" t="str">
        <f t="shared" si="17"/>
        <v/>
      </c>
      <c r="DY610" s="1394"/>
      <c r="DZ610" s="1394"/>
      <c r="EA610" s="1394"/>
      <c r="EB610" s="1395"/>
      <c r="EC610" s="1393" t="str">
        <f t="shared" si="18"/>
        <v/>
      </c>
      <c r="ED610" s="1394"/>
      <c r="EE610" s="1394"/>
      <c r="EF610" s="1394"/>
      <c r="EG610" s="1395"/>
      <c r="EH610" s="1393" t="str">
        <f t="shared" si="19"/>
        <v/>
      </c>
      <c r="EI610" s="1394"/>
      <c r="EJ610" s="1394"/>
      <c r="EK610" s="1394"/>
      <c r="EL610" s="1395"/>
      <c r="EM610" s="1393" t="str">
        <f t="shared" si="20"/>
        <v/>
      </c>
      <c r="EN610" s="1394"/>
      <c r="EO610" s="1394"/>
      <c r="EP610" s="1394"/>
      <c r="EQ610" s="1395"/>
      <c r="ER610" s="1393" t="str">
        <f t="shared" si="21"/>
        <v/>
      </c>
      <c r="ES610" s="1394"/>
      <c r="ET610" s="1394"/>
      <c r="EU610" s="1394"/>
      <c r="EV610" s="1395"/>
      <c r="EW610" s="1393" t="str">
        <f t="shared" si="22"/>
        <v/>
      </c>
      <c r="EX610" s="1394"/>
      <c r="EY610" s="1394"/>
      <c r="EZ610" s="1394"/>
      <c r="FA610" s="1395"/>
    </row>
    <row r="611" spans="1:157" ht="13" customHeight="1">
      <c r="B611" t="s">
        <v>589</v>
      </c>
      <c r="G611" s="1381"/>
      <c r="H611" s="1381"/>
      <c r="I611" s="1381"/>
      <c r="J611" s="1381"/>
      <c r="K611" s="1381"/>
      <c r="L611" s="1381"/>
      <c r="M611" s="1381"/>
      <c r="N611" s="1381"/>
      <c r="O611" s="1381"/>
      <c r="P611" s="1381"/>
      <c r="Q611" s="1381"/>
      <c r="R611" s="1381"/>
      <c r="U611" t="s">
        <v>589</v>
      </c>
      <c r="Z611" s="1438"/>
      <c r="AA611" s="1438"/>
      <c r="AB611" s="1438"/>
      <c r="AC611" s="1438"/>
      <c r="AD611" s="1438"/>
      <c r="AE611" s="1438"/>
      <c r="AF611" s="1438"/>
      <c r="AG611" s="1438"/>
      <c r="AH611" s="1438"/>
      <c r="AI611" s="1438"/>
      <c r="AJ611" s="1438"/>
      <c r="AK611" s="1438"/>
      <c r="AZ611" s="3"/>
      <c r="BA611" s="3"/>
      <c r="BB611" s="3"/>
      <c r="BC611" s="3"/>
      <c r="BD611" s="3"/>
      <c r="BE611" s="1393">
        <f t="shared" si="1"/>
        <v>0</v>
      </c>
      <c r="BF611" s="1395"/>
      <c r="BG611" s="1399">
        <f t="shared" si="2"/>
        <v>0</v>
      </c>
      <c r="BH611" s="1400"/>
      <c r="BI611" s="1393">
        <f t="shared" si="3"/>
        <v>0</v>
      </c>
      <c r="BJ611" s="1395"/>
      <c r="BK611" s="1399">
        <f t="shared" si="4"/>
        <v>0</v>
      </c>
      <c r="BL611" s="1400"/>
      <c r="BM611" s="3"/>
      <c r="BN611" s="1401">
        <f t="shared" si="5"/>
        <v>0</v>
      </c>
      <c r="BO611" s="1402"/>
      <c r="BP611" s="1402"/>
      <c r="BQ611" s="1402"/>
      <c r="BR611" s="1403"/>
      <c r="BS611" s="1398">
        <f t="shared" si="6"/>
        <v>0</v>
      </c>
      <c r="BT611" s="1398"/>
      <c r="BU611" s="1398"/>
      <c r="BV611" s="1398"/>
      <c r="BW611" s="1398"/>
      <c r="BX611" s="1398">
        <f t="shared" si="7"/>
        <v>0</v>
      </c>
      <c r="BY611" s="1398"/>
      <c r="BZ611" s="1398"/>
      <c r="CA611" s="1398"/>
      <c r="CB611" s="1398"/>
      <c r="CC611" s="1398">
        <f t="shared" si="8"/>
        <v>0</v>
      </c>
      <c r="CD611" s="1398"/>
      <c r="CE611" s="1398"/>
      <c r="CF611" s="1398"/>
      <c r="CG611" s="1398"/>
      <c r="CH611" s="1398">
        <f t="shared" si="9"/>
        <v>0</v>
      </c>
      <c r="CI611" s="1398"/>
      <c r="CJ611" s="1398"/>
      <c r="CK611" s="1398"/>
      <c r="CL611" s="1398"/>
      <c r="CM611" s="1398">
        <f t="shared" si="10"/>
        <v>0</v>
      </c>
      <c r="CN611" s="1398"/>
      <c r="CO611" s="1398"/>
      <c r="CP611" s="1398"/>
      <c r="CQ611" s="1398"/>
      <c r="CR611" s="6"/>
      <c r="CS611" s="1397">
        <f t="shared" si="11"/>
        <v>0</v>
      </c>
      <c r="CT611" s="1397"/>
      <c r="CU611" s="1397"/>
      <c r="CV611" s="1397"/>
      <c r="CW611" s="1397"/>
      <c r="CX611" s="1397">
        <f t="shared" si="12"/>
        <v>0</v>
      </c>
      <c r="CY611" s="1397"/>
      <c r="CZ611" s="1397"/>
      <c r="DA611" s="1397"/>
      <c r="DB611" s="1397"/>
      <c r="DC611" s="1397">
        <f t="shared" si="13"/>
        <v>0</v>
      </c>
      <c r="DD611" s="1397"/>
      <c r="DE611" s="1397"/>
      <c r="DF611" s="1397"/>
      <c r="DG611" s="1397"/>
      <c r="DH611" s="1397">
        <f t="shared" si="14"/>
        <v>0</v>
      </c>
      <c r="DI611" s="1397"/>
      <c r="DJ611" s="1397"/>
      <c r="DK611" s="1397"/>
      <c r="DL611" s="1397"/>
      <c r="DM611" s="1397">
        <f t="shared" si="15"/>
        <v>0</v>
      </c>
      <c r="DN611" s="1397"/>
      <c r="DO611" s="1397"/>
      <c r="DP611" s="1397"/>
      <c r="DQ611" s="1397"/>
      <c r="DR611" s="1397">
        <f t="shared" si="16"/>
        <v>0</v>
      </c>
      <c r="DS611" s="1397"/>
      <c r="DT611" s="1397"/>
      <c r="DU611" s="1397"/>
      <c r="DV611" s="1397"/>
      <c r="DX611" s="1393" t="str">
        <f t="shared" si="17"/>
        <v/>
      </c>
      <c r="DY611" s="1394"/>
      <c r="DZ611" s="1394"/>
      <c r="EA611" s="1394"/>
      <c r="EB611" s="1395"/>
      <c r="EC611" s="1393" t="str">
        <f t="shared" si="18"/>
        <v/>
      </c>
      <c r="ED611" s="1394"/>
      <c r="EE611" s="1394"/>
      <c r="EF611" s="1394"/>
      <c r="EG611" s="1395"/>
      <c r="EH611" s="1393" t="str">
        <f t="shared" si="19"/>
        <v/>
      </c>
      <c r="EI611" s="1394"/>
      <c r="EJ611" s="1394"/>
      <c r="EK611" s="1394"/>
      <c r="EL611" s="1395"/>
      <c r="EM611" s="1393" t="str">
        <f t="shared" si="20"/>
        <v/>
      </c>
      <c r="EN611" s="1394"/>
      <c r="EO611" s="1394"/>
      <c r="EP611" s="1394"/>
      <c r="EQ611" s="1395"/>
      <c r="ER611" s="1393" t="str">
        <f t="shared" si="21"/>
        <v/>
      </c>
      <c r="ES611" s="1394"/>
      <c r="ET611" s="1394"/>
      <c r="EU611" s="1394"/>
      <c r="EV611" s="1395"/>
      <c r="EW611" s="1393" t="str">
        <f t="shared" si="22"/>
        <v/>
      </c>
      <c r="EX611" s="1394"/>
      <c r="EY611" s="1394"/>
      <c r="EZ611" s="1394"/>
      <c r="FA611" s="1395"/>
    </row>
    <row r="612" spans="1:157" ht="13" customHeight="1">
      <c r="B612" t="s">
        <v>17</v>
      </c>
      <c r="G612" s="1381"/>
      <c r="H612" s="1381"/>
      <c r="I612" s="1381"/>
      <c r="J612" s="1381"/>
      <c r="K612" s="1381"/>
      <c r="L612" s="1381"/>
      <c r="M612" s="1381"/>
      <c r="N612" s="1381"/>
      <c r="O612" s="1381"/>
      <c r="P612" s="1381"/>
      <c r="Q612" s="1381"/>
      <c r="R612" s="1381"/>
      <c r="U612" t="s">
        <v>17</v>
      </c>
      <c r="Z612" s="1438"/>
      <c r="AA612" s="1438"/>
      <c r="AB612" s="1438"/>
      <c r="AC612" s="1438"/>
      <c r="AD612" s="1438"/>
      <c r="AE612" s="1438"/>
      <c r="AF612" s="1438"/>
      <c r="AG612" s="1438"/>
      <c r="AH612" s="1438"/>
      <c r="AI612" s="1438"/>
      <c r="AJ612" s="1438"/>
      <c r="AK612" s="1438"/>
      <c r="AZ612" s="3"/>
      <c r="BA612" s="3"/>
      <c r="BB612" s="3"/>
      <c r="BC612" s="3"/>
      <c r="BD612" s="3"/>
      <c r="BE612" s="1393">
        <f t="shared" si="1"/>
        <v>0</v>
      </c>
      <c r="BF612" s="1395"/>
      <c r="BG612" s="1399">
        <f t="shared" si="2"/>
        <v>0</v>
      </c>
      <c r="BH612" s="1400"/>
      <c r="BI612" s="1393">
        <f t="shared" si="3"/>
        <v>0</v>
      </c>
      <c r="BJ612" s="1395"/>
      <c r="BK612" s="1399">
        <f t="shared" si="4"/>
        <v>0</v>
      </c>
      <c r="BL612" s="1400"/>
      <c r="BM612" s="3"/>
      <c r="BN612" s="1401">
        <f t="shared" si="5"/>
        <v>0</v>
      </c>
      <c r="BO612" s="1402"/>
      <c r="BP612" s="1402"/>
      <c r="BQ612" s="1402"/>
      <c r="BR612" s="1403"/>
      <c r="BS612" s="1398">
        <f t="shared" si="6"/>
        <v>0</v>
      </c>
      <c r="BT612" s="1398"/>
      <c r="BU612" s="1398"/>
      <c r="BV612" s="1398"/>
      <c r="BW612" s="1398"/>
      <c r="BX612" s="1398">
        <f t="shared" si="7"/>
        <v>0</v>
      </c>
      <c r="BY612" s="1398"/>
      <c r="BZ612" s="1398"/>
      <c r="CA612" s="1398"/>
      <c r="CB612" s="1398"/>
      <c r="CC612" s="1398">
        <f t="shared" si="8"/>
        <v>0</v>
      </c>
      <c r="CD612" s="1398"/>
      <c r="CE612" s="1398"/>
      <c r="CF612" s="1398"/>
      <c r="CG612" s="1398"/>
      <c r="CH612" s="1398">
        <f t="shared" si="9"/>
        <v>0</v>
      </c>
      <c r="CI612" s="1398"/>
      <c r="CJ612" s="1398"/>
      <c r="CK612" s="1398"/>
      <c r="CL612" s="1398"/>
      <c r="CM612" s="1398">
        <f t="shared" si="10"/>
        <v>0</v>
      </c>
      <c r="CN612" s="1398"/>
      <c r="CO612" s="1398"/>
      <c r="CP612" s="1398"/>
      <c r="CQ612" s="1398"/>
      <c r="CR612" s="6"/>
      <c r="CS612" s="1397">
        <f t="shared" si="11"/>
        <v>0</v>
      </c>
      <c r="CT612" s="1397"/>
      <c r="CU612" s="1397"/>
      <c r="CV612" s="1397"/>
      <c r="CW612" s="1397"/>
      <c r="CX612" s="1397">
        <f t="shared" si="12"/>
        <v>0</v>
      </c>
      <c r="CY612" s="1397"/>
      <c r="CZ612" s="1397"/>
      <c r="DA612" s="1397"/>
      <c r="DB612" s="1397"/>
      <c r="DC612" s="1397">
        <f t="shared" si="13"/>
        <v>0</v>
      </c>
      <c r="DD612" s="1397"/>
      <c r="DE612" s="1397"/>
      <c r="DF612" s="1397"/>
      <c r="DG612" s="1397"/>
      <c r="DH612" s="1397">
        <f t="shared" si="14"/>
        <v>0</v>
      </c>
      <c r="DI612" s="1397"/>
      <c r="DJ612" s="1397"/>
      <c r="DK612" s="1397"/>
      <c r="DL612" s="1397"/>
      <c r="DM612" s="1397">
        <f t="shared" si="15"/>
        <v>0</v>
      </c>
      <c r="DN612" s="1397"/>
      <c r="DO612" s="1397"/>
      <c r="DP612" s="1397"/>
      <c r="DQ612" s="1397"/>
      <c r="DR612" s="1397">
        <f t="shared" si="16"/>
        <v>0</v>
      </c>
      <c r="DS612" s="1397"/>
      <c r="DT612" s="1397"/>
      <c r="DU612" s="1397"/>
      <c r="DV612" s="1397"/>
      <c r="DX612" s="1393" t="str">
        <f t="shared" si="17"/>
        <v/>
      </c>
      <c r="DY612" s="1394"/>
      <c r="DZ612" s="1394"/>
      <c r="EA612" s="1394"/>
      <c r="EB612" s="1395"/>
      <c r="EC612" s="1393" t="str">
        <f t="shared" si="18"/>
        <v/>
      </c>
      <c r="ED612" s="1394"/>
      <c r="EE612" s="1394"/>
      <c r="EF612" s="1394"/>
      <c r="EG612" s="1395"/>
      <c r="EH612" s="1393" t="str">
        <f t="shared" si="19"/>
        <v/>
      </c>
      <c r="EI612" s="1394"/>
      <c r="EJ612" s="1394"/>
      <c r="EK612" s="1394"/>
      <c r="EL612" s="1395"/>
      <c r="EM612" s="1393" t="str">
        <f t="shared" si="20"/>
        <v/>
      </c>
      <c r="EN612" s="1394"/>
      <c r="EO612" s="1394"/>
      <c r="EP612" s="1394"/>
      <c r="EQ612" s="1395"/>
      <c r="ER612" s="1393" t="str">
        <f t="shared" si="21"/>
        <v/>
      </c>
      <c r="ES612" s="1394"/>
      <c r="ET612" s="1394"/>
      <c r="EU612" s="1394"/>
      <c r="EV612" s="1395"/>
      <c r="EW612" s="1393" t="str">
        <f t="shared" si="22"/>
        <v/>
      </c>
      <c r="EX612" s="1394"/>
      <c r="EY612" s="1394"/>
      <c r="EZ612" s="1394"/>
      <c r="FA612" s="1395"/>
    </row>
    <row r="613" spans="1:157" ht="13" customHeight="1">
      <c r="B613" t="s">
        <v>317</v>
      </c>
      <c r="G613" s="1493"/>
      <c r="H613" s="1493"/>
      <c r="I613" s="1493"/>
      <c r="J613" s="1493"/>
      <c r="K613" s="1493"/>
      <c r="L613" s="1493"/>
      <c r="O613" s="33" t="s">
        <v>207</v>
      </c>
      <c r="P613" s="1412"/>
      <c r="Q613" s="1412"/>
      <c r="R613" s="1412"/>
      <c r="U613" t="s">
        <v>317</v>
      </c>
      <c r="Z613" s="1493"/>
      <c r="AA613" s="1493"/>
      <c r="AB613" s="1493"/>
      <c r="AC613" s="1493"/>
      <c r="AD613" s="1493"/>
      <c r="AE613" s="1493"/>
      <c r="AH613" s="33" t="s">
        <v>207</v>
      </c>
      <c r="AI613" s="1412"/>
      <c r="AJ613" s="1412"/>
      <c r="AK613" s="1412"/>
      <c r="AZ613" s="3"/>
      <c r="BA613" s="3"/>
      <c r="BB613" s="3"/>
      <c r="BC613" s="3"/>
      <c r="BD613" s="3"/>
      <c r="BE613" s="1393">
        <f t="shared" si="1"/>
        <v>0</v>
      </c>
      <c r="BF613" s="1395"/>
      <c r="BG613" s="1399">
        <f t="shared" si="2"/>
        <v>0</v>
      </c>
      <c r="BH613" s="1400"/>
      <c r="BI613" s="1393">
        <f t="shared" si="3"/>
        <v>0</v>
      </c>
      <c r="BJ613" s="1395"/>
      <c r="BK613" s="1399">
        <f t="shared" si="4"/>
        <v>0</v>
      </c>
      <c r="BL613" s="1400"/>
      <c r="BM613" s="3"/>
      <c r="BN613" s="1401">
        <f t="shared" si="5"/>
        <v>0</v>
      </c>
      <c r="BO613" s="1402"/>
      <c r="BP613" s="1402"/>
      <c r="BQ613" s="1402"/>
      <c r="BR613" s="1403"/>
      <c r="BS613" s="1398">
        <f t="shared" si="6"/>
        <v>0</v>
      </c>
      <c r="BT613" s="1398"/>
      <c r="BU613" s="1398"/>
      <c r="BV613" s="1398"/>
      <c r="BW613" s="1398"/>
      <c r="BX613" s="1398">
        <f t="shared" si="7"/>
        <v>0</v>
      </c>
      <c r="BY613" s="1398"/>
      <c r="BZ613" s="1398"/>
      <c r="CA613" s="1398"/>
      <c r="CB613" s="1398"/>
      <c r="CC613" s="1398">
        <f t="shared" si="8"/>
        <v>0</v>
      </c>
      <c r="CD613" s="1398"/>
      <c r="CE613" s="1398"/>
      <c r="CF613" s="1398"/>
      <c r="CG613" s="1398"/>
      <c r="CH613" s="1398">
        <f t="shared" si="9"/>
        <v>0</v>
      </c>
      <c r="CI613" s="1398"/>
      <c r="CJ613" s="1398"/>
      <c r="CK613" s="1398"/>
      <c r="CL613" s="1398"/>
      <c r="CM613" s="1398">
        <f t="shared" si="10"/>
        <v>0</v>
      </c>
      <c r="CN613" s="1398"/>
      <c r="CO613" s="1398"/>
      <c r="CP613" s="1398"/>
      <c r="CQ613" s="1398"/>
      <c r="CR613" s="6"/>
      <c r="CS613" s="1397">
        <f t="shared" si="11"/>
        <v>0</v>
      </c>
      <c r="CT613" s="1397"/>
      <c r="CU613" s="1397"/>
      <c r="CV613" s="1397"/>
      <c r="CW613" s="1397"/>
      <c r="CX613" s="1397">
        <f t="shared" si="12"/>
        <v>0</v>
      </c>
      <c r="CY613" s="1397"/>
      <c r="CZ613" s="1397"/>
      <c r="DA613" s="1397"/>
      <c r="DB613" s="1397"/>
      <c r="DC613" s="1397">
        <f t="shared" si="13"/>
        <v>0</v>
      </c>
      <c r="DD613" s="1397"/>
      <c r="DE613" s="1397"/>
      <c r="DF613" s="1397"/>
      <c r="DG613" s="1397"/>
      <c r="DH613" s="1397">
        <f t="shared" si="14"/>
        <v>0</v>
      </c>
      <c r="DI613" s="1397"/>
      <c r="DJ613" s="1397"/>
      <c r="DK613" s="1397"/>
      <c r="DL613" s="1397"/>
      <c r="DM613" s="1397">
        <f t="shared" si="15"/>
        <v>0</v>
      </c>
      <c r="DN613" s="1397"/>
      <c r="DO613" s="1397"/>
      <c r="DP613" s="1397"/>
      <c r="DQ613" s="1397"/>
      <c r="DR613" s="1397">
        <f t="shared" si="16"/>
        <v>0</v>
      </c>
      <c r="DS613" s="1397"/>
      <c r="DT613" s="1397"/>
      <c r="DU613" s="1397"/>
      <c r="DV613" s="1397"/>
      <c r="DX613" s="1393" t="str">
        <f t="shared" si="17"/>
        <v/>
      </c>
      <c r="DY613" s="1394"/>
      <c r="DZ613" s="1394"/>
      <c r="EA613" s="1394"/>
      <c r="EB613" s="1395"/>
      <c r="EC613" s="1393" t="str">
        <f t="shared" si="18"/>
        <v/>
      </c>
      <c r="ED613" s="1394"/>
      <c r="EE613" s="1394"/>
      <c r="EF613" s="1394"/>
      <c r="EG613" s="1395"/>
      <c r="EH613" s="1393" t="str">
        <f t="shared" si="19"/>
        <v/>
      </c>
      <c r="EI613" s="1394"/>
      <c r="EJ613" s="1394"/>
      <c r="EK613" s="1394"/>
      <c r="EL613" s="1395"/>
      <c r="EM613" s="1393" t="str">
        <f t="shared" si="20"/>
        <v/>
      </c>
      <c r="EN613" s="1394"/>
      <c r="EO613" s="1394"/>
      <c r="EP613" s="1394"/>
      <c r="EQ613" s="1395"/>
      <c r="ER613" s="1393" t="str">
        <f t="shared" si="21"/>
        <v/>
      </c>
      <c r="ES613" s="1394"/>
      <c r="ET613" s="1394"/>
      <c r="EU613" s="1394"/>
      <c r="EV613" s="1395"/>
      <c r="EW613" s="1393" t="str">
        <f t="shared" si="22"/>
        <v/>
      </c>
      <c r="EX613" s="1394"/>
      <c r="EY613" s="1394"/>
      <c r="EZ613" s="1394"/>
      <c r="FA613" s="1395"/>
    </row>
    <row r="614" spans="1:157" ht="13" customHeight="1">
      <c r="B614" t="s">
        <v>18</v>
      </c>
      <c r="H614" s="1381"/>
      <c r="I614" s="1381"/>
      <c r="J614" s="1381"/>
      <c r="K614" s="1381"/>
      <c r="L614" s="1381"/>
      <c r="M614" s="1381"/>
      <c r="N614" s="1381"/>
      <c r="O614" s="1381"/>
      <c r="P614" s="1381"/>
      <c r="Q614" s="1381"/>
      <c r="R614" s="1381"/>
      <c r="U614" t="s">
        <v>18</v>
      </c>
      <c r="AA614" s="1381"/>
      <c r="AB614" s="1381"/>
      <c r="AC614" s="1381"/>
      <c r="AD614" s="1381"/>
      <c r="AE614" s="1381"/>
      <c r="AF614" s="1381"/>
      <c r="AG614" s="1381"/>
      <c r="AH614" s="1381"/>
      <c r="AI614" s="1381"/>
      <c r="AJ614" s="1381"/>
      <c r="AK614" s="1381"/>
      <c r="AU614" s="934"/>
      <c r="AV614" s="934"/>
      <c r="AW614" s="934"/>
      <c r="AX614" s="934"/>
      <c r="AY614" s="934"/>
      <c r="AZ614" s="3"/>
      <c r="BA614" s="3"/>
      <c r="BB614" s="3"/>
      <c r="BC614" s="3"/>
      <c r="BD614" s="3"/>
      <c r="BE614" s="1393">
        <f t="shared" si="1"/>
        <v>0</v>
      </c>
      <c r="BF614" s="1395"/>
      <c r="BG614" s="1399">
        <f t="shared" si="2"/>
        <v>0</v>
      </c>
      <c r="BH614" s="1400"/>
      <c r="BI614" s="1393">
        <f t="shared" si="3"/>
        <v>0</v>
      </c>
      <c r="BJ614" s="1395"/>
      <c r="BK614" s="1399">
        <f t="shared" si="4"/>
        <v>0</v>
      </c>
      <c r="BL614" s="1400"/>
      <c r="BM614" s="3"/>
      <c r="BN614" s="1401">
        <f t="shared" si="5"/>
        <v>0</v>
      </c>
      <c r="BO614" s="1402"/>
      <c r="BP614" s="1402"/>
      <c r="BQ614" s="1402"/>
      <c r="BR614" s="1403"/>
      <c r="BS614" s="1398">
        <f t="shared" si="6"/>
        <v>0</v>
      </c>
      <c r="BT614" s="1398"/>
      <c r="BU614" s="1398"/>
      <c r="BV614" s="1398"/>
      <c r="BW614" s="1398"/>
      <c r="BX614" s="1398">
        <f t="shared" si="7"/>
        <v>0</v>
      </c>
      <c r="BY614" s="1398"/>
      <c r="BZ614" s="1398"/>
      <c r="CA614" s="1398"/>
      <c r="CB614" s="1398"/>
      <c r="CC614" s="1398">
        <f t="shared" si="8"/>
        <v>0</v>
      </c>
      <c r="CD614" s="1398"/>
      <c r="CE614" s="1398"/>
      <c r="CF614" s="1398"/>
      <c r="CG614" s="1398"/>
      <c r="CH614" s="1398">
        <f t="shared" si="9"/>
        <v>0</v>
      </c>
      <c r="CI614" s="1398"/>
      <c r="CJ614" s="1398"/>
      <c r="CK614" s="1398"/>
      <c r="CL614" s="1398"/>
      <c r="CM614" s="1398">
        <f t="shared" si="10"/>
        <v>0</v>
      </c>
      <c r="CN614" s="1398"/>
      <c r="CO614" s="1398"/>
      <c r="CP614" s="1398"/>
      <c r="CQ614" s="1398"/>
      <c r="CR614" s="6"/>
      <c r="CS614" s="1397">
        <f t="shared" si="11"/>
        <v>0</v>
      </c>
      <c r="CT614" s="1397"/>
      <c r="CU614" s="1397"/>
      <c r="CV614" s="1397"/>
      <c r="CW614" s="1397"/>
      <c r="CX614" s="1397">
        <f t="shared" si="12"/>
        <v>0</v>
      </c>
      <c r="CY614" s="1397"/>
      <c r="CZ614" s="1397"/>
      <c r="DA614" s="1397"/>
      <c r="DB614" s="1397"/>
      <c r="DC614" s="1397">
        <f t="shared" si="13"/>
        <v>0</v>
      </c>
      <c r="DD614" s="1397"/>
      <c r="DE614" s="1397"/>
      <c r="DF614" s="1397"/>
      <c r="DG614" s="1397"/>
      <c r="DH614" s="1397">
        <f t="shared" si="14"/>
        <v>0</v>
      </c>
      <c r="DI614" s="1397"/>
      <c r="DJ614" s="1397"/>
      <c r="DK614" s="1397"/>
      <c r="DL614" s="1397"/>
      <c r="DM614" s="1397">
        <f t="shared" si="15"/>
        <v>0</v>
      </c>
      <c r="DN614" s="1397"/>
      <c r="DO614" s="1397"/>
      <c r="DP614" s="1397"/>
      <c r="DQ614" s="1397"/>
      <c r="DR614" s="1397">
        <f t="shared" si="16"/>
        <v>0</v>
      </c>
      <c r="DS614" s="1397"/>
      <c r="DT614" s="1397"/>
      <c r="DU614" s="1397"/>
      <c r="DV614" s="1397"/>
      <c r="DX614" s="1393" t="str">
        <f t="shared" si="17"/>
        <v/>
      </c>
      <c r="DY614" s="1394"/>
      <c r="DZ614" s="1394"/>
      <c r="EA614" s="1394"/>
      <c r="EB614" s="1395"/>
      <c r="EC614" s="1393" t="str">
        <f t="shared" si="18"/>
        <v/>
      </c>
      <c r="ED614" s="1394"/>
      <c r="EE614" s="1394"/>
      <c r="EF614" s="1394"/>
      <c r="EG614" s="1395"/>
      <c r="EH614" s="1393" t="str">
        <f t="shared" si="19"/>
        <v/>
      </c>
      <c r="EI614" s="1394"/>
      <c r="EJ614" s="1394"/>
      <c r="EK614" s="1394"/>
      <c r="EL614" s="1395"/>
      <c r="EM614" s="1393" t="str">
        <f t="shared" si="20"/>
        <v/>
      </c>
      <c r="EN614" s="1394"/>
      <c r="EO614" s="1394"/>
      <c r="EP614" s="1394"/>
      <c r="EQ614" s="1395"/>
      <c r="ER614" s="1393" t="str">
        <f t="shared" si="21"/>
        <v/>
      </c>
      <c r="ES614" s="1394"/>
      <c r="ET614" s="1394"/>
      <c r="EU614" s="1394"/>
      <c r="EV614" s="1395"/>
      <c r="EW614" s="1393" t="str">
        <f t="shared" si="22"/>
        <v/>
      </c>
      <c r="EX614" s="1394"/>
      <c r="EY614" s="1394"/>
      <c r="EZ614" s="1394"/>
      <c r="FA614" s="1395"/>
    </row>
    <row r="615" spans="1:157" ht="13" customHeight="1">
      <c r="B615" t="s">
        <v>20</v>
      </c>
      <c r="N615" s="1383" t="s">
        <v>678</v>
      </c>
      <c r="O615" s="1383"/>
      <c r="U615" t="s">
        <v>20</v>
      </c>
      <c r="AG615" s="1383" t="s">
        <v>678</v>
      </c>
      <c r="AH615" s="1383"/>
      <c r="AU615" s="934"/>
      <c r="AV615" s="934"/>
      <c r="AW615" s="934"/>
      <c r="AX615" s="934"/>
      <c r="AY615" s="934"/>
      <c r="AZ615" s="3"/>
      <c r="BA615" s="3"/>
      <c r="BB615" s="3"/>
      <c r="BC615" s="3"/>
      <c r="BD615" s="3"/>
      <c r="BE615" s="1393">
        <f t="shared" si="1"/>
        <v>0</v>
      </c>
      <c r="BF615" s="1395"/>
      <c r="BG615" s="1399">
        <f t="shared" si="2"/>
        <v>0</v>
      </c>
      <c r="BH615" s="1400"/>
      <c r="BI615" s="1393">
        <f t="shared" si="3"/>
        <v>0</v>
      </c>
      <c r="BJ615" s="1395"/>
      <c r="BK615" s="1399">
        <f t="shared" si="4"/>
        <v>0</v>
      </c>
      <c r="BL615" s="1400"/>
      <c r="BM615" s="3"/>
      <c r="BN615" s="1401">
        <f t="shared" si="5"/>
        <v>0</v>
      </c>
      <c r="BO615" s="1402"/>
      <c r="BP615" s="1402"/>
      <c r="BQ615" s="1402"/>
      <c r="BR615" s="1403"/>
      <c r="BS615" s="1398">
        <f t="shared" si="6"/>
        <v>0</v>
      </c>
      <c r="BT615" s="1398"/>
      <c r="BU615" s="1398"/>
      <c r="BV615" s="1398"/>
      <c r="BW615" s="1398"/>
      <c r="BX615" s="1398">
        <f t="shared" si="7"/>
        <v>0</v>
      </c>
      <c r="BY615" s="1398"/>
      <c r="BZ615" s="1398"/>
      <c r="CA615" s="1398"/>
      <c r="CB615" s="1398"/>
      <c r="CC615" s="1398">
        <f t="shared" si="8"/>
        <v>0</v>
      </c>
      <c r="CD615" s="1398"/>
      <c r="CE615" s="1398"/>
      <c r="CF615" s="1398"/>
      <c r="CG615" s="1398"/>
      <c r="CH615" s="1398">
        <f t="shared" si="9"/>
        <v>0</v>
      </c>
      <c r="CI615" s="1398"/>
      <c r="CJ615" s="1398"/>
      <c r="CK615" s="1398"/>
      <c r="CL615" s="1398"/>
      <c r="CM615" s="1398">
        <f t="shared" si="10"/>
        <v>0</v>
      </c>
      <c r="CN615" s="1398"/>
      <c r="CO615" s="1398"/>
      <c r="CP615" s="1398"/>
      <c r="CQ615" s="1398"/>
      <c r="CR615" s="6"/>
      <c r="CS615" s="1397">
        <f t="shared" si="11"/>
        <v>0</v>
      </c>
      <c r="CT615" s="1397"/>
      <c r="CU615" s="1397"/>
      <c r="CV615" s="1397"/>
      <c r="CW615" s="1397"/>
      <c r="CX615" s="1397">
        <f t="shared" si="12"/>
        <v>0</v>
      </c>
      <c r="CY615" s="1397"/>
      <c r="CZ615" s="1397"/>
      <c r="DA615" s="1397"/>
      <c r="DB615" s="1397"/>
      <c r="DC615" s="1397">
        <f t="shared" si="13"/>
        <v>0</v>
      </c>
      <c r="DD615" s="1397"/>
      <c r="DE615" s="1397"/>
      <c r="DF615" s="1397"/>
      <c r="DG615" s="1397"/>
      <c r="DH615" s="1397">
        <f t="shared" si="14"/>
        <v>0</v>
      </c>
      <c r="DI615" s="1397"/>
      <c r="DJ615" s="1397"/>
      <c r="DK615" s="1397"/>
      <c r="DL615" s="1397"/>
      <c r="DM615" s="1397">
        <f t="shared" si="15"/>
        <v>0</v>
      </c>
      <c r="DN615" s="1397"/>
      <c r="DO615" s="1397"/>
      <c r="DP615" s="1397"/>
      <c r="DQ615" s="1397"/>
      <c r="DR615" s="1397">
        <f t="shared" si="16"/>
        <v>0</v>
      </c>
      <c r="DS615" s="1397"/>
      <c r="DT615" s="1397"/>
      <c r="DU615" s="1397"/>
      <c r="DV615" s="1397"/>
      <c r="DX615" s="1393" t="str">
        <f t="shared" si="17"/>
        <v/>
      </c>
      <c r="DY615" s="1394"/>
      <c r="DZ615" s="1394"/>
      <c r="EA615" s="1394"/>
      <c r="EB615" s="1395"/>
      <c r="EC615" s="1393" t="str">
        <f t="shared" si="18"/>
        <v/>
      </c>
      <c r="ED615" s="1394"/>
      <c r="EE615" s="1394"/>
      <c r="EF615" s="1394"/>
      <c r="EG615" s="1395"/>
      <c r="EH615" s="1393" t="str">
        <f t="shared" si="19"/>
        <v/>
      </c>
      <c r="EI615" s="1394"/>
      <c r="EJ615" s="1394"/>
      <c r="EK615" s="1394"/>
      <c r="EL615" s="1395"/>
      <c r="EM615" s="1393" t="str">
        <f t="shared" si="20"/>
        <v/>
      </c>
      <c r="EN615" s="1394"/>
      <c r="EO615" s="1394"/>
      <c r="EP615" s="1394"/>
      <c r="EQ615" s="1395"/>
      <c r="ER615" s="1393" t="str">
        <f t="shared" si="21"/>
        <v/>
      </c>
      <c r="ES615" s="1394"/>
      <c r="ET615" s="1394"/>
      <c r="EU615" s="1394"/>
      <c r="EV615" s="1395"/>
      <c r="EW615" s="1393" t="str">
        <f t="shared" si="22"/>
        <v/>
      </c>
      <c r="EX615" s="1394"/>
      <c r="EY615" s="1394"/>
      <c r="EZ615" s="1394"/>
      <c r="FA615" s="1395"/>
    </row>
    <row r="616" spans="1:157" ht="13" customHeight="1">
      <c r="AZ616" s="3"/>
      <c r="BA616" s="3"/>
      <c r="BB616" s="3"/>
      <c r="BC616" s="3"/>
      <c r="BD616" s="3"/>
      <c r="BE616" s="1393">
        <f t="shared" si="1"/>
        <v>0</v>
      </c>
      <c r="BF616" s="1395"/>
      <c r="BG616" s="1399">
        <f t="shared" si="2"/>
        <v>0</v>
      </c>
      <c r="BH616" s="1400"/>
      <c r="BI616" s="1393">
        <f t="shared" si="3"/>
        <v>0</v>
      </c>
      <c r="BJ616" s="1395"/>
      <c r="BK616" s="1399">
        <f t="shared" si="4"/>
        <v>0</v>
      </c>
      <c r="BL616" s="1400"/>
      <c r="BM616" s="3"/>
      <c r="BN616" s="1401">
        <f t="shared" si="5"/>
        <v>0</v>
      </c>
      <c r="BO616" s="1402"/>
      <c r="BP616" s="1402"/>
      <c r="BQ616" s="1402"/>
      <c r="BR616" s="1403"/>
      <c r="BS616" s="1398">
        <f t="shared" si="6"/>
        <v>0</v>
      </c>
      <c r="BT616" s="1398"/>
      <c r="BU616" s="1398"/>
      <c r="BV616" s="1398"/>
      <c r="BW616" s="1398"/>
      <c r="BX616" s="1398">
        <f t="shared" si="7"/>
        <v>0</v>
      </c>
      <c r="BY616" s="1398"/>
      <c r="BZ616" s="1398"/>
      <c r="CA616" s="1398"/>
      <c r="CB616" s="1398"/>
      <c r="CC616" s="1398">
        <f t="shared" si="8"/>
        <v>0</v>
      </c>
      <c r="CD616" s="1398"/>
      <c r="CE616" s="1398"/>
      <c r="CF616" s="1398"/>
      <c r="CG616" s="1398"/>
      <c r="CH616" s="1398">
        <f t="shared" si="9"/>
        <v>0</v>
      </c>
      <c r="CI616" s="1398"/>
      <c r="CJ616" s="1398"/>
      <c r="CK616" s="1398"/>
      <c r="CL616" s="1398"/>
      <c r="CM616" s="1398">
        <f t="shared" si="10"/>
        <v>0</v>
      </c>
      <c r="CN616" s="1398"/>
      <c r="CO616" s="1398"/>
      <c r="CP616" s="1398"/>
      <c r="CQ616" s="1398"/>
      <c r="CR616" s="6"/>
      <c r="CS616" s="1397">
        <f t="shared" si="11"/>
        <v>0</v>
      </c>
      <c r="CT616" s="1397"/>
      <c r="CU616" s="1397"/>
      <c r="CV616" s="1397"/>
      <c r="CW616" s="1397"/>
      <c r="CX616" s="1397">
        <f t="shared" si="12"/>
        <v>0</v>
      </c>
      <c r="CY616" s="1397"/>
      <c r="CZ616" s="1397"/>
      <c r="DA616" s="1397"/>
      <c r="DB616" s="1397"/>
      <c r="DC616" s="1397">
        <f t="shared" si="13"/>
        <v>0</v>
      </c>
      <c r="DD616" s="1397"/>
      <c r="DE616" s="1397"/>
      <c r="DF616" s="1397"/>
      <c r="DG616" s="1397"/>
      <c r="DH616" s="1397">
        <f t="shared" si="14"/>
        <v>0</v>
      </c>
      <c r="DI616" s="1397"/>
      <c r="DJ616" s="1397"/>
      <c r="DK616" s="1397"/>
      <c r="DL616" s="1397"/>
      <c r="DM616" s="1397">
        <f t="shared" si="15"/>
        <v>0</v>
      </c>
      <c r="DN616" s="1397"/>
      <c r="DO616" s="1397"/>
      <c r="DP616" s="1397"/>
      <c r="DQ616" s="1397"/>
      <c r="DR616" s="1397">
        <f t="shared" si="16"/>
        <v>0</v>
      </c>
      <c r="DS616" s="1397"/>
      <c r="DT616" s="1397"/>
      <c r="DU616" s="1397"/>
      <c r="DV616" s="1397"/>
      <c r="DX616" s="1393" t="str">
        <f t="shared" si="17"/>
        <v/>
      </c>
      <c r="DY616" s="1394"/>
      <c r="DZ616" s="1394"/>
      <c r="EA616" s="1394"/>
      <c r="EB616" s="1395"/>
      <c r="EC616" s="1393" t="str">
        <f t="shared" si="18"/>
        <v/>
      </c>
      <c r="ED616" s="1394"/>
      <c r="EE616" s="1394"/>
      <c r="EF616" s="1394"/>
      <c r="EG616" s="1395"/>
      <c r="EH616" s="1393" t="str">
        <f t="shared" si="19"/>
        <v/>
      </c>
      <c r="EI616" s="1394"/>
      <c r="EJ616" s="1394"/>
      <c r="EK616" s="1394"/>
      <c r="EL616" s="1395"/>
      <c r="EM616" s="1393" t="str">
        <f t="shared" si="20"/>
        <v/>
      </c>
      <c r="EN616" s="1394"/>
      <c r="EO616" s="1394"/>
      <c r="EP616" s="1394"/>
      <c r="EQ616" s="1395"/>
      <c r="ER616" s="1393" t="str">
        <f t="shared" si="21"/>
        <v/>
      </c>
      <c r="ES616" s="1394"/>
      <c r="ET616" s="1394"/>
      <c r="EU616" s="1394"/>
      <c r="EV616" s="1395"/>
      <c r="EW616" s="1393" t="str">
        <f t="shared" si="22"/>
        <v/>
      </c>
      <c r="EX616" s="1394"/>
      <c r="EY616" s="1394"/>
      <c r="EZ616" s="1394"/>
      <c r="FA616" s="1395"/>
    </row>
    <row r="617" spans="1:157" ht="13"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93">
        <f t="shared" si="1"/>
        <v>0</v>
      </c>
      <c r="BF617" s="1395"/>
      <c r="BG617" s="1399">
        <f t="shared" si="2"/>
        <v>0</v>
      </c>
      <c r="BH617" s="1400"/>
      <c r="BI617" s="1393">
        <f t="shared" si="3"/>
        <v>0</v>
      </c>
      <c r="BJ617" s="1395"/>
      <c r="BK617" s="1399">
        <f t="shared" si="4"/>
        <v>0</v>
      </c>
      <c r="BL617" s="1400"/>
      <c r="BM617" s="3"/>
      <c r="BN617" s="1401">
        <f t="shared" si="5"/>
        <v>0</v>
      </c>
      <c r="BO617" s="1402"/>
      <c r="BP617" s="1402"/>
      <c r="BQ617" s="1402"/>
      <c r="BR617" s="1403"/>
      <c r="BS617" s="1398">
        <f t="shared" si="6"/>
        <v>0</v>
      </c>
      <c r="BT617" s="1398"/>
      <c r="BU617" s="1398"/>
      <c r="BV617" s="1398"/>
      <c r="BW617" s="1398"/>
      <c r="BX617" s="1398">
        <f t="shared" si="7"/>
        <v>0</v>
      </c>
      <c r="BY617" s="1398"/>
      <c r="BZ617" s="1398"/>
      <c r="CA617" s="1398"/>
      <c r="CB617" s="1398"/>
      <c r="CC617" s="1398">
        <f t="shared" si="8"/>
        <v>0</v>
      </c>
      <c r="CD617" s="1398"/>
      <c r="CE617" s="1398"/>
      <c r="CF617" s="1398"/>
      <c r="CG617" s="1398"/>
      <c r="CH617" s="1398">
        <f t="shared" si="9"/>
        <v>0</v>
      </c>
      <c r="CI617" s="1398"/>
      <c r="CJ617" s="1398"/>
      <c r="CK617" s="1398"/>
      <c r="CL617" s="1398"/>
      <c r="CM617" s="1398">
        <f t="shared" si="10"/>
        <v>0</v>
      </c>
      <c r="CN617" s="1398"/>
      <c r="CO617" s="1398"/>
      <c r="CP617" s="1398"/>
      <c r="CQ617" s="1398"/>
      <c r="CR617" s="6"/>
      <c r="CS617" s="1397">
        <f t="shared" si="11"/>
        <v>0</v>
      </c>
      <c r="CT617" s="1397"/>
      <c r="CU617" s="1397"/>
      <c r="CV617" s="1397"/>
      <c r="CW617" s="1397"/>
      <c r="CX617" s="1397">
        <f t="shared" si="12"/>
        <v>0</v>
      </c>
      <c r="CY617" s="1397"/>
      <c r="CZ617" s="1397"/>
      <c r="DA617" s="1397"/>
      <c r="DB617" s="1397"/>
      <c r="DC617" s="1397">
        <f t="shared" si="13"/>
        <v>0</v>
      </c>
      <c r="DD617" s="1397"/>
      <c r="DE617" s="1397"/>
      <c r="DF617" s="1397"/>
      <c r="DG617" s="1397"/>
      <c r="DH617" s="1397">
        <f t="shared" si="14"/>
        <v>0</v>
      </c>
      <c r="DI617" s="1397"/>
      <c r="DJ617" s="1397"/>
      <c r="DK617" s="1397"/>
      <c r="DL617" s="1397"/>
      <c r="DM617" s="1397">
        <f t="shared" si="15"/>
        <v>0</v>
      </c>
      <c r="DN617" s="1397"/>
      <c r="DO617" s="1397"/>
      <c r="DP617" s="1397"/>
      <c r="DQ617" s="1397"/>
      <c r="DR617" s="1397">
        <f t="shared" si="16"/>
        <v>0</v>
      </c>
      <c r="DS617" s="1397"/>
      <c r="DT617" s="1397"/>
      <c r="DU617" s="1397"/>
      <c r="DV617" s="1397"/>
      <c r="DX617" s="1393" t="str">
        <f t="shared" si="17"/>
        <v/>
      </c>
      <c r="DY617" s="1394"/>
      <c r="DZ617" s="1394"/>
      <c r="EA617" s="1394"/>
      <c r="EB617" s="1395"/>
      <c r="EC617" s="1393" t="str">
        <f t="shared" si="18"/>
        <v/>
      </c>
      <c r="ED617" s="1394"/>
      <c r="EE617" s="1394"/>
      <c r="EF617" s="1394"/>
      <c r="EG617" s="1395"/>
      <c r="EH617" s="1393" t="str">
        <f t="shared" si="19"/>
        <v/>
      </c>
      <c r="EI617" s="1394"/>
      <c r="EJ617" s="1394"/>
      <c r="EK617" s="1394"/>
      <c r="EL617" s="1395"/>
      <c r="EM617" s="1393" t="str">
        <f t="shared" si="20"/>
        <v/>
      </c>
      <c r="EN617" s="1394"/>
      <c r="EO617" s="1394"/>
      <c r="EP617" s="1394"/>
      <c r="EQ617" s="1395"/>
      <c r="ER617" s="1393" t="str">
        <f t="shared" si="21"/>
        <v/>
      </c>
      <c r="ES617" s="1394"/>
      <c r="ET617" s="1394"/>
      <c r="EU617" s="1394"/>
      <c r="EV617" s="1395"/>
      <c r="EW617" s="1393" t="str">
        <f t="shared" si="22"/>
        <v/>
      </c>
      <c r="EX617" s="1394"/>
      <c r="EY617" s="1394"/>
      <c r="EZ617" s="1394"/>
      <c r="FA617" s="1395"/>
    </row>
    <row r="618" spans="1:157" ht="13"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93">
        <f t="shared" si="1"/>
        <v>0</v>
      </c>
      <c r="BF618" s="1395"/>
      <c r="BG618" s="1399">
        <f t="shared" si="2"/>
        <v>0</v>
      </c>
      <c r="BH618" s="1400"/>
      <c r="BI618" s="1393">
        <f t="shared" si="3"/>
        <v>0</v>
      </c>
      <c r="BJ618" s="1395"/>
      <c r="BK618" s="1399">
        <f t="shared" si="4"/>
        <v>0</v>
      </c>
      <c r="BL618" s="1400"/>
      <c r="BM618" s="3"/>
      <c r="BN618" s="1401">
        <f t="shared" si="5"/>
        <v>0</v>
      </c>
      <c r="BO618" s="1402"/>
      <c r="BP618" s="1402"/>
      <c r="BQ618" s="1402"/>
      <c r="BR618" s="1403"/>
      <c r="BS618" s="1398">
        <f t="shared" si="6"/>
        <v>0</v>
      </c>
      <c r="BT618" s="1398"/>
      <c r="BU618" s="1398"/>
      <c r="BV618" s="1398"/>
      <c r="BW618" s="1398"/>
      <c r="BX618" s="1398">
        <f t="shared" si="7"/>
        <v>0</v>
      </c>
      <c r="BY618" s="1398"/>
      <c r="BZ618" s="1398"/>
      <c r="CA618" s="1398"/>
      <c r="CB618" s="1398"/>
      <c r="CC618" s="1398">
        <f t="shared" si="8"/>
        <v>0</v>
      </c>
      <c r="CD618" s="1398"/>
      <c r="CE618" s="1398"/>
      <c r="CF618" s="1398"/>
      <c r="CG618" s="1398"/>
      <c r="CH618" s="1398">
        <f t="shared" si="9"/>
        <v>0</v>
      </c>
      <c r="CI618" s="1398"/>
      <c r="CJ618" s="1398"/>
      <c r="CK618" s="1398"/>
      <c r="CL618" s="1398"/>
      <c r="CM618" s="1398">
        <f t="shared" si="10"/>
        <v>0</v>
      </c>
      <c r="CN618" s="1398"/>
      <c r="CO618" s="1398"/>
      <c r="CP618" s="1398"/>
      <c r="CQ618" s="1398"/>
      <c r="CR618" s="6"/>
      <c r="CS618" s="1397">
        <f t="shared" si="11"/>
        <v>0</v>
      </c>
      <c r="CT618" s="1397"/>
      <c r="CU618" s="1397"/>
      <c r="CV618" s="1397"/>
      <c r="CW618" s="1397"/>
      <c r="CX618" s="1397">
        <f t="shared" si="12"/>
        <v>0</v>
      </c>
      <c r="CY618" s="1397"/>
      <c r="CZ618" s="1397"/>
      <c r="DA618" s="1397"/>
      <c r="DB618" s="1397"/>
      <c r="DC618" s="1397">
        <f t="shared" si="13"/>
        <v>0</v>
      </c>
      <c r="DD618" s="1397"/>
      <c r="DE618" s="1397"/>
      <c r="DF618" s="1397"/>
      <c r="DG618" s="1397"/>
      <c r="DH618" s="1397">
        <f t="shared" si="14"/>
        <v>0</v>
      </c>
      <c r="DI618" s="1397"/>
      <c r="DJ618" s="1397"/>
      <c r="DK618" s="1397"/>
      <c r="DL618" s="1397"/>
      <c r="DM618" s="1397">
        <f t="shared" si="15"/>
        <v>0</v>
      </c>
      <c r="DN618" s="1397"/>
      <c r="DO618" s="1397"/>
      <c r="DP618" s="1397"/>
      <c r="DQ618" s="1397"/>
      <c r="DR618" s="1397">
        <f t="shared" si="16"/>
        <v>0</v>
      </c>
      <c r="DS618" s="1397"/>
      <c r="DT618" s="1397"/>
      <c r="DU618" s="1397"/>
      <c r="DV618" s="1397"/>
      <c r="DX618" s="1393" t="str">
        <f t="shared" si="17"/>
        <v/>
      </c>
      <c r="DY618" s="1394"/>
      <c r="DZ618" s="1394"/>
      <c r="EA618" s="1394"/>
      <c r="EB618" s="1395"/>
      <c r="EC618" s="1393" t="str">
        <f t="shared" si="18"/>
        <v/>
      </c>
      <c r="ED618" s="1394"/>
      <c r="EE618" s="1394"/>
      <c r="EF618" s="1394"/>
      <c r="EG618" s="1395"/>
      <c r="EH618" s="1393" t="str">
        <f t="shared" si="19"/>
        <v/>
      </c>
      <c r="EI618" s="1394"/>
      <c r="EJ618" s="1394"/>
      <c r="EK618" s="1394"/>
      <c r="EL618" s="1395"/>
      <c r="EM618" s="1393" t="str">
        <f t="shared" si="20"/>
        <v/>
      </c>
      <c r="EN618" s="1394"/>
      <c r="EO618" s="1394"/>
      <c r="EP618" s="1394"/>
      <c r="EQ618" s="1395"/>
      <c r="ER618" s="1393" t="str">
        <f t="shared" si="21"/>
        <v/>
      </c>
      <c r="ES618" s="1394"/>
      <c r="ET618" s="1394"/>
      <c r="EU618" s="1394"/>
      <c r="EV618" s="1395"/>
      <c r="EW618" s="1393" t="str">
        <f t="shared" si="22"/>
        <v/>
      </c>
      <c r="EX618" s="1394"/>
      <c r="EY618" s="1394"/>
      <c r="EZ618" s="1394"/>
      <c r="FA618" s="1395"/>
    </row>
    <row r="619" spans="1:157" ht="13" customHeight="1">
      <c r="AZ619" s="3"/>
      <c r="BA619" s="3"/>
      <c r="BB619" s="3"/>
      <c r="BC619" s="3"/>
      <c r="BD619" s="3"/>
      <c r="BE619" s="1393">
        <f t="shared" si="1"/>
        <v>0</v>
      </c>
      <c r="BF619" s="1395"/>
      <c r="BG619" s="1399">
        <f t="shared" si="2"/>
        <v>0</v>
      </c>
      <c r="BH619" s="1400"/>
      <c r="BI619" s="1393">
        <f t="shared" si="3"/>
        <v>0</v>
      </c>
      <c r="BJ619" s="1395"/>
      <c r="BK619" s="1399">
        <f t="shared" si="4"/>
        <v>0</v>
      </c>
      <c r="BL619" s="1400"/>
      <c r="BM619" s="3"/>
      <c r="BN619" s="1401">
        <f t="shared" si="5"/>
        <v>0</v>
      </c>
      <c r="BO619" s="1402"/>
      <c r="BP619" s="1402"/>
      <c r="BQ619" s="1402"/>
      <c r="BR619" s="1403"/>
      <c r="BS619" s="1398">
        <f t="shared" si="6"/>
        <v>0</v>
      </c>
      <c r="BT619" s="1398"/>
      <c r="BU619" s="1398"/>
      <c r="BV619" s="1398"/>
      <c r="BW619" s="1398"/>
      <c r="BX619" s="1398">
        <f t="shared" si="7"/>
        <v>0</v>
      </c>
      <c r="BY619" s="1398"/>
      <c r="BZ619" s="1398"/>
      <c r="CA619" s="1398"/>
      <c r="CB619" s="1398"/>
      <c r="CC619" s="1398">
        <f t="shared" si="8"/>
        <v>0</v>
      </c>
      <c r="CD619" s="1398"/>
      <c r="CE619" s="1398"/>
      <c r="CF619" s="1398"/>
      <c r="CG619" s="1398"/>
      <c r="CH619" s="1398">
        <f t="shared" si="9"/>
        <v>0</v>
      </c>
      <c r="CI619" s="1398"/>
      <c r="CJ619" s="1398"/>
      <c r="CK619" s="1398"/>
      <c r="CL619" s="1398"/>
      <c r="CM619" s="1398">
        <f t="shared" si="10"/>
        <v>0</v>
      </c>
      <c r="CN619" s="1398"/>
      <c r="CO619" s="1398"/>
      <c r="CP619" s="1398"/>
      <c r="CQ619" s="1398"/>
      <c r="CR619" s="6"/>
      <c r="CS619" s="1397">
        <f t="shared" si="11"/>
        <v>0</v>
      </c>
      <c r="CT619" s="1397"/>
      <c r="CU619" s="1397"/>
      <c r="CV619" s="1397"/>
      <c r="CW619" s="1397"/>
      <c r="CX619" s="1397">
        <f t="shared" si="12"/>
        <v>0</v>
      </c>
      <c r="CY619" s="1397"/>
      <c r="CZ619" s="1397"/>
      <c r="DA619" s="1397"/>
      <c r="DB619" s="1397"/>
      <c r="DC619" s="1397">
        <f t="shared" si="13"/>
        <v>0</v>
      </c>
      <c r="DD619" s="1397"/>
      <c r="DE619" s="1397"/>
      <c r="DF619" s="1397"/>
      <c r="DG619" s="1397"/>
      <c r="DH619" s="1397">
        <f t="shared" si="14"/>
        <v>0</v>
      </c>
      <c r="DI619" s="1397"/>
      <c r="DJ619" s="1397"/>
      <c r="DK619" s="1397"/>
      <c r="DL619" s="1397"/>
      <c r="DM619" s="1397">
        <f t="shared" si="15"/>
        <v>0</v>
      </c>
      <c r="DN619" s="1397"/>
      <c r="DO619" s="1397"/>
      <c r="DP619" s="1397"/>
      <c r="DQ619" s="1397"/>
      <c r="DR619" s="1397">
        <f t="shared" si="16"/>
        <v>0</v>
      </c>
      <c r="DS619" s="1397"/>
      <c r="DT619" s="1397"/>
      <c r="DU619" s="1397"/>
      <c r="DV619" s="1397"/>
      <c r="DX619" s="1393" t="str">
        <f t="shared" si="17"/>
        <v/>
      </c>
      <c r="DY619" s="1394"/>
      <c r="DZ619" s="1394"/>
      <c r="EA619" s="1394"/>
      <c r="EB619" s="1395"/>
      <c r="EC619" s="1393" t="str">
        <f t="shared" si="18"/>
        <v/>
      </c>
      <c r="ED619" s="1394"/>
      <c r="EE619" s="1394"/>
      <c r="EF619" s="1394"/>
      <c r="EG619" s="1395"/>
      <c r="EH619" s="1393" t="str">
        <f t="shared" si="19"/>
        <v/>
      </c>
      <c r="EI619" s="1394"/>
      <c r="EJ619" s="1394"/>
      <c r="EK619" s="1394"/>
      <c r="EL619" s="1395"/>
      <c r="EM619" s="1393" t="str">
        <f t="shared" si="20"/>
        <v/>
      </c>
      <c r="EN619" s="1394"/>
      <c r="EO619" s="1394"/>
      <c r="EP619" s="1394"/>
      <c r="EQ619" s="1395"/>
      <c r="ER619" s="1393" t="str">
        <f t="shared" si="21"/>
        <v/>
      </c>
      <c r="ES619" s="1394"/>
      <c r="ET619" s="1394"/>
      <c r="EU619" s="1394"/>
      <c r="EV619" s="1395"/>
      <c r="EW619" s="1393" t="str">
        <f t="shared" si="22"/>
        <v/>
      </c>
      <c r="EX619" s="1394"/>
      <c r="EY619" s="1394"/>
      <c r="EZ619" s="1394"/>
      <c r="FA619" s="1395"/>
    </row>
    <row r="620" spans="1:157" ht="13" customHeight="1">
      <c r="A620" s="2" t="s">
        <v>320</v>
      </c>
      <c r="B620" s="2"/>
      <c r="C620" s="2" t="s">
        <v>21</v>
      </c>
      <c r="AZ620" s="3"/>
      <c r="BA620" s="3"/>
      <c r="BB620" s="3"/>
      <c r="BC620" s="3"/>
      <c r="BD620" s="3"/>
      <c r="BE620" s="1393">
        <f t="shared" si="1"/>
        <v>0</v>
      </c>
      <c r="BF620" s="1395"/>
      <c r="BG620" s="1399">
        <f t="shared" si="2"/>
        <v>0</v>
      </c>
      <c r="BH620" s="1400"/>
      <c r="BI620" s="1393">
        <f t="shared" si="3"/>
        <v>0</v>
      </c>
      <c r="BJ620" s="1395"/>
      <c r="BK620" s="1399">
        <f t="shared" si="4"/>
        <v>0</v>
      </c>
      <c r="BL620" s="1400"/>
      <c r="BM620" s="3"/>
      <c r="BN620" s="1401">
        <f t="shared" si="5"/>
        <v>0</v>
      </c>
      <c r="BO620" s="1402"/>
      <c r="BP620" s="1402"/>
      <c r="BQ620" s="1402"/>
      <c r="BR620" s="1403"/>
      <c r="BS620" s="1398">
        <f t="shared" si="6"/>
        <v>0</v>
      </c>
      <c r="BT620" s="1398"/>
      <c r="BU620" s="1398"/>
      <c r="BV620" s="1398"/>
      <c r="BW620" s="1398"/>
      <c r="BX620" s="1398">
        <f t="shared" si="7"/>
        <v>0</v>
      </c>
      <c r="BY620" s="1398"/>
      <c r="BZ620" s="1398"/>
      <c r="CA620" s="1398"/>
      <c r="CB620" s="1398"/>
      <c r="CC620" s="1398">
        <f t="shared" si="8"/>
        <v>0</v>
      </c>
      <c r="CD620" s="1398"/>
      <c r="CE620" s="1398"/>
      <c r="CF620" s="1398"/>
      <c r="CG620" s="1398"/>
      <c r="CH620" s="1398">
        <f t="shared" si="9"/>
        <v>0</v>
      </c>
      <c r="CI620" s="1398"/>
      <c r="CJ620" s="1398"/>
      <c r="CK620" s="1398"/>
      <c r="CL620" s="1398"/>
      <c r="CM620" s="1398">
        <f t="shared" si="10"/>
        <v>0</v>
      </c>
      <c r="CN620" s="1398"/>
      <c r="CO620" s="1398"/>
      <c r="CP620" s="1398"/>
      <c r="CQ620" s="1398"/>
      <c r="CR620" s="6"/>
      <c r="CS620" s="1397">
        <f t="shared" si="11"/>
        <v>0</v>
      </c>
      <c r="CT620" s="1397"/>
      <c r="CU620" s="1397"/>
      <c r="CV620" s="1397"/>
      <c r="CW620" s="1397"/>
      <c r="CX620" s="1397">
        <f t="shared" si="12"/>
        <v>0</v>
      </c>
      <c r="CY620" s="1397"/>
      <c r="CZ620" s="1397"/>
      <c r="DA620" s="1397"/>
      <c r="DB620" s="1397"/>
      <c r="DC620" s="1397">
        <f t="shared" si="13"/>
        <v>0</v>
      </c>
      <c r="DD620" s="1397"/>
      <c r="DE620" s="1397"/>
      <c r="DF620" s="1397"/>
      <c r="DG620" s="1397"/>
      <c r="DH620" s="1397">
        <f t="shared" si="14"/>
        <v>0</v>
      </c>
      <c r="DI620" s="1397"/>
      <c r="DJ620" s="1397"/>
      <c r="DK620" s="1397"/>
      <c r="DL620" s="1397"/>
      <c r="DM620" s="1397">
        <f t="shared" si="15"/>
        <v>0</v>
      </c>
      <c r="DN620" s="1397"/>
      <c r="DO620" s="1397"/>
      <c r="DP620" s="1397"/>
      <c r="DQ620" s="1397"/>
      <c r="DR620" s="1397">
        <f t="shared" si="16"/>
        <v>0</v>
      </c>
      <c r="DS620" s="1397"/>
      <c r="DT620" s="1397"/>
      <c r="DU620" s="1397"/>
      <c r="DV620" s="1397"/>
      <c r="DX620" s="1393" t="str">
        <f t="shared" si="17"/>
        <v/>
      </c>
      <c r="DY620" s="1394"/>
      <c r="DZ620" s="1394"/>
      <c r="EA620" s="1394"/>
      <c r="EB620" s="1395"/>
      <c r="EC620" s="1393" t="str">
        <f t="shared" si="18"/>
        <v/>
      </c>
      <c r="ED620" s="1394"/>
      <c r="EE620" s="1394"/>
      <c r="EF620" s="1394"/>
      <c r="EG620" s="1395"/>
      <c r="EH620" s="1393" t="str">
        <f t="shared" si="19"/>
        <v/>
      </c>
      <c r="EI620" s="1394"/>
      <c r="EJ620" s="1394"/>
      <c r="EK620" s="1394"/>
      <c r="EL620" s="1395"/>
      <c r="EM620" s="1393" t="str">
        <f t="shared" si="20"/>
        <v/>
      </c>
      <c r="EN620" s="1394"/>
      <c r="EO620" s="1394"/>
      <c r="EP620" s="1394"/>
      <c r="EQ620" s="1395"/>
      <c r="ER620" s="1393" t="str">
        <f t="shared" si="21"/>
        <v/>
      </c>
      <c r="ES620" s="1394"/>
      <c r="ET620" s="1394"/>
      <c r="EU620" s="1394"/>
      <c r="EV620" s="1395"/>
      <c r="EW620" s="1393" t="str">
        <f t="shared" si="22"/>
        <v/>
      </c>
      <c r="EX620" s="1394"/>
      <c r="EY620" s="1394"/>
      <c r="EZ620" s="1394"/>
      <c r="FA620" s="1395"/>
    </row>
    <row r="621" spans="1:157" ht="13" customHeight="1">
      <c r="A621" s="2"/>
      <c r="B621" s="2"/>
      <c r="C621" s="2"/>
      <c r="AZ621" s="3"/>
      <c r="BA621" s="3"/>
      <c r="BB621" s="3"/>
      <c r="BC621" s="3"/>
      <c r="BD621" s="3"/>
      <c r="BE621" s="1393">
        <f t="shared" si="1"/>
        <v>0</v>
      </c>
      <c r="BF621" s="1395"/>
      <c r="BG621" s="1399">
        <f t="shared" si="2"/>
        <v>0</v>
      </c>
      <c r="BH621" s="1400"/>
      <c r="BI621" s="1393">
        <f t="shared" si="3"/>
        <v>0</v>
      </c>
      <c r="BJ621" s="1395"/>
      <c r="BK621" s="1399">
        <f t="shared" si="4"/>
        <v>0</v>
      </c>
      <c r="BL621" s="1400"/>
      <c r="BM621" s="3"/>
      <c r="BN621" s="1401">
        <f t="shared" si="5"/>
        <v>0</v>
      </c>
      <c r="BO621" s="1402"/>
      <c r="BP621" s="1402"/>
      <c r="BQ621" s="1402"/>
      <c r="BR621" s="1403"/>
      <c r="BS621" s="1398">
        <f t="shared" si="6"/>
        <v>0</v>
      </c>
      <c r="BT621" s="1398"/>
      <c r="BU621" s="1398"/>
      <c r="BV621" s="1398"/>
      <c r="BW621" s="1398"/>
      <c r="BX621" s="1398">
        <f t="shared" si="7"/>
        <v>0</v>
      </c>
      <c r="BY621" s="1398"/>
      <c r="BZ621" s="1398"/>
      <c r="CA621" s="1398"/>
      <c r="CB621" s="1398"/>
      <c r="CC621" s="1398">
        <f t="shared" si="8"/>
        <v>0</v>
      </c>
      <c r="CD621" s="1398"/>
      <c r="CE621" s="1398"/>
      <c r="CF621" s="1398"/>
      <c r="CG621" s="1398"/>
      <c r="CH621" s="1398">
        <f t="shared" si="9"/>
        <v>0</v>
      </c>
      <c r="CI621" s="1398"/>
      <c r="CJ621" s="1398"/>
      <c r="CK621" s="1398"/>
      <c r="CL621" s="1398"/>
      <c r="CM621" s="1398">
        <f t="shared" si="10"/>
        <v>0</v>
      </c>
      <c r="CN621" s="1398"/>
      <c r="CO621" s="1398"/>
      <c r="CP621" s="1398"/>
      <c r="CQ621" s="1398"/>
      <c r="CR621" s="6"/>
      <c r="CS621" s="1397">
        <f t="shared" si="11"/>
        <v>0</v>
      </c>
      <c r="CT621" s="1397"/>
      <c r="CU621" s="1397"/>
      <c r="CV621" s="1397"/>
      <c r="CW621" s="1397"/>
      <c r="CX621" s="1397">
        <f t="shared" si="12"/>
        <v>0</v>
      </c>
      <c r="CY621" s="1397"/>
      <c r="CZ621" s="1397"/>
      <c r="DA621" s="1397"/>
      <c r="DB621" s="1397"/>
      <c r="DC621" s="1397">
        <f t="shared" si="13"/>
        <v>0</v>
      </c>
      <c r="DD621" s="1397"/>
      <c r="DE621" s="1397"/>
      <c r="DF621" s="1397"/>
      <c r="DG621" s="1397"/>
      <c r="DH621" s="1397">
        <f t="shared" si="14"/>
        <v>0</v>
      </c>
      <c r="DI621" s="1397"/>
      <c r="DJ621" s="1397"/>
      <c r="DK621" s="1397"/>
      <c r="DL621" s="1397"/>
      <c r="DM621" s="1397">
        <f t="shared" si="15"/>
        <v>0</v>
      </c>
      <c r="DN621" s="1397"/>
      <c r="DO621" s="1397"/>
      <c r="DP621" s="1397"/>
      <c r="DQ621" s="1397"/>
      <c r="DR621" s="1397">
        <f t="shared" si="16"/>
        <v>0</v>
      </c>
      <c r="DS621" s="1397"/>
      <c r="DT621" s="1397"/>
      <c r="DU621" s="1397"/>
      <c r="DV621" s="1397"/>
      <c r="DX621" s="1393" t="str">
        <f t="shared" si="17"/>
        <v/>
      </c>
      <c r="DY621" s="1394"/>
      <c r="DZ621" s="1394"/>
      <c r="EA621" s="1394"/>
      <c r="EB621" s="1395"/>
      <c r="EC621" s="1393" t="str">
        <f t="shared" si="18"/>
        <v/>
      </c>
      <c r="ED621" s="1394"/>
      <c r="EE621" s="1394"/>
      <c r="EF621" s="1394"/>
      <c r="EG621" s="1395"/>
      <c r="EH621" s="1393" t="str">
        <f t="shared" si="19"/>
        <v/>
      </c>
      <c r="EI621" s="1394"/>
      <c r="EJ621" s="1394"/>
      <c r="EK621" s="1394"/>
      <c r="EL621" s="1395"/>
      <c r="EM621" s="1393" t="str">
        <f t="shared" si="20"/>
        <v/>
      </c>
      <c r="EN621" s="1394"/>
      <c r="EO621" s="1394"/>
      <c r="EP621" s="1394"/>
      <c r="EQ621" s="1395"/>
      <c r="ER621" s="1393" t="str">
        <f t="shared" si="21"/>
        <v/>
      </c>
      <c r="ES621" s="1394"/>
      <c r="ET621" s="1394"/>
      <c r="EU621" s="1394"/>
      <c r="EV621" s="1395"/>
      <c r="EW621" s="1393" t="str">
        <f t="shared" si="22"/>
        <v/>
      </c>
      <c r="EX621" s="1394"/>
      <c r="EY621" s="1394"/>
      <c r="EZ621" s="1394"/>
      <c r="FA621" s="1395"/>
    </row>
    <row r="622" spans="1:157" ht="13" customHeight="1">
      <c r="C622" s="2" t="s">
        <v>2420</v>
      </c>
      <c r="AZ622" s="3"/>
      <c r="BA622" s="3"/>
      <c r="BB622" s="3"/>
      <c r="BC622" s="3"/>
      <c r="BD622" s="3"/>
      <c r="BE622" s="1393">
        <f t="shared" si="1"/>
        <v>0</v>
      </c>
      <c r="BF622" s="1395"/>
      <c r="BG622" s="1399">
        <f t="shared" si="2"/>
        <v>0</v>
      </c>
      <c r="BH622" s="1400"/>
      <c r="BI622" s="1393">
        <f t="shared" si="3"/>
        <v>0</v>
      </c>
      <c r="BJ622" s="1395"/>
      <c r="BK622" s="1399">
        <f t="shared" si="4"/>
        <v>0</v>
      </c>
      <c r="BL622" s="1400"/>
      <c r="BM622" s="3"/>
      <c r="BN622" s="1401">
        <f t="shared" si="5"/>
        <v>0</v>
      </c>
      <c r="BO622" s="1402"/>
      <c r="BP622" s="1402"/>
      <c r="BQ622" s="1402"/>
      <c r="BR622" s="1403"/>
      <c r="BS622" s="1398">
        <f t="shared" si="6"/>
        <v>0</v>
      </c>
      <c r="BT622" s="1398"/>
      <c r="BU622" s="1398"/>
      <c r="BV622" s="1398"/>
      <c r="BW622" s="1398"/>
      <c r="BX622" s="1398">
        <f t="shared" si="7"/>
        <v>0</v>
      </c>
      <c r="BY622" s="1398"/>
      <c r="BZ622" s="1398"/>
      <c r="CA622" s="1398"/>
      <c r="CB622" s="1398"/>
      <c r="CC622" s="1398">
        <f t="shared" si="8"/>
        <v>0</v>
      </c>
      <c r="CD622" s="1398"/>
      <c r="CE622" s="1398"/>
      <c r="CF622" s="1398"/>
      <c r="CG622" s="1398"/>
      <c r="CH622" s="1398">
        <f t="shared" si="9"/>
        <v>0</v>
      </c>
      <c r="CI622" s="1398"/>
      <c r="CJ622" s="1398"/>
      <c r="CK622" s="1398"/>
      <c r="CL622" s="1398"/>
      <c r="CM622" s="1398">
        <f t="shared" si="10"/>
        <v>0</v>
      </c>
      <c r="CN622" s="1398"/>
      <c r="CO622" s="1398"/>
      <c r="CP622" s="1398"/>
      <c r="CQ622" s="1398"/>
      <c r="CR622" s="6"/>
      <c r="CS622" s="1397">
        <f t="shared" si="11"/>
        <v>0</v>
      </c>
      <c r="CT622" s="1397"/>
      <c r="CU622" s="1397"/>
      <c r="CV622" s="1397"/>
      <c r="CW622" s="1397"/>
      <c r="CX622" s="1397">
        <f t="shared" si="12"/>
        <v>0</v>
      </c>
      <c r="CY622" s="1397"/>
      <c r="CZ622" s="1397"/>
      <c r="DA622" s="1397"/>
      <c r="DB622" s="1397"/>
      <c r="DC622" s="1397">
        <f t="shared" si="13"/>
        <v>0</v>
      </c>
      <c r="DD622" s="1397"/>
      <c r="DE622" s="1397"/>
      <c r="DF622" s="1397"/>
      <c r="DG622" s="1397"/>
      <c r="DH622" s="1397">
        <f t="shared" si="14"/>
        <v>0</v>
      </c>
      <c r="DI622" s="1397"/>
      <c r="DJ622" s="1397"/>
      <c r="DK622" s="1397"/>
      <c r="DL622" s="1397"/>
      <c r="DM622" s="1397">
        <f t="shared" si="15"/>
        <v>0</v>
      </c>
      <c r="DN622" s="1397"/>
      <c r="DO622" s="1397"/>
      <c r="DP622" s="1397"/>
      <c r="DQ622" s="1397"/>
      <c r="DR622" s="1397">
        <f t="shared" si="16"/>
        <v>0</v>
      </c>
      <c r="DS622" s="1397"/>
      <c r="DT622" s="1397"/>
      <c r="DU622" s="1397"/>
      <c r="DV622" s="1397"/>
      <c r="DX622" s="1393" t="str">
        <f t="shared" si="17"/>
        <v/>
      </c>
      <c r="DY622" s="1394"/>
      <c r="DZ622" s="1394"/>
      <c r="EA622" s="1394"/>
      <c r="EB622" s="1395"/>
      <c r="EC622" s="1393" t="str">
        <f t="shared" si="18"/>
        <v/>
      </c>
      <c r="ED622" s="1394"/>
      <c r="EE622" s="1394"/>
      <c r="EF622" s="1394"/>
      <c r="EG622" s="1395"/>
      <c r="EH622" s="1393" t="str">
        <f t="shared" si="19"/>
        <v/>
      </c>
      <c r="EI622" s="1394"/>
      <c r="EJ622" s="1394"/>
      <c r="EK622" s="1394"/>
      <c r="EL622" s="1395"/>
      <c r="EM622" s="1393" t="str">
        <f t="shared" si="20"/>
        <v/>
      </c>
      <c r="EN622" s="1394"/>
      <c r="EO622" s="1394"/>
      <c r="EP622" s="1394"/>
      <c r="EQ622" s="1395"/>
      <c r="ER622" s="1393" t="str">
        <f t="shared" si="21"/>
        <v/>
      </c>
      <c r="ES622" s="1394"/>
      <c r="ET622" s="1394"/>
      <c r="EU622" s="1394"/>
      <c r="EV622" s="1395"/>
      <c r="EW622" s="1393" t="str">
        <f t="shared" si="22"/>
        <v/>
      </c>
      <c r="EX622" s="1394"/>
      <c r="EY622" s="1394"/>
      <c r="EZ622" s="1394"/>
      <c r="FA622" s="1395"/>
    </row>
    <row r="623" spans="1:157" ht="13" customHeight="1">
      <c r="B623" s="546"/>
      <c r="C623" s="2"/>
      <c r="AU623" s="3"/>
      <c r="AZ623" s="3"/>
      <c r="BA623" s="3"/>
      <c r="BB623" s="3"/>
      <c r="BC623" s="3"/>
      <c r="BD623" s="3"/>
      <c r="BE623" s="1393">
        <f t="shared" si="1"/>
        <v>0</v>
      </c>
      <c r="BF623" s="1395"/>
      <c r="BG623" s="1399">
        <f t="shared" si="2"/>
        <v>0</v>
      </c>
      <c r="BH623" s="1400"/>
      <c r="BI623" s="1393">
        <f t="shared" si="3"/>
        <v>0</v>
      </c>
      <c r="BJ623" s="1395"/>
      <c r="BK623" s="1399">
        <f t="shared" si="4"/>
        <v>0</v>
      </c>
      <c r="BL623" s="1400"/>
      <c r="BM623" s="3"/>
      <c r="BN623" s="1401">
        <f t="shared" si="5"/>
        <v>0</v>
      </c>
      <c r="BO623" s="1402"/>
      <c r="BP623" s="1402"/>
      <c r="BQ623" s="1402"/>
      <c r="BR623" s="1403"/>
      <c r="BS623" s="1398">
        <f t="shared" si="6"/>
        <v>0</v>
      </c>
      <c r="BT623" s="1398"/>
      <c r="BU623" s="1398"/>
      <c r="BV623" s="1398"/>
      <c r="BW623" s="1398"/>
      <c r="BX623" s="1398">
        <f t="shared" si="7"/>
        <v>0</v>
      </c>
      <c r="BY623" s="1398"/>
      <c r="BZ623" s="1398"/>
      <c r="CA623" s="1398"/>
      <c r="CB623" s="1398"/>
      <c r="CC623" s="1398">
        <f t="shared" si="8"/>
        <v>0</v>
      </c>
      <c r="CD623" s="1398"/>
      <c r="CE623" s="1398"/>
      <c r="CF623" s="1398"/>
      <c r="CG623" s="1398"/>
      <c r="CH623" s="1398">
        <f t="shared" si="9"/>
        <v>0</v>
      </c>
      <c r="CI623" s="1398"/>
      <c r="CJ623" s="1398"/>
      <c r="CK623" s="1398"/>
      <c r="CL623" s="1398"/>
      <c r="CM623" s="1398">
        <f t="shared" si="10"/>
        <v>0</v>
      </c>
      <c r="CN623" s="1398"/>
      <c r="CO623" s="1398"/>
      <c r="CP623" s="1398"/>
      <c r="CQ623" s="1398"/>
      <c r="CR623" s="6"/>
      <c r="CS623" s="1397">
        <f t="shared" si="11"/>
        <v>0</v>
      </c>
      <c r="CT623" s="1397"/>
      <c r="CU623" s="1397"/>
      <c r="CV623" s="1397"/>
      <c r="CW623" s="1397"/>
      <c r="CX623" s="1397">
        <f t="shared" si="12"/>
        <v>0</v>
      </c>
      <c r="CY623" s="1397"/>
      <c r="CZ623" s="1397"/>
      <c r="DA623" s="1397"/>
      <c r="DB623" s="1397"/>
      <c r="DC623" s="1397">
        <f t="shared" si="13"/>
        <v>0</v>
      </c>
      <c r="DD623" s="1397"/>
      <c r="DE623" s="1397"/>
      <c r="DF623" s="1397"/>
      <c r="DG623" s="1397"/>
      <c r="DH623" s="1397">
        <f t="shared" si="14"/>
        <v>0</v>
      </c>
      <c r="DI623" s="1397"/>
      <c r="DJ623" s="1397"/>
      <c r="DK623" s="1397"/>
      <c r="DL623" s="1397"/>
      <c r="DM623" s="1397">
        <f t="shared" si="15"/>
        <v>0</v>
      </c>
      <c r="DN623" s="1397"/>
      <c r="DO623" s="1397"/>
      <c r="DP623" s="1397"/>
      <c r="DQ623" s="1397"/>
      <c r="DR623" s="1397">
        <f t="shared" si="16"/>
        <v>0</v>
      </c>
      <c r="DS623" s="1397"/>
      <c r="DT623" s="1397"/>
      <c r="DU623" s="1397"/>
      <c r="DV623" s="1397"/>
      <c r="DX623" s="1393" t="str">
        <f t="shared" si="17"/>
        <v/>
      </c>
      <c r="DY623" s="1394"/>
      <c r="DZ623" s="1394"/>
      <c r="EA623" s="1394"/>
      <c r="EB623" s="1395"/>
      <c r="EC623" s="1393" t="str">
        <f t="shared" si="18"/>
        <v/>
      </c>
      <c r="ED623" s="1394"/>
      <c r="EE623" s="1394"/>
      <c r="EF623" s="1394"/>
      <c r="EG623" s="1395"/>
      <c r="EH623" s="1393" t="str">
        <f t="shared" si="19"/>
        <v/>
      </c>
      <c r="EI623" s="1394"/>
      <c r="EJ623" s="1394"/>
      <c r="EK623" s="1394"/>
      <c r="EL623" s="1395"/>
      <c r="EM623" s="1393" t="str">
        <f t="shared" si="20"/>
        <v/>
      </c>
      <c r="EN623" s="1394"/>
      <c r="EO623" s="1394"/>
      <c r="EP623" s="1394"/>
      <c r="EQ623" s="1395"/>
      <c r="ER623" s="1393" t="str">
        <f t="shared" si="21"/>
        <v/>
      </c>
      <c r="ES623" s="1394"/>
      <c r="ET623" s="1394"/>
      <c r="EU623" s="1394"/>
      <c r="EV623" s="1395"/>
      <c r="EW623" s="1393" t="str">
        <f t="shared" si="22"/>
        <v/>
      </c>
      <c r="EX623" s="1394"/>
      <c r="EY623" s="1394"/>
      <c r="EZ623" s="1394"/>
      <c r="FA623" s="1395"/>
    </row>
    <row r="624" spans="1:157" ht="13" customHeight="1">
      <c r="B624" s="1698" t="s">
        <v>2422</v>
      </c>
      <c r="C624" s="1698"/>
      <c r="D624" s="1698"/>
      <c r="E624" s="1698"/>
      <c r="F624" s="1698"/>
      <c r="G624" s="1698"/>
      <c r="H624" s="1698"/>
      <c r="I624" s="1698"/>
      <c r="J624" s="1698"/>
      <c r="K624" s="1698"/>
      <c r="L624" s="1698"/>
      <c r="M624" s="1681" t="s">
        <v>2423</v>
      </c>
      <c r="N624" s="1681"/>
      <c r="O624" s="1681"/>
      <c r="P624" s="1681"/>
      <c r="Q624" s="1681" t="s">
        <v>2044</v>
      </c>
      <c r="R624" s="1681"/>
      <c r="S624" s="1681"/>
      <c r="T624" s="1681" t="s">
        <v>2042</v>
      </c>
      <c r="U624" s="1681"/>
      <c r="V624" s="1681"/>
      <c r="W624" s="1848" t="s">
        <v>462</v>
      </c>
      <c r="X624" s="1848"/>
      <c r="Y624" s="1848"/>
      <c r="Z624" s="1478" t="s">
        <v>2452</v>
      </c>
      <c r="AA624" s="1478"/>
      <c r="AB624" s="1479"/>
      <c r="AC624" s="1689" t="s">
        <v>1865</v>
      </c>
      <c r="AD624" s="1690"/>
      <c r="AE624" s="1691"/>
      <c r="AF624" s="1477" t="s">
        <v>2231</v>
      </c>
      <c r="AG624" s="1478"/>
      <c r="AH624" s="1478"/>
      <c r="AI624" s="1478"/>
      <c r="AJ624" s="1479"/>
      <c r="AK624" s="1699" t="s">
        <v>2232</v>
      </c>
      <c r="AL624" s="1700"/>
      <c r="AM624" s="1700"/>
      <c r="AN624" s="1701"/>
      <c r="AO624" s="1681" t="s">
        <v>463</v>
      </c>
      <c r="AP624" s="1681"/>
      <c r="AQ624" s="1681"/>
      <c r="AR624" s="1681"/>
      <c r="AS624" s="1681"/>
      <c r="AU624" s="3"/>
      <c r="AZ624" s="3"/>
      <c r="BA624" s="3"/>
      <c r="BB624" s="3"/>
      <c r="BC624" s="3"/>
      <c r="BD624" s="3"/>
      <c r="BE624" s="1393">
        <f t="shared" si="1"/>
        <v>0</v>
      </c>
      <c r="BF624" s="1395"/>
      <c r="BG624" s="1399">
        <f t="shared" si="2"/>
        <v>0</v>
      </c>
      <c r="BH624" s="1400"/>
      <c r="BI624" s="1393">
        <f t="shared" si="3"/>
        <v>0</v>
      </c>
      <c r="BJ624" s="1395"/>
      <c r="BK624" s="1399">
        <f t="shared" si="4"/>
        <v>0</v>
      </c>
      <c r="BL624" s="1400"/>
      <c r="BM624" s="3"/>
      <c r="BN624" s="1401">
        <f t="shared" si="5"/>
        <v>0</v>
      </c>
      <c r="BO624" s="1402"/>
      <c r="BP624" s="1402"/>
      <c r="BQ624" s="1402"/>
      <c r="BR624" s="1403"/>
      <c r="BS624" s="1398">
        <f t="shared" si="6"/>
        <v>0</v>
      </c>
      <c r="BT624" s="1398"/>
      <c r="BU624" s="1398"/>
      <c r="BV624" s="1398"/>
      <c r="BW624" s="1398"/>
      <c r="BX624" s="1398">
        <f t="shared" si="7"/>
        <v>0</v>
      </c>
      <c r="BY624" s="1398"/>
      <c r="BZ624" s="1398"/>
      <c r="CA624" s="1398"/>
      <c r="CB624" s="1398"/>
      <c r="CC624" s="1398">
        <f t="shared" si="8"/>
        <v>0</v>
      </c>
      <c r="CD624" s="1398"/>
      <c r="CE624" s="1398"/>
      <c r="CF624" s="1398"/>
      <c r="CG624" s="1398"/>
      <c r="CH624" s="1398">
        <f t="shared" si="9"/>
        <v>0</v>
      </c>
      <c r="CI624" s="1398"/>
      <c r="CJ624" s="1398"/>
      <c r="CK624" s="1398"/>
      <c r="CL624" s="1398"/>
      <c r="CM624" s="1398">
        <f t="shared" si="10"/>
        <v>0</v>
      </c>
      <c r="CN624" s="1398"/>
      <c r="CO624" s="1398"/>
      <c r="CP624" s="1398"/>
      <c r="CQ624" s="1398"/>
      <c r="CR624" s="6"/>
      <c r="CS624" s="1397">
        <f t="shared" si="11"/>
        <v>0</v>
      </c>
      <c r="CT624" s="1397"/>
      <c r="CU624" s="1397"/>
      <c r="CV624" s="1397"/>
      <c r="CW624" s="1397"/>
      <c r="CX624" s="1397">
        <f t="shared" si="12"/>
        <v>0</v>
      </c>
      <c r="CY624" s="1397"/>
      <c r="CZ624" s="1397"/>
      <c r="DA624" s="1397"/>
      <c r="DB624" s="1397"/>
      <c r="DC624" s="1397">
        <f t="shared" si="13"/>
        <v>0</v>
      </c>
      <c r="DD624" s="1397"/>
      <c r="DE624" s="1397"/>
      <c r="DF624" s="1397"/>
      <c r="DG624" s="1397"/>
      <c r="DH624" s="1397">
        <f t="shared" si="14"/>
        <v>0</v>
      </c>
      <c r="DI624" s="1397"/>
      <c r="DJ624" s="1397"/>
      <c r="DK624" s="1397"/>
      <c r="DL624" s="1397"/>
      <c r="DM624" s="1397">
        <f t="shared" si="15"/>
        <v>0</v>
      </c>
      <c r="DN624" s="1397"/>
      <c r="DO624" s="1397"/>
      <c r="DP624" s="1397"/>
      <c r="DQ624" s="1397"/>
      <c r="DR624" s="1397">
        <f t="shared" si="16"/>
        <v>0</v>
      </c>
      <c r="DS624" s="1397"/>
      <c r="DT624" s="1397"/>
      <c r="DU624" s="1397"/>
      <c r="DV624" s="1397"/>
      <c r="DX624" s="1393" t="str">
        <f t="shared" si="17"/>
        <v/>
      </c>
      <c r="DY624" s="1394"/>
      <c r="DZ624" s="1394"/>
      <c r="EA624" s="1394"/>
      <c r="EB624" s="1395"/>
      <c r="EC624" s="1393" t="str">
        <f t="shared" si="18"/>
        <v/>
      </c>
      <c r="ED624" s="1394"/>
      <c r="EE624" s="1394"/>
      <c r="EF624" s="1394"/>
      <c r="EG624" s="1395"/>
      <c r="EH624" s="1393" t="str">
        <f t="shared" si="19"/>
        <v/>
      </c>
      <c r="EI624" s="1394"/>
      <c r="EJ624" s="1394"/>
      <c r="EK624" s="1394"/>
      <c r="EL624" s="1395"/>
      <c r="EM624" s="1393" t="str">
        <f t="shared" si="20"/>
        <v/>
      </c>
      <c r="EN624" s="1394"/>
      <c r="EO624" s="1394"/>
      <c r="EP624" s="1394"/>
      <c r="EQ624" s="1395"/>
      <c r="ER624" s="1393" t="str">
        <f t="shared" si="21"/>
        <v/>
      </c>
      <c r="ES624" s="1394"/>
      <c r="ET624" s="1394"/>
      <c r="EU624" s="1394"/>
      <c r="EV624" s="1395"/>
      <c r="EW624" s="1393" t="str">
        <f t="shared" si="22"/>
        <v/>
      </c>
      <c r="EX624" s="1394"/>
      <c r="EY624" s="1394"/>
      <c r="EZ624" s="1394"/>
      <c r="FA624" s="1395"/>
    </row>
    <row r="625" spans="2:157" ht="13" customHeight="1">
      <c r="B625" s="1698"/>
      <c r="C625" s="1698"/>
      <c r="D625" s="1698"/>
      <c r="E625" s="1698"/>
      <c r="F625" s="1698"/>
      <c r="G625" s="1698"/>
      <c r="H625" s="1698"/>
      <c r="I625" s="1698"/>
      <c r="J625" s="1698"/>
      <c r="K625" s="1698"/>
      <c r="L625" s="1698"/>
      <c r="M625" s="1681"/>
      <c r="N625" s="1681"/>
      <c r="O625" s="1681"/>
      <c r="P625" s="1681"/>
      <c r="Q625" s="1681"/>
      <c r="R625" s="1681"/>
      <c r="S625" s="1681"/>
      <c r="T625" s="1681"/>
      <c r="U625" s="1681"/>
      <c r="V625" s="1681"/>
      <c r="W625" s="1848"/>
      <c r="X625" s="1848"/>
      <c r="Y625" s="1848"/>
      <c r="Z625" s="1481"/>
      <c r="AA625" s="1481"/>
      <c r="AB625" s="1482"/>
      <c r="AC625" s="1692"/>
      <c r="AD625" s="1693"/>
      <c r="AE625" s="1694"/>
      <c r="AF625" s="1480"/>
      <c r="AG625" s="1481"/>
      <c r="AH625" s="1481"/>
      <c r="AI625" s="1481"/>
      <c r="AJ625" s="1482"/>
      <c r="AK625" s="1702"/>
      <c r="AL625" s="1703"/>
      <c r="AM625" s="1703"/>
      <c r="AN625" s="1704"/>
      <c r="AO625" s="1681"/>
      <c r="AP625" s="1681"/>
      <c r="AQ625" s="1681"/>
      <c r="AR625" s="1681"/>
      <c r="AS625" s="1681"/>
      <c r="AU625" s="3"/>
      <c r="AZ625" s="3"/>
      <c r="BA625" s="3"/>
      <c r="BB625" s="3"/>
      <c r="BC625" s="3"/>
      <c r="BD625" s="3"/>
      <c r="BE625" s="1393">
        <f t="shared" si="1"/>
        <v>0</v>
      </c>
      <c r="BF625" s="1395"/>
      <c r="BG625" s="1399">
        <f t="shared" si="2"/>
        <v>0</v>
      </c>
      <c r="BH625" s="1400"/>
      <c r="BI625" s="1393">
        <f t="shared" si="3"/>
        <v>0</v>
      </c>
      <c r="BJ625" s="1395"/>
      <c r="BK625" s="1399">
        <f t="shared" si="4"/>
        <v>0</v>
      </c>
      <c r="BL625" s="1400"/>
      <c r="BM625" s="3"/>
      <c r="BN625" s="1401">
        <f t="shared" si="5"/>
        <v>0</v>
      </c>
      <c r="BO625" s="1402"/>
      <c r="BP625" s="1402"/>
      <c r="BQ625" s="1402"/>
      <c r="BR625" s="1403"/>
      <c r="BS625" s="1398">
        <f t="shared" si="6"/>
        <v>0</v>
      </c>
      <c r="BT625" s="1398"/>
      <c r="BU625" s="1398"/>
      <c r="BV625" s="1398"/>
      <c r="BW625" s="1398"/>
      <c r="BX625" s="1398">
        <f t="shared" si="7"/>
        <v>0</v>
      </c>
      <c r="BY625" s="1398"/>
      <c r="BZ625" s="1398"/>
      <c r="CA625" s="1398"/>
      <c r="CB625" s="1398"/>
      <c r="CC625" s="1398">
        <f t="shared" si="8"/>
        <v>0</v>
      </c>
      <c r="CD625" s="1398"/>
      <c r="CE625" s="1398"/>
      <c r="CF625" s="1398"/>
      <c r="CG625" s="1398"/>
      <c r="CH625" s="1398">
        <f t="shared" si="9"/>
        <v>0</v>
      </c>
      <c r="CI625" s="1398"/>
      <c r="CJ625" s="1398"/>
      <c r="CK625" s="1398"/>
      <c r="CL625" s="1398"/>
      <c r="CM625" s="1398">
        <f t="shared" si="10"/>
        <v>0</v>
      </c>
      <c r="CN625" s="1398"/>
      <c r="CO625" s="1398"/>
      <c r="CP625" s="1398"/>
      <c r="CQ625" s="1398"/>
      <c r="CR625" s="6"/>
      <c r="CS625" s="1397">
        <f t="shared" si="11"/>
        <v>0</v>
      </c>
      <c r="CT625" s="1397"/>
      <c r="CU625" s="1397"/>
      <c r="CV625" s="1397"/>
      <c r="CW625" s="1397"/>
      <c r="CX625" s="1397">
        <f t="shared" si="12"/>
        <v>0</v>
      </c>
      <c r="CY625" s="1397"/>
      <c r="CZ625" s="1397"/>
      <c r="DA625" s="1397"/>
      <c r="DB625" s="1397"/>
      <c r="DC625" s="1397">
        <f t="shared" si="13"/>
        <v>0</v>
      </c>
      <c r="DD625" s="1397"/>
      <c r="DE625" s="1397"/>
      <c r="DF625" s="1397"/>
      <c r="DG625" s="1397"/>
      <c r="DH625" s="1397">
        <f t="shared" si="14"/>
        <v>0</v>
      </c>
      <c r="DI625" s="1397"/>
      <c r="DJ625" s="1397"/>
      <c r="DK625" s="1397"/>
      <c r="DL625" s="1397"/>
      <c r="DM625" s="1397">
        <f t="shared" si="15"/>
        <v>0</v>
      </c>
      <c r="DN625" s="1397"/>
      <c r="DO625" s="1397"/>
      <c r="DP625" s="1397"/>
      <c r="DQ625" s="1397"/>
      <c r="DR625" s="1397">
        <f t="shared" si="16"/>
        <v>0</v>
      </c>
      <c r="DS625" s="1397"/>
      <c r="DT625" s="1397"/>
      <c r="DU625" s="1397"/>
      <c r="DV625" s="1397"/>
      <c r="DX625" s="1393" t="str">
        <f t="shared" si="17"/>
        <v/>
      </c>
      <c r="DY625" s="1394"/>
      <c r="DZ625" s="1394"/>
      <c r="EA625" s="1394"/>
      <c r="EB625" s="1395"/>
      <c r="EC625" s="1393" t="str">
        <f t="shared" si="18"/>
        <v/>
      </c>
      <c r="ED625" s="1394"/>
      <c r="EE625" s="1394"/>
      <c r="EF625" s="1394"/>
      <c r="EG625" s="1395"/>
      <c r="EH625" s="1393" t="str">
        <f t="shared" si="19"/>
        <v/>
      </c>
      <c r="EI625" s="1394"/>
      <c r="EJ625" s="1394"/>
      <c r="EK625" s="1394"/>
      <c r="EL625" s="1395"/>
      <c r="EM625" s="1393" t="str">
        <f t="shared" si="20"/>
        <v/>
      </c>
      <c r="EN625" s="1394"/>
      <c r="EO625" s="1394"/>
      <c r="EP625" s="1394"/>
      <c r="EQ625" s="1395"/>
      <c r="ER625" s="1393" t="str">
        <f t="shared" si="21"/>
        <v/>
      </c>
      <c r="ES625" s="1394"/>
      <c r="ET625" s="1394"/>
      <c r="EU625" s="1394"/>
      <c r="EV625" s="1395"/>
      <c r="EW625" s="1393" t="str">
        <f t="shared" si="22"/>
        <v/>
      </c>
      <c r="EX625" s="1394"/>
      <c r="EY625" s="1394"/>
      <c r="EZ625" s="1394"/>
      <c r="FA625" s="1395"/>
    </row>
    <row r="626" spans="2:157" ht="13" customHeight="1">
      <c r="B626" s="1698"/>
      <c r="C626" s="1698"/>
      <c r="D626" s="1698"/>
      <c r="E626" s="1698"/>
      <c r="F626" s="1698"/>
      <c r="G626" s="1698"/>
      <c r="H626" s="1698"/>
      <c r="I626" s="1698"/>
      <c r="J626" s="1698"/>
      <c r="K626" s="1698"/>
      <c r="L626" s="1698"/>
      <c r="M626" s="1681"/>
      <c r="N626" s="1681"/>
      <c r="O626" s="1681"/>
      <c r="P626" s="1681"/>
      <c r="Q626" s="1681"/>
      <c r="R626" s="1681"/>
      <c r="S626" s="1681"/>
      <c r="T626" s="1681"/>
      <c r="U626" s="1681"/>
      <c r="V626" s="1681"/>
      <c r="W626" s="1848"/>
      <c r="X626" s="1848"/>
      <c r="Y626" s="1848"/>
      <c r="Z626" s="1484"/>
      <c r="AA626" s="1484"/>
      <c r="AB626" s="1485"/>
      <c r="AC626" s="1695"/>
      <c r="AD626" s="1696"/>
      <c r="AE626" s="1697"/>
      <c r="AF626" s="1483"/>
      <c r="AG626" s="1484"/>
      <c r="AH626" s="1484"/>
      <c r="AI626" s="1484"/>
      <c r="AJ626" s="1485"/>
      <c r="AK626" s="1705"/>
      <c r="AL626" s="1706"/>
      <c r="AM626" s="1706"/>
      <c r="AN626" s="1707"/>
      <c r="AO626" s="1681"/>
      <c r="AP626" s="1681"/>
      <c r="AQ626" s="1681"/>
      <c r="AR626" s="1681"/>
      <c r="AS626" s="1681"/>
      <c r="AT626" s="3"/>
      <c r="AU626" s="3"/>
      <c r="AZ626" s="3"/>
      <c r="BA626" s="3"/>
      <c r="BB626" s="3"/>
      <c r="BC626" s="3"/>
      <c r="BD626" s="3"/>
      <c r="BE626" s="1393">
        <f t="shared" si="1"/>
        <v>0</v>
      </c>
      <c r="BF626" s="1395"/>
      <c r="BG626" s="1399">
        <f t="shared" si="2"/>
        <v>0</v>
      </c>
      <c r="BH626" s="1400"/>
      <c r="BI626" s="1393">
        <f t="shared" si="3"/>
        <v>0</v>
      </c>
      <c r="BJ626" s="1395"/>
      <c r="BK626" s="1399">
        <f t="shared" si="4"/>
        <v>0</v>
      </c>
      <c r="BL626" s="1400"/>
      <c r="BM626" s="3"/>
      <c r="BN626" s="1401">
        <f t="shared" si="5"/>
        <v>0</v>
      </c>
      <c r="BO626" s="1402"/>
      <c r="BP626" s="1402"/>
      <c r="BQ626" s="1402"/>
      <c r="BR626" s="1403"/>
      <c r="BS626" s="1398">
        <f t="shared" si="6"/>
        <v>0</v>
      </c>
      <c r="BT626" s="1398"/>
      <c r="BU626" s="1398"/>
      <c r="BV626" s="1398"/>
      <c r="BW626" s="1398"/>
      <c r="BX626" s="1398">
        <f t="shared" si="7"/>
        <v>0</v>
      </c>
      <c r="BY626" s="1398"/>
      <c r="BZ626" s="1398"/>
      <c r="CA626" s="1398"/>
      <c r="CB626" s="1398"/>
      <c r="CC626" s="1398">
        <f t="shared" si="8"/>
        <v>0</v>
      </c>
      <c r="CD626" s="1398"/>
      <c r="CE626" s="1398"/>
      <c r="CF626" s="1398"/>
      <c r="CG626" s="1398"/>
      <c r="CH626" s="1398">
        <f t="shared" si="9"/>
        <v>0</v>
      </c>
      <c r="CI626" s="1398"/>
      <c r="CJ626" s="1398"/>
      <c r="CK626" s="1398"/>
      <c r="CL626" s="1398"/>
      <c r="CM626" s="1398">
        <f t="shared" si="10"/>
        <v>0</v>
      </c>
      <c r="CN626" s="1398"/>
      <c r="CO626" s="1398"/>
      <c r="CP626" s="1398"/>
      <c r="CQ626" s="1398"/>
      <c r="CR626" s="6"/>
      <c r="CS626" s="1397">
        <f t="shared" si="11"/>
        <v>0</v>
      </c>
      <c r="CT626" s="1397"/>
      <c r="CU626" s="1397"/>
      <c r="CV626" s="1397"/>
      <c r="CW626" s="1397"/>
      <c r="CX626" s="1397">
        <f t="shared" si="12"/>
        <v>0</v>
      </c>
      <c r="CY626" s="1397"/>
      <c r="CZ626" s="1397"/>
      <c r="DA626" s="1397"/>
      <c r="DB626" s="1397"/>
      <c r="DC626" s="1397">
        <f t="shared" si="13"/>
        <v>0</v>
      </c>
      <c r="DD626" s="1397"/>
      <c r="DE626" s="1397"/>
      <c r="DF626" s="1397"/>
      <c r="DG626" s="1397"/>
      <c r="DH626" s="1397">
        <f t="shared" si="14"/>
        <v>0</v>
      </c>
      <c r="DI626" s="1397"/>
      <c r="DJ626" s="1397"/>
      <c r="DK626" s="1397"/>
      <c r="DL626" s="1397"/>
      <c r="DM626" s="1397">
        <f t="shared" si="15"/>
        <v>0</v>
      </c>
      <c r="DN626" s="1397"/>
      <c r="DO626" s="1397"/>
      <c r="DP626" s="1397"/>
      <c r="DQ626" s="1397"/>
      <c r="DR626" s="1397">
        <f t="shared" si="16"/>
        <v>0</v>
      </c>
      <c r="DS626" s="1397"/>
      <c r="DT626" s="1397"/>
      <c r="DU626" s="1397"/>
      <c r="DV626" s="1397"/>
      <c r="DX626" s="1393" t="str">
        <f t="shared" si="17"/>
        <v/>
      </c>
      <c r="DY626" s="1394"/>
      <c r="DZ626" s="1394"/>
      <c r="EA626" s="1394"/>
      <c r="EB626" s="1395"/>
      <c r="EC626" s="1393" t="str">
        <f t="shared" si="18"/>
        <v/>
      </c>
      <c r="ED626" s="1394"/>
      <c r="EE626" s="1394"/>
      <c r="EF626" s="1394"/>
      <c r="EG626" s="1395"/>
      <c r="EH626" s="1393" t="str">
        <f t="shared" si="19"/>
        <v/>
      </c>
      <c r="EI626" s="1394"/>
      <c r="EJ626" s="1394"/>
      <c r="EK626" s="1394"/>
      <c r="EL626" s="1395"/>
      <c r="EM626" s="1393" t="str">
        <f t="shared" si="20"/>
        <v/>
      </c>
      <c r="EN626" s="1394"/>
      <c r="EO626" s="1394"/>
      <c r="EP626" s="1394"/>
      <c r="EQ626" s="1395"/>
      <c r="ER626" s="1393" t="str">
        <f t="shared" si="21"/>
        <v/>
      </c>
      <c r="ES626" s="1394"/>
      <c r="ET626" s="1394"/>
      <c r="EU626" s="1394"/>
      <c r="EV626" s="1395"/>
      <c r="EW626" s="1393" t="str">
        <f t="shared" si="22"/>
        <v/>
      </c>
      <c r="EX626" s="1394"/>
      <c r="EY626" s="1394"/>
      <c r="EZ626" s="1394"/>
      <c r="FA626" s="1395"/>
    </row>
    <row r="627" spans="2:157" ht="13" customHeight="1">
      <c r="B627" s="51" t="s">
        <v>112</v>
      </c>
      <c r="C627" s="1680" t="str">
        <f>C554</f>
        <v>GreyStone[GHI] - Tax Exempt</v>
      </c>
      <c r="D627" s="1680"/>
      <c r="E627" s="1680"/>
      <c r="F627" s="1680"/>
      <c r="G627" s="1680"/>
      <c r="H627" s="1680"/>
      <c r="I627" s="1680"/>
      <c r="J627" s="1680"/>
      <c r="K627" s="1680"/>
      <c r="L627" s="1680"/>
      <c r="M627" s="1685" t="s">
        <v>2439</v>
      </c>
      <c r="N627" s="1685"/>
      <c r="O627" s="1685"/>
      <c r="P627" s="1685"/>
      <c r="Q627" s="1543">
        <f>18*12</f>
        <v>216</v>
      </c>
      <c r="R627" s="1543"/>
      <c r="S627" s="1675"/>
      <c r="T627" s="1674">
        <v>480</v>
      </c>
      <c r="U627" s="1543"/>
      <c r="V627" s="1675"/>
      <c r="W627" s="1668">
        <v>0.06</v>
      </c>
      <c r="X627" s="1669"/>
      <c r="Y627" s="1670"/>
      <c r="Z627" s="1520" t="s">
        <v>2451</v>
      </c>
      <c r="AA627" s="1521"/>
      <c r="AB627" s="1522"/>
      <c r="AC627" s="1430">
        <v>1</v>
      </c>
      <c r="AD627" s="1431"/>
      <c r="AE627" s="1432"/>
      <c r="AF627" s="1587">
        <v>789864.69390555052</v>
      </c>
      <c r="AG627" s="1588"/>
      <c r="AH627" s="1588"/>
      <c r="AI627" s="1588"/>
      <c r="AJ627" s="1589"/>
      <c r="AK627" s="1686"/>
      <c r="AL627" s="1687"/>
      <c r="AM627" s="1687"/>
      <c r="AN627" s="1688"/>
      <c r="AO627" s="1606">
        <v>11963000</v>
      </c>
      <c r="AP627" s="1606"/>
      <c r="AQ627" s="1606"/>
      <c r="AR627" s="1606"/>
      <c r="AS627" s="1606"/>
      <c r="AT627" s="3"/>
      <c r="AU627" s="3"/>
      <c r="AZ627" s="3"/>
      <c r="BA627" s="3"/>
      <c r="BB627" s="3"/>
      <c r="BC627" s="3"/>
      <c r="BD627" s="3"/>
      <c r="BE627" s="1393">
        <f t="shared" si="1"/>
        <v>0</v>
      </c>
      <c r="BF627" s="1395"/>
      <c r="BG627" s="1399">
        <f t="shared" si="2"/>
        <v>0</v>
      </c>
      <c r="BH627" s="1400"/>
      <c r="BI627" s="1393">
        <f t="shared" si="3"/>
        <v>0</v>
      </c>
      <c r="BJ627" s="1395"/>
      <c r="BK627" s="1399">
        <f t="shared" si="4"/>
        <v>0</v>
      </c>
      <c r="BL627" s="1400"/>
      <c r="BM627" s="3"/>
      <c r="BN627" s="1401">
        <f t="shared" si="5"/>
        <v>0</v>
      </c>
      <c r="BO627" s="1402"/>
      <c r="BP627" s="1402"/>
      <c r="BQ627" s="1402"/>
      <c r="BR627" s="1403"/>
      <c r="BS627" s="1398">
        <f t="shared" si="6"/>
        <v>0</v>
      </c>
      <c r="BT627" s="1398"/>
      <c r="BU627" s="1398"/>
      <c r="BV627" s="1398"/>
      <c r="BW627" s="1398"/>
      <c r="BX627" s="1398">
        <f t="shared" si="7"/>
        <v>0</v>
      </c>
      <c r="BY627" s="1398"/>
      <c r="BZ627" s="1398"/>
      <c r="CA627" s="1398"/>
      <c r="CB627" s="1398"/>
      <c r="CC627" s="1398">
        <f t="shared" si="8"/>
        <v>0</v>
      </c>
      <c r="CD627" s="1398"/>
      <c r="CE627" s="1398"/>
      <c r="CF627" s="1398"/>
      <c r="CG627" s="1398"/>
      <c r="CH627" s="1398">
        <f t="shared" si="9"/>
        <v>0</v>
      </c>
      <c r="CI627" s="1398"/>
      <c r="CJ627" s="1398"/>
      <c r="CK627" s="1398"/>
      <c r="CL627" s="1398"/>
      <c r="CM627" s="1398">
        <f t="shared" si="10"/>
        <v>0</v>
      </c>
      <c r="CN627" s="1398"/>
      <c r="CO627" s="1398"/>
      <c r="CP627" s="1398"/>
      <c r="CQ627" s="1398"/>
      <c r="CR627" s="6"/>
      <c r="CS627" s="1397">
        <f t="shared" si="11"/>
        <v>0</v>
      </c>
      <c r="CT627" s="1397"/>
      <c r="CU627" s="1397"/>
      <c r="CV627" s="1397"/>
      <c r="CW627" s="1397"/>
      <c r="CX627" s="1397">
        <f t="shared" si="12"/>
        <v>0</v>
      </c>
      <c r="CY627" s="1397"/>
      <c r="CZ627" s="1397"/>
      <c r="DA627" s="1397"/>
      <c r="DB627" s="1397"/>
      <c r="DC627" s="1397">
        <f t="shared" si="13"/>
        <v>0</v>
      </c>
      <c r="DD627" s="1397"/>
      <c r="DE627" s="1397"/>
      <c r="DF627" s="1397"/>
      <c r="DG627" s="1397"/>
      <c r="DH627" s="1397">
        <f t="shared" si="14"/>
        <v>0</v>
      </c>
      <c r="DI627" s="1397"/>
      <c r="DJ627" s="1397"/>
      <c r="DK627" s="1397"/>
      <c r="DL627" s="1397"/>
      <c r="DM627" s="1397">
        <f t="shared" si="15"/>
        <v>0</v>
      </c>
      <c r="DN627" s="1397"/>
      <c r="DO627" s="1397"/>
      <c r="DP627" s="1397"/>
      <c r="DQ627" s="1397"/>
      <c r="DR627" s="1397">
        <f t="shared" si="16"/>
        <v>0</v>
      </c>
      <c r="DS627" s="1397"/>
      <c r="DT627" s="1397"/>
      <c r="DU627" s="1397"/>
      <c r="DV627" s="1397"/>
      <c r="DX627" s="1393" t="str">
        <f t="shared" si="17"/>
        <v/>
      </c>
      <c r="DY627" s="1394"/>
      <c r="DZ627" s="1394"/>
      <c r="EA627" s="1394"/>
      <c r="EB627" s="1395"/>
      <c r="EC627" s="1393" t="str">
        <f t="shared" si="18"/>
        <v/>
      </c>
      <c r="ED627" s="1394"/>
      <c r="EE627" s="1394"/>
      <c r="EF627" s="1394"/>
      <c r="EG627" s="1395"/>
      <c r="EH627" s="1393" t="str">
        <f t="shared" si="19"/>
        <v/>
      </c>
      <c r="EI627" s="1394"/>
      <c r="EJ627" s="1394"/>
      <c r="EK627" s="1394"/>
      <c r="EL627" s="1395"/>
      <c r="EM627" s="1393" t="str">
        <f t="shared" si="20"/>
        <v/>
      </c>
      <c r="EN627" s="1394"/>
      <c r="EO627" s="1394"/>
      <c r="EP627" s="1394"/>
      <c r="EQ627" s="1395"/>
      <c r="ER627" s="1393" t="str">
        <f t="shared" si="21"/>
        <v/>
      </c>
      <c r="ES627" s="1394"/>
      <c r="ET627" s="1394"/>
      <c r="EU627" s="1394"/>
      <c r="EV627" s="1395"/>
      <c r="EW627" s="1393" t="str">
        <f t="shared" si="22"/>
        <v/>
      </c>
      <c r="EX627" s="1394"/>
      <c r="EY627" s="1394"/>
      <c r="EZ627" s="1394"/>
      <c r="FA627" s="1395"/>
    </row>
    <row r="628" spans="2:157" ht="13" customHeight="1">
      <c r="B628" s="52" t="s">
        <v>113</v>
      </c>
      <c r="C628" s="1680" t="s">
        <v>2715</v>
      </c>
      <c r="D628" s="1680"/>
      <c r="E628" s="1680"/>
      <c r="F628" s="1680"/>
      <c r="G628" s="1680"/>
      <c r="H628" s="1680"/>
      <c r="I628" s="1680"/>
      <c r="J628" s="1680"/>
      <c r="K628" s="1680"/>
      <c r="L628" s="1680"/>
      <c r="M628" s="1685" t="s">
        <v>2435</v>
      </c>
      <c r="N628" s="1685"/>
      <c r="O628" s="1685"/>
      <c r="P628" s="1685"/>
      <c r="Q628" s="1674">
        <f>18*12</f>
        <v>216</v>
      </c>
      <c r="R628" s="1543"/>
      <c r="S628" s="1675"/>
      <c r="T628" s="1674">
        <v>480</v>
      </c>
      <c r="U628" s="1543"/>
      <c r="V628" s="1675"/>
      <c r="W628" s="1668">
        <v>0.12</v>
      </c>
      <c r="X628" s="1669"/>
      <c r="Y628" s="1670"/>
      <c r="Z628" s="1520" t="s">
        <v>466</v>
      </c>
      <c r="AA628" s="1521"/>
      <c r="AB628" s="1522"/>
      <c r="AC628" s="1430">
        <v>2</v>
      </c>
      <c r="AD628" s="1431"/>
      <c r="AE628" s="1432"/>
      <c r="AF628" s="1587"/>
      <c r="AG628" s="1588"/>
      <c r="AH628" s="1588"/>
      <c r="AI628" s="1588"/>
      <c r="AJ628" s="1589"/>
      <c r="AK628" s="1686"/>
      <c r="AL628" s="1687"/>
      <c r="AM628" s="1687"/>
      <c r="AN628" s="1688"/>
      <c r="AO628" s="1583">
        <v>8750000</v>
      </c>
      <c r="AP628" s="1584"/>
      <c r="AQ628" s="1584"/>
      <c r="AR628" s="1584"/>
      <c r="AS628" s="1585"/>
      <c r="AT628" s="1192" t="str">
        <f>IF(AND(NOT(C627=""),C628="",NOT(C629="")),"!","")</f>
        <v/>
      </c>
      <c r="AU628" s="3"/>
      <c r="AZ628" s="3"/>
      <c r="BA628" s="3"/>
      <c r="BB628" s="3"/>
      <c r="BC628" s="3"/>
      <c r="BD628" s="3"/>
      <c r="BE628" s="1393">
        <f t="shared" si="1"/>
        <v>0</v>
      </c>
      <c r="BF628" s="1395"/>
      <c r="BG628" s="1399">
        <f t="shared" si="2"/>
        <v>0</v>
      </c>
      <c r="BH628" s="1400"/>
      <c r="BI628" s="1393">
        <f t="shared" si="3"/>
        <v>0</v>
      </c>
      <c r="BJ628" s="1395"/>
      <c r="BK628" s="1399">
        <f t="shared" si="4"/>
        <v>0</v>
      </c>
      <c r="BL628" s="1400"/>
      <c r="BM628" s="3"/>
      <c r="BN628" s="1401">
        <f t="shared" si="5"/>
        <v>0</v>
      </c>
      <c r="BO628" s="1402"/>
      <c r="BP628" s="1402"/>
      <c r="BQ628" s="1402"/>
      <c r="BR628" s="1403"/>
      <c r="BS628" s="1398">
        <f t="shared" si="6"/>
        <v>0</v>
      </c>
      <c r="BT628" s="1398"/>
      <c r="BU628" s="1398"/>
      <c r="BV628" s="1398"/>
      <c r="BW628" s="1398"/>
      <c r="BX628" s="1398">
        <f t="shared" si="7"/>
        <v>0</v>
      </c>
      <c r="BY628" s="1398"/>
      <c r="BZ628" s="1398"/>
      <c r="CA628" s="1398"/>
      <c r="CB628" s="1398"/>
      <c r="CC628" s="1398">
        <f t="shared" si="8"/>
        <v>0</v>
      </c>
      <c r="CD628" s="1398"/>
      <c r="CE628" s="1398"/>
      <c r="CF628" s="1398"/>
      <c r="CG628" s="1398"/>
      <c r="CH628" s="1398">
        <f t="shared" si="9"/>
        <v>0</v>
      </c>
      <c r="CI628" s="1398"/>
      <c r="CJ628" s="1398"/>
      <c r="CK628" s="1398"/>
      <c r="CL628" s="1398"/>
      <c r="CM628" s="1398">
        <f t="shared" si="10"/>
        <v>0</v>
      </c>
      <c r="CN628" s="1398"/>
      <c r="CO628" s="1398"/>
      <c r="CP628" s="1398"/>
      <c r="CQ628" s="1398"/>
      <c r="CR628" s="6"/>
      <c r="CS628" s="1397">
        <f t="shared" si="11"/>
        <v>0</v>
      </c>
      <c r="CT628" s="1397"/>
      <c r="CU628" s="1397"/>
      <c r="CV628" s="1397"/>
      <c r="CW628" s="1397"/>
      <c r="CX628" s="1397">
        <f t="shared" si="12"/>
        <v>0</v>
      </c>
      <c r="CY628" s="1397"/>
      <c r="CZ628" s="1397"/>
      <c r="DA628" s="1397"/>
      <c r="DB628" s="1397"/>
      <c r="DC628" s="1397">
        <f t="shared" si="13"/>
        <v>0</v>
      </c>
      <c r="DD628" s="1397"/>
      <c r="DE628" s="1397"/>
      <c r="DF628" s="1397"/>
      <c r="DG628" s="1397"/>
      <c r="DH628" s="1397">
        <f t="shared" si="14"/>
        <v>0</v>
      </c>
      <c r="DI628" s="1397"/>
      <c r="DJ628" s="1397"/>
      <c r="DK628" s="1397"/>
      <c r="DL628" s="1397"/>
      <c r="DM628" s="1397">
        <f t="shared" si="15"/>
        <v>0</v>
      </c>
      <c r="DN628" s="1397"/>
      <c r="DO628" s="1397"/>
      <c r="DP628" s="1397"/>
      <c r="DQ628" s="1397"/>
      <c r="DR628" s="1397">
        <f t="shared" si="16"/>
        <v>0</v>
      </c>
      <c r="DS628" s="1397"/>
      <c r="DT628" s="1397"/>
      <c r="DU628" s="1397"/>
      <c r="DV628" s="1397"/>
      <c r="DX628" s="1393" t="str">
        <f t="shared" si="17"/>
        <v/>
      </c>
      <c r="DY628" s="1394"/>
      <c r="DZ628" s="1394"/>
      <c r="EA628" s="1394"/>
      <c r="EB628" s="1395"/>
      <c r="EC628" s="1393" t="str">
        <f t="shared" si="18"/>
        <v/>
      </c>
      <c r="ED628" s="1394"/>
      <c r="EE628" s="1394"/>
      <c r="EF628" s="1394"/>
      <c r="EG628" s="1395"/>
      <c r="EH628" s="1393" t="str">
        <f t="shared" si="19"/>
        <v/>
      </c>
      <c r="EI628" s="1394"/>
      <c r="EJ628" s="1394"/>
      <c r="EK628" s="1394"/>
      <c r="EL628" s="1395"/>
      <c r="EM628" s="1393" t="str">
        <f t="shared" si="20"/>
        <v/>
      </c>
      <c r="EN628" s="1394"/>
      <c r="EO628" s="1394"/>
      <c r="EP628" s="1394"/>
      <c r="EQ628" s="1395"/>
      <c r="ER628" s="1393" t="str">
        <f t="shared" si="21"/>
        <v/>
      </c>
      <c r="ES628" s="1394"/>
      <c r="ET628" s="1394"/>
      <c r="EU628" s="1394"/>
      <c r="EV628" s="1395"/>
      <c r="EW628" s="1393" t="str">
        <f t="shared" si="22"/>
        <v/>
      </c>
      <c r="EX628" s="1394"/>
      <c r="EY628" s="1394"/>
      <c r="EZ628" s="1394"/>
      <c r="FA628" s="1395"/>
    </row>
    <row r="629" spans="2:157" ht="13" customHeight="1">
      <c r="B629" s="52" t="s">
        <v>119</v>
      </c>
      <c r="C629" s="1680" t="s">
        <v>2743</v>
      </c>
      <c r="D629" s="1680"/>
      <c r="E629" s="1680"/>
      <c r="F629" s="1680"/>
      <c r="G629" s="1680"/>
      <c r="H629" s="1680"/>
      <c r="I629" s="1680"/>
      <c r="J629" s="1680"/>
      <c r="K629" s="1680"/>
      <c r="L629" s="1680"/>
      <c r="M629" s="1685" t="s">
        <v>2441</v>
      </c>
      <c r="N629" s="1685"/>
      <c r="O629" s="1685"/>
      <c r="P629" s="1685"/>
      <c r="Q629" s="1674"/>
      <c r="R629" s="1543"/>
      <c r="S629" s="1675"/>
      <c r="T629" s="1674"/>
      <c r="U629" s="1543"/>
      <c r="V629" s="1675"/>
      <c r="W629" s="1668"/>
      <c r="X629" s="1669"/>
      <c r="Y629" s="1670"/>
      <c r="Z629" s="1520" t="s">
        <v>467</v>
      </c>
      <c r="AA629" s="1521"/>
      <c r="AB629" s="1522"/>
      <c r="AC629" s="1430"/>
      <c r="AD629" s="1431"/>
      <c r="AE629" s="1432"/>
      <c r="AF629" s="1587"/>
      <c r="AG629" s="1588"/>
      <c r="AH629" s="1588"/>
      <c r="AI629" s="1588"/>
      <c r="AJ629" s="1589"/>
      <c r="AK629" s="1686"/>
      <c r="AL629" s="1687"/>
      <c r="AM629" s="1687"/>
      <c r="AN629" s="1688"/>
      <c r="AO629" s="1583">
        <f>'15 Year Pro Forma'!E4/4</f>
        <v>400743</v>
      </c>
      <c r="AP629" s="1584"/>
      <c r="AQ629" s="1584"/>
      <c r="AR629" s="1584"/>
      <c r="AS629" s="1585"/>
      <c r="AT629" s="1192" t="str">
        <f t="shared" ref="AT629:AT638" si="23">IF(AND(NOT(C628=""),C629="",NOT(C630="")),"!","")</f>
        <v/>
      </c>
      <c r="AU629" s="3"/>
      <c r="AZ629" s="3"/>
      <c r="BA629" s="3"/>
      <c r="BB629" s="3"/>
      <c r="BC629" s="3"/>
      <c r="BD629" s="3"/>
      <c r="BE629" s="1393">
        <f t="shared" si="1"/>
        <v>0</v>
      </c>
      <c r="BF629" s="1395"/>
      <c r="BG629" s="1399">
        <f t="shared" si="2"/>
        <v>0</v>
      </c>
      <c r="BH629" s="1400"/>
      <c r="BI629" s="1393">
        <f t="shared" si="3"/>
        <v>0</v>
      </c>
      <c r="BJ629" s="1395"/>
      <c r="BK629" s="1399">
        <f t="shared" si="4"/>
        <v>0</v>
      </c>
      <c r="BL629" s="1400"/>
      <c r="BM629" s="3"/>
      <c r="BN629" s="1401">
        <f t="shared" si="5"/>
        <v>0</v>
      </c>
      <c r="BO629" s="1402"/>
      <c r="BP629" s="1402"/>
      <c r="BQ629" s="1402"/>
      <c r="BR629" s="1403"/>
      <c r="BS629" s="1398">
        <f t="shared" si="6"/>
        <v>0</v>
      </c>
      <c r="BT629" s="1398"/>
      <c r="BU629" s="1398"/>
      <c r="BV629" s="1398"/>
      <c r="BW629" s="1398"/>
      <c r="BX629" s="1398">
        <f t="shared" si="7"/>
        <v>0</v>
      </c>
      <c r="BY629" s="1398"/>
      <c r="BZ629" s="1398"/>
      <c r="CA629" s="1398"/>
      <c r="CB629" s="1398"/>
      <c r="CC629" s="1398">
        <f t="shared" si="8"/>
        <v>0</v>
      </c>
      <c r="CD629" s="1398"/>
      <c r="CE629" s="1398"/>
      <c r="CF629" s="1398"/>
      <c r="CG629" s="1398"/>
      <c r="CH629" s="1398">
        <f t="shared" si="9"/>
        <v>0</v>
      </c>
      <c r="CI629" s="1398"/>
      <c r="CJ629" s="1398"/>
      <c r="CK629" s="1398"/>
      <c r="CL629" s="1398"/>
      <c r="CM629" s="1398">
        <f t="shared" si="10"/>
        <v>0</v>
      </c>
      <c r="CN629" s="1398"/>
      <c r="CO629" s="1398"/>
      <c r="CP629" s="1398"/>
      <c r="CQ629" s="1398"/>
      <c r="CR629" s="6"/>
      <c r="CS629" s="1397">
        <f t="shared" si="11"/>
        <v>0</v>
      </c>
      <c r="CT629" s="1397"/>
      <c r="CU629" s="1397"/>
      <c r="CV629" s="1397"/>
      <c r="CW629" s="1397"/>
      <c r="CX629" s="1397">
        <f t="shared" si="12"/>
        <v>0</v>
      </c>
      <c r="CY629" s="1397"/>
      <c r="CZ629" s="1397"/>
      <c r="DA629" s="1397"/>
      <c r="DB629" s="1397"/>
      <c r="DC629" s="1397">
        <f t="shared" si="13"/>
        <v>0</v>
      </c>
      <c r="DD629" s="1397"/>
      <c r="DE629" s="1397"/>
      <c r="DF629" s="1397"/>
      <c r="DG629" s="1397"/>
      <c r="DH629" s="1397">
        <f t="shared" si="14"/>
        <v>0</v>
      </c>
      <c r="DI629" s="1397"/>
      <c r="DJ629" s="1397"/>
      <c r="DK629" s="1397"/>
      <c r="DL629" s="1397"/>
      <c r="DM629" s="1397">
        <f t="shared" si="15"/>
        <v>0</v>
      </c>
      <c r="DN629" s="1397"/>
      <c r="DO629" s="1397"/>
      <c r="DP629" s="1397"/>
      <c r="DQ629" s="1397"/>
      <c r="DR629" s="1397">
        <f t="shared" si="16"/>
        <v>0</v>
      </c>
      <c r="DS629" s="1397"/>
      <c r="DT629" s="1397"/>
      <c r="DU629" s="1397"/>
      <c r="DV629" s="1397"/>
      <c r="DX629" s="1393" t="str">
        <f t="shared" si="17"/>
        <v/>
      </c>
      <c r="DY629" s="1394"/>
      <c r="DZ629" s="1394"/>
      <c r="EA629" s="1394"/>
      <c r="EB629" s="1395"/>
      <c r="EC629" s="1393" t="str">
        <f t="shared" si="18"/>
        <v/>
      </c>
      <c r="ED629" s="1394"/>
      <c r="EE629" s="1394"/>
      <c r="EF629" s="1394"/>
      <c r="EG629" s="1395"/>
      <c r="EH629" s="1393" t="str">
        <f t="shared" si="19"/>
        <v/>
      </c>
      <c r="EI629" s="1394"/>
      <c r="EJ629" s="1394"/>
      <c r="EK629" s="1394"/>
      <c r="EL629" s="1395"/>
      <c r="EM629" s="1393" t="str">
        <f t="shared" si="20"/>
        <v/>
      </c>
      <c r="EN629" s="1394"/>
      <c r="EO629" s="1394"/>
      <c r="EP629" s="1394"/>
      <c r="EQ629" s="1395"/>
      <c r="ER629" s="1393" t="str">
        <f t="shared" si="21"/>
        <v/>
      </c>
      <c r="ES629" s="1394"/>
      <c r="ET629" s="1394"/>
      <c r="EU629" s="1394"/>
      <c r="EV629" s="1395"/>
      <c r="EW629" s="1393" t="str">
        <f t="shared" si="22"/>
        <v/>
      </c>
      <c r="EX629" s="1394"/>
      <c r="EY629" s="1394"/>
      <c r="EZ629" s="1394"/>
      <c r="FA629" s="1395"/>
    </row>
    <row r="630" spans="2:157" ht="13" customHeight="1">
      <c r="B630" s="52" t="s">
        <v>590</v>
      </c>
      <c r="C630" s="1679" t="s">
        <v>1851</v>
      </c>
      <c r="D630" s="1679"/>
      <c r="E630" s="1679"/>
      <c r="F630" s="1679"/>
      <c r="G630" s="1679"/>
      <c r="H630" s="1679"/>
      <c r="I630" s="1679"/>
      <c r="J630" s="1679"/>
      <c r="K630" s="1679"/>
      <c r="L630" s="1679"/>
      <c r="M630" s="1685" t="s">
        <v>2426</v>
      </c>
      <c r="N630" s="1685"/>
      <c r="O630" s="1685"/>
      <c r="P630" s="1685"/>
      <c r="Q630" s="1674">
        <v>240</v>
      </c>
      <c r="R630" s="1543"/>
      <c r="S630" s="1675"/>
      <c r="T630" s="1674"/>
      <c r="U630" s="1543"/>
      <c r="V630" s="1675"/>
      <c r="W630" s="1668">
        <v>0</v>
      </c>
      <c r="X630" s="1669"/>
      <c r="Y630" s="1670"/>
      <c r="Z630" s="1520" t="s">
        <v>466</v>
      </c>
      <c r="AA630" s="1521"/>
      <c r="AB630" s="1522"/>
      <c r="AC630" s="1430"/>
      <c r="AD630" s="1431"/>
      <c r="AE630" s="1432"/>
      <c r="AF630" s="1587"/>
      <c r="AG630" s="1588"/>
      <c r="AH630" s="1588"/>
      <c r="AI630" s="1588"/>
      <c r="AJ630" s="1589"/>
      <c r="AK630" s="1686"/>
      <c r="AL630" s="1687"/>
      <c r="AM630" s="1687"/>
      <c r="AN630" s="1688"/>
      <c r="AO630" s="1583">
        <v>3256801</v>
      </c>
      <c r="AP630" s="1584"/>
      <c r="AQ630" s="1584"/>
      <c r="AR630" s="1584"/>
      <c r="AS630" s="1585"/>
      <c r="AT630" s="1192" t="str">
        <f t="shared" si="23"/>
        <v/>
      </c>
      <c r="AU630" s="3"/>
      <c r="AZ630" s="3"/>
      <c r="BA630" s="3"/>
      <c r="BB630" s="3"/>
      <c r="BC630" s="3"/>
      <c r="BD630" s="3"/>
      <c r="BE630" s="1393">
        <f t="shared" si="1"/>
        <v>0</v>
      </c>
      <c r="BF630" s="1395"/>
      <c r="BG630" s="1399">
        <f t="shared" si="2"/>
        <v>0</v>
      </c>
      <c r="BH630" s="1400"/>
      <c r="BI630" s="1393">
        <f t="shared" si="3"/>
        <v>0</v>
      </c>
      <c r="BJ630" s="1395"/>
      <c r="BK630" s="1399">
        <f t="shared" si="4"/>
        <v>0</v>
      </c>
      <c r="BL630" s="1400"/>
      <c r="BM630" s="3"/>
      <c r="BN630" s="1401">
        <f t="shared" si="5"/>
        <v>0</v>
      </c>
      <c r="BO630" s="1402"/>
      <c r="BP630" s="1402"/>
      <c r="BQ630" s="1402"/>
      <c r="BR630" s="1403"/>
      <c r="BS630" s="1398">
        <f t="shared" si="6"/>
        <v>0</v>
      </c>
      <c r="BT630" s="1398"/>
      <c r="BU630" s="1398"/>
      <c r="BV630" s="1398"/>
      <c r="BW630" s="1398"/>
      <c r="BX630" s="1398">
        <f t="shared" si="7"/>
        <v>0</v>
      </c>
      <c r="BY630" s="1398"/>
      <c r="BZ630" s="1398"/>
      <c r="CA630" s="1398"/>
      <c r="CB630" s="1398"/>
      <c r="CC630" s="1398">
        <f t="shared" si="8"/>
        <v>0</v>
      </c>
      <c r="CD630" s="1398"/>
      <c r="CE630" s="1398"/>
      <c r="CF630" s="1398"/>
      <c r="CG630" s="1398"/>
      <c r="CH630" s="1398">
        <f t="shared" si="9"/>
        <v>0</v>
      </c>
      <c r="CI630" s="1398"/>
      <c r="CJ630" s="1398"/>
      <c r="CK630" s="1398"/>
      <c r="CL630" s="1398"/>
      <c r="CM630" s="1398">
        <f t="shared" si="10"/>
        <v>0</v>
      </c>
      <c r="CN630" s="1398"/>
      <c r="CO630" s="1398"/>
      <c r="CP630" s="1398"/>
      <c r="CQ630" s="1398"/>
      <c r="CR630" s="6"/>
      <c r="CS630" s="1397">
        <f t="shared" si="11"/>
        <v>0</v>
      </c>
      <c r="CT630" s="1397"/>
      <c r="CU630" s="1397"/>
      <c r="CV630" s="1397"/>
      <c r="CW630" s="1397"/>
      <c r="CX630" s="1397">
        <f t="shared" si="12"/>
        <v>0</v>
      </c>
      <c r="CY630" s="1397"/>
      <c r="CZ630" s="1397"/>
      <c r="DA630" s="1397"/>
      <c r="DB630" s="1397"/>
      <c r="DC630" s="1397">
        <f t="shared" si="13"/>
        <v>0</v>
      </c>
      <c r="DD630" s="1397"/>
      <c r="DE630" s="1397"/>
      <c r="DF630" s="1397"/>
      <c r="DG630" s="1397"/>
      <c r="DH630" s="1397">
        <f t="shared" si="14"/>
        <v>0</v>
      </c>
      <c r="DI630" s="1397"/>
      <c r="DJ630" s="1397"/>
      <c r="DK630" s="1397"/>
      <c r="DL630" s="1397"/>
      <c r="DM630" s="1397">
        <f t="shared" si="15"/>
        <v>0</v>
      </c>
      <c r="DN630" s="1397"/>
      <c r="DO630" s="1397"/>
      <c r="DP630" s="1397"/>
      <c r="DQ630" s="1397"/>
      <c r="DR630" s="1397">
        <f t="shared" si="16"/>
        <v>0</v>
      </c>
      <c r="DS630" s="1397"/>
      <c r="DT630" s="1397"/>
      <c r="DU630" s="1397"/>
      <c r="DV630" s="1397"/>
      <c r="DX630" s="1393" t="str">
        <f t="shared" si="17"/>
        <v/>
      </c>
      <c r="DY630" s="1394"/>
      <c r="DZ630" s="1394"/>
      <c r="EA630" s="1394"/>
      <c r="EB630" s="1395"/>
      <c r="EC630" s="1393" t="str">
        <f t="shared" si="18"/>
        <v/>
      </c>
      <c r="ED630" s="1394"/>
      <c r="EE630" s="1394"/>
      <c r="EF630" s="1394"/>
      <c r="EG630" s="1395"/>
      <c r="EH630" s="1393" t="str">
        <f t="shared" si="19"/>
        <v/>
      </c>
      <c r="EI630" s="1394"/>
      <c r="EJ630" s="1394"/>
      <c r="EK630" s="1394"/>
      <c r="EL630" s="1395"/>
      <c r="EM630" s="1393" t="str">
        <f t="shared" si="20"/>
        <v/>
      </c>
      <c r="EN630" s="1394"/>
      <c r="EO630" s="1394"/>
      <c r="EP630" s="1394"/>
      <c r="EQ630" s="1395"/>
      <c r="ER630" s="1393" t="str">
        <f t="shared" si="21"/>
        <v/>
      </c>
      <c r="ES630" s="1394"/>
      <c r="ET630" s="1394"/>
      <c r="EU630" s="1394"/>
      <c r="EV630" s="1395"/>
      <c r="EW630" s="1393" t="str">
        <f t="shared" si="22"/>
        <v/>
      </c>
      <c r="EX630" s="1394"/>
      <c r="EY630" s="1394"/>
      <c r="EZ630" s="1394"/>
      <c r="FA630" s="1395"/>
    </row>
    <row r="631" spans="2:157" ht="13" customHeight="1">
      <c r="B631" s="52" t="s">
        <v>773</v>
      </c>
      <c r="C631" s="1679" t="s">
        <v>2755</v>
      </c>
      <c r="D631" s="1679"/>
      <c r="E631" s="1679"/>
      <c r="F631" s="1679"/>
      <c r="G631" s="1679"/>
      <c r="H631" s="1679"/>
      <c r="I631" s="1679"/>
      <c r="J631" s="1679"/>
      <c r="K631" s="1679"/>
      <c r="L631" s="1679"/>
      <c r="M631" s="1685" t="s">
        <v>2429</v>
      </c>
      <c r="N631" s="1685"/>
      <c r="O631" s="1685"/>
      <c r="P631" s="1685"/>
      <c r="Q631" s="1674"/>
      <c r="R631" s="1543"/>
      <c r="S631" s="1675"/>
      <c r="T631" s="1674"/>
      <c r="U631" s="1543"/>
      <c r="V631" s="1675"/>
      <c r="W631" s="1668"/>
      <c r="X631" s="1669"/>
      <c r="Y631" s="1670"/>
      <c r="Z631" s="1520" t="s">
        <v>467</v>
      </c>
      <c r="AA631" s="1521"/>
      <c r="AB631" s="1522"/>
      <c r="AC631" s="1430"/>
      <c r="AD631" s="1431"/>
      <c r="AE631" s="1432"/>
      <c r="AF631" s="1587"/>
      <c r="AG631" s="1588"/>
      <c r="AH631" s="1588"/>
      <c r="AI631" s="1588"/>
      <c r="AJ631" s="1589"/>
      <c r="AK631" s="1686"/>
      <c r="AL631" s="1687"/>
      <c r="AM631" s="1687"/>
      <c r="AN631" s="1688"/>
      <c r="AO631" s="1583">
        <v>2428002</v>
      </c>
      <c r="AP631" s="1584"/>
      <c r="AQ631" s="1584"/>
      <c r="AR631" s="1584"/>
      <c r="AS631" s="1585"/>
      <c r="AT631" s="1192" t="str">
        <f t="shared" si="23"/>
        <v/>
      </c>
      <c r="AU631" s="3"/>
      <c r="AZ631" s="3"/>
      <c r="BA631" s="3"/>
      <c r="BB631" s="3"/>
      <c r="BC631" s="3"/>
      <c r="BD631" s="3"/>
      <c r="BE631" s="1393">
        <f t="shared" si="1"/>
        <v>0</v>
      </c>
      <c r="BF631" s="1395"/>
      <c r="BG631" s="1399">
        <f t="shared" si="2"/>
        <v>0</v>
      </c>
      <c r="BH631" s="1400"/>
      <c r="BI631" s="1393">
        <f t="shared" si="3"/>
        <v>0</v>
      </c>
      <c r="BJ631" s="1395"/>
      <c r="BK631" s="1399">
        <f t="shared" si="4"/>
        <v>0</v>
      </c>
      <c r="BL631" s="1400"/>
      <c r="BM631" s="3"/>
      <c r="BN631" s="1401">
        <f t="shared" si="5"/>
        <v>0</v>
      </c>
      <c r="BO631" s="1402"/>
      <c r="BP631" s="1402"/>
      <c r="BQ631" s="1402"/>
      <c r="BR631" s="1403"/>
      <c r="BS631" s="1398">
        <f t="shared" si="6"/>
        <v>0</v>
      </c>
      <c r="BT631" s="1398"/>
      <c r="BU631" s="1398"/>
      <c r="BV631" s="1398"/>
      <c r="BW631" s="1398"/>
      <c r="BX631" s="1398">
        <f t="shared" si="7"/>
        <v>0</v>
      </c>
      <c r="BY631" s="1398"/>
      <c r="BZ631" s="1398"/>
      <c r="CA631" s="1398"/>
      <c r="CB631" s="1398"/>
      <c r="CC631" s="1398">
        <f t="shared" si="8"/>
        <v>0</v>
      </c>
      <c r="CD631" s="1398"/>
      <c r="CE631" s="1398"/>
      <c r="CF631" s="1398"/>
      <c r="CG631" s="1398"/>
      <c r="CH631" s="1398">
        <f t="shared" si="9"/>
        <v>0</v>
      </c>
      <c r="CI631" s="1398"/>
      <c r="CJ631" s="1398"/>
      <c r="CK631" s="1398"/>
      <c r="CL631" s="1398"/>
      <c r="CM631" s="1398">
        <f t="shared" si="10"/>
        <v>0</v>
      </c>
      <c r="CN631" s="1398"/>
      <c r="CO631" s="1398"/>
      <c r="CP631" s="1398"/>
      <c r="CQ631" s="1398"/>
      <c r="CR631" s="6"/>
      <c r="CS631" s="1397">
        <f t="shared" si="11"/>
        <v>0</v>
      </c>
      <c r="CT631" s="1397"/>
      <c r="CU631" s="1397"/>
      <c r="CV631" s="1397"/>
      <c r="CW631" s="1397"/>
      <c r="CX631" s="1397">
        <f t="shared" si="12"/>
        <v>0</v>
      </c>
      <c r="CY631" s="1397"/>
      <c r="CZ631" s="1397"/>
      <c r="DA631" s="1397"/>
      <c r="DB631" s="1397"/>
      <c r="DC631" s="1397">
        <f t="shared" si="13"/>
        <v>0</v>
      </c>
      <c r="DD631" s="1397"/>
      <c r="DE631" s="1397"/>
      <c r="DF631" s="1397"/>
      <c r="DG631" s="1397"/>
      <c r="DH631" s="1397">
        <f t="shared" si="14"/>
        <v>0</v>
      </c>
      <c r="DI631" s="1397"/>
      <c r="DJ631" s="1397"/>
      <c r="DK631" s="1397"/>
      <c r="DL631" s="1397"/>
      <c r="DM631" s="1397">
        <f t="shared" si="15"/>
        <v>0</v>
      </c>
      <c r="DN631" s="1397"/>
      <c r="DO631" s="1397"/>
      <c r="DP631" s="1397"/>
      <c r="DQ631" s="1397"/>
      <c r="DR631" s="1397">
        <f t="shared" si="16"/>
        <v>0</v>
      </c>
      <c r="DS631" s="1397"/>
      <c r="DT631" s="1397"/>
      <c r="DU631" s="1397"/>
      <c r="DV631" s="1397"/>
      <c r="DX631" s="1393" t="str">
        <f t="shared" si="17"/>
        <v/>
      </c>
      <c r="DY631" s="1394"/>
      <c r="DZ631" s="1394"/>
      <c r="EA631" s="1394"/>
      <c r="EB631" s="1395"/>
      <c r="EC631" s="1393" t="str">
        <f t="shared" si="18"/>
        <v/>
      </c>
      <c r="ED631" s="1394"/>
      <c r="EE631" s="1394"/>
      <c r="EF631" s="1394"/>
      <c r="EG631" s="1395"/>
      <c r="EH631" s="1393" t="str">
        <f t="shared" si="19"/>
        <v/>
      </c>
      <c r="EI631" s="1394"/>
      <c r="EJ631" s="1394"/>
      <c r="EK631" s="1394"/>
      <c r="EL631" s="1395"/>
      <c r="EM631" s="1393" t="str">
        <f t="shared" si="20"/>
        <v/>
      </c>
      <c r="EN631" s="1394"/>
      <c r="EO631" s="1394"/>
      <c r="EP631" s="1394"/>
      <c r="EQ631" s="1395"/>
      <c r="ER631" s="1393" t="str">
        <f t="shared" si="21"/>
        <v/>
      </c>
      <c r="ES631" s="1394"/>
      <c r="ET631" s="1394"/>
      <c r="EU631" s="1394"/>
      <c r="EV631" s="1395"/>
      <c r="EW631" s="1393" t="str">
        <f t="shared" si="22"/>
        <v/>
      </c>
      <c r="EX631" s="1394"/>
      <c r="EY631" s="1394"/>
      <c r="EZ631" s="1394"/>
      <c r="FA631" s="1395"/>
    </row>
    <row r="632" spans="2:157" ht="13" customHeight="1">
      <c r="B632" s="52" t="s">
        <v>593</v>
      </c>
      <c r="C632" s="1679" t="s">
        <v>2756</v>
      </c>
      <c r="D632" s="1679"/>
      <c r="E632" s="1679"/>
      <c r="F632" s="1679"/>
      <c r="G632" s="1679"/>
      <c r="H632" s="1679"/>
      <c r="I632" s="1679"/>
      <c r="J632" s="1679"/>
      <c r="K632" s="1679"/>
      <c r="L632" s="1679"/>
      <c r="M632" s="1685" t="s">
        <v>2442</v>
      </c>
      <c r="N632" s="1685"/>
      <c r="O632" s="1685"/>
      <c r="P632" s="1685"/>
      <c r="Q632" s="1674">
        <f>18*12</f>
        <v>216</v>
      </c>
      <c r="R632" s="1543"/>
      <c r="S632" s="1675"/>
      <c r="T632" s="1674"/>
      <c r="U632" s="1543"/>
      <c r="V632" s="1675"/>
      <c r="W632" s="1668">
        <v>5.5E-2</v>
      </c>
      <c r="X632" s="1669"/>
      <c r="Y632" s="1670"/>
      <c r="Z632" s="1520" t="s">
        <v>466</v>
      </c>
      <c r="AA632" s="1521"/>
      <c r="AB632" s="1522"/>
      <c r="AC632" s="1430">
        <v>3</v>
      </c>
      <c r="AD632" s="1431"/>
      <c r="AE632" s="1432"/>
      <c r="AF632" s="1587"/>
      <c r="AG632" s="1588"/>
      <c r="AH632" s="1588"/>
      <c r="AI632" s="1588"/>
      <c r="AJ632" s="1589"/>
      <c r="AK632" s="1686"/>
      <c r="AL632" s="1687"/>
      <c r="AM632" s="1687"/>
      <c r="AN632" s="1688"/>
      <c r="AO632" s="1583">
        <v>4843008</v>
      </c>
      <c r="AP632" s="1584"/>
      <c r="AQ632" s="1584"/>
      <c r="AR632" s="1584"/>
      <c r="AS632" s="1585"/>
      <c r="AT632" s="1192" t="str">
        <f t="shared" si="23"/>
        <v/>
      </c>
      <c r="AU632" s="3"/>
      <c r="AZ632" s="3"/>
      <c r="BA632" s="3"/>
      <c r="BB632" s="3"/>
      <c r="BC632" s="3"/>
      <c r="BD632" s="3"/>
      <c r="BE632" s="3"/>
      <c r="BF632" s="3"/>
      <c r="BG632" s="1393">
        <f>SUM(BG597:BH631)</f>
        <v>23</v>
      </c>
      <c r="BH632" s="1395"/>
      <c r="BI632" s="3"/>
      <c r="BJ632" s="3"/>
      <c r="BK632" s="1393">
        <f>SUM(BK597:BL631)</f>
        <v>9</v>
      </c>
      <c r="BL632" s="1395"/>
      <c r="BM632" s="3"/>
      <c r="BN632" s="1393">
        <f>SUM(BN597:BR631)</f>
        <v>44</v>
      </c>
      <c r="BO632" s="1394"/>
      <c r="BP632" s="1394"/>
      <c r="BQ632" s="1394"/>
      <c r="BR632" s="1395"/>
      <c r="BS632" s="1396">
        <f>SUM(BS597:BW631)</f>
        <v>24</v>
      </c>
      <c r="BT632" s="1396"/>
      <c r="BU632" s="1396"/>
      <c r="BV632" s="1396"/>
      <c r="BW632" s="1396"/>
      <c r="BX632" s="1396">
        <f>SUM(BX597:CB631)</f>
        <v>11</v>
      </c>
      <c r="BY632" s="1396"/>
      <c r="BZ632" s="1396"/>
      <c r="CA632" s="1396"/>
      <c r="CB632" s="1396"/>
      <c r="CC632" s="1396">
        <f>SUM(CC597:CG631)</f>
        <v>0</v>
      </c>
      <c r="CD632" s="1396"/>
      <c r="CE632" s="1396"/>
      <c r="CF632" s="1396"/>
      <c r="CG632" s="1396"/>
      <c r="CH632" s="1396">
        <f>SUM(CH597:CL631)</f>
        <v>0</v>
      </c>
      <c r="CI632" s="1396"/>
      <c r="CJ632" s="1396"/>
      <c r="CK632" s="1396"/>
      <c r="CL632" s="1396"/>
      <c r="CM632" s="1396">
        <f>SUM(CM597:CQ631)</f>
        <v>0</v>
      </c>
      <c r="CN632" s="1396"/>
      <c r="CO632" s="1396"/>
      <c r="CP632" s="1396"/>
      <c r="CQ632" s="1396"/>
      <c r="CR632" s="385"/>
      <c r="CS632" s="1396">
        <f>SUM(CS597:CW631)</f>
        <v>9</v>
      </c>
      <c r="CT632" s="1396"/>
      <c r="CU632" s="1396"/>
      <c r="CV632" s="1396"/>
      <c r="CW632" s="1396"/>
      <c r="CX632" s="1396">
        <f>SUM(CX597:DB631)</f>
        <v>0</v>
      </c>
      <c r="CY632" s="1396"/>
      <c r="CZ632" s="1396"/>
      <c r="DA632" s="1396"/>
      <c r="DB632" s="1396"/>
      <c r="DC632" s="1396">
        <f>SUM(DC597:DG631)</f>
        <v>0</v>
      </c>
      <c r="DD632" s="1396"/>
      <c r="DE632" s="1396"/>
      <c r="DF632" s="1396"/>
      <c r="DG632" s="1396"/>
      <c r="DH632" s="1396">
        <f>SUM(DH597:DL631)</f>
        <v>0</v>
      </c>
      <c r="DI632" s="1396"/>
      <c r="DJ632" s="1396"/>
      <c r="DK632" s="1396"/>
      <c r="DL632" s="1396"/>
      <c r="DM632" s="1396">
        <f>SUM(DM597:DQ631)</f>
        <v>0</v>
      </c>
      <c r="DN632" s="1396"/>
      <c r="DO632" s="1396"/>
      <c r="DP632" s="1396"/>
      <c r="DQ632" s="1396"/>
      <c r="DR632" s="1396">
        <f>SUM(DR597:DV631)</f>
        <v>0</v>
      </c>
      <c r="DS632" s="1396"/>
      <c r="DT632" s="1396"/>
      <c r="DU632" s="1396"/>
      <c r="DV632" s="1396"/>
      <c r="DX632" s="1396">
        <f>SUM(DX597:EB631)</f>
        <v>3592</v>
      </c>
      <c r="DY632" s="1396"/>
      <c r="DZ632" s="1396"/>
      <c r="EA632" s="1396"/>
      <c r="EB632" s="1396"/>
      <c r="EC632" s="1396">
        <f>SUM(EC597:EG631)</f>
        <v>3912</v>
      </c>
      <c r="ED632" s="1396"/>
      <c r="EE632" s="1396"/>
      <c r="EF632" s="1396"/>
      <c r="EG632" s="1396"/>
      <c r="EH632" s="1396">
        <f>SUM(EH597:EL631)</f>
        <v>4659</v>
      </c>
      <c r="EI632" s="1396"/>
      <c r="EJ632" s="1396"/>
      <c r="EK632" s="1396"/>
      <c r="EL632" s="1396"/>
      <c r="EM632" s="1396">
        <f>SUM(EM597:EQ631)</f>
        <v>0</v>
      </c>
      <c r="EN632" s="1396"/>
      <c r="EO632" s="1396"/>
      <c r="EP632" s="1396"/>
      <c r="EQ632" s="1396"/>
      <c r="ER632" s="1396">
        <f>SUM(ER597:EV631)</f>
        <v>0</v>
      </c>
      <c r="ES632" s="1396"/>
      <c r="ET632" s="1396"/>
      <c r="EU632" s="1396"/>
      <c r="EV632" s="1396"/>
      <c r="EW632" s="1396">
        <f>SUM(EW597:FA631)</f>
        <v>0</v>
      </c>
      <c r="EX632" s="1396"/>
      <c r="EY632" s="1396"/>
      <c r="EZ632" s="1396"/>
      <c r="FA632" s="1396"/>
    </row>
    <row r="633" spans="2:157" ht="13" customHeight="1">
      <c r="B633" s="52" t="s">
        <v>464</v>
      </c>
      <c r="C633" s="1679" t="s">
        <v>2710</v>
      </c>
      <c r="D633" s="1679"/>
      <c r="E633" s="1679"/>
      <c r="F633" s="1679"/>
      <c r="G633" s="1679"/>
      <c r="H633" s="1679"/>
      <c r="I633" s="1679"/>
      <c r="J633" s="1679"/>
      <c r="K633" s="1679"/>
      <c r="L633" s="1679"/>
      <c r="M633" s="1685" t="s">
        <v>2428</v>
      </c>
      <c r="N633" s="1685"/>
      <c r="O633" s="1685"/>
      <c r="P633" s="1685"/>
      <c r="Q633" s="1674"/>
      <c r="R633" s="1543"/>
      <c r="S633" s="1675"/>
      <c r="T633" s="1674"/>
      <c r="U633" s="1543"/>
      <c r="V633" s="1675"/>
      <c r="W633" s="1668"/>
      <c r="X633" s="1669"/>
      <c r="Y633" s="1670"/>
      <c r="Z633" s="1520" t="s">
        <v>467</v>
      </c>
      <c r="AA633" s="1521"/>
      <c r="AB633" s="1522"/>
      <c r="AC633" s="1430"/>
      <c r="AD633" s="1431"/>
      <c r="AE633" s="1432"/>
      <c r="AF633" s="1587"/>
      <c r="AG633" s="1588"/>
      <c r="AH633" s="1588"/>
      <c r="AI633" s="1588"/>
      <c r="AJ633" s="1589"/>
      <c r="AK633" s="1686"/>
      <c r="AL633" s="1687"/>
      <c r="AM633" s="1687"/>
      <c r="AN633" s="1688"/>
      <c r="AO633" s="1583">
        <v>100</v>
      </c>
      <c r="AP633" s="1584"/>
      <c r="AQ633" s="1584"/>
      <c r="AR633" s="1584"/>
      <c r="AS633" s="158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393">
        <f>BN632+BS632+BX632+CC632+CH632+CM632</f>
        <v>79</v>
      </c>
      <c r="CN633" s="1394"/>
      <c r="CO633" s="1394"/>
      <c r="CP633" s="1394"/>
      <c r="CQ633" s="1395"/>
      <c r="CR633" s="385"/>
      <c r="CS633" s="3"/>
      <c r="CT633" s="3"/>
      <c r="CU633" s="3"/>
      <c r="CV633" s="3"/>
      <c r="CW633" s="3"/>
      <c r="CX633" s="3"/>
      <c r="CY633" s="3"/>
      <c r="CZ633" s="3"/>
      <c r="DA633" s="3"/>
      <c r="DB633" s="3"/>
      <c r="DC633" s="3"/>
      <c r="DD633" s="3"/>
      <c r="DE633" s="3"/>
      <c r="DF633" s="3"/>
    </row>
    <row r="634" spans="2:157" ht="13" customHeight="1">
      <c r="B634" s="52" t="s">
        <v>465</v>
      </c>
      <c r="C634" s="1680"/>
      <c r="D634" s="1679"/>
      <c r="E634" s="1679"/>
      <c r="F634" s="1679"/>
      <c r="G634" s="1679"/>
      <c r="H634" s="1679"/>
      <c r="I634" s="1679"/>
      <c r="J634" s="1679"/>
      <c r="K634" s="1679"/>
      <c r="L634" s="1679"/>
      <c r="M634" s="1685" t="s">
        <v>1291</v>
      </c>
      <c r="N634" s="1685"/>
      <c r="O634" s="1685"/>
      <c r="P634" s="1685"/>
      <c r="Q634" s="1674"/>
      <c r="R634" s="1543"/>
      <c r="S634" s="1675"/>
      <c r="T634" s="1674"/>
      <c r="U634" s="1543"/>
      <c r="V634" s="1675"/>
      <c r="W634" s="1668"/>
      <c r="X634" s="1669"/>
      <c r="Y634" s="1670"/>
      <c r="Z634" s="1520" t="s">
        <v>1291</v>
      </c>
      <c r="AA634" s="1521"/>
      <c r="AB634" s="1522"/>
      <c r="AC634" s="1430"/>
      <c r="AD634" s="1431"/>
      <c r="AE634" s="1432"/>
      <c r="AF634" s="1587"/>
      <c r="AG634" s="1588"/>
      <c r="AH634" s="1588"/>
      <c r="AI634" s="1588"/>
      <c r="AJ634" s="1589"/>
      <c r="AK634" s="1686"/>
      <c r="AL634" s="1687"/>
      <c r="AM634" s="1687"/>
      <c r="AN634" s="1688"/>
      <c r="AO634" s="1583"/>
      <c r="AP634" s="1584"/>
      <c r="AQ634" s="1584"/>
      <c r="AR634" s="1584"/>
      <c r="AS634" s="1585"/>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44</v>
      </c>
      <c r="BS634" s="3"/>
      <c r="BT634" s="3"/>
      <c r="BU634" s="3"/>
      <c r="BV634" s="3"/>
      <c r="BW634" s="895">
        <f>BS632*1</f>
        <v>24</v>
      </c>
      <c r="BX634" s="3"/>
      <c r="BY634" s="3"/>
      <c r="BZ634" s="3"/>
      <c r="CA634" s="3"/>
      <c r="CB634" s="895">
        <f>BX632*2</f>
        <v>22</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90</v>
      </c>
      <c r="CT634" s="57" t="s">
        <v>2054</v>
      </c>
      <c r="CU634" s="3"/>
      <c r="CV634" s="3"/>
      <c r="CW634" s="3"/>
      <c r="CX634" s="3"/>
      <c r="CY634" s="3"/>
      <c r="CZ634" s="3"/>
      <c r="DA634" s="3"/>
      <c r="DB634" s="3"/>
      <c r="DC634" s="3"/>
      <c r="DD634" s="3"/>
      <c r="DE634" s="3"/>
      <c r="DF634" s="3"/>
    </row>
    <row r="635" spans="2:157" ht="13" customHeight="1">
      <c r="B635" s="52" t="s">
        <v>470</v>
      </c>
      <c r="C635" s="1679"/>
      <c r="D635" s="1679"/>
      <c r="E635" s="1679"/>
      <c r="F635" s="1679"/>
      <c r="G635" s="1679"/>
      <c r="H635" s="1679"/>
      <c r="I635" s="1679"/>
      <c r="J635" s="1679"/>
      <c r="K635" s="1679"/>
      <c r="L635" s="1679"/>
      <c r="M635" s="1685" t="s">
        <v>1291</v>
      </c>
      <c r="N635" s="1685"/>
      <c r="O635" s="1685"/>
      <c r="P635" s="1685"/>
      <c r="Q635" s="1674"/>
      <c r="R635" s="1543"/>
      <c r="S635" s="1675"/>
      <c r="T635" s="1674"/>
      <c r="U635" s="1543"/>
      <c r="V635" s="1675"/>
      <c r="W635" s="1668"/>
      <c r="X635" s="1669"/>
      <c r="Y635" s="1670"/>
      <c r="Z635" s="1520" t="s">
        <v>1291</v>
      </c>
      <c r="AA635" s="1521"/>
      <c r="AB635" s="1522"/>
      <c r="AC635" s="1430"/>
      <c r="AD635" s="1431"/>
      <c r="AE635" s="1432"/>
      <c r="AF635" s="1587"/>
      <c r="AG635" s="1588"/>
      <c r="AH635" s="1588"/>
      <c r="AI635" s="1588"/>
      <c r="AJ635" s="1589"/>
      <c r="AK635" s="1686"/>
      <c r="AL635" s="1687"/>
      <c r="AM635" s="1687"/>
      <c r="AN635" s="1688"/>
      <c r="AO635" s="1583"/>
      <c r="AP635" s="1584"/>
      <c r="AQ635" s="1584"/>
      <c r="AR635" s="1584"/>
      <c r="AS635" s="1585"/>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6">
        <f>DX597*(BN597/$BN$632)</f>
        <v>151.97727272727275</v>
      </c>
      <c r="DY635" s="1356"/>
      <c r="DZ635" s="1356"/>
      <c r="EA635" s="1356"/>
      <c r="EB635" s="1356"/>
      <c r="EC635" s="1356" t="e">
        <f t="shared" ref="EC635:EC657" si="24">EC597*(BS597/$BS$632)</f>
        <v>#VALUE!</v>
      </c>
      <c r="ED635" s="1356"/>
      <c r="EE635" s="1356"/>
      <c r="EF635" s="1356"/>
      <c r="EG635" s="1356"/>
      <c r="EH635" s="1356" t="e">
        <f t="shared" ref="EH635:EH657" si="25">EH597*(BX597/$BX$632)</f>
        <v>#VALUE!</v>
      </c>
      <c r="EI635" s="1356"/>
      <c r="EJ635" s="1356"/>
      <c r="EK635" s="1356"/>
      <c r="EL635" s="1356"/>
      <c r="EM635" s="1356" t="e">
        <f t="shared" ref="EM635:EM657" si="26">EM597*(CC597/$CC$632)</f>
        <v>#VALUE!</v>
      </c>
      <c r="EN635" s="1356"/>
      <c r="EO635" s="1356"/>
      <c r="EP635" s="1356"/>
      <c r="EQ635" s="1356"/>
      <c r="ER635" s="1356" t="e">
        <f t="shared" ref="ER635:ER657" si="27">ER597*(CH597/$CH$632)</f>
        <v>#VALUE!</v>
      </c>
      <c r="ES635" s="1356"/>
      <c r="ET635" s="1356"/>
      <c r="EU635" s="1356"/>
      <c r="EV635" s="1356"/>
      <c r="EW635" s="1356" t="e">
        <f t="shared" ref="EW635:EW657" si="28">EW597*(CM597/$CM$632)</f>
        <v>#VALUE!</v>
      </c>
      <c r="EX635" s="1356"/>
      <c r="EY635" s="1356"/>
      <c r="EZ635" s="1356"/>
      <c r="FA635" s="1356"/>
    </row>
    <row r="636" spans="2:157" ht="13" customHeight="1">
      <c r="B636" s="52" t="s">
        <v>655</v>
      </c>
      <c r="C636" s="1679"/>
      <c r="D636" s="1679"/>
      <c r="E636" s="1679"/>
      <c r="F636" s="1679"/>
      <c r="G636" s="1679"/>
      <c r="H636" s="1679"/>
      <c r="I636" s="1679"/>
      <c r="J636" s="1679"/>
      <c r="K636" s="1679"/>
      <c r="L636" s="1679"/>
      <c r="M636" s="1685" t="s">
        <v>1291</v>
      </c>
      <c r="N636" s="1685"/>
      <c r="O636" s="1685"/>
      <c r="P636" s="1685"/>
      <c r="Q636" s="1674"/>
      <c r="R636" s="1543"/>
      <c r="S636" s="1675"/>
      <c r="T636" s="1674"/>
      <c r="U636" s="1543"/>
      <c r="V636" s="1675"/>
      <c r="W636" s="1668"/>
      <c r="X636" s="1669"/>
      <c r="Y636" s="1670"/>
      <c r="Z636" s="1520" t="s">
        <v>1291</v>
      </c>
      <c r="AA636" s="1521"/>
      <c r="AB636" s="1522"/>
      <c r="AC636" s="1430"/>
      <c r="AD636" s="1431"/>
      <c r="AE636" s="1432"/>
      <c r="AF636" s="1587"/>
      <c r="AG636" s="1588"/>
      <c r="AH636" s="1588"/>
      <c r="AI636" s="1588"/>
      <c r="AJ636" s="1589"/>
      <c r="AK636" s="1686"/>
      <c r="AL636" s="1687"/>
      <c r="AM636" s="1687"/>
      <c r="AN636" s="1688"/>
      <c r="AO636" s="1583"/>
      <c r="AP636" s="1584"/>
      <c r="AQ636" s="1584"/>
      <c r="AR636" s="1584"/>
      <c r="AS636" s="1585"/>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6">
        <f t="shared" ref="DX636:DX657" si="29">DX598*(BN598/$BN$632)</f>
        <v>673.27272727272725</v>
      </c>
      <c r="DY636" s="1356"/>
      <c r="DZ636" s="1356"/>
      <c r="EA636" s="1356"/>
      <c r="EB636" s="1356"/>
      <c r="EC636" s="1356" t="e">
        <f t="shared" si="24"/>
        <v>#VALUE!</v>
      </c>
      <c r="ED636" s="1356"/>
      <c r="EE636" s="1356"/>
      <c r="EF636" s="1356"/>
      <c r="EG636" s="1356"/>
      <c r="EH636" s="1356" t="e">
        <f t="shared" si="25"/>
        <v>#VALUE!</v>
      </c>
      <c r="EI636" s="1356"/>
      <c r="EJ636" s="1356"/>
      <c r="EK636" s="1356"/>
      <c r="EL636" s="1356"/>
      <c r="EM636" s="1356" t="e">
        <f t="shared" si="26"/>
        <v>#VALUE!</v>
      </c>
      <c r="EN636" s="1356"/>
      <c r="EO636" s="1356"/>
      <c r="EP636" s="1356"/>
      <c r="EQ636" s="1356"/>
      <c r="ER636" s="1356" t="e">
        <f t="shared" si="27"/>
        <v>#VALUE!</v>
      </c>
      <c r="ES636" s="1356"/>
      <c r="ET636" s="1356"/>
      <c r="EU636" s="1356"/>
      <c r="EV636" s="1356"/>
      <c r="EW636" s="1356" t="e">
        <f t="shared" si="28"/>
        <v>#VALUE!</v>
      </c>
      <c r="EX636" s="1356"/>
      <c r="EY636" s="1356"/>
      <c r="EZ636" s="1356"/>
      <c r="FA636" s="1356"/>
    </row>
    <row r="637" spans="2:157" ht="13" customHeight="1">
      <c r="B637" s="52" t="s">
        <v>363</v>
      </c>
      <c r="C637" s="1679"/>
      <c r="D637" s="1679"/>
      <c r="E637" s="1679"/>
      <c r="F637" s="1679"/>
      <c r="G637" s="1679"/>
      <c r="H637" s="1679"/>
      <c r="I637" s="1679"/>
      <c r="J637" s="1679"/>
      <c r="K637" s="1679"/>
      <c r="L637" s="1679"/>
      <c r="M637" s="1685" t="s">
        <v>1291</v>
      </c>
      <c r="N637" s="1685"/>
      <c r="O637" s="1685"/>
      <c r="P637" s="1685"/>
      <c r="Q637" s="1674"/>
      <c r="R637" s="1543"/>
      <c r="S637" s="1675"/>
      <c r="T637" s="1674"/>
      <c r="U637" s="1543"/>
      <c r="V637" s="1675"/>
      <c r="W637" s="1668"/>
      <c r="X637" s="1669"/>
      <c r="Y637" s="1670"/>
      <c r="Z637" s="1520" t="s">
        <v>1291</v>
      </c>
      <c r="AA637" s="1521"/>
      <c r="AB637" s="1522"/>
      <c r="AC637" s="1430"/>
      <c r="AD637" s="1431"/>
      <c r="AE637" s="1432"/>
      <c r="AF637" s="1587"/>
      <c r="AG637" s="1588"/>
      <c r="AH637" s="1588"/>
      <c r="AI637" s="1588"/>
      <c r="AJ637" s="1589"/>
      <c r="AK637" s="1686"/>
      <c r="AL637" s="1687"/>
      <c r="AM637" s="1687"/>
      <c r="AN637" s="1688"/>
      <c r="AO637" s="1583"/>
      <c r="AP637" s="1584"/>
      <c r="AQ637" s="1584"/>
      <c r="AR637" s="1584"/>
      <c r="AS637" s="1585"/>
      <c r="AT637" s="1192" t="str">
        <f t="shared" si="23"/>
        <v/>
      </c>
      <c r="AV637" s="3"/>
      <c r="AW637" s="3"/>
      <c r="AX637" s="3"/>
      <c r="AY637" s="3"/>
      <c r="AZ637" s="34"/>
      <c r="BA637" s="3" t="s">
        <v>2451</v>
      </c>
      <c r="BB637" s="34"/>
      <c r="BC637" s="34"/>
      <c r="BD637" s="34"/>
      <c r="BE637" s="34"/>
      <c r="BF637" s="34"/>
      <c r="BG637" s="34"/>
      <c r="BH637" s="34"/>
      <c r="BI637" s="34"/>
      <c r="BJ637" s="34"/>
      <c r="BK637" s="34"/>
      <c r="BL637" s="34"/>
      <c r="BM637" s="34"/>
      <c r="BN637" s="1401">
        <f>IF(J773="SRO/Studio",O773,0)</f>
        <v>0</v>
      </c>
      <c r="BO637" s="1402"/>
      <c r="BP637" s="1402"/>
      <c r="BQ637" s="1402"/>
      <c r="BR637" s="1403"/>
      <c r="BS637" s="1398">
        <f>IF(J773="1 Bedroom",O773,0)</f>
        <v>0</v>
      </c>
      <c r="BT637" s="1398"/>
      <c r="BU637" s="1398"/>
      <c r="BV637" s="1398"/>
      <c r="BW637" s="1398"/>
      <c r="BX637" s="1398">
        <f>IF(J773="2 Bedrooms",O773,0)</f>
        <v>1</v>
      </c>
      <c r="BY637" s="1398"/>
      <c r="BZ637" s="1398"/>
      <c r="CA637" s="1398"/>
      <c r="CB637" s="1398"/>
      <c r="CC637" s="1398">
        <f>IF(J773="3 Bedrooms",O773,0)</f>
        <v>0</v>
      </c>
      <c r="CD637" s="1398"/>
      <c r="CE637" s="1398"/>
      <c r="CF637" s="1398"/>
      <c r="CG637" s="1398"/>
      <c r="CH637" s="1398">
        <f>IF(J773="4 Bedrooms",O773,0)</f>
        <v>0</v>
      </c>
      <c r="CI637" s="1398"/>
      <c r="CJ637" s="1398"/>
      <c r="CK637" s="1398"/>
      <c r="CL637" s="1398"/>
      <c r="CM637" s="1398">
        <f>IF(J773="5 Bedrooms",O773,0)</f>
        <v>0</v>
      </c>
      <c r="CN637" s="1398"/>
      <c r="CO637" s="1398"/>
      <c r="CP637" s="1398"/>
      <c r="CQ637" s="1398"/>
      <c r="CR637" s="6"/>
      <c r="CS637" s="3"/>
      <c r="CT637" s="3"/>
      <c r="CU637" s="3"/>
      <c r="CV637" s="3"/>
      <c r="CW637" s="3"/>
      <c r="CX637" s="3"/>
      <c r="CY637" s="3"/>
      <c r="CZ637" s="3"/>
      <c r="DA637" s="3"/>
      <c r="DB637" s="3"/>
      <c r="DC637" s="3"/>
      <c r="DD637" s="3"/>
      <c r="DE637" s="3"/>
      <c r="DF637" s="3"/>
      <c r="DX637" s="1356">
        <f t="shared" si="29"/>
        <v>425.72727272727269</v>
      </c>
      <c r="DY637" s="1356"/>
      <c r="DZ637" s="1356"/>
      <c r="EA637" s="1356"/>
      <c r="EB637" s="1356"/>
      <c r="EC637" s="1356" t="e">
        <f t="shared" si="24"/>
        <v>#VALUE!</v>
      </c>
      <c r="ED637" s="1356"/>
      <c r="EE637" s="1356"/>
      <c r="EF637" s="1356"/>
      <c r="EG637" s="1356"/>
      <c r="EH637" s="1356" t="e">
        <f t="shared" si="25"/>
        <v>#VALUE!</v>
      </c>
      <c r="EI637" s="1356"/>
      <c r="EJ637" s="1356"/>
      <c r="EK637" s="1356"/>
      <c r="EL637" s="1356"/>
      <c r="EM637" s="1356" t="e">
        <f t="shared" si="26"/>
        <v>#VALUE!</v>
      </c>
      <c r="EN637" s="1356"/>
      <c r="EO637" s="1356"/>
      <c r="EP637" s="1356"/>
      <c r="EQ637" s="1356"/>
      <c r="ER637" s="1356" t="e">
        <f t="shared" si="27"/>
        <v>#VALUE!</v>
      </c>
      <c r="ES637" s="1356"/>
      <c r="ET637" s="1356"/>
      <c r="EU637" s="1356"/>
      <c r="EV637" s="1356"/>
      <c r="EW637" s="1356" t="e">
        <f t="shared" si="28"/>
        <v>#VALUE!</v>
      </c>
      <c r="EX637" s="1356"/>
      <c r="EY637" s="1356"/>
      <c r="EZ637" s="1356"/>
      <c r="FA637" s="1356"/>
    </row>
    <row r="638" spans="2:157" ht="13" customHeight="1">
      <c r="B638" s="52" t="s">
        <v>364</v>
      </c>
      <c r="C638" s="1679"/>
      <c r="D638" s="1679"/>
      <c r="E638" s="1679"/>
      <c r="F638" s="1679"/>
      <c r="G638" s="1679"/>
      <c r="H638" s="1679"/>
      <c r="I638" s="1679"/>
      <c r="J638" s="1679"/>
      <c r="K638" s="1679"/>
      <c r="L638" s="1679"/>
      <c r="M638" s="1685" t="s">
        <v>1291</v>
      </c>
      <c r="N638" s="1685"/>
      <c r="O638" s="1685"/>
      <c r="P638" s="1685"/>
      <c r="Q638" s="1674"/>
      <c r="R638" s="1543"/>
      <c r="S638" s="1675"/>
      <c r="T638" s="1674"/>
      <c r="U638" s="1543"/>
      <c r="V638" s="1675"/>
      <c r="W638" s="1668"/>
      <c r="X638" s="1669"/>
      <c r="Y638" s="1670"/>
      <c r="Z638" s="1520" t="s">
        <v>1291</v>
      </c>
      <c r="AA638" s="1521"/>
      <c r="AB638" s="1522"/>
      <c r="AC638" s="1430"/>
      <c r="AD638" s="1431"/>
      <c r="AE638" s="1432"/>
      <c r="AF638" s="1587"/>
      <c r="AG638" s="1588"/>
      <c r="AH638" s="1588"/>
      <c r="AI638" s="1588"/>
      <c r="AJ638" s="1589"/>
      <c r="AK638" s="1686"/>
      <c r="AL638" s="1687"/>
      <c r="AM638" s="1687"/>
      <c r="AN638" s="1688"/>
      <c r="AO638" s="1583"/>
      <c r="AP638" s="1584"/>
      <c r="AQ638" s="1584"/>
      <c r="AR638" s="1584"/>
      <c r="AS638" s="1585"/>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01">
        <f>IF(J774="SRO/Studio",O774,0)</f>
        <v>0</v>
      </c>
      <c r="BO638" s="1402"/>
      <c r="BP638" s="1402"/>
      <c r="BQ638" s="1402"/>
      <c r="BR638" s="1403"/>
      <c r="BS638" s="1398">
        <f>IF(J774="1 Bedroom",O774,0)</f>
        <v>0</v>
      </c>
      <c r="BT638" s="1398"/>
      <c r="BU638" s="1398"/>
      <c r="BV638" s="1398"/>
      <c r="BW638" s="1398"/>
      <c r="BX638" s="1398">
        <f>IF(J774="2 Bedrooms",O774,0)</f>
        <v>0</v>
      </c>
      <c r="BY638" s="1398"/>
      <c r="BZ638" s="1398"/>
      <c r="CA638" s="1398"/>
      <c r="CB638" s="1398"/>
      <c r="CC638" s="1398">
        <f>IF(J774="3 Bedrooms",O774,0)</f>
        <v>0</v>
      </c>
      <c r="CD638" s="1398"/>
      <c r="CE638" s="1398"/>
      <c r="CF638" s="1398"/>
      <c r="CG638" s="1398"/>
      <c r="CH638" s="1398">
        <f>IF(J774="4 Bedrooms",O774,0)</f>
        <v>0</v>
      </c>
      <c r="CI638" s="1398"/>
      <c r="CJ638" s="1398"/>
      <c r="CK638" s="1398"/>
      <c r="CL638" s="1398"/>
      <c r="CM638" s="1398">
        <f>IF(J774="5 Bedrooms",O774,0)</f>
        <v>0</v>
      </c>
      <c r="CN638" s="1398"/>
      <c r="CO638" s="1398"/>
      <c r="CP638" s="1398"/>
      <c r="CQ638" s="1398"/>
      <c r="CR638" s="6"/>
      <c r="CS638" s="3"/>
      <c r="CT638" s="3"/>
      <c r="CU638" s="3"/>
      <c r="CV638" s="3"/>
      <c r="CW638" s="3"/>
      <c r="CX638" s="3"/>
      <c r="CY638" s="3"/>
      <c r="CZ638" s="3"/>
      <c r="DA638" s="3"/>
      <c r="DB638" s="3"/>
      <c r="DC638" s="3"/>
      <c r="DD638" s="3"/>
      <c r="DE638" s="3"/>
      <c r="DF638" s="3"/>
      <c r="DX638" s="1356" t="e">
        <f t="shared" si="29"/>
        <v>#VALUE!</v>
      </c>
      <c r="DY638" s="1356"/>
      <c r="DZ638" s="1356"/>
      <c r="EA638" s="1356"/>
      <c r="EB638" s="1356"/>
      <c r="EC638" s="1356">
        <f t="shared" si="24"/>
        <v>554.66666666666663</v>
      </c>
      <c r="ED638" s="1356"/>
      <c r="EE638" s="1356"/>
      <c r="EF638" s="1356"/>
      <c r="EG638" s="1356"/>
      <c r="EH638" s="1356" t="e">
        <f t="shared" si="25"/>
        <v>#VALUE!</v>
      </c>
      <c r="EI638" s="1356"/>
      <c r="EJ638" s="1356"/>
      <c r="EK638" s="1356"/>
      <c r="EL638" s="1356"/>
      <c r="EM638" s="1356" t="e">
        <f t="shared" si="26"/>
        <v>#VALUE!</v>
      </c>
      <c r="EN638" s="1356"/>
      <c r="EO638" s="1356"/>
      <c r="EP638" s="1356"/>
      <c r="EQ638" s="1356"/>
      <c r="ER638" s="1356" t="e">
        <f t="shared" si="27"/>
        <v>#VALUE!</v>
      </c>
      <c r="ES638" s="1356"/>
      <c r="ET638" s="1356"/>
      <c r="EU638" s="1356"/>
      <c r="EV638" s="1356"/>
      <c r="EW638" s="1356" t="e">
        <f t="shared" si="28"/>
        <v>#VALUE!</v>
      </c>
      <c r="EX638" s="1356"/>
      <c r="EY638" s="1356"/>
      <c r="EZ638" s="1356"/>
      <c r="FA638" s="1356"/>
    </row>
    <row r="639" spans="2:157" ht="13" customHeight="1">
      <c r="B639" s="1592" t="s">
        <v>128</v>
      </c>
      <c r="C639" s="1593"/>
      <c r="D639" s="1593"/>
      <c r="E639" s="1593"/>
      <c r="F639" s="1593"/>
      <c r="G639" s="1593"/>
      <c r="H639" s="1593"/>
      <c r="I639" s="1593"/>
      <c r="J639" s="1593"/>
      <c r="K639" s="1593"/>
      <c r="L639" s="1593"/>
      <c r="M639" s="1593"/>
      <c r="N639" s="1593"/>
      <c r="O639" s="1593"/>
      <c r="P639" s="1593"/>
      <c r="Q639" s="1593"/>
      <c r="R639" s="1593"/>
      <c r="S639" s="1593"/>
      <c r="T639" s="1593"/>
      <c r="U639" s="1593"/>
      <c r="V639" s="1593"/>
      <c r="W639" s="1593"/>
      <c r="X639" s="1593"/>
      <c r="Y639" s="1593"/>
      <c r="Z639" s="1593"/>
      <c r="AA639" s="1593"/>
      <c r="AB639" s="1593"/>
      <c r="AC639" s="1593"/>
      <c r="AD639" s="1593"/>
      <c r="AE639" s="1593"/>
      <c r="AF639" s="1593"/>
      <c r="AG639" s="1593"/>
      <c r="AH639" s="1593"/>
      <c r="AI639" s="1593"/>
      <c r="AJ639" s="1593"/>
      <c r="AK639" s="1593"/>
      <c r="AL639" s="1593"/>
      <c r="AM639" s="1593"/>
      <c r="AN639" s="1594"/>
      <c r="AO639" s="1676">
        <f>SUM(AO627:AR638)</f>
        <v>31641654</v>
      </c>
      <c r="AP639" s="1677"/>
      <c r="AQ639" s="1677"/>
      <c r="AR639" s="1677"/>
      <c r="AS639" s="1678"/>
      <c r="AV639" s="3"/>
      <c r="AW639" s="3"/>
      <c r="AX639" s="3"/>
      <c r="AY639" s="3"/>
      <c r="AZ639" s="34"/>
      <c r="BA639" s="34"/>
      <c r="BB639" s="34"/>
      <c r="BC639" s="34"/>
      <c r="BD639" s="34"/>
      <c r="BE639" s="34"/>
      <c r="BF639" s="34"/>
      <c r="BG639" s="34"/>
      <c r="BH639" s="34"/>
      <c r="BI639" s="34"/>
      <c r="BJ639" s="34"/>
      <c r="BK639" s="34"/>
      <c r="BL639" s="34"/>
      <c r="BM639" s="34"/>
      <c r="BN639" s="1401">
        <f>IF(J775="SRO/Studio",O775,0)</f>
        <v>0</v>
      </c>
      <c r="BO639" s="1402"/>
      <c r="BP639" s="1402"/>
      <c r="BQ639" s="1402"/>
      <c r="BR639" s="1403"/>
      <c r="BS639" s="1398">
        <f>IF(J775="1 Bedroom",O775,0)</f>
        <v>0</v>
      </c>
      <c r="BT639" s="1398"/>
      <c r="BU639" s="1398"/>
      <c r="BV639" s="1398"/>
      <c r="BW639" s="1398"/>
      <c r="BX639" s="1398">
        <f>IF(J775="2 Bedrooms",O775,0)</f>
        <v>0</v>
      </c>
      <c r="BY639" s="1398"/>
      <c r="BZ639" s="1398"/>
      <c r="CA639" s="1398"/>
      <c r="CB639" s="1398"/>
      <c r="CC639" s="1398">
        <f>IF(J775="3 Bedrooms",O775,0)</f>
        <v>0</v>
      </c>
      <c r="CD639" s="1398"/>
      <c r="CE639" s="1398"/>
      <c r="CF639" s="1398"/>
      <c r="CG639" s="1398"/>
      <c r="CH639" s="1398">
        <f>IF(J775="4 Bedrooms",O775,0)</f>
        <v>0</v>
      </c>
      <c r="CI639" s="1398"/>
      <c r="CJ639" s="1398"/>
      <c r="CK639" s="1398"/>
      <c r="CL639" s="1398"/>
      <c r="CM639" s="1398">
        <f>IF(J775="5 Bedrooms",O775,0)</f>
        <v>0</v>
      </c>
      <c r="CN639" s="1398"/>
      <c r="CO639" s="1398"/>
      <c r="CP639" s="1398"/>
      <c r="CQ639" s="1398"/>
      <c r="CR639" s="1047"/>
      <c r="CV639" s="3"/>
      <c r="CW639" s="3"/>
      <c r="CX639" s="3"/>
      <c r="CY639" s="3"/>
      <c r="CZ639" s="3"/>
      <c r="DA639" s="3"/>
      <c r="DB639" s="3"/>
      <c r="DC639" s="3"/>
      <c r="DD639" s="3"/>
      <c r="DE639" s="3"/>
      <c r="DF639" s="3"/>
      <c r="DX639" s="1356" t="e">
        <f t="shared" si="29"/>
        <v>#VALUE!</v>
      </c>
      <c r="DY639" s="1356"/>
      <c r="DZ639" s="1356"/>
      <c r="EA639" s="1356"/>
      <c r="EB639" s="1356"/>
      <c r="EC639" s="1356">
        <f t="shared" si="24"/>
        <v>1498.6666666666665</v>
      </c>
      <c r="ED639" s="1356"/>
      <c r="EE639" s="1356"/>
      <c r="EF639" s="1356"/>
      <c r="EG639" s="1356"/>
      <c r="EH639" s="1356" t="e">
        <f t="shared" si="25"/>
        <v>#VALUE!</v>
      </c>
      <c r="EI639" s="1356"/>
      <c r="EJ639" s="1356"/>
      <c r="EK639" s="1356"/>
      <c r="EL639" s="1356"/>
      <c r="EM639" s="1356" t="e">
        <f t="shared" si="26"/>
        <v>#VALUE!</v>
      </c>
      <c r="EN639" s="1356"/>
      <c r="EO639" s="1356"/>
      <c r="EP639" s="1356"/>
      <c r="EQ639" s="1356"/>
      <c r="ER639" s="1356" t="e">
        <f t="shared" si="27"/>
        <v>#VALUE!</v>
      </c>
      <c r="ES639" s="1356"/>
      <c r="ET639" s="1356"/>
      <c r="EU639" s="1356"/>
      <c r="EV639" s="1356"/>
      <c r="EW639" s="1356" t="e">
        <f t="shared" si="28"/>
        <v>#VALUE!</v>
      </c>
      <c r="EX639" s="1356"/>
      <c r="EY639" s="1356"/>
      <c r="EZ639" s="1356"/>
      <c r="FA639" s="1356"/>
    </row>
    <row r="640" spans="2:157" ht="13" customHeight="1">
      <c r="B640" s="1592" t="s">
        <v>268</v>
      </c>
      <c r="C640" s="1593"/>
      <c r="D640" s="1593"/>
      <c r="E640" s="1593"/>
      <c r="F640" s="1593"/>
      <c r="G640" s="1593"/>
      <c r="H640" s="1593"/>
      <c r="I640" s="1593"/>
      <c r="J640" s="1593"/>
      <c r="K640" s="1593"/>
      <c r="L640" s="1593"/>
      <c r="M640" s="1593"/>
      <c r="N640" s="1593"/>
      <c r="O640" s="1593"/>
      <c r="P640" s="1593"/>
      <c r="Q640" s="1593"/>
      <c r="R640" s="1593"/>
      <c r="S640" s="1593"/>
      <c r="T640" s="1593"/>
      <c r="U640" s="1593"/>
      <c r="V640" s="1593"/>
      <c r="W640" s="1593"/>
      <c r="X640" s="1593"/>
      <c r="Y640" s="1593"/>
      <c r="Z640" s="1593"/>
      <c r="AA640" s="1593"/>
      <c r="AB640" s="1593"/>
      <c r="AC640" s="1593"/>
      <c r="AD640" s="1593"/>
      <c r="AE640" s="1593"/>
      <c r="AF640" s="1593"/>
      <c r="AG640" s="1593"/>
      <c r="AH640" s="1593"/>
      <c r="AI640" s="1593"/>
      <c r="AJ640" s="1593"/>
      <c r="AK640" s="1593"/>
      <c r="AL640" s="1593"/>
      <c r="AM640" s="1593"/>
      <c r="AN640" s="1594"/>
      <c r="AO640" s="1583">
        <f>'Sources and Uses Budget'!E105</f>
        <v>25470795</v>
      </c>
      <c r="AP640" s="1584"/>
      <c r="AQ640" s="1584"/>
      <c r="AR640" s="1584"/>
      <c r="AS640" s="1585"/>
      <c r="AV640" s="3"/>
      <c r="AW640" s="3"/>
      <c r="AX640" s="3"/>
      <c r="AY640" s="3"/>
      <c r="AZ640" s="34"/>
      <c r="BA640" s="34"/>
      <c r="BB640" s="34"/>
      <c r="BC640" s="34"/>
      <c r="BD640" s="34"/>
      <c r="BE640" s="34"/>
      <c r="BF640" s="34"/>
      <c r="BG640" s="34"/>
      <c r="BH640" s="34"/>
      <c r="BI640" s="34"/>
      <c r="BJ640" s="34"/>
      <c r="BK640" s="34"/>
      <c r="BL640" s="34"/>
      <c r="BM640" s="34"/>
      <c r="BN640" s="1401">
        <f>IF(J776="SRO/Studio",O776,0)</f>
        <v>0</v>
      </c>
      <c r="BO640" s="1402"/>
      <c r="BP640" s="1402"/>
      <c r="BQ640" s="1402"/>
      <c r="BR640" s="1403"/>
      <c r="BS640" s="1398">
        <f>IF(J776="1 Bedroom",O776,0)</f>
        <v>0</v>
      </c>
      <c r="BT640" s="1398"/>
      <c r="BU640" s="1398"/>
      <c r="BV640" s="1398"/>
      <c r="BW640" s="1398"/>
      <c r="BX640" s="1398">
        <f>IF(J776="2 Bedrooms",O776,0)</f>
        <v>0</v>
      </c>
      <c r="BY640" s="1398"/>
      <c r="BZ640" s="1398"/>
      <c r="CA640" s="1398"/>
      <c r="CB640" s="1398"/>
      <c r="CC640" s="1398">
        <f>IF(J776="3 Bedrooms",O776,0)</f>
        <v>0</v>
      </c>
      <c r="CD640" s="1398"/>
      <c r="CE640" s="1398"/>
      <c r="CF640" s="1398"/>
      <c r="CG640" s="1398"/>
      <c r="CH640" s="1398">
        <f>IF(J776="4 Bedrooms",O776,0)</f>
        <v>0</v>
      </c>
      <c r="CI640" s="1398"/>
      <c r="CJ640" s="1398"/>
      <c r="CK640" s="1398"/>
      <c r="CL640" s="1398"/>
      <c r="CM640" s="1398">
        <f>IF(J776="5 Bedrooms",O776,0)</f>
        <v>0</v>
      </c>
      <c r="CN640" s="1398"/>
      <c r="CO640" s="1398"/>
      <c r="CP640" s="1398"/>
      <c r="CQ640" s="1398"/>
      <c r="CV640" s="3"/>
      <c r="CW640" s="3"/>
      <c r="CX640" s="3"/>
      <c r="CY640" s="3"/>
      <c r="CZ640" s="3"/>
      <c r="DA640" s="3"/>
      <c r="DB640" s="3"/>
      <c r="DC640" s="3"/>
      <c r="DD640" s="3"/>
      <c r="DE640" s="3"/>
      <c r="DF640" s="3"/>
      <c r="DX640" s="1356" t="e">
        <f t="shared" si="29"/>
        <v>#VALUE!</v>
      </c>
      <c r="DY640" s="1356"/>
      <c r="DZ640" s="1356"/>
      <c r="EA640" s="1356"/>
      <c r="EB640" s="1356"/>
      <c r="EC640" s="1356" t="e">
        <f t="shared" si="24"/>
        <v>#VALUE!</v>
      </c>
      <c r="ED640" s="1356"/>
      <c r="EE640" s="1356"/>
      <c r="EF640" s="1356"/>
      <c r="EG640" s="1356"/>
      <c r="EH640" s="1356">
        <f t="shared" si="25"/>
        <v>539.72727272727263</v>
      </c>
      <c r="EI640" s="1356"/>
      <c r="EJ640" s="1356"/>
      <c r="EK640" s="1356"/>
      <c r="EL640" s="1356"/>
      <c r="EM640" s="1356" t="e">
        <f t="shared" si="26"/>
        <v>#VALUE!</v>
      </c>
      <c r="EN640" s="1356"/>
      <c r="EO640" s="1356"/>
      <c r="EP640" s="1356"/>
      <c r="EQ640" s="1356"/>
      <c r="ER640" s="1356" t="e">
        <f t="shared" si="27"/>
        <v>#VALUE!</v>
      </c>
      <c r="ES640" s="1356"/>
      <c r="ET640" s="1356"/>
      <c r="EU640" s="1356"/>
      <c r="EV640" s="1356"/>
      <c r="EW640" s="1356" t="e">
        <f t="shared" si="28"/>
        <v>#VALUE!</v>
      </c>
      <c r="EX640" s="1356"/>
      <c r="EY640" s="1356"/>
      <c r="EZ640" s="1356"/>
      <c r="FA640" s="1356"/>
    </row>
    <row r="641" spans="1:157" ht="13" customHeight="1">
      <c r="B641" s="1671" t="s">
        <v>269</v>
      </c>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72"/>
      <c r="AJ641" s="1672"/>
      <c r="AK641" s="1672"/>
      <c r="AL641" s="1672"/>
      <c r="AM641" s="1672"/>
      <c r="AN641" s="1673"/>
      <c r="AO641" s="1676">
        <f>AO639+AO640</f>
        <v>57112449</v>
      </c>
      <c r="AP641" s="1677"/>
      <c r="AQ641" s="1677"/>
      <c r="AR641" s="1677"/>
      <c r="AS641" s="1678"/>
      <c r="AV641" s="3"/>
      <c r="AW641" s="3"/>
      <c r="AX641" s="3"/>
      <c r="AY641" s="3"/>
      <c r="AZ641" s="34"/>
      <c r="BA641" s="34"/>
      <c r="BB641" s="34"/>
      <c r="BC641" s="34"/>
      <c r="BD641" s="34"/>
      <c r="BE641" s="34"/>
      <c r="BF641" s="34"/>
      <c r="BG641" s="34"/>
      <c r="BH641" s="34"/>
      <c r="BI641" s="34"/>
      <c r="BJ641" s="34"/>
      <c r="BK641" s="34"/>
      <c r="BL641" s="34"/>
      <c r="BM641" s="34"/>
      <c r="BN641" s="1399">
        <f>SUM(BN637:BR640)</f>
        <v>0</v>
      </c>
      <c r="BO641" s="1519"/>
      <c r="BP641" s="1519"/>
      <c r="BQ641" s="1519"/>
      <c r="BR641" s="1400"/>
      <c r="BS641" s="1682">
        <f>SUM(BS637:BW640)</f>
        <v>0</v>
      </c>
      <c r="BT641" s="1683"/>
      <c r="BU641" s="1683"/>
      <c r="BV641" s="1683"/>
      <c r="BW641" s="1684"/>
      <c r="BX641" s="1682">
        <f>SUM(BX637:CB640)</f>
        <v>1</v>
      </c>
      <c r="BY641" s="1683"/>
      <c r="BZ641" s="1683"/>
      <c r="CA641" s="1683"/>
      <c r="CB641" s="1684"/>
      <c r="CC641" s="1682">
        <f>SUM(CC637:CG640)</f>
        <v>0</v>
      </c>
      <c r="CD641" s="1683"/>
      <c r="CE641" s="1683"/>
      <c r="CF641" s="1683"/>
      <c r="CG641" s="1684"/>
      <c r="CH641" s="1682">
        <f>SUM(CH637:CL640)</f>
        <v>0</v>
      </c>
      <c r="CI641" s="1683"/>
      <c r="CJ641" s="1683"/>
      <c r="CK641" s="1683"/>
      <c r="CL641" s="1684"/>
      <c r="CM641" s="1682">
        <f>SUM(CM637:CQ640)</f>
        <v>0</v>
      </c>
      <c r="CN641" s="1683"/>
      <c r="CO641" s="1683"/>
      <c r="CP641" s="1683"/>
      <c r="CQ641" s="1684"/>
      <c r="CS641" s="895">
        <f>BN641+BS641+BX641+CC641+CH641+CM641</f>
        <v>1</v>
      </c>
      <c r="CT641" s="57" t="s">
        <v>2051</v>
      </c>
      <c r="CU641" s="3"/>
      <c r="CV641" s="3"/>
      <c r="CW641" s="3"/>
      <c r="CX641" s="3"/>
      <c r="CY641" s="3"/>
      <c r="CZ641" s="3"/>
      <c r="DA641" s="3"/>
      <c r="DB641" s="3"/>
      <c r="DC641" s="3"/>
      <c r="DD641" s="3"/>
      <c r="DE641" s="3"/>
      <c r="DF641" s="3"/>
      <c r="DX641" s="1356" t="e">
        <f t="shared" si="29"/>
        <v>#VALUE!</v>
      </c>
      <c r="DY641" s="1356"/>
      <c r="DZ641" s="1356"/>
      <c r="EA641" s="1356"/>
      <c r="EB641" s="1356"/>
      <c r="EC641" s="1356" t="e">
        <f t="shared" si="24"/>
        <v>#VALUE!</v>
      </c>
      <c r="ED641" s="1356"/>
      <c r="EE641" s="1356"/>
      <c r="EF641" s="1356"/>
      <c r="EG641" s="1356"/>
      <c r="EH641" s="1356">
        <f t="shared" si="25"/>
        <v>1949.0909090909092</v>
      </c>
      <c r="EI641" s="1356"/>
      <c r="EJ641" s="1356"/>
      <c r="EK641" s="1356"/>
      <c r="EL641" s="1356"/>
      <c r="EM641" s="1356" t="e">
        <f t="shared" si="26"/>
        <v>#VALUE!</v>
      </c>
      <c r="EN641" s="1356"/>
      <c r="EO641" s="1356"/>
      <c r="EP641" s="1356"/>
      <c r="EQ641" s="1356"/>
      <c r="ER641" s="1356" t="e">
        <f t="shared" si="27"/>
        <v>#VALUE!</v>
      </c>
      <c r="ES641" s="1356"/>
      <c r="ET641" s="1356"/>
      <c r="EU641" s="1356"/>
      <c r="EV641" s="1356"/>
      <c r="EW641" s="1356" t="e">
        <f t="shared" si="28"/>
        <v>#VALUE!</v>
      </c>
      <c r="EX641" s="1356"/>
      <c r="EY641" s="1356"/>
      <c r="EZ641" s="1356"/>
      <c r="FA641" s="1356"/>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2053</v>
      </c>
      <c r="CU642" s="3"/>
      <c r="CV642" s="3"/>
      <c r="CW642" s="3"/>
      <c r="CX642" s="3"/>
      <c r="CY642" s="3"/>
      <c r="CZ642" s="3"/>
      <c r="DA642" s="3"/>
      <c r="DB642" s="3"/>
      <c r="DC642" s="3"/>
      <c r="DD642" s="3"/>
      <c r="DE642" s="3"/>
      <c r="DF642" s="3"/>
      <c r="DX642" s="1356" t="e">
        <f t="shared" si="29"/>
        <v>#VALUE!</v>
      </c>
      <c r="DY642" s="1356"/>
      <c r="DZ642" s="1356"/>
      <c r="EA642" s="1356"/>
      <c r="EB642" s="1356"/>
      <c r="EC642" s="1356" t="e">
        <f t="shared" si="24"/>
        <v>#VALUE!</v>
      </c>
      <c r="ED642" s="1356"/>
      <c r="EE642" s="1356"/>
      <c r="EF642" s="1356"/>
      <c r="EG642" s="1356"/>
      <c r="EH642" s="1356" t="e">
        <f t="shared" si="25"/>
        <v>#VALUE!</v>
      </c>
      <c r="EI642" s="1356"/>
      <c r="EJ642" s="1356"/>
      <c r="EK642" s="1356"/>
      <c r="EL642" s="1356"/>
      <c r="EM642" s="1356" t="e">
        <f t="shared" si="26"/>
        <v>#VALUE!</v>
      </c>
      <c r="EN642" s="1356"/>
      <c r="EO642" s="1356"/>
      <c r="EP642" s="1356"/>
      <c r="EQ642" s="1356"/>
      <c r="ER642" s="1356" t="e">
        <f t="shared" si="27"/>
        <v>#VALUE!</v>
      </c>
      <c r="ES642" s="1356"/>
      <c r="ET642" s="1356"/>
      <c r="EU642" s="1356"/>
      <c r="EV642" s="1356"/>
      <c r="EW642" s="1356" t="e">
        <f t="shared" si="28"/>
        <v>#VALUE!</v>
      </c>
      <c r="EX642" s="1356"/>
      <c r="EY642" s="1356"/>
      <c r="EZ642" s="1356"/>
      <c r="FA642" s="1356"/>
    </row>
    <row r="643" spans="1:157" ht="13" customHeight="1">
      <c r="A643" s="55" t="s">
        <v>112</v>
      </c>
      <c r="B643" t="s">
        <v>472</v>
      </c>
      <c r="G643" s="1382" t="str">
        <f>C627</f>
        <v>GreyStone[GHI] - Tax Exempt</v>
      </c>
      <c r="H643" s="1382"/>
      <c r="I643" s="1382"/>
      <c r="J643" s="1382"/>
      <c r="K643" s="1382"/>
      <c r="L643" s="1382"/>
      <c r="M643" s="1382"/>
      <c r="N643" s="1382"/>
      <c r="O643" s="1382"/>
      <c r="P643" s="1382"/>
      <c r="Q643" s="1382"/>
      <c r="R643" s="1382"/>
      <c r="S643" s="8"/>
      <c r="T643" s="55" t="s">
        <v>113</v>
      </c>
      <c r="U643" t="s">
        <v>472</v>
      </c>
      <c r="Z643" s="1382" t="str">
        <f>C628</f>
        <v>GreyStone[GHII] - B-Bond</v>
      </c>
      <c r="AA643" s="1382"/>
      <c r="AB643" s="1382"/>
      <c r="AC643" s="1382"/>
      <c r="AD643" s="1382"/>
      <c r="AE643" s="1382"/>
      <c r="AF643" s="1382"/>
      <c r="AG643" s="1382"/>
      <c r="AH643" s="1382"/>
      <c r="AI643" s="1382"/>
      <c r="AJ643" s="1382"/>
      <c r="AK643" s="138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6" t="e">
        <f t="shared" si="29"/>
        <v>#VALUE!</v>
      </c>
      <c r="DY643" s="1356"/>
      <c r="DZ643" s="1356"/>
      <c r="EA643" s="1356"/>
      <c r="EB643" s="1356"/>
      <c r="EC643" s="1356" t="e">
        <f t="shared" si="24"/>
        <v>#VALUE!</v>
      </c>
      <c r="ED643" s="1356"/>
      <c r="EE643" s="1356"/>
      <c r="EF643" s="1356"/>
      <c r="EG643" s="1356"/>
      <c r="EH643" s="1356" t="e">
        <f t="shared" si="25"/>
        <v>#VALUE!</v>
      </c>
      <c r="EI643" s="1356"/>
      <c r="EJ643" s="1356"/>
      <c r="EK643" s="1356"/>
      <c r="EL643" s="1356"/>
      <c r="EM643" s="1356" t="e">
        <f t="shared" si="26"/>
        <v>#VALUE!</v>
      </c>
      <c r="EN643" s="1356"/>
      <c r="EO643" s="1356"/>
      <c r="EP643" s="1356"/>
      <c r="EQ643" s="1356"/>
      <c r="ER643" s="1356" t="e">
        <f t="shared" si="27"/>
        <v>#VALUE!</v>
      </c>
      <c r="ES643" s="1356"/>
      <c r="ET643" s="1356"/>
      <c r="EU643" s="1356"/>
      <c r="EV643" s="1356"/>
      <c r="EW643" s="1356" t="e">
        <f t="shared" si="28"/>
        <v>#VALUE!</v>
      </c>
      <c r="EX643" s="1356"/>
      <c r="EY643" s="1356"/>
      <c r="EZ643" s="1356"/>
      <c r="FA643" s="1356"/>
    </row>
    <row r="644" spans="1:157" ht="13" customHeight="1">
      <c r="A644" s="22"/>
      <c r="B644" t="s">
        <v>85</v>
      </c>
      <c r="G644" s="1381" t="str">
        <f>$G$569</f>
        <v xml:space="preserve">14301 FNB Parkway </v>
      </c>
      <c r="H644" s="1381"/>
      <c r="I644" s="1381"/>
      <c r="J644" s="1381"/>
      <c r="K644" s="1381"/>
      <c r="L644" s="1381"/>
      <c r="M644" s="1381"/>
      <c r="N644" s="1381"/>
      <c r="O644" s="1381"/>
      <c r="P644" s="1381"/>
      <c r="Q644" s="1381"/>
      <c r="R644" s="1381"/>
      <c r="S644" s="8"/>
      <c r="T644" s="22"/>
      <c r="U644" t="s">
        <v>85</v>
      </c>
      <c r="Z644" s="1381" t="str">
        <f>$G$569</f>
        <v xml:space="preserve">14301 FNB Parkway </v>
      </c>
      <c r="AA644" s="1381"/>
      <c r="AB644" s="1381"/>
      <c r="AC644" s="1381"/>
      <c r="AD644" s="1381"/>
      <c r="AE644" s="1381"/>
      <c r="AF644" s="1381"/>
      <c r="AG644" s="1381"/>
      <c r="AH644" s="1381"/>
      <c r="AI644" s="1381"/>
      <c r="AJ644" s="1381"/>
      <c r="AK644" s="138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356" t="e">
        <f t="shared" si="29"/>
        <v>#VALUE!</v>
      </c>
      <c r="DY644" s="1356"/>
      <c r="DZ644" s="1356"/>
      <c r="EA644" s="1356"/>
      <c r="EB644" s="1356"/>
      <c r="EC644" s="1356" t="e">
        <f t="shared" si="24"/>
        <v>#VALUE!</v>
      </c>
      <c r="ED644" s="1356"/>
      <c r="EE644" s="1356"/>
      <c r="EF644" s="1356"/>
      <c r="EG644" s="1356"/>
      <c r="EH644" s="1356" t="e">
        <f t="shared" si="25"/>
        <v>#VALUE!</v>
      </c>
      <c r="EI644" s="1356"/>
      <c r="EJ644" s="1356"/>
      <c r="EK644" s="1356"/>
      <c r="EL644" s="1356"/>
      <c r="EM644" s="1356" t="e">
        <f t="shared" si="26"/>
        <v>#VALUE!</v>
      </c>
      <c r="EN644" s="1356"/>
      <c r="EO644" s="1356"/>
      <c r="EP644" s="1356"/>
      <c r="EQ644" s="1356"/>
      <c r="ER644" s="1356" t="e">
        <f t="shared" si="27"/>
        <v>#VALUE!</v>
      </c>
      <c r="ES644" s="1356"/>
      <c r="ET644" s="1356"/>
      <c r="EU644" s="1356"/>
      <c r="EV644" s="1356"/>
      <c r="EW644" s="1356" t="e">
        <f t="shared" si="28"/>
        <v>#VALUE!</v>
      </c>
      <c r="EX644" s="1356"/>
      <c r="EY644" s="1356"/>
      <c r="EZ644" s="1356"/>
      <c r="FA644" s="1356"/>
    </row>
    <row r="645" spans="1:157" ht="13" customHeight="1">
      <c r="A645" s="22"/>
      <c r="B645" t="s">
        <v>589</v>
      </c>
      <c r="G645" s="1381" t="str">
        <f>$G$570</f>
        <v>Omaha</v>
      </c>
      <c r="H645" s="1381"/>
      <c r="I645" s="1381"/>
      <c r="J645" s="1381"/>
      <c r="K645" s="1381"/>
      <c r="L645" s="1381"/>
      <c r="M645" s="1381"/>
      <c r="N645" s="1381"/>
      <c r="O645" s="1381"/>
      <c r="P645" s="1381"/>
      <c r="Q645" s="1381"/>
      <c r="R645" s="1381"/>
      <c r="T645" s="22"/>
      <c r="U645" t="s">
        <v>589</v>
      </c>
      <c r="Z645" s="1438" t="str">
        <f>$G$570</f>
        <v>Omaha</v>
      </c>
      <c r="AA645" s="1438"/>
      <c r="AB645" s="1438"/>
      <c r="AC645" s="1438"/>
      <c r="AD645" s="1438"/>
      <c r="AE645" s="1438"/>
      <c r="AF645" s="1438"/>
      <c r="AG645" s="1438"/>
      <c r="AH645" s="1438"/>
      <c r="AI645" s="1438"/>
      <c r="AJ645" s="1438"/>
      <c r="AK645" s="1438"/>
      <c r="AV645" s="3"/>
      <c r="AW645" s="3"/>
      <c r="AX645" s="3"/>
      <c r="AY645" s="3"/>
      <c r="AZ645" s="3"/>
      <c r="BA645" s="3"/>
      <c r="BB645" s="3"/>
      <c r="BC645" s="3"/>
      <c r="BD645" s="3"/>
      <c r="BE645" s="3"/>
      <c r="BF645" s="3"/>
      <c r="BG645" s="3"/>
      <c r="BH645" s="3"/>
      <c r="BI645" s="3"/>
      <c r="BJ645" s="3"/>
      <c r="BK645" s="3"/>
      <c r="BL645" s="3"/>
      <c r="BM645" s="3"/>
      <c r="BN645" s="1401">
        <f t="shared" ref="BN645:BN654" si="30">IF(J787="SRO/Studio",O787,0)</f>
        <v>0</v>
      </c>
      <c r="BO645" s="1402"/>
      <c r="BP645" s="1402"/>
      <c r="BQ645" s="1402"/>
      <c r="BR645" s="1403"/>
      <c r="BS645" s="1398">
        <f t="shared" ref="BS645:BS654" si="31">IF(J787="1 Bedroom",O787,0)</f>
        <v>0</v>
      </c>
      <c r="BT645" s="1398"/>
      <c r="BU645" s="1398"/>
      <c r="BV645" s="1398"/>
      <c r="BW645" s="1398"/>
      <c r="BX645" s="1398">
        <f t="shared" ref="BX645:BX654" si="32">IF(J787="2 Bedrooms",O787,0)</f>
        <v>0</v>
      </c>
      <c r="BY645" s="1398"/>
      <c r="BZ645" s="1398"/>
      <c r="CA645" s="1398"/>
      <c r="CB645" s="1398"/>
      <c r="CC645" s="1398">
        <f t="shared" ref="CC645:CC654" si="33">IF(J787="3 Bedrooms",O787,0)</f>
        <v>0</v>
      </c>
      <c r="CD645" s="1398"/>
      <c r="CE645" s="1398"/>
      <c r="CF645" s="1398"/>
      <c r="CG645" s="1398"/>
      <c r="CH645" s="1398">
        <f t="shared" ref="CH645:CH654" si="34">IF(J787="4 Bedrooms",O787,0)</f>
        <v>0</v>
      </c>
      <c r="CI645" s="1398"/>
      <c r="CJ645" s="1398"/>
      <c r="CK645" s="1398"/>
      <c r="CL645" s="1398"/>
      <c r="CM645" s="1398">
        <f t="shared" ref="CM645:CM654" si="35">IF(J787="5 Bedrooms",O787,0)</f>
        <v>0</v>
      </c>
      <c r="CN645" s="1398"/>
      <c r="CO645" s="1398"/>
      <c r="CP645" s="1398"/>
      <c r="CQ645" s="1398"/>
      <c r="CR645" s="6"/>
      <c r="CS645" s="1401">
        <f t="shared" ref="CS645:CS654" si="36">IF(AND(BN645&gt;=1,AH787&gt;=0.1,AH787&lt;=1),O787,0)</f>
        <v>0</v>
      </c>
      <c r="CT645" s="1402"/>
      <c r="CU645" s="1402"/>
      <c r="CV645" s="1402"/>
      <c r="CW645" s="1403"/>
      <c r="CX645" s="1401">
        <f t="shared" ref="CX645:CX654" si="37">IF(AND(BS645&gt;=1,AH787&gt;=0.1,AH787&lt;=1),O787,0)</f>
        <v>0</v>
      </c>
      <c r="CY645" s="1402"/>
      <c r="CZ645" s="1402"/>
      <c r="DA645" s="1402"/>
      <c r="DB645" s="1403"/>
      <c r="DC645" s="1401">
        <f t="shared" ref="DC645:DC654" si="38">IF(AND(BX645&gt;=1,AH787&gt;=0.1,AH787&lt;=1),O787,0)</f>
        <v>0</v>
      </c>
      <c r="DD645" s="1402"/>
      <c r="DE645" s="1402"/>
      <c r="DF645" s="1402"/>
      <c r="DG645" s="1403"/>
      <c r="DH645" s="1401">
        <f t="shared" ref="DH645:DH654" si="39">IF(AND(CC645&gt;=1,AH787&gt;=0.1,AH787&lt;=1),O787,0)</f>
        <v>0</v>
      </c>
      <c r="DI645" s="1402"/>
      <c r="DJ645" s="1402"/>
      <c r="DK645" s="1402"/>
      <c r="DL645" s="1403"/>
      <c r="DM645" s="1401">
        <f t="shared" ref="DM645:DM654" si="40">IF(AND(CH645&gt;=1,AH787&gt;=0.1,AH787&lt;=1),O787,0)</f>
        <v>0</v>
      </c>
      <c r="DN645" s="1402"/>
      <c r="DO645" s="1402"/>
      <c r="DP645" s="1402"/>
      <c r="DQ645" s="1403"/>
      <c r="DR645" s="1401">
        <f t="shared" ref="DR645:DR654" si="41">IF(AND(CM645&gt;=1,AH787&gt;=0.1,AH787&lt;=1),O787,0)</f>
        <v>0</v>
      </c>
      <c r="DS645" s="1402"/>
      <c r="DT645" s="1402"/>
      <c r="DU645" s="1402"/>
      <c r="DV645" s="1403"/>
      <c r="DX645" s="1356" t="e">
        <f t="shared" si="29"/>
        <v>#VALUE!</v>
      </c>
      <c r="DY645" s="1356"/>
      <c r="DZ645" s="1356"/>
      <c r="EA645" s="1356"/>
      <c r="EB645" s="1356"/>
      <c r="EC645" s="1356" t="e">
        <f t="shared" si="24"/>
        <v>#VALUE!</v>
      </c>
      <c r="ED645" s="1356"/>
      <c r="EE645" s="1356"/>
      <c r="EF645" s="1356"/>
      <c r="EG645" s="1356"/>
      <c r="EH645" s="1356" t="e">
        <f t="shared" si="25"/>
        <v>#VALUE!</v>
      </c>
      <c r="EI645" s="1356"/>
      <c r="EJ645" s="1356"/>
      <c r="EK645" s="1356"/>
      <c r="EL645" s="1356"/>
      <c r="EM645" s="1356" t="e">
        <f t="shared" si="26"/>
        <v>#VALUE!</v>
      </c>
      <c r="EN645" s="1356"/>
      <c r="EO645" s="1356"/>
      <c r="EP645" s="1356"/>
      <c r="EQ645" s="1356"/>
      <c r="ER645" s="1356" t="e">
        <f t="shared" si="27"/>
        <v>#VALUE!</v>
      </c>
      <c r="ES645" s="1356"/>
      <c r="ET645" s="1356"/>
      <c r="EU645" s="1356"/>
      <c r="EV645" s="1356"/>
      <c r="EW645" s="1356" t="e">
        <f t="shared" si="28"/>
        <v>#VALUE!</v>
      </c>
      <c r="EX645" s="1356"/>
      <c r="EY645" s="1356"/>
      <c r="EZ645" s="1356"/>
      <c r="FA645" s="1356"/>
    </row>
    <row r="646" spans="1:157" ht="13" customHeight="1">
      <c r="A646" s="22"/>
      <c r="B646" t="s">
        <v>17</v>
      </c>
      <c r="G646" s="1381" t="str">
        <f>$G$571</f>
        <v>Frank Bravo</v>
      </c>
      <c r="H646" s="1381"/>
      <c r="I646" s="1381"/>
      <c r="J646" s="1381"/>
      <c r="K646" s="1381"/>
      <c r="L646" s="1381"/>
      <c r="M646" s="1381"/>
      <c r="N646" s="1381"/>
      <c r="O646" s="1381"/>
      <c r="P646" s="1381"/>
      <c r="Q646" s="1381"/>
      <c r="R646" s="1381"/>
      <c r="S646" s="8"/>
      <c r="T646" s="22"/>
      <c r="U646" t="s">
        <v>17</v>
      </c>
      <c r="Z646" s="1438" t="str">
        <f>$G$571</f>
        <v>Frank Bravo</v>
      </c>
      <c r="AA646" s="1438"/>
      <c r="AB646" s="1438"/>
      <c r="AC646" s="1438"/>
      <c r="AD646" s="1438"/>
      <c r="AE646" s="1438"/>
      <c r="AF646" s="1438"/>
      <c r="AG646" s="1438"/>
      <c r="AH646" s="1438"/>
      <c r="AI646" s="1438"/>
      <c r="AJ646" s="1438"/>
      <c r="AK646" s="1438"/>
      <c r="AZ646" s="3"/>
      <c r="BA646" s="3"/>
      <c r="BB646" s="3"/>
      <c r="BC646" s="3"/>
      <c r="BD646" s="3"/>
      <c r="BE646" s="3"/>
      <c r="BF646" s="3"/>
      <c r="BG646" s="3"/>
      <c r="BH646" s="3"/>
      <c r="BI646" s="3"/>
      <c r="BJ646" s="3"/>
      <c r="BK646" s="3"/>
      <c r="BL646" s="3"/>
      <c r="BM646" s="3"/>
      <c r="BN646" s="1401">
        <f t="shared" si="30"/>
        <v>0</v>
      </c>
      <c r="BO646" s="1402"/>
      <c r="BP646" s="1402"/>
      <c r="BQ646" s="1402"/>
      <c r="BR646" s="1403"/>
      <c r="BS646" s="1398">
        <f t="shared" si="31"/>
        <v>0</v>
      </c>
      <c r="BT646" s="1398"/>
      <c r="BU646" s="1398"/>
      <c r="BV646" s="1398"/>
      <c r="BW646" s="1398"/>
      <c r="BX646" s="1398">
        <f t="shared" si="32"/>
        <v>0</v>
      </c>
      <c r="BY646" s="1398"/>
      <c r="BZ646" s="1398"/>
      <c r="CA646" s="1398"/>
      <c r="CB646" s="1398"/>
      <c r="CC646" s="1398">
        <f t="shared" si="33"/>
        <v>0</v>
      </c>
      <c r="CD646" s="1398"/>
      <c r="CE646" s="1398"/>
      <c r="CF646" s="1398"/>
      <c r="CG646" s="1398"/>
      <c r="CH646" s="1398">
        <f t="shared" si="34"/>
        <v>0</v>
      </c>
      <c r="CI646" s="1398"/>
      <c r="CJ646" s="1398"/>
      <c r="CK646" s="1398"/>
      <c r="CL646" s="1398"/>
      <c r="CM646" s="1398">
        <f t="shared" si="35"/>
        <v>0</v>
      </c>
      <c r="CN646" s="1398"/>
      <c r="CO646" s="1398"/>
      <c r="CP646" s="1398"/>
      <c r="CQ646" s="1398"/>
      <c r="CR646" s="6"/>
      <c r="CS646" s="1401">
        <f t="shared" si="36"/>
        <v>0</v>
      </c>
      <c r="CT646" s="1402"/>
      <c r="CU646" s="1402"/>
      <c r="CV646" s="1402"/>
      <c r="CW646" s="1403"/>
      <c r="CX646" s="1401">
        <f t="shared" si="37"/>
        <v>0</v>
      </c>
      <c r="CY646" s="1402"/>
      <c r="CZ646" s="1402"/>
      <c r="DA646" s="1402"/>
      <c r="DB646" s="1403"/>
      <c r="DC646" s="1401">
        <f t="shared" si="38"/>
        <v>0</v>
      </c>
      <c r="DD646" s="1402"/>
      <c r="DE646" s="1402"/>
      <c r="DF646" s="1402"/>
      <c r="DG646" s="1403"/>
      <c r="DH646" s="1401">
        <f t="shared" si="39"/>
        <v>0</v>
      </c>
      <c r="DI646" s="1402"/>
      <c r="DJ646" s="1402"/>
      <c r="DK646" s="1402"/>
      <c r="DL646" s="1403"/>
      <c r="DM646" s="1401">
        <f t="shared" si="40"/>
        <v>0</v>
      </c>
      <c r="DN646" s="1402"/>
      <c r="DO646" s="1402"/>
      <c r="DP646" s="1402"/>
      <c r="DQ646" s="1403"/>
      <c r="DR646" s="1401">
        <f t="shared" si="41"/>
        <v>0</v>
      </c>
      <c r="DS646" s="1402"/>
      <c r="DT646" s="1402"/>
      <c r="DU646" s="1402"/>
      <c r="DV646" s="1403"/>
      <c r="DX646" s="1356" t="e">
        <f t="shared" si="29"/>
        <v>#VALUE!</v>
      </c>
      <c r="DY646" s="1356"/>
      <c r="DZ646" s="1356"/>
      <c r="EA646" s="1356"/>
      <c r="EB646" s="1356"/>
      <c r="EC646" s="1356" t="e">
        <f t="shared" si="24"/>
        <v>#VALUE!</v>
      </c>
      <c r="ED646" s="1356"/>
      <c r="EE646" s="1356"/>
      <c r="EF646" s="1356"/>
      <c r="EG646" s="1356"/>
      <c r="EH646" s="1356" t="e">
        <f t="shared" si="25"/>
        <v>#VALUE!</v>
      </c>
      <c r="EI646" s="1356"/>
      <c r="EJ646" s="1356"/>
      <c r="EK646" s="1356"/>
      <c r="EL646" s="1356"/>
      <c r="EM646" s="1356" t="e">
        <f t="shared" si="26"/>
        <v>#VALUE!</v>
      </c>
      <c r="EN646" s="1356"/>
      <c r="EO646" s="1356"/>
      <c r="EP646" s="1356"/>
      <c r="EQ646" s="1356"/>
      <c r="ER646" s="1356" t="e">
        <f t="shared" si="27"/>
        <v>#VALUE!</v>
      </c>
      <c r="ES646" s="1356"/>
      <c r="ET646" s="1356"/>
      <c r="EU646" s="1356"/>
      <c r="EV646" s="1356"/>
      <c r="EW646" s="1356" t="e">
        <f t="shared" si="28"/>
        <v>#VALUE!</v>
      </c>
      <c r="EX646" s="1356"/>
      <c r="EY646" s="1356"/>
      <c r="EZ646" s="1356"/>
      <c r="FA646" s="1356"/>
    </row>
    <row r="647" spans="1:157" ht="13" customHeight="1">
      <c r="A647" s="22"/>
      <c r="B647" t="s">
        <v>317</v>
      </c>
      <c r="G647" s="1493"/>
      <c r="H647" s="1493"/>
      <c r="I647" s="1493"/>
      <c r="J647" s="1493"/>
      <c r="K647" s="1493"/>
      <c r="L647" s="1493"/>
      <c r="O647" s="33" t="s">
        <v>207</v>
      </c>
      <c r="P647" s="1412"/>
      <c r="Q647" s="1412"/>
      <c r="R647" s="1412"/>
      <c r="S647" s="10"/>
      <c r="T647" s="22"/>
      <c r="U647" t="s">
        <v>317</v>
      </c>
      <c r="Z647" s="1493"/>
      <c r="AA647" s="1493"/>
      <c r="AB647" s="1493"/>
      <c r="AC647" s="1493"/>
      <c r="AD647" s="1493"/>
      <c r="AE647" s="1493"/>
      <c r="AH647" s="33" t="s">
        <v>207</v>
      </c>
      <c r="AI647" s="1412"/>
      <c r="AJ647" s="1412"/>
      <c r="AK647" s="1412"/>
      <c r="AZ647" s="34"/>
      <c r="BA647" s="34"/>
      <c r="BB647" s="34"/>
      <c r="BC647" s="34"/>
      <c r="BD647" s="34"/>
      <c r="BE647" s="34"/>
      <c r="BF647" s="34"/>
      <c r="BG647" s="34"/>
      <c r="BH647" s="34"/>
      <c r="BI647" s="34"/>
      <c r="BJ647" s="34"/>
      <c r="BK647" s="34"/>
      <c r="BL647" s="34"/>
      <c r="BM647" s="34"/>
      <c r="BN647" s="1401">
        <f t="shared" si="30"/>
        <v>0</v>
      </c>
      <c r="BO647" s="1402"/>
      <c r="BP647" s="1402"/>
      <c r="BQ647" s="1402"/>
      <c r="BR647" s="1403"/>
      <c r="BS647" s="1398">
        <f t="shared" si="31"/>
        <v>0</v>
      </c>
      <c r="BT647" s="1398"/>
      <c r="BU647" s="1398"/>
      <c r="BV647" s="1398"/>
      <c r="BW647" s="1398"/>
      <c r="BX647" s="1398">
        <f t="shared" si="32"/>
        <v>0</v>
      </c>
      <c r="BY647" s="1398"/>
      <c r="BZ647" s="1398"/>
      <c r="CA647" s="1398"/>
      <c r="CB647" s="1398"/>
      <c r="CC647" s="1398">
        <f t="shared" si="33"/>
        <v>0</v>
      </c>
      <c r="CD647" s="1398"/>
      <c r="CE647" s="1398"/>
      <c r="CF647" s="1398"/>
      <c r="CG647" s="1398"/>
      <c r="CH647" s="1398">
        <f t="shared" si="34"/>
        <v>0</v>
      </c>
      <c r="CI647" s="1398"/>
      <c r="CJ647" s="1398"/>
      <c r="CK647" s="1398"/>
      <c r="CL647" s="1398"/>
      <c r="CM647" s="1398">
        <f t="shared" si="35"/>
        <v>0</v>
      </c>
      <c r="CN647" s="1398"/>
      <c r="CO647" s="1398"/>
      <c r="CP647" s="1398"/>
      <c r="CQ647" s="1398"/>
      <c r="CR647" s="6"/>
      <c r="CS647" s="1401">
        <f t="shared" si="36"/>
        <v>0</v>
      </c>
      <c r="CT647" s="1402"/>
      <c r="CU647" s="1402"/>
      <c r="CV647" s="1402"/>
      <c r="CW647" s="1403"/>
      <c r="CX647" s="1401">
        <f t="shared" si="37"/>
        <v>0</v>
      </c>
      <c r="CY647" s="1402"/>
      <c r="CZ647" s="1402"/>
      <c r="DA647" s="1402"/>
      <c r="DB647" s="1403"/>
      <c r="DC647" s="1401">
        <f t="shared" si="38"/>
        <v>0</v>
      </c>
      <c r="DD647" s="1402"/>
      <c r="DE647" s="1402"/>
      <c r="DF647" s="1402"/>
      <c r="DG647" s="1403"/>
      <c r="DH647" s="1401">
        <f t="shared" si="39"/>
        <v>0</v>
      </c>
      <c r="DI647" s="1402"/>
      <c r="DJ647" s="1402"/>
      <c r="DK647" s="1402"/>
      <c r="DL647" s="1403"/>
      <c r="DM647" s="1401">
        <f t="shared" si="40"/>
        <v>0</v>
      </c>
      <c r="DN647" s="1402"/>
      <c r="DO647" s="1402"/>
      <c r="DP647" s="1402"/>
      <c r="DQ647" s="1403"/>
      <c r="DR647" s="1401">
        <f t="shared" si="41"/>
        <v>0</v>
      </c>
      <c r="DS647" s="1402"/>
      <c r="DT647" s="1402"/>
      <c r="DU647" s="1402"/>
      <c r="DV647" s="1403"/>
      <c r="DX647" s="1356" t="e">
        <f t="shared" si="29"/>
        <v>#VALUE!</v>
      </c>
      <c r="DY647" s="1356"/>
      <c r="DZ647" s="1356"/>
      <c r="EA647" s="1356"/>
      <c r="EB647" s="1356"/>
      <c r="EC647" s="1356" t="e">
        <f t="shared" si="24"/>
        <v>#VALUE!</v>
      </c>
      <c r="ED647" s="1356"/>
      <c r="EE647" s="1356"/>
      <c r="EF647" s="1356"/>
      <c r="EG647" s="1356"/>
      <c r="EH647" s="1356" t="e">
        <f t="shared" si="25"/>
        <v>#VALUE!</v>
      </c>
      <c r="EI647" s="1356"/>
      <c r="EJ647" s="1356"/>
      <c r="EK647" s="1356"/>
      <c r="EL647" s="1356"/>
      <c r="EM647" s="1356" t="e">
        <f t="shared" si="26"/>
        <v>#VALUE!</v>
      </c>
      <c r="EN647" s="1356"/>
      <c r="EO647" s="1356"/>
      <c r="EP647" s="1356"/>
      <c r="EQ647" s="1356"/>
      <c r="ER647" s="1356" t="e">
        <f t="shared" si="27"/>
        <v>#VALUE!</v>
      </c>
      <c r="ES647" s="1356"/>
      <c r="ET647" s="1356"/>
      <c r="EU647" s="1356"/>
      <c r="EV647" s="1356"/>
      <c r="EW647" s="1356" t="e">
        <f t="shared" si="28"/>
        <v>#VALUE!</v>
      </c>
      <c r="EX647" s="1356"/>
      <c r="EY647" s="1356"/>
      <c r="EZ647" s="1356"/>
      <c r="FA647" s="1356"/>
    </row>
    <row r="648" spans="1:157" ht="13" customHeight="1">
      <c r="A648" s="22"/>
      <c r="B648" t="s">
        <v>18</v>
      </c>
      <c r="H648" s="1381" t="str">
        <f>H573</f>
        <v>Loan, Tax-Exempt</v>
      </c>
      <c r="I648" s="1381"/>
      <c r="J648" s="1381"/>
      <c r="K648" s="1381"/>
      <c r="L648" s="1381"/>
      <c r="M648" s="1381"/>
      <c r="N648" s="1381"/>
      <c r="O648" s="1381"/>
      <c r="P648" s="1381"/>
      <c r="Q648" s="1381"/>
      <c r="R648" s="1381"/>
      <c r="S648" s="8"/>
      <c r="T648" s="22"/>
      <c r="U648" t="s">
        <v>18</v>
      </c>
      <c r="AA648" s="1381" t="str">
        <f>H582</f>
        <v>Equity, General Partner</v>
      </c>
      <c r="AB648" s="1381"/>
      <c r="AC648" s="1381"/>
      <c r="AD648" s="1381"/>
      <c r="AE648" s="1381"/>
      <c r="AF648" s="1381"/>
      <c r="AG648" s="1381"/>
      <c r="AH648" s="1381"/>
      <c r="AI648" s="1381"/>
      <c r="AJ648" s="1381"/>
      <c r="AK648" s="1381"/>
      <c r="AZ648" s="34"/>
      <c r="BA648" s="34"/>
      <c r="BB648" s="34"/>
      <c r="BC648" s="34"/>
      <c r="BD648" s="34"/>
      <c r="BE648" s="34"/>
      <c r="BF648" s="34"/>
      <c r="BG648" s="34"/>
      <c r="BH648" s="34"/>
      <c r="BI648" s="34"/>
      <c r="BJ648" s="34"/>
      <c r="BK648" s="34"/>
      <c r="BL648" s="34"/>
      <c r="BM648" s="34"/>
      <c r="BN648" s="1401">
        <f t="shared" si="30"/>
        <v>0</v>
      </c>
      <c r="BO648" s="1402"/>
      <c r="BP648" s="1402"/>
      <c r="BQ648" s="1402"/>
      <c r="BR648" s="1403"/>
      <c r="BS648" s="1398">
        <f t="shared" si="31"/>
        <v>0</v>
      </c>
      <c r="BT648" s="1398"/>
      <c r="BU648" s="1398"/>
      <c r="BV648" s="1398"/>
      <c r="BW648" s="1398"/>
      <c r="BX648" s="1398">
        <f t="shared" si="32"/>
        <v>0</v>
      </c>
      <c r="BY648" s="1398"/>
      <c r="BZ648" s="1398"/>
      <c r="CA648" s="1398"/>
      <c r="CB648" s="1398"/>
      <c r="CC648" s="1398">
        <f t="shared" si="33"/>
        <v>0</v>
      </c>
      <c r="CD648" s="1398"/>
      <c r="CE648" s="1398"/>
      <c r="CF648" s="1398"/>
      <c r="CG648" s="1398"/>
      <c r="CH648" s="1398">
        <f t="shared" si="34"/>
        <v>0</v>
      </c>
      <c r="CI648" s="1398"/>
      <c r="CJ648" s="1398"/>
      <c r="CK648" s="1398"/>
      <c r="CL648" s="1398"/>
      <c r="CM648" s="1398">
        <f t="shared" si="35"/>
        <v>0</v>
      </c>
      <c r="CN648" s="1398"/>
      <c r="CO648" s="1398"/>
      <c r="CP648" s="1398"/>
      <c r="CQ648" s="1398"/>
      <c r="CR648" s="6"/>
      <c r="CS648" s="1401">
        <f t="shared" si="36"/>
        <v>0</v>
      </c>
      <c r="CT648" s="1402"/>
      <c r="CU648" s="1402"/>
      <c r="CV648" s="1402"/>
      <c r="CW648" s="1403"/>
      <c r="CX648" s="1401">
        <f t="shared" si="37"/>
        <v>0</v>
      </c>
      <c r="CY648" s="1402"/>
      <c r="CZ648" s="1402"/>
      <c r="DA648" s="1402"/>
      <c r="DB648" s="1403"/>
      <c r="DC648" s="1401">
        <f t="shared" si="38"/>
        <v>0</v>
      </c>
      <c r="DD648" s="1402"/>
      <c r="DE648" s="1402"/>
      <c r="DF648" s="1402"/>
      <c r="DG648" s="1403"/>
      <c r="DH648" s="1401">
        <f t="shared" si="39"/>
        <v>0</v>
      </c>
      <c r="DI648" s="1402"/>
      <c r="DJ648" s="1402"/>
      <c r="DK648" s="1402"/>
      <c r="DL648" s="1403"/>
      <c r="DM648" s="1401">
        <f t="shared" si="40"/>
        <v>0</v>
      </c>
      <c r="DN648" s="1402"/>
      <c r="DO648" s="1402"/>
      <c r="DP648" s="1402"/>
      <c r="DQ648" s="1403"/>
      <c r="DR648" s="1401">
        <f t="shared" si="41"/>
        <v>0</v>
      </c>
      <c r="DS648" s="1402"/>
      <c r="DT648" s="1402"/>
      <c r="DU648" s="1402"/>
      <c r="DV648" s="1403"/>
      <c r="DX648" s="1356" t="e">
        <f t="shared" si="29"/>
        <v>#VALUE!</v>
      </c>
      <c r="DY648" s="1356"/>
      <c r="DZ648" s="1356"/>
      <c r="EA648" s="1356"/>
      <c r="EB648" s="1356"/>
      <c r="EC648" s="1356" t="e">
        <f t="shared" si="24"/>
        <v>#VALUE!</v>
      </c>
      <c r="ED648" s="1356"/>
      <c r="EE648" s="1356"/>
      <c r="EF648" s="1356"/>
      <c r="EG648" s="1356"/>
      <c r="EH648" s="1356" t="e">
        <f t="shared" si="25"/>
        <v>#VALUE!</v>
      </c>
      <c r="EI648" s="1356"/>
      <c r="EJ648" s="1356"/>
      <c r="EK648" s="1356"/>
      <c r="EL648" s="1356"/>
      <c r="EM648" s="1356" t="e">
        <f t="shared" si="26"/>
        <v>#VALUE!</v>
      </c>
      <c r="EN648" s="1356"/>
      <c r="EO648" s="1356"/>
      <c r="EP648" s="1356"/>
      <c r="EQ648" s="1356"/>
      <c r="ER648" s="1356" t="e">
        <f t="shared" si="27"/>
        <v>#VALUE!</v>
      </c>
      <c r="ES648" s="1356"/>
      <c r="ET648" s="1356"/>
      <c r="EU648" s="1356"/>
      <c r="EV648" s="1356"/>
      <c r="EW648" s="1356" t="e">
        <f t="shared" si="28"/>
        <v>#VALUE!</v>
      </c>
      <c r="EX648" s="1356"/>
      <c r="EY648" s="1356"/>
      <c r="EZ648" s="1356"/>
      <c r="FA648" s="1356"/>
    </row>
    <row r="649" spans="1:157" ht="13" customHeight="1">
      <c r="A649" s="22"/>
      <c r="B649" t="s">
        <v>20</v>
      </c>
      <c r="N649" s="1383" t="s">
        <v>554</v>
      </c>
      <c r="O649" s="1383"/>
      <c r="T649" s="22"/>
      <c r="U649" t="s">
        <v>20</v>
      </c>
      <c r="AG649" s="1383" t="s">
        <v>554</v>
      </c>
      <c r="AH649" s="1383"/>
      <c r="AZ649" s="34"/>
      <c r="BA649" s="34"/>
      <c r="BB649" s="34"/>
      <c r="BC649" s="34"/>
      <c r="BD649" s="34"/>
      <c r="BE649" s="34"/>
      <c r="BF649" s="34"/>
      <c r="BG649" s="34"/>
      <c r="BH649" s="34"/>
      <c r="BI649" s="34"/>
      <c r="BJ649" s="34"/>
      <c r="BK649" s="34"/>
      <c r="BL649" s="34"/>
      <c r="BM649" s="34"/>
      <c r="BN649" s="1401">
        <f t="shared" si="30"/>
        <v>0</v>
      </c>
      <c r="BO649" s="1402"/>
      <c r="BP649" s="1402"/>
      <c r="BQ649" s="1402"/>
      <c r="BR649" s="1403"/>
      <c r="BS649" s="1398">
        <f t="shared" si="31"/>
        <v>0</v>
      </c>
      <c r="BT649" s="1398"/>
      <c r="BU649" s="1398"/>
      <c r="BV649" s="1398"/>
      <c r="BW649" s="1398"/>
      <c r="BX649" s="1398">
        <f t="shared" si="32"/>
        <v>0</v>
      </c>
      <c r="BY649" s="1398"/>
      <c r="BZ649" s="1398"/>
      <c r="CA649" s="1398"/>
      <c r="CB649" s="1398"/>
      <c r="CC649" s="1398">
        <f t="shared" si="33"/>
        <v>0</v>
      </c>
      <c r="CD649" s="1398"/>
      <c r="CE649" s="1398"/>
      <c r="CF649" s="1398"/>
      <c r="CG649" s="1398"/>
      <c r="CH649" s="1398">
        <f t="shared" si="34"/>
        <v>0</v>
      </c>
      <c r="CI649" s="1398"/>
      <c r="CJ649" s="1398"/>
      <c r="CK649" s="1398"/>
      <c r="CL649" s="1398"/>
      <c r="CM649" s="1398">
        <f t="shared" si="35"/>
        <v>0</v>
      </c>
      <c r="CN649" s="1398"/>
      <c r="CO649" s="1398"/>
      <c r="CP649" s="1398"/>
      <c r="CQ649" s="1398"/>
      <c r="CR649" s="6"/>
      <c r="CS649" s="1401">
        <f t="shared" si="36"/>
        <v>0</v>
      </c>
      <c r="CT649" s="1402"/>
      <c r="CU649" s="1402"/>
      <c r="CV649" s="1402"/>
      <c r="CW649" s="1403"/>
      <c r="CX649" s="1401">
        <f t="shared" si="37"/>
        <v>0</v>
      </c>
      <c r="CY649" s="1402"/>
      <c r="CZ649" s="1402"/>
      <c r="DA649" s="1402"/>
      <c r="DB649" s="1403"/>
      <c r="DC649" s="1401">
        <f t="shared" si="38"/>
        <v>0</v>
      </c>
      <c r="DD649" s="1402"/>
      <c r="DE649" s="1402"/>
      <c r="DF649" s="1402"/>
      <c r="DG649" s="1403"/>
      <c r="DH649" s="1401">
        <f t="shared" si="39"/>
        <v>0</v>
      </c>
      <c r="DI649" s="1402"/>
      <c r="DJ649" s="1402"/>
      <c r="DK649" s="1402"/>
      <c r="DL649" s="1403"/>
      <c r="DM649" s="1401">
        <f t="shared" si="40"/>
        <v>0</v>
      </c>
      <c r="DN649" s="1402"/>
      <c r="DO649" s="1402"/>
      <c r="DP649" s="1402"/>
      <c r="DQ649" s="1403"/>
      <c r="DR649" s="1401">
        <f t="shared" si="41"/>
        <v>0</v>
      </c>
      <c r="DS649" s="1402"/>
      <c r="DT649" s="1402"/>
      <c r="DU649" s="1402"/>
      <c r="DV649" s="1403"/>
      <c r="DX649" s="1356" t="e">
        <f t="shared" si="29"/>
        <v>#VALUE!</v>
      </c>
      <c r="DY649" s="1356"/>
      <c r="DZ649" s="1356"/>
      <c r="EA649" s="1356"/>
      <c r="EB649" s="1356"/>
      <c r="EC649" s="1356" t="e">
        <f t="shared" si="24"/>
        <v>#VALUE!</v>
      </c>
      <c r="ED649" s="1356"/>
      <c r="EE649" s="1356"/>
      <c r="EF649" s="1356"/>
      <c r="EG649" s="1356"/>
      <c r="EH649" s="1356" t="e">
        <f t="shared" si="25"/>
        <v>#VALUE!</v>
      </c>
      <c r="EI649" s="1356"/>
      <c r="EJ649" s="1356"/>
      <c r="EK649" s="1356"/>
      <c r="EL649" s="1356"/>
      <c r="EM649" s="1356" t="e">
        <f t="shared" si="26"/>
        <v>#VALUE!</v>
      </c>
      <c r="EN649" s="1356"/>
      <c r="EO649" s="1356"/>
      <c r="EP649" s="1356"/>
      <c r="EQ649" s="1356"/>
      <c r="ER649" s="1356" t="e">
        <f t="shared" si="27"/>
        <v>#VALUE!</v>
      </c>
      <c r="ES649" s="1356"/>
      <c r="ET649" s="1356"/>
      <c r="EU649" s="1356"/>
      <c r="EV649" s="1356"/>
      <c r="EW649" s="1356" t="e">
        <f t="shared" si="28"/>
        <v>#VALUE!</v>
      </c>
      <c r="EX649" s="1356"/>
      <c r="EY649" s="1356"/>
      <c r="EZ649" s="1356"/>
      <c r="FA649" s="1356"/>
    </row>
    <row r="650" spans="1:157" ht="13" customHeight="1">
      <c r="A650" s="22"/>
      <c r="T650" s="22"/>
      <c r="AZ650" s="34"/>
      <c r="BA650" s="34"/>
      <c r="BB650" s="34"/>
      <c r="BC650" s="34"/>
      <c r="BD650" s="34"/>
      <c r="BE650" s="34"/>
      <c r="BF650" s="34"/>
      <c r="BG650" s="34"/>
      <c r="BH650" s="34"/>
      <c r="BI650" s="34"/>
      <c r="BJ650" s="34"/>
      <c r="BK650" s="34"/>
      <c r="BL650" s="34"/>
      <c r="BM650" s="34"/>
      <c r="BN650" s="1401">
        <f t="shared" si="30"/>
        <v>0</v>
      </c>
      <c r="BO650" s="1402"/>
      <c r="BP650" s="1402"/>
      <c r="BQ650" s="1402"/>
      <c r="BR650" s="1403"/>
      <c r="BS650" s="1398">
        <f t="shared" si="31"/>
        <v>0</v>
      </c>
      <c r="BT650" s="1398"/>
      <c r="BU650" s="1398"/>
      <c r="BV650" s="1398"/>
      <c r="BW650" s="1398"/>
      <c r="BX650" s="1398">
        <f t="shared" si="32"/>
        <v>0</v>
      </c>
      <c r="BY650" s="1398"/>
      <c r="BZ650" s="1398"/>
      <c r="CA650" s="1398"/>
      <c r="CB650" s="1398"/>
      <c r="CC650" s="1398">
        <f t="shared" si="33"/>
        <v>0</v>
      </c>
      <c r="CD650" s="1398"/>
      <c r="CE650" s="1398"/>
      <c r="CF650" s="1398"/>
      <c r="CG650" s="1398"/>
      <c r="CH650" s="1398">
        <f t="shared" si="34"/>
        <v>0</v>
      </c>
      <c r="CI650" s="1398"/>
      <c r="CJ650" s="1398"/>
      <c r="CK650" s="1398"/>
      <c r="CL650" s="1398"/>
      <c r="CM650" s="1398">
        <f t="shared" si="35"/>
        <v>0</v>
      </c>
      <c r="CN650" s="1398"/>
      <c r="CO650" s="1398"/>
      <c r="CP650" s="1398"/>
      <c r="CQ650" s="1398"/>
      <c r="CR650" s="6"/>
      <c r="CS650" s="1401">
        <f t="shared" si="36"/>
        <v>0</v>
      </c>
      <c r="CT650" s="1402"/>
      <c r="CU650" s="1402"/>
      <c r="CV650" s="1402"/>
      <c r="CW650" s="1403"/>
      <c r="CX650" s="1401">
        <f t="shared" si="37"/>
        <v>0</v>
      </c>
      <c r="CY650" s="1402"/>
      <c r="CZ650" s="1402"/>
      <c r="DA650" s="1402"/>
      <c r="DB650" s="1403"/>
      <c r="DC650" s="1401">
        <f t="shared" si="38"/>
        <v>0</v>
      </c>
      <c r="DD650" s="1402"/>
      <c r="DE650" s="1402"/>
      <c r="DF650" s="1402"/>
      <c r="DG650" s="1403"/>
      <c r="DH650" s="1401">
        <f t="shared" si="39"/>
        <v>0</v>
      </c>
      <c r="DI650" s="1402"/>
      <c r="DJ650" s="1402"/>
      <c r="DK650" s="1402"/>
      <c r="DL650" s="1403"/>
      <c r="DM650" s="1401">
        <f t="shared" si="40"/>
        <v>0</v>
      </c>
      <c r="DN650" s="1402"/>
      <c r="DO650" s="1402"/>
      <c r="DP650" s="1402"/>
      <c r="DQ650" s="1403"/>
      <c r="DR650" s="1401">
        <f t="shared" si="41"/>
        <v>0</v>
      </c>
      <c r="DS650" s="1402"/>
      <c r="DT650" s="1402"/>
      <c r="DU650" s="1402"/>
      <c r="DV650" s="1403"/>
      <c r="DX650" s="1356" t="e">
        <f t="shared" si="29"/>
        <v>#VALUE!</v>
      </c>
      <c r="DY650" s="1356"/>
      <c r="DZ650" s="1356"/>
      <c r="EA650" s="1356"/>
      <c r="EB650" s="1356"/>
      <c r="EC650" s="1356" t="e">
        <f t="shared" si="24"/>
        <v>#VALUE!</v>
      </c>
      <c r="ED650" s="1356"/>
      <c r="EE650" s="1356"/>
      <c r="EF650" s="1356"/>
      <c r="EG650" s="1356"/>
      <c r="EH650" s="1356" t="e">
        <f t="shared" si="25"/>
        <v>#VALUE!</v>
      </c>
      <c r="EI650" s="1356"/>
      <c r="EJ650" s="1356"/>
      <c r="EK650" s="1356"/>
      <c r="EL650" s="1356"/>
      <c r="EM650" s="1356" t="e">
        <f t="shared" si="26"/>
        <v>#VALUE!</v>
      </c>
      <c r="EN650" s="1356"/>
      <c r="EO650" s="1356"/>
      <c r="EP650" s="1356"/>
      <c r="EQ650" s="1356"/>
      <c r="ER650" s="1356" t="e">
        <f t="shared" si="27"/>
        <v>#VALUE!</v>
      </c>
      <c r="ES650" s="1356"/>
      <c r="ET650" s="1356"/>
      <c r="EU650" s="1356"/>
      <c r="EV650" s="1356"/>
      <c r="EW650" s="1356" t="e">
        <f t="shared" si="28"/>
        <v>#VALUE!</v>
      </c>
      <c r="EX650" s="1356"/>
      <c r="EY650" s="1356"/>
      <c r="EZ650" s="1356"/>
      <c r="FA650" s="1356"/>
    </row>
    <row r="651" spans="1:157" ht="13" customHeight="1">
      <c r="A651" s="55" t="s">
        <v>119</v>
      </c>
      <c r="B651" t="s">
        <v>472</v>
      </c>
      <c r="G651" s="1382" t="str">
        <f>C629</f>
        <v>Income from Operations</v>
      </c>
      <c r="H651" s="1382"/>
      <c r="I651" s="1382"/>
      <c r="J651" s="1382"/>
      <c r="K651" s="1382"/>
      <c r="L651" s="1382"/>
      <c r="M651" s="1382"/>
      <c r="N651" s="1382"/>
      <c r="O651" s="1382"/>
      <c r="P651" s="1382"/>
      <c r="Q651" s="1382"/>
      <c r="R651" s="1382"/>
      <c r="T651" s="55" t="s">
        <v>590</v>
      </c>
      <c r="U651" t="s">
        <v>472</v>
      </c>
      <c r="Z651" s="1382" t="str">
        <f>C630</f>
        <v>Deferred Developer Fee</v>
      </c>
      <c r="AA651" s="1382"/>
      <c r="AB651" s="1382"/>
      <c r="AC651" s="1382"/>
      <c r="AD651" s="1382"/>
      <c r="AE651" s="1382"/>
      <c r="AF651" s="1382"/>
      <c r="AG651" s="1382"/>
      <c r="AH651" s="1382"/>
      <c r="AI651" s="1382"/>
      <c r="AJ651" s="1382"/>
      <c r="AK651" s="1382"/>
      <c r="AZ651" s="34"/>
      <c r="BA651" s="34"/>
      <c r="BB651" s="34"/>
      <c r="BC651" s="34"/>
      <c r="BD651" s="34"/>
      <c r="BE651" s="34"/>
      <c r="BF651" s="34"/>
      <c r="BG651" s="34"/>
      <c r="BH651" s="34"/>
      <c r="BI651" s="34"/>
      <c r="BJ651" s="34"/>
      <c r="BK651" s="34"/>
      <c r="BL651" s="34"/>
      <c r="BM651" s="34"/>
      <c r="BN651" s="1401">
        <f t="shared" si="30"/>
        <v>0</v>
      </c>
      <c r="BO651" s="1402"/>
      <c r="BP651" s="1402"/>
      <c r="BQ651" s="1402"/>
      <c r="BR651" s="1403"/>
      <c r="BS651" s="1398">
        <f t="shared" si="31"/>
        <v>0</v>
      </c>
      <c r="BT651" s="1398"/>
      <c r="BU651" s="1398"/>
      <c r="BV651" s="1398"/>
      <c r="BW651" s="1398"/>
      <c r="BX651" s="1398">
        <f t="shared" si="32"/>
        <v>0</v>
      </c>
      <c r="BY651" s="1398"/>
      <c r="BZ651" s="1398"/>
      <c r="CA651" s="1398"/>
      <c r="CB651" s="1398"/>
      <c r="CC651" s="1398">
        <f t="shared" si="33"/>
        <v>0</v>
      </c>
      <c r="CD651" s="1398"/>
      <c r="CE651" s="1398"/>
      <c r="CF651" s="1398"/>
      <c r="CG651" s="1398"/>
      <c r="CH651" s="1398">
        <f t="shared" si="34"/>
        <v>0</v>
      </c>
      <c r="CI651" s="1398"/>
      <c r="CJ651" s="1398"/>
      <c r="CK651" s="1398"/>
      <c r="CL651" s="1398"/>
      <c r="CM651" s="1398">
        <f t="shared" si="35"/>
        <v>0</v>
      </c>
      <c r="CN651" s="1398"/>
      <c r="CO651" s="1398"/>
      <c r="CP651" s="1398"/>
      <c r="CQ651" s="1398"/>
      <c r="CR651" s="6"/>
      <c r="CS651" s="1401">
        <f t="shared" si="36"/>
        <v>0</v>
      </c>
      <c r="CT651" s="1402"/>
      <c r="CU651" s="1402"/>
      <c r="CV651" s="1402"/>
      <c r="CW651" s="1403"/>
      <c r="CX651" s="1401">
        <f t="shared" si="37"/>
        <v>0</v>
      </c>
      <c r="CY651" s="1402"/>
      <c r="CZ651" s="1402"/>
      <c r="DA651" s="1402"/>
      <c r="DB651" s="1403"/>
      <c r="DC651" s="1401">
        <f t="shared" si="38"/>
        <v>0</v>
      </c>
      <c r="DD651" s="1402"/>
      <c r="DE651" s="1402"/>
      <c r="DF651" s="1402"/>
      <c r="DG651" s="1403"/>
      <c r="DH651" s="1401">
        <f t="shared" si="39"/>
        <v>0</v>
      </c>
      <c r="DI651" s="1402"/>
      <c r="DJ651" s="1402"/>
      <c r="DK651" s="1402"/>
      <c r="DL651" s="1403"/>
      <c r="DM651" s="1401">
        <f t="shared" si="40"/>
        <v>0</v>
      </c>
      <c r="DN651" s="1402"/>
      <c r="DO651" s="1402"/>
      <c r="DP651" s="1402"/>
      <c r="DQ651" s="1403"/>
      <c r="DR651" s="1401">
        <f t="shared" si="41"/>
        <v>0</v>
      </c>
      <c r="DS651" s="1402"/>
      <c r="DT651" s="1402"/>
      <c r="DU651" s="1402"/>
      <c r="DV651" s="1403"/>
      <c r="DX651" s="1356" t="e">
        <f t="shared" si="29"/>
        <v>#VALUE!</v>
      </c>
      <c r="DY651" s="1356"/>
      <c r="DZ651" s="1356"/>
      <c r="EA651" s="1356"/>
      <c r="EB651" s="1356"/>
      <c r="EC651" s="1356" t="e">
        <f t="shared" si="24"/>
        <v>#VALUE!</v>
      </c>
      <c r="ED651" s="1356"/>
      <c r="EE651" s="1356"/>
      <c r="EF651" s="1356"/>
      <c r="EG651" s="1356"/>
      <c r="EH651" s="1356" t="e">
        <f t="shared" si="25"/>
        <v>#VALUE!</v>
      </c>
      <c r="EI651" s="1356"/>
      <c r="EJ651" s="1356"/>
      <c r="EK651" s="1356"/>
      <c r="EL651" s="1356"/>
      <c r="EM651" s="1356" t="e">
        <f t="shared" si="26"/>
        <v>#VALUE!</v>
      </c>
      <c r="EN651" s="1356"/>
      <c r="EO651" s="1356"/>
      <c r="EP651" s="1356"/>
      <c r="EQ651" s="1356"/>
      <c r="ER651" s="1356" t="e">
        <f t="shared" si="27"/>
        <v>#VALUE!</v>
      </c>
      <c r="ES651" s="1356"/>
      <c r="ET651" s="1356"/>
      <c r="EU651" s="1356"/>
      <c r="EV651" s="1356"/>
      <c r="EW651" s="1356" t="e">
        <f t="shared" si="28"/>
        <v>#VALUE!</v>
      </c>
      <c r="EX651" s="1356"/>
      <c r="EY651" s="1356"/>
      <c r="EZ651" s="1356"/>
      <c r="FA651" s="1356"/>
    </row>
    <row r="652" spans="1:157" ht="13" customHeight="1">
      <c r="A652" s="22"/>
      <c r="B652" t="s">
        <v>85</v>
      </c>
      <c r="G652" s="1381" t="s">
        <v>2652</v>
      </c>
      <c r="H652" s="1381"/>
      <c r="I652" s="1381"/>
      <c r="J652" s="1381"/>
      <c r="K652" s="1381"/>
      <c r="L652" s="1381"/>
      <c r="M652" s="1381"/>
      <c r="N652" s="1381"/>
      <c r="O652" s="1381"/>
      <c r="P652" s="1381"/>
      <c r="Q652" s="1381"/>
      <c r="R652" s="1381"/>
      <c r="T652" s="22"/>
      <c r="U652" t="s">
        <v>85</v>
      </c>
      <c r="Z652" s="1381" t="s">
        <v>2652</v>
      </c>
      <c r="AA652" s="1381"/>
      <c r="AB652" s="1381"/>
      <c r="AC652" s="1381"/>
      <c r="AD652" s="1381"/>
      <c r="AE652" s="1381"/>
      <c r="AF652" s="1381"/>
      <c r="AG652" s="1381"/>
      <c r="AH652" s="1381"/>
      <c r="AI652" s="1381"/>
      <c r="AJ652" s="1381"/>
      <c r="AK652" s="1381"/>
      <c r="AZ652" s="34"/>
      <c r="BA652" s="34"/>
      <c r="BB652" s="34"/>
      <c r="BC652" s="34"/>
      <c r="BD652" s="34"/>
      <c r="BE652" s="34"/>
      <c r="BF652" s="34"/>
      <c r="BG652" s="34"/>
      <c r="BH652" s="34"/>
      <c r="BI652" s="34"/>
      <c r="BJ652" s="34"/>
      <c r="BK652" s="34"/>
      <c r="BL652" s="34"/>
      <c r="BM652" s="34"/>
      <c r="BN652" s="1401">
        <f t="shared" si="30"/>
        <v>0</v>
      </c>
      <c r="BO652" s="1402"/>
      <c r="BP652" s="1402"/>
      <c r="BQ652" s="1402"/>
      <c r="BR652" s="1403"/>
      <c r="BS652" s="1398">
        <f t="shared" si="31"/>
        <v>0</v>
      </c>
      <c r="BT652" s="1398"/>
      <c r="BU652" s="1398"/>
      <c r="BV652" s="1398"/>
      <c r="BW652" s="1398"/>
      <c r="BX652" s="1398">
        <f t="shared" si="32"/>
        <v>0</v>
      </c>
      <c r="BY652" s="1398"/>
      <c r="BZ652" s="1398"/>
      <c r="CA652" s="1398"/>
      <c r="CB652" s="1398"/>
      <c r="CC652" s="1398">
        <f t="shared" si="33"/>
        <v>0</v>
      </c>
      <c r="CD652" s="1398"/>
      <c r="CE652" s="1398"/>
      <c r="CF652" s="1398"/>
      <c r="CG652" s="1398"/>
      <c r="CH652" s="1398">
        <f t="shared" si="34"/>
        <v>0</v>
      </c>
      <c r="CI652" s="1398"/>
      <c r="CJ652" s="1398"/>
      <c r="CK652" s="1398"/>
      <c r="CL652" s="1398"/>
      <c r="CM652" s="1398">
        <f t="shared" si="35"/>
        <v>0</v>
      </c>
      <c r="CN652" s="1398"/>
      <c r="CO652" s="1398"/>
      <c r="CP652" s="1398"/>
      <c r="CQ652" s="1398"/>
      <c r="CR652" s="6"/>
      <c r="CS652" s="1401">
        <f t="shared" si="36"/>
        <v>0</v>
      </c>
      <c r="CT652" s="1402"/>
      <c r="CU652" s="1402"/>
      <c r="CV652" s="1402"/>
      <c r="CW652" s="1403"/>
      <c r="CX652" s="1401">
        <f t="shared" si="37"/>
        <v>0</v>
      </c>
      <c r="CY652" s="1402"/>
      <c r="CZ652" s="1402"/>
      <c r="DA652" s="1402"/>
      <c r="DB652" s="1403"/>
      <c r="DC652" s="1401">
        <f t="shared" si="38"/>
        <v>0</v>
      </c>
      <c r="DD652" s="1402"/>
      <c r="DE652" s="1402"/>
      <c r="DF652" s="1402"/>
      <c r="DG652" s="1403"/>
      <c r="DH652" s="1401">
        <f t="shared" si="39"/>
        <v>0</v>
      </c>
      <c r="DI652" s="1402"/>
      <c r="DJ652" s="1402"/>
      <c r="DK652" s="1402"/>
      <c r="DL652" s="1403"/>
      <c r="DM652" s="1401">
        <f t="shared" si="40"/>
        <v>0</v>
      </c>
      <c r="DN652" s="1402"/>
      <c r="DO652" s="1402"/>
      <c r="DP652" s="1402"/>
      <c r="DQ652" s="1403"/>
      <c r="DR652" s="1401">
        <f t="shared" si="41"/>
        <v>0</v>
      </c>
      <c r="DS652" s="1402"/>
      <c r="DT652" s="1402"/>
      <c r="DU652" s="1402"/>
      <c r="DV652" s="1403"/>
      <c r="DX652" s="1356" t="e">
        <f t="shared" si="29"/>
        <v>#VALUE!</v>
      </c>
      <c r="DY652" s="1356"/>
      <c r="DZ652" s="1356"/>
      <c r="EA652" s="1356"/>
      <c r="EB652" s="1356"/>
      <c r="EC652" s="1356" t="e">
        <f t="shared" si="24"/>
        <v>#VALUE!</v>
      </c>
      <c r="ED652" s="1356"/>
      <c r="EE652" s="1356"/>
      <c r="EF652" s="1356"/>
      <c r="EG652" s="1356"/>
      <c r="EH652" s="1356" t="e">
        <f t="shared" si="25"/>
        <v>#VALUE!</v>
      </c>
      <c r="EI652" s="1356"/>
      <c r="EJ652" s="1356"/>
      <c r="EK652" s="1356"/>
      <c r="EL652" s="1356"/>
      <c r="EM652" s="1356" t="e">
        <f t="shared" si="26"/>
        <v>#VALUE!</v>
      </c>
      <c r="EN652" s="1356"/>
      <c r="EO652" s="1356"/>
      <c r="EP652" s="1356"/>
      <c r="EQ652" s="1356"/>
      <c r="ER652" s="1356" t="e">
        <f t="shared" si="27"/>
        <v>#VALUE!</v>
      </c>
      <c r="ES652" s="1356"/>
      <c r="ET652" s="1356"/>
      <c r="EU652" s="1356"/>
      <c r="EV652" s="1356"/>
      <c r="EW652" s="1356" t="e">
        <f t="shared" si="28"/>
        <v>#VALUE!</v>
      </c>
      <c r="EX652" s="1356"/>
      <c r="EY652" s="1356"/>
      <c r="EZ652" s="1356"/>
      <c r="FA652" s="1356"/>
    </row>
    <row r="653" spans="1:157" ht="13" customHeight="1">
      <c r="A653" s="22"/>
      <c r="B653" t="s">
        <v>589</v>
      </c>
      <c r="G653" s="1438" t="s">
        <v>2653</v>
      </c>
      <c r="H653" s="1438"/>
      <c r="I653" s="1438"/>
      <c r="J653" s="1438"/>
      <c r="K653" s="1438"/>
      <c r="L653" s="1438"/>
      <c r="M653" s="1438"/>
      <c r="N653" s="1438"/>
      <c r="O653" s="1438"/>
      <c r="P653" s="1438"/>
      <c r="Q653" s="1438"/>
      <c r="R653" s="1438"/>
      <c r="T653" s="22"/>
      <c r="U653" t="s">
        <v>589</v>
      </c>
      <c r="Z653" s="1438" t="s">
        <v>2653</v>
      </c>
      <c r="AA653" s="1438"/>
      <c r="AB653" s="1438"/>
      <c r="AC653" s="1438"/>
      <c r="AD653" s="1438"/>
      <c r="AE653" s="1438"/>
      <c r="AF653" s="1438"/>
      <c r="AG653" s="1438"/>
      <c r="AH653" s="1438"/>
      <c r="AI653" s="1438"/>
      <c r="AJ653" s="1438"/>
      <c r="AK653" s="1438"/>
      <c r="AZ653" s="34"/>
      <c r="BA653" s="34"/>
      <c r="BB653" s="34"/>
      <c r="BC653" s="34"/>
      <c r="BD653" s="34"/>
      <c r="BE653" s="34"/>
      <c r="BF653" s="34"/>
      <c r="BG653" s="34"/>
      <c r="BH653" s="34"/>
      <c r="BI653" s="34"/>
      <c r="BJ653" s="34"/>
      <c r="BK653" s="34"/>
      <c r="BL653" s="34"/>
      <c r="BM653" s="34"/>
      <c r="BN653" s="1401">
        <f t="shared" si="30"/>
        <v>0</v>
      </c>
      <c r="BO653" s="1402"/>
      <c r="BP653" s="1402"/>
      <c r="BQ653" s="1402"/>
      <c r="BR653" s="1403"/>
      <c r="BS653" s="1398">
        <f t="shared" si="31"/>
        <v>0</v>
      </c>
      <c r="BT653" s="1398"/>
      <c r="BU653" s="1398"/>
      <c r="BV653" s="1398"/>
      <c r="BW653" s="1398"/>
      <c r="BX653" s="1398">
        <f t="shared" si="32"/>
        <v>0</v>
      </c>
      <c r="BY653" s="1398"/>
      <c r="BZ653" s="1398"/>
      <c r="CA653" s="1398"/>
      <c r="CB653" s="1398"/>
      <c r="CC653" s="1398">
        <f t="shared" si="33"/>
        <v>0</v>
      </c>
      <c r="CD653" s="1398"/>
      <c r="CE653" s="1398"/>
      <c r="CF653" s="1398"/>
      <c r="CG653" s="1398"/>
      <c r="CH653" s="1398">
        <f t="shared" si="34"/>
        <v>0</v>
      </c>
      <c r="CI653" s="1398"/>
      <c r="CJ653" s="1398"/>
      <c r="CK653" s="1398"/>
      <c r="CL653" s="1398"/>
      <c r="CM653" s="1398">
        <f t="shared" si="35"/>
        <v>0</v>
      </c>
      <c r="CN653" s="1398"/>
      <c r="CO653" s="1398"/>
      <c r="CP653" s="1398"/>
      <c r="CQ653" s="1398"/>
      <c r="CR653" s="6"/>
      <c r="CS653" s="1401">
        <f t="shared" si="36"/>
        <v>0</v>
      </c>
      <c r="CT653" s="1402"/>
      <c r="CU653" s="1402"/>
      <c r="CV653" s="1402"/>
      <c r="CW653" s="1403"/>
      <c r="CX653" s="1401">
        <f t="shared" si="37"/>
        <v>0</v>
      </c>
      <c r="CY653" s="1402"/>
      <c r="CZ653" s="1402"/>
      <c r="DA653" s="1402"/>
      <c r="DB653" s="1403"/>
      <c r="DC653" s="1401">
        <f t="shared" si="38"/>
        <v>0</v>
      </c>
      <c r="DD653" s="1402"/>
      <c r="DE653" s="1402"/>
      <c r="DF653" s="1402"/>
      <c r="DG653" s="1403"/>
      <c r="DH653" s="1401">
        <f t="shared" si="39"/>
        <v>0</v>
      </c>
      <c r="DI653" s="1402"/>
      <c r="DJ653" s="1402"/>
      <c r="DK653" s="1402"/>
      <c r="DL653" s="1403"/>
      <c r="DM653" s="1401">
        <f t="shared" si="40"/>
        <v>0</v>
      </c>
      <c r="DN653" s="1402"/>
      <c r="DO653" s="1402"/>
      <c r="DP653" s="1402"/>
      <c r="DQ653" s="1403"/>
      <c r="DR653" s="1401">
        <f t="shared" si="41"/>
        <v>0</v>
      </c>
      <c r="DS653" s="1402"/>
      <c r="DT653" s="1402"/>
      <c r="DU653" s="1402"/>
      <c r="DV653" s="1403"/>
      <c r="DX653" s="1356" t="e">
        <f t="shared" si="29"/>
        <v>#VALUE!</v>
      </c>
      <c r="DY653" s="1356"/>
      <c r="DZ653" s="1356"/>
      <c r="EA653" s="1356"/>
      <c r="EB653" s="1356"/>
      <c r="EC653" s="1356" t="e">
        <f t="shared" si="24"/>
        <v>#VALUE!</v>
      </c>
      <c r="ED653" s="1356"/>
      <c r="EE653" s="1356"/>
      <c r="EF653" s="1356"/>
      <c r="EG653" s="1356"/>
      <c r="EH653" s="1356" t="e">
        <f t="shared" si="25"/>
        <v>#VALUE!</v>
      </c>
      <c r="EI653" s="1356"/>
      <c r="EJ653" s="1356"/>
      <c r="EK653" s="1356"/>
      <c r="EL653" s="1356"/>
      <c r="EM653" s="1356" t="e">
        <f t="shared" si="26"/>
        <v>#VALUE!</v>
      </c>
      <c r="EN653" s="1356"/>
      <c r="EO653" s="1356"/>
      <c r="EP653" s="1356"/>
      <c r="EQ653" s="1356"/>
      <c r="ER653" s="1356" t="e">
        <f t="shared" si="27"/>
        <v>#VALUE!</v>
      </c>
      <c r="ES653" s="1356"/>
      <c r="ET653" s="1356"/>
      <c r="EU653" s="1356"/>
      <c r="EV653" s="1356"/>
      <c r="EW653" s="1356" t="e">
        <f t="shared" si="28"/>
        <v>#VALUE!</v>
      </c>
      <c r="EX653" s="1356"/>
      <c r="EY653" s="1356"/>
      <c r="EZ653" s="1356"/>
      <c r="FA653" s="1356"/>
    </row>
    <row r="654" spans="1:157" ht="13" customHeight="1">
      <c r="A654" s="22"/>
      <c r="B654" t="s">
        <v>17</v>
      </c>
      <c r="G654" s="1488" t="s">
        <v>2702</v>
      </c>
      <c r="H654" s="1438"/>
      <c r="I654" s="1438"/>
      <c r="J654" s="1438"/>
      <c r="K654" s="1438"/>
      <c r="L654" s="1438"/>
      <c r="M654" s="1438"/>
      <c r="N654" s="1438"/>
      <c r="O654" s="1438"/>
      <c r="P654" s="1438"/>
      <c r="Q654" s="1438"/>
      <c r="R654" s="1438"/>
      <c r="T654" s="22"/>
      <c r="U654" t="s">
        <v>17</v>
      </c>
      <c r="Z654" s="1438" t="s">
        <v>2655</v>
      </c>
      <c r="AA654" s="1438"/>
      <c r="AB654" s="1438"/>
      <c r="AC654" s="1438"/>
      <c r="AD654" s="1438"/>
      <c r="AE654" s="1438"/>
      <c r="AF654" s="1438"/>
      <c r="AG654" s="1438"/>
      <c r="AH654" s="1438"/>
      <c r="AI654" s="1438"/>
      <c r="AJ654" s="1438"/>
      <c r="AK654" s="1438"/>
      <c r="AZ654" s="34"/>
      <c r="BA654" s="34"/>
      <c r="BB654" s="34"/>
      <c r="BC654" s="34"/>
      <c r="BD654" s="34"/>
      <c r="BE654" s="34"/>
      <c r="BF654" s="34"/>
      <c r="BG654" s="34"/>
      <c r="BH654" s="34"/>
      <c r="BI654" s="34"/>
      <c r="BJ654" s="34"/>
      <c r="BK654" s="34"/>
      <c r="BL654" s="34"/>
      <c r="BM654" s="34"/>
      <c r="BN654" s="1401">
        <f t="shared" si="30"/>
        <v>0</v>
      </c>
      <c r="BO654" s="1402"/>
      <c r="BP654" s="1402"/>
      <c r="BQ654" s="1402"/>
      <c r="BR654" s="1403"/>
      <c r="BS654" s="1398">
        <f t="shared" si="31"/>
        <v>0</v>
      </c>
      <c r="BT654" s="1398"/>
      <c r="BU654" s="1398"/>
      <c r="BV654" s="1398"/>
      <c r="BW654" s="1398"/>
      <c r="BX654" s="1398">
        <f t="shared" si="32"/>
        <v>0</v>
      </c>
      <c r="BY654" s="1398"/>
      <c r="BZ654" s="1398"/>
      <c r="CA654" s="1398"/>
      <c r="CB654" s="1398"/>
      <c r="CC654" s="1398">
        <f t="shared" si="33"/>
        <v>0</v>
      </c>
      <c r="CD654" s="1398"/>
      <c r="CE654" s="1398"/>
      <c r="CF654" s="1398"/>
      <c r="CG654" s="1398"/>
      <c r="CH654" s="1398">
        <f t="shared" si="34"/>
        <v>0</v>
      </c>
      <c r="CI654" s="1398"/>
      <c r="CJ654" s="1398"/>
      <c r="CK654" s="1398"/>
      <c r="CL654" s="1398"/>
      <c r="CM654" s="1398">
        <f t="shared" si="35"/>
        <v>0</v>
      </c>
      <c r="CN654" s="1398"/>
      <c r="CO654" s="1398"/>
      <c r="CP654" s="1398"/>
      <c r="CQ654" s="1398"/>
      <c r="CR654" s="6"/>
      <c r="CS654" s="1401">
        <f t="shared" si="36"/>
        <v>0</v>
      </c>
      <c r="CT654" s="1402"/>
      <c r="CU654" s="1402"/>
      <c r="CV654" s="1402"/>
      <c r="CW654" s="1403"/>
      <c r="CX654" s="1401">
        <f t="shared" si="37"/>
        <v>0</v>
      </c>
      <c r="CY654" s="1402"/>
      <c r="CZ654" s="1402"/>
      <c r="DA654" s="1402"/>
      <c r="DB654" s="1403"/>
      <c r="DC654" s="1401">
        <f t="shared" si="38"/>
        <v>0</v>
      </c>
      <c r="DD654" s="1402"/>
      <c r="DE654" s="1402"/>
      <c r="DF654" s="1402"/>
      <c r="DG654" s="1403"/>
      <c r="DH654" s="1401">
        <f t="shared" si="39"/>
        <v>0</v>
      </c>
      <c r="DI654" s="1402"/>
      <c r="DJ654" s="1402"/>
      <c r="DK654" s="1402"/>
      <c r="DL654" s="1403"/>
      <c r="DM654" s="1401">
        <f t="shared" si="40"/>
        <v>0</v>
      </c>
      <c r="DN654" s="1402"/>
      <c r="DO654" s="1402"/>
      <c r="DP654" s="1402"/>
      <c r="DQ654" s="1403"/>
      <c r="DR654" s="1401">
        <f t="shared" si="41"/>
        <v>0</v>
      </c>
      <c r="DS654" s="1402"/>
      <c r="DT654" s="1402"/>
      <c r="DU654" s="1402"/>
      <c r="DV654" s="1403"/>
      <c r="DX654" s="1356" t="e">
        <f t="shared" si="29"/>
        <v>#VALUE!</v>
      </c>
      <c r="DY654" s="1356"/>
      <c r="DZ654" s="1356"/>
      <c r="EA654" s="1356"/>
      <c r="EB654" s="1356"/>
      <c r="EC654" s="1356" t="e">
        <f t="shared" si="24"/>
        <v>#VALUE!</v>
      </c>
      <c r="ED654" s="1356"/>
      <c r="EE654" s="1356"/>
      <c r="EF654" s="1356"/>
      <c r="EG654" s="1356"/>
      <c r="EH654" s="1356" t="e">
        <f t="shared" si="25"/>
        <v>#VALUE!</v>
      </c>
      <c r="EI654" s="1356"/>
      <c r="EJ654" s="1356"/>
      <c r="EK654" s="1356"/>
      <c r="EL654" s="1356"/>
      <c r="EM654" s="1356" t="e">
        <f t="shared" si="26"/>
        <v>#VALUE!</v>
      </c>
      <c r="EN654" s="1356"/>
      <c r="EO654" s="1356"/>
      <c r="EP654" s="1356"/>
      <c r="EQ654" s="1356"/>
      <c r="ER654" s="1356" t="e">
        <f t="shared" si="27"/>
        <v>#VALUE!</v>
      </c>
      <c r="ES654" s="1356"/>
      <c r="ET654" s="1356"/>
      <c r="EU654" s="1356"/>
      <c r="EV654" s="1356"/>
      <c r="EW654" s="1356" t="e">
        <f t="shared" si="28"/>
        <v>#VALUE!</v>
      </c>
      <c r="EX654" s="1356"/>
      <c r="EY654" s="1356"/>
      <c r="EZ654" s="1356"/>
      <c r="FA654" s="1356"/>
    </row>
    <row r="655" spans="1:157" ht="13" customHeight="1">
      <c r="A655" s="22"/>
      <c r="B655" t="s">
        <v>317</v>
      </c>
      <c r="G655" s="1493" t="str">
        <f>$G$589</f>
        <v>408-647-4720</v>
      </c>
      <c r="H655" s="1493"/>
      <c r="I655" s="1493"/>
      <c r="J655" s="1493"/>
      <c r="K655" s="1493"/>
      <c r="L655" s="1493"/>
      <c r="O655" s="33" t="s">
        <v>207</v>
      </c>
      <c r="P655" s="1412"/>
      <c r="Q655" s="1412"/>
      <c r="R655" s="1412"/>
      <c r="T655" s="22"/>
      <c r="U655" t="s">
        <v>317</v>
      </c>
      <c r="Z655" s="1493" t="str">
        <f>$G$589</f>
        <v>408-647-4720</v>
      </c>
      <c r="AA655" s="1493"/>
      <c r="AB655" s="1493"/>
      <c r="AC655" s="1493"/>
      <c r="AD655" s="1493"/>
      <c r="AE655" s="1493"/>
      <c r="AH655" s="33" t="s">
        <v>207</v>
      </c>
      <c r="AI655" s="1412"/>
      <c r="AJ655" s="1412"/>
      <c r="AK655" s="1412"/>
      <c r="AZ655" s="34"/>
      <c r="BA655" s="34"/>
      <c r="BB655" s="34"/>
      <c r="BC655" s="34"/>
      <c r="BD655" s="34"/>
      <c r="BE655" s="34"/>
      <c r="BF655" s="34"/>
      <c r="BG655" s="34"/>
      <c r="BH655" s="34"/>
      <c r="BI655" s="34"/>
      <c r="BJ655" s="34"/>
      <c r="BK655" s="34"/>
      <c r="BL655" s="34"/>
      <c r="BM655" s="34"/>
      <c r="BN655" s="1399">
        <f>SUM(BN645:BR654)</f>
        <v>0</v>
      </c>
      <c r="BO655" s="1519"/>
      <c r="BP655" s="1519"/>
      <c r="BQ655" s="1519"/>
      <c r="BR655" s="1400"/>
      <c r="BS655" s="1682">
        <f>SUM(BS645:BW654)</f>
        <v>0</v>
      </c>
      <c r="BT655" s="1683"/>
      <c r="BU655" s="1683"/>
      <c r="BV655" s="1683"/>
      <c r="BW655" s="1684"/>
      <c r="BX655" s="1682">
        <f>SUM(BX645:CB654)</f>
        <v>0</v>
      </c>
      <c r="BY655" s="1683"/>
      <c r="BZ655" s="1683"/>
      <c r="CA655" s="1683"/>
      <c r="CB655" s="1684"/>
      <c r="CC655" s="1682">
        <f>SUM(CC645:CG654)</f>
        <v>0</v>
      </c>
      <c r="CD655" s="1683"/>
      <c r="CE655" s="1683"/>
      <c r="CF655" s="1683"/>
      <c r="CG655" s="1684"/>
      <c r="CH655" s="1682">
        <f>SUM(CH645:CL654)</f>
        <v>0</v>
      </c>
      <c r="CI655" s="1683"/>
      <c r="CJ655" s="1683"/>
      <c r="CK655" s="1683"/>
      <c r="CL655" s="1684"/>
      <c r="CM655" s="1682">
        <f>SUM(CM645:CQ654)</f>
        <v>0</v>
      </c>
      <c r="CN655" s="1683"/>
      <c r="CO655" s="1683"/>
      <c r="CP655" s="1683"/>
      <c r="CQ655" s="1684"/>
      <c r="CR655" s="1047"/>
      <c r="CS655" s="1590">
        <f>SUM(CS645:CW654)</f>
        <v>0</v>
      </c>
      <c r="CT655" s="1590"/>
      <c r="CU655" s="1590"/>
      <c r="CV655" s="1590"/>
      <c r="CW655" s="1590"/>
      <c r="CX655" s="1590">
        <f>SUM(CX645:DB654)</f>
        <v>0</v>
      </c>
      <c r="CY655" s="1590"/>
      <c r="CZ655" s="1590"/>
      <c r="DA655" s="1590"/>
      <c r="DB655" s="1590"/>
      <c r="DC655" s="1590">
        <f>SUM(DC645:DG654)</f>
        <v>0</v>
      </c>
      <c r="DD655" s="1590"/>
      <c r="DE655" s="1590"/>
      <c r="DF655" s="1590"/>
      <c r="DG655" s="1590"/>
      <c r="DH655" s="1590">
        <f>SUM(DH645:DL654)</f>
        <v>0</v>
      </c>
      <c r="DI655" s="1590"/>
      <c r="DJ655" s="1590"/>
      <c r="DK655" s="1590"/>
      <c r="DL655" s="1590"/>
      <c r="DM655" s="1590">
        <f>SUM(DM645:DQ654)</f>
        <v>0</v>
      </c>
      <c r="DN655" s="1590"/>
      <c r="DO655" s="1590"/>
      <c r="DP655" s="1590"/>
      <c r="DQ655" s="1590"/>
      <c r="DR655" s="1590">
        <f>SUM(DR645:DV654)</f>
        <v>0</v>
      </c>
      <c r="DS655" s="1590"/>
      <c r="DT655" s="1590"/>
      <c r="DU655" s="1590"/>
      <c r="DV655" s="1590"/>
      <c r="DX655" s="1356" t="e">
        <f t="shared" si="29"/>
        <v>#VALUE!</v>
      </c>
      <c r="DY655" s="1356"/>
      <c r="DZ655" s="1356"/>
      <c r="EA655" s="1356"/>
      <c r="EB655" s="1356"/>
      <c r="EC655" s="1356" t="e">
        <f t="shared" si="24"/>
        <v>#VALUE!</v>
      </c>
      <c r="ED655" s="1356"/>
      <c r="EE655" s="1356"/>
      <c r="EF655" s="1356"/>
      <c r="EG655" s="1356"/>
      <c r="EH655" s="1356" t="e">
        <f t="shared" si="25"/>
        <v>#VALUE!</v>
      </c>
      <c r="EI655" s="1356"/>
      <c r="EJ655" s="1356"/>
      <c r="EK655" s="1356"/>
      <c r="EL655" s="1356"/>
      <c r="EM655" s="1356" t="e">
        <f t="shared" si="26"/>
        <v>#VALUE!</v>
      </c>
      <c r="EN655" s="1356"/>
      <c r="EO655" s="1356"/>
      <c r="EP655" s="1356"/>
      <c r="EQ655" s="1356"/>
      <c r="ER655" s="1356" t="e">
        <f t="shared" si="27"/>
        <v>#VALUE!</v>
      </c>
      <c r="ES655" s="1356"/>
      <c r="ET655" s="1356"/>
      <c r="EU655" s="1356"/>
      <c r="EV655" s="1356"/>
      <c r="EW655" s="1356" t="e">
        <f t="shared" si="28"/>
        <v>#VALUE!</v>
      </c>
      <c r="EX655" s="1356"/>
      <c r="EY655" s="1356"/>
      <c r="EZ655" s="1356"/>
      <c r="FA655" s="1356"/>
    </row>
    <row r="656" spans="1:157" ht="13" customHeight="1">
      <c r="A656" s="22"/>
      <c r="B656" t="s">
        <v>18</v>
      </c>
      <c r="H656" s="1381" t="str">
        <f>G651</f>
        <v>Income from Operations</v>
      </c>
      <c r="I656" s="1381"/>
      <c r="J656" s="1381"/>
      <c r="K656" s="1381"/>
      <c r="L656" s="1381"/>
      <c r="M656" s="1381"/>
      <c r="N656" s="1381"/>
      <c r="O656" s="1381"/>
      <c r="P656" s="1381"/>
      <c r="Q656" s="1381"/>
      <c r="R656" s="1381"/>
      <c r="T656" s="22"/>
      <c r="U656" t="s">
        <v>18</v>
      </c>
      <c r="AA656" s="1381" t="str">
        <f>Z651</f>
        <v>Deferred Developer Fee</v>
      </c>
      <c r="AB656" s="1381"/>
      <c r="AC656" s="1381"/>
      <c r="AD656" s="1381"/>
      <c r="AE656" s="1381"/>
      <c r="AF656" s="1381"/>
      <c r="AG656" s="1381"/>
      <c r="AH656" s="1381"/>
      <c r="AI656" s="1381"/>
      <c r="AJ656" s="1381"/>
      <c r="AK656" s="138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6" t="e">
        <f t="shared" si="29"/>
        <v>#VALUE!</v>
      </c>
      <c r="DY656" s="1356"/>
      <c r="DZ656" s="1356"/>
      <c r="EA656" s="1356"/>
      <c r="EB656" s="1356"/>
      <c r="EC656" s="1356" t="e">
        <f t="shared" si="24"/>
        <v>#VALUE!</v>
      </c>
      <c r="ED656" s="1356"/>
      <c r="EE656" s="1356"/>
      <c r="EF656" s="1356"/>
      <c r="EG656" s="1356"/>
      <c r="EH656" s="1356" t="e">
        <f t="shared" si="25"/>
        <v>#VALUE!</v>
      </c>
      <c r="EI656" s="1356"/>
      <c r="EJ656" s="1356"/>
      <c r="EK656" s="1356"/>
      <c r="EL656" s="1356"/>
      <c r="EM656" s="1356" t="e">
        <f t="shared" si="26"/>
        <v>#VALUE!</v>
      </c>
      <c r="EN656" s="1356"/>
      <c r="EO656" s="1356"/>
      <c r="EP656" s="1356"/>
      <c r="EQ656" s="1356"/>
      <c r="ER656" s="1356" t="e">
        <f t="shared" si="27"/>
        <v>#VALUE!</v>
      </c>
      <c r="ES656" s="1356"/>
      <c r="ET656" s="1356"/>
      <c r="EU656" s="1356"/>
      <c r="EV656" s="1356"/>
      <c r="EW656" s="1356" t="e">
        <f t="shared" si="28"/>
        <v>#VALUE!</v>
      </c>
      <c r="EX656" s="1356"/>
      <c r="EY656" s="1356"/>
      <c r="EZ656" s="1356"/>
      <c r="FA656" s="1356"/>
    </row>
    <row r="657" spans="1:157" ht="13" customHeight="1">
      <c r="A657" s="22"/>
      <c r="B657" t="s">
        <v>20</v>
      </c>
      <c r="N657" s="1383" t="s">
        <v>554</v>
      </c>
      <c r="O657" s="1383"/>
      <c r="T657" s="22"/>
      <c r="U657" t="s">
        <v>20</v>
      </c>
      <c r="AG657" s="1383" t="s">
        <v>554</v>
      </c>
      <c r="AH657" s="1383"/>
      <c r="AZ657" s="34"/>
      <c r="BA657" s="34"/>
      <c r="BB657" s="34"/>
      <c r="BC657" s="34"/>
      <c r="BD657" s="34"/>
      <c r="BE657" s="34"/>
      <c r="BF657" s="34"/>
      <c r="BG657" s="34"/>
      <c r="BH657" s="34"/>
      <c r="BI657" s="34"/>
      <c r="BJ657" s="34"/>
      <c r="BK657" s="34"/>
      <c r="BL657" s="34"/>
      <c r="BM657" s="34"/>
      <c r="CR657" s="3"/>
      <c r="CS657" s="895">
        <f>BN655+BS655+BX655+CC655+CH655+CM655</f>
        <v>0</v>
      </c>
      <c r="CT657" s="57" t="s">
        <v>2050</v>
      </c>
      <c r="CU657" s="3"/>
      <c r="CV657" s="3"/>
      <c r="CW657" s="3"/>
      <c r="CX657" s="3"/>
      <c r="CY657" s="3"/>
      <c r="CZ657" s="3"/>
      <c r="DA657" s="3"/>
      <c r="DB657" s="3"/>
      <c r="DC657" s="3"/>
      <c r="DD657" s="3"/>
      <c r="DE657" s="3"/>
      <c r="DF657" s="3"/>
      <c r="DQ657" s="56" t="s">
        <v>2059</v>
      </c>
      <c r="DR657" s="1356">
        <f>SUM(CS655:DV655)</f>
        <v>0</v>
      </c>
      <c r="DS657" s="1356"/>
      <c r="DT657" s="1356"/>
      <c r="DU657" s="1356"/>
      <c r="DV657" s="1356"/>
      <c r="DX657" s="1356" t="e">
        <f t="shared" si="29"/>
        <v>#VALUE!</v>
      </c>
      <c r="DY657" s="1356"/>
      <c r="DZ657" s="1356"/>
      <c r="EA657" s="1356"/>
      <c r="EB657" s="1356"/>
      <c r="EC657" s="1356" t="e">
        <f t="shared" si="24"/>
        <v>#VALUE!</v>
      </c>
      <c r="ED657" s="1356"/>
      <c r="EE657" s="1356"/>
      <c r="EF657" s="1356"/>
      <c r="EG657" s="1356"/>
      <c r="EH657" s="1356" t="e">
        <f t="shared" si="25"/>
        <v>#VALUE!</v>
      </c>
      <c r="EI657" s="1356"/>
      <c r="EJ657" s="1356"/>
      <c r="EK657" s="1356"/>
      <c r="EL657" s="1356"/>
      <c r="EM657" s="1356" t="e">
        <f t="shared" si="26"/>
        <v>#VALUE!</v>
      </c>
      <c r="EN657" s="1356"/>
      <c r="EO657" s="1356"/>
      <c r="EP657" s="1356"/>
      <c r="EQ657" s="1356"/>
      <c r="ER657" s="1356" t="e">
        <f t="shared" si="27"/>
        <v>#VALUE!</v>
      </c>
      <c r="ES657" s="1356"/>
      <c r="ET657" s="1356"/>
      <c r="EU657" s="1356"/>
      <c r="EV657" s="1356"/>
      <c r="EW657" s="1356" t="e">
        <f t="shared" si="28"/>
        <v>#VALUE!</v>
      </c>
      <c r="EX657" s="1356"/>
      <c r="EY657" s="1356"/>
      <c r="EZ657" s="1356"/>
      <c r="FA657" s="1356"/>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1743</v>
      </c>
      <c r="CU658" s="3"/>
      <c r="CV658" s="3"/>
      <c r="CW658" s="3"/>
      <c r="CX658" s="3"/>
      <c r="CY658" s="3"/>
      <c r="CZ658" s="3"/>
      <c r="DA658" s="3"/>
      <c r="DB658" s="3"/>
      <c r="DC658" s="3"/>
      <c r="DD658" s="3"/>
      <c r="DE658" s="3"/>
      <c r="DF658" s="3"/>
      <c r="DX658" s="1356" t="e">
        <f t="shared" ref="DX658:DX667" si="42">DX620*(BN620/$BN$632)</f>
        <v>#VALUE!</v>
      </c>
      <c r="DY658" s="1356"/>
      <c r="DZ658" s="1356"/>
      <c r="EA658" s="1356"/>
      <c r="EB658" s="1356"/>
      <c r="EC658" s="1356" t="e">
        <f t="shared" ref="EC658:EC667" si="43">EC620*(BS620/$BS$632)</f>
        <v>#VALUE!</v>
      </c>
      <c r="ED658" s="1356"/>
      <c r="EE658" s="1356"/>
      <c r="EF658" s="1356"/>
      <c r="EG658" s="1356"/>
      <c r="EH658" s="1356" t="e">
        <f t="shared" ref="EH658:EH667" si="44">EH620*(BX620/$BX$632)</f>
        <v>#VALUE!</v>
      </c>
      <c r="EI658" s="1356"/>
      <c r="EJ658" s="1356"/>
      <c r="EK658" s="1356"/>
      <c r="EL658" s="1356"/>
      <c r="EM658" s="1356" t="e">
        <f t="shared" ref="EM658:EM667" si="45">EM620*(CC620/$CC$632)</f>
        <v>#VALUE!</v>
      </c>
      <c r="EN658" s="1356"/>
      <c r="EO658" s="1356"/>
      <c r="EP658" s="1356"/>
      <c r="EQ658" s="1356"/>
      <c r="ER658" s="1356" t="e">
        <f t="shared" ref="ER658:ER667" si="46">ER620*(CH620/$CH$632)</f>
        <v>#VALUE!</v>
      </c>
      <c r="ES658" s="1356"/>
      <c r="ET658" s="1356"/>
      <c r="EU658" s="1356"/>
      <c r="EV658" s="1356"/>
      <c r="EW658" s="1356" t="e">
        <f t="shared" ref="EW658:EW667" si="47">EW620*(CM620/$CM$632)</f>
        <v>#VALUE!</v>
      </c>
      <c r="EX658" s="1356"/>
      <c r="EY658" s="1356"/>
      <c r="EZ658" s="1356"/>
      <c r="FA658" s="1356"/>
    </row>
    <row r="659" spans="1:157" ht="13" customHeight="1">
      <c r="A659" s="55" t="s">
        <v>773</v>
      </c>
      <c r="B659" t="s">
        <v>472</v>
      </c>
      <c r="G659" s="1382" t="str">
        <f>C631</f>
        <v>Developer Equity</v>
      </c>
      <c r="H659" s="1382"/>
      <c r="I659" s="1382"/>
      <c r="J659" s="1382"/>
      <c r="K659" s="1382"/>
      <c r="L659" s="1382"/>
      <c r="M659" s="1382"/>
      <c r="N659" s="1382"/>
      <c r="O659" s="1382"/>
      <c r="P659" s="1382"/>
      <c r="Q659" s="1382"/>
      <c r="R659" s="1382"/>
      <c r="T659" s="55" t="s">
        <v>593</v>
      </c>
      <c r="U659" t="s">
        <v>472</v>
      </c>
      <c r="Z659" s="1382" t="str">
        <f>C632</f>
        <v>Deferred Contractor Fee Loan - Private</v>
      </c>
      <c r="AA659" s="1382"/>
      <c r="AB659" s="1382"/>
      <c r="AC659" s="1382"/>
      <c r="AD659" s="1382"/>
      <c r="AE659" s="1382"/>
      <c r="AF659" s="1382"/>
      <c r="AG659" s="1382"/>
      <c r="AH659" s="1382"/>
      <c r="AI659" s="1382"/>
      <c r="AJ659" s="1382"/>
      <c r="AK659" s="1382"/>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6" t="e">
        <f t="shared" si="42"/>
        <v>#VALUE!</v>
      </c>
      <c r="DY659" s="1356"/>
      <c r="DZ659" s="1356"/>
      <c r="EA659" s="1356"/>
      <c r="EB659" s="1356"/>
      <c r="EC659" s="1356" t="e">
        <f t="shared" si="43"/>
        <v>#VALUE!</v>
      </c>
      <c r="ED659" s="1356"/>
      <c r="EE659" s="1356"/>
      <c r="EF659" s="1356"/>
      <c r="EG659" s="1356"/>
      <c r="EH659" s="1356" t="e">
        <f t="shared" si="44"/>
        <v>#VALUE!</v>
      </c>
      <c r="EI659" s="1356"/>
      <c r="EJ659" s="1356"/>
      <c r="EK659" s="1356"/>
      <c r="EL659" s="1356"/>
      <c r="EM659" s="1356" t="e">
        <f t="shared" si="45"/>
        <v>#VALUE!</v>
      </c>
      <c r="EN659" s="1356"/>
      <c r="EO659" s="1356"/>
      <c r="EP659" s="1356"/>
      <c r="EQ659" s="1356"/>
      <c r="ER659" s="1356" t="e">
        <f t="shared" si="46"/>
        <v>#VALUE!</v>
      </c>
      <c r="ES659" s="1356"/>
      <c r="ET659" s="1356"/>
      <c r="EU659" s="1356"/>
      <c r="EV659" s="1356"/>
      <c r="EW659" s="1356" t="e">
        <f t="shared" si="47"/>
        <v>#VALUE!</v>
      </c>
      <c r="EX659" s="1356"/>
      <c r="EY659" s="1356"/>
      <c r="EZ659" s="1356"/>
      <c r="FA659" s="1356"/>
    </row>
    <row r="660" spans="1:157" ht="13" customHeight="1">
      <c r="A660" s="22"/>
      <c r="B660" t="s">
        <v>85</v>
      </c>
      <c r="G660" s="1381" t="s">
        <v>2652</v>
      </c>
      <c r="H660" s="1381"/>
      <c r="I660" s="1381"/>
      <c r="J660" s="1381"/>
      <c r="K660" s="1381"/>
      <c r="L660" s="1381"/>
      <c r="M660" s="1381"/>
      <c r="N660" s="1381"/>
      <c r="O660" s="1381"/>
      <c r="P660" s="1381"/>
      <c r="Q660" s="1381"/>
      <c r="R660" s="1381"/>
      <c r="T660" s="22"/>
      <c r="U660" t="s">
        <v>85</v>
      </c>
      <c r="Z660" s="1381" t="s">
        <v>2652</v>
      </c>
      <c r="AA660" s="1381"/>
      <c r="AB660" s="1381"/>
      <c r="AC660" s="1381"/>
      <c r="AD660" s="1381"/>
      <c r="AE660" s="1381"/>
      <c r="AF660" s="1381"/>
      <c r="AG660" s="1381"/>
      <c r="AH660" s="1381"/>
      <c r="AI660" s="1381"/>
      <c r="AJ660" s="1381"/>
      <c r="AK660" s="1381"/>
      <c r="AZ660" s="34"/>
      <c r="BA660" s="34"/>
      <c r="BB660" s="34"/>
      <c r="BC660" s="34"/>
      <c r="BD660" s="34"/>
      <c r="BE660" s="34"/>
      <c r="BF660" s="34"/>
      <c r="BG660" s="34"/>
      <c r="BH660" s="34"/>
      <c r="BI660" s="34"/>
      <c r="BJ660" s="34"/>
      <c r="BK660" s="34"/>
      <c r="BL660" s="34"/>
      <c r="BM660" s="34"/>
      <c r="BN660" s="1682">
        <f>BN632+BN641+BN655</f>
        <v>44</v>
      </c>
      <c r="BO660" s="1683"/>
      <c r="BP660" s="1683"/>
      <c r="BQ660" s="1683"/>
      <c r="BR660" s="1684"/>
      <c r="BS660" s="1682">
        <f>BS632+BS641+BS655</f>
        <v>24</v>
      </c>
      <c r="BT660" s="1683"/>
      <c r="BU660" s="1683"/>
      <c r="BV660" s="1683"/>
      <c r="BW660" s="1684"/>
      <c r="BX660" s="1682">
        <f>BX632+BX641+BX655</f>
        <v>12</v>
      </c>
      <c r="BY660" s="1683"/>
      <c r="BZ660" s="1683"/>
      <c r="CA660" s="1683"/>
      <c r="CB660" s="1684"/>
      <c r="CC660" s="1682">
        <f>CC632+CC641+CC655</f>
        <v>0</v>
      </c>
      <c r="CD660" s="1683"/>
      <c r="CE660" s="1683"/>
      <c r="CF660" s="1683"/>
      <c r="CG660" s="1684"/>
      <c r="CH660" s="1682">
        <f>CH632+CH641+CH655</f>
        <v>0</v>
      </c>
      <c r="CI660" s="1683"/>
      <c r="CJ660" s="1683"/>
      <c r="CK660" s="1683"/>
      <c r="CL660" s="1684"/>
      <c r="CM660" s="1393">
        <f>CM655+CM641+CM632</f>
        <v>0</v>
      </c>
      <c r="CN660" s="1394"/>
      <c r="CO660" s="1394"/>
      <c r="CP660" s="1394"/>
      <c r="CQ660" s="1395"/>
      <c r="CR660" s="3"/>
      <c r="CS660" s="895">
        <f>CS634+CS658</f>
        <v>90</v>
      </c>
      <c r="CT660" s="57" t="s">
        <v>2055</v>
      </c>
      <c r="CU660" s="3"/>
      <c r="CV660" s="3"/>
      <c r="CW660" s="3"/>
      <c r="CX660" s="3"/>
      <c r="CY660" s="3"/>
      <c r="CZ660" s="3"/>
      <c r="DA660" s="3"/>
      <c r="DB660" s="3"/>
      <c r="DC660" s="3"/>
      <c r="DD660" s="3"/>
      <c r="DE660" s="3"/>
      <c r="DF660" s="3"/>
      <c r="DX660" s="1356" t="e">
        <f t="shared" si="42"/>
        <v>#VALUE!</v>
      </c>
      <c r="DY660" s="1356"/>
      <c r="DZ660" s="1356"/>
      <c r="EA660" s="1356"/>
      <c r="EB660" s="1356"/>
      <c r="EC660" s="1356" t="e">
        <f t="shared" si="43"/>
        <v>#VALUE!</v>
      </c>
      <c r="ED660" s="1356"/>
      <c r="EE660" s="1356"/>
      <c r="EF660" s="1356"/>
      <c r="EG660" s="1356"/>
      <c r="EH660" s="1356" t="e">
        <f t="shared" si="44"/>
        <v>#VALUE!</v>
      </c>
      <c r="EI660" s="1356"/>
      <c r="EJ660" s="1356"/>
      <c r="EK660" s="1356"/>
      <c r="EL660" s="1356"/>
      <c r="EM660" s="1356" t="e">
        <f t="shared" si="45"/>
        <v>#VALUE!</v>
      </c>
      <c r="EN660" s="1356"/>
      <c r="EO660" s="1356"/>
      <c r="EP660" s="1356"/>
      <c r="EQ660" s="1356"/>
      <c r="ER660" s="1356" t="e">
        <f t="shared" si="46"/>
        <v>#VALUE!</v>
      </c>
      <c r="ES660" s="1356"/>
      <c r="ET660" s="1356"/>
      <c r="EU660" s="1356"/>
      <c r="EV660" s="1356"/>
      <c r="EW660" s="1356" t="e">
        <f t="shared" si="47"/>
        <v>#VALUE!</v>
      </c>
      <c r="EX660" s="1356"/>
      <c r="EY660" s="1356"/>
      <c r="EZ660" s="1356"/>
      <c r="FA660" s="1356"/>
    </row>
    <row r="661" spans="1:157" ht="13" customHeight="1">
      <c r="A661" s="22"/>
      <c r="B661" t="s">
        <v>589</v>
      </c>
      <c r="G661" s="1381" t="s">
        <v>2653</v>
      </c>
      <c r="H661" s="1381"/>
      <c r="I661" s="1381"/>
      <c r="J661" s="1381"/>
      <c r="K661" s="1381"/>
      <c r="L661" s="1381"/>
      <c r="M661" s="1381"/>
      <c r="N661" s="1381"/>
      <c r="O661" s="1381"/>
      <c r="P661" s="1381"/>
      <c r="Q661" s="1381"/>
      <c r="R661" s="1381"/>
      <c r="T661" s="22"/>
      <c r="U661" t="s">
        <v>589</v>
      </c>
      <c r="Z661" s="1438" t="s">
        <v>2653</v>
      </c>
      <c r="AA661" s="1438"/>
      <c r="AB661" s="1438"/>
      <c r="AC661" s="1438"/>
      <c r="AD661" s="1438"/>
      <c r="AE661" s="1438"/>
      <c r="AF661" s="1438"/>
      <c r="AG661" s="1438"/>
      <c r="AH661" s="1438"/>
      <c r="AI661" s="1438"/>
      <c r="AJ661" s="1438"/>
      <c r="AK661" s="1438"/>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6" t="e">
        <f t="shared" si="42"/>
        <v>#VALUE!</v>
      </c>
      <c r="DY661" s="1356"/>
      <c r="DZ661" s="1356"/>
      <c r="EA661" s="1356"/>
      <c r="EB661" s="1356"/>
      <c r="EC661" s="1356" t="e">
        <f t="shared" si="43"/>
        <v>#VALUE!</v>
      </c>
      <c r="ED661" s="1356"/>
      <c r="EE661" s="1356"/>
      <c r="EF661" s="1356"/>
      <c r="EG661" s="1356"/>
      <c r="EH661" s="1356" t="e">
        <f t="shared" si="44"/>
        <v>#VALUE!</v>
      </c>
      <c r="EI661" s="1356"/>
      <c r="EJ661" s="1356"/>
      <c r="EK661" s="1356"/>
      <c r="EL661" s="1356"/>
      <c r="EM661" s="1356" t="e">
        <f t="shared" si="45"/>
        <v>#VALUE!</v>
      </c>
      <c r="EN661" s="1356"/>
      <c r="EO661" s="1356"/>
      <c r="EP661" s="1356"/>
      <c r="EQ661" s="1356"/>
      <c r="ER661" s="1356" t="e">
        <f t="shared" si="46"/>
        <v>#VALUE!</v>
      </c>
      <c r="ES661" s="1356"/>
      <c r="ET661" s="1356"/>
      <c r="EU661" s="1356"/>
      <c r="EV661" s="1356"/>
      <c r="EW661" s="1356" t="e">
        <f t="shared" si="47"/>
        <v>#VALUE!</v>
      </c>
      <c r="EX661" s="1356"/>
      <c r="EY661" s="1356"/>
      <c r="EZ661" s="1356"/>
      <c r="FA661" s="1356"/>
    </row>
    <row r="662" spans="1:157" ht="13" customHeight="1">
      <c r="A662" s="22"/>
      <c r="B662" t="s">
        <v>17</v>
      </c>
      <c r="G662" s="1381" t="s">
        <v>2655</v>
      </c>
      <c r="H662" s="1381"/>
      <c r="I662" s="1381"/>
      <c r="J662" s="1381"/>
      <c r="K662" s="1381"/>
      <c r="L662" s="1381"/>
      <c r="M662" s="1381"/>
      <c r="N662" s="1381"/>
      <c r="O662" s="1381"/>
      <c r="P662" s="1381"/>
      <c r="Q662" s="1381"/>
      <c r="R662" s="1381"/>
      <c r="T662" s="22"/>
      <c r="U662" t="s">
        <v>17</v>
      </c>
      <c r="Z662" s="1488" t="s">
        <v>2726</v>
      </c>
      <c r="AA662" s="1438"/>
      <c r="AB662" s="1438"/>
      <c r="AC662" s="1438"/>
      <c r="AD662" s="1438"/>
      <c r="AE662" s="1438"/>
      <c r="AF662" s="1438"/>
      <c r="AG662" s="1438"/>
      <c r="AH662" s="1438"/>
      <c r="AI662" s="1438"/>
      <c r="AJ662" s="1438"/>
      <c r="AK662" s="143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6" t="e">
        <f t="shared" si="42"/>
        <v>#VALUE!</v>
      </c>
      <c r="DY662" s="1356"/>
      <c r="DZ662" s="1356"/>
      <c r="EA662" s="1356"/>
      <c r="EB662" s="1356"/>
      <c r="EC662" s="1356" t="e">
        <f t="shared" si="43"/>
        <v>#VALUE!</v>
      </c>
      <c r="ED662" s="1356"/>
      <c r="EE662" s="1356"/>
      <c r="EF662" s="1356"/>
      <c r="EG662" s="1356"/>
      <c r="EH662" s="1356" t="e">
        <f t="shared" si="44"/>
        <v>#VALUE!</v>
      </c>
      <c r="EI662" s="1356"/>
      <c r="EJ662" s="1356"/>
      <c r="EK662" s="1356"/>
      <c r="EL662" s="1356"/>
      <c r="EM662" s="1356" t="e">
        <f t="shared" si="45"/>
        <v>#VALUE!</v>
      </c>
      <c r="EN662" s="1356"/>
      <c r="EO662" s="1356"/>
      <c r="EP662" s="1356"/>
      <c r="EQ662" s="1356"/>
      <c r="ER662" s="1356" t="e">
        <f t="shared" si="46"/>
        <v>#VALUE!</v>
      </c>
      <c r="ES662" s="1356"/>
      <c r="ET662" s="1356"/>
      <c r="EU662" s="1356"/>
      <c r="EV662" s="1356"/>
      <c r="EW662" s="1356" t="e">
        <f t="shared" si="47"/>
        <v>#VALUE!</v>
      </c>
      <c r="EX662" s="1356"/>
      <c r="EY662" s="1356"/>
      <c r="EZ662" s="1356"/>
      <c r="FA662" s="1356"/>
    </row>
    <row r="663" spans="1:157" ht="13" customHeight="1">
      <c r="A663" s="22"/>
      <c r="B663" t="s">
        <v>317</v>
      </c>
      <c r="G663" s="1493" t="str">
        <f>$G$589</f>
        <v>408-647-4720</v>
      </c>
      <c r="H663" s="1493"/>
      <c r="I663" s="1493"/>
      <c r="J663" s="1493"/>
      <c r="K663" s="1493"/>
      <c r="L663" s="1493"/>
      <c r="O663" s="33" t="s">
        <v>207</v>
      </c>
      <c r="P663" s="1412"/>
      <c r="Q663" s="1412"/>
      <c r="R663" s="1412"/>
      <c r="T663" s="22"/>
      <c r="U663" t="s">
        <v>317</v>
      </c>
      <c r="Z663" s="1493" t="str">
        <f>G663</f>
        <v>408-647-4720</v>
      </c>
      <c r="AA663" s="1493"/>
      <c r="AB663" s="1493"/>
      <c r="AC663" s="1493"/>
      <c r="AD663" s="1493"/>
      <c r="AE663" s="1493"/>
      <c r="AH663" s="33" t="s">
        <v>207</v>
      </c>
      <c r="AI663" s="1412"/>
      <c r="AJ663" s="1412"/>
      <c r="AK663" s="141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6" t="e">
        <f t="shared" si="42"/>
        <v>#VALUE!</v>
      </c>
      <c r="DY663" s="1356"/>
      <c r="DZ663" s="1356"/>
      <c r="EA663" s="1356"/>
      <c r="EB663" s="1356"/>
      <c r="EC663" s="1356" t="e">
        <f t="shared" si="43"/>
        <v>#VALUE!</v>
      </c>
      <c r="ED663" s="1356"/>
      <c r="EE663" s="1356"/>
      <c r="EF663" s="1356"/>
      <c r="EG663" s="1356"/>
      <c r="EH663" s="1356" t="e">
        <f t="shared" si="44"/>
        <v>#VALUE!</v>
      </c>
      <c r="EI663" s="1356"/>
      <c r="EJ663" s="1356"/>
      <c r="EK663" s="1356"/>
      <c r="EL663" s="1356"/>
      <c r="EM663" s="1356" t="e">
        <f t="shared" si="45"/>
        <v>#VALUE!</v>
      </c>
      <c r="EN663" s="1356"/>
      <c r="EO663" s="1356"/>
      <c r="EP663" s="1356"/>
      <c r="EQ663" s="1356"/>
      <c r="ER663" s="1356" t="e">
        <f t="shared" si="46"/>
        <v>#VALUE!</v>
      </c>
      <c r="ES663" s="1356"/>
      <c r="ET663" s="1356"/>
      <c r="EU663" s="1356"/>
      <c r="EV663" s="1356"/>
      <c r="EW663" s="1356" t="e">
        <f t="shared" si="47"/>
        <v>#VALUE!</v>
      </c>
      <c r="EX663" s="1356"/>
      <c r="EY663" s="1356"/>
      <c r="EZ663" s="1356"/>
      <c r="FA663" s="1356"/>
    </row>
    <row r="664" spans="1:157" ht="13" customHeight="1">
      <c r="A664" s="22"/>
      <c r="B664" t="s">
        <v>18</v>
      </c>
      <c r="H664" s="1381" t="str">
        <f>G659</f>
        <v>Developer Equity</v>
      </c>
      <c r="I664" s="1381"/>
      <c r="J664" s="1381"/>
      <c r="K664" s="1381"/>
      <c r="L664" s="1381"/>
      <c r="M664" s="1381"/>
      <c r="N664" s="1381"/>
      <c r="O664" s="1381"/>
      <c r="P664" s="1381"/>
      <c r="Q664" s="1381"/>
      <c r="R664" s="1381"/>
      <c r="T664" s="22"/>
      <c r="U664" t="s">
        <v>18</v>
      </c>
      <c r="AA664" s="1381" t="s">
        <v>2747</v>
      </c>
      <c r="AB664" s="1381"/>
      <c r="AC664" s="1381"/>
      <c r="AD664" s="1381"/>
      <c r="AE664" s="1381"/>
      <c r="AF664" s="1381"/>
      <c r="AG664" s="1381"/>
      <c r="AH664" s="1381"/>
      <c r="AI664" s="1381"/>
      <c r="AJ664" s="1381"/>
      <c r="AK664" s="138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6" t="e">
        <f t="shared" si="42"/>
        <v>#VALUE!</v>
      </c>
      <c r="DY664" s="1356"/>
      <c r="DZ664" s="1356"/>
      <c r="EA664" s="1356"/>
      <c r="EB664" s="1356"/>
      <c r="EC664" s="1356" t="e">
        <f t="shared" si="43"/>
        <v>#VALUE!</v>
      </c>
      <c r="ED664" s="1356"/>
      <c r="EE664" s="1356"/>
      <c r="EF664" s="1356"/>
      <c r="EG664" s="1356"/>
      <c r="EH664" s="1356" t="e">
        <f t="shared" si="44"/>
        <v>#VALUE!</v>
      </c>
      <c r="EI664" s="1356"/>
      <c r="EJ664" s="1356"/>
      <c r="EK664" s="1356"/>
      <c r="EL664" s="1356"/>
      <c r="EM664" s="1356" t="e">
        <f t="shared" si="45"/>
        <v>#VALUE!</v>
      </c>
      <c r="EN664" s="1356"/>
      <c r="EO664" s="1356"/>
      <c r="EP664" s="1356"/>
      <c r="EQ664" s="1356"/>
      <c r="ER664" s="1356" t="e">
        <f t="shared" si="46"/>
        <v>#VALUE!</v>
      </c>
      <c r="ES664" s="1356"/>
      <c r="ET664" s="1356"/>
      <c r="EU664" s="1356"/>
      <c r="EV664" s="1356"/>
      <c r="EW664" s="1356" t="e">
        <f t="shared" si="47"/>
        <v>#VALUE!</v>
      </c>
      <c r="EX664" s="1356"/>
      <c r="EY664" s="1356"/>
      <c r="EZ664" s="1356"/>
      <c r="FA664" s="1356"/>
    </row>
    <row r="665" spans="1:157" ht="13" customHeight="1">
      <c r="A665" s="22"/>
      <c r="B665" t="s">
        <v>20</v>
      </c>
      <c r="N665" s="1383" t="s">
        <v>554</v>
      </c>
      <c r="O665" s="1383"/>
      <c r="T665" s="22"/>
      <c r="U665" t="s">
        <v>20</v>
      </c>
      <c r="AG665" s="1383" t="s">
        <v>554</v>
      </c>
      <c r="AH665" s="138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6" t="e">
        <f t="shared" si="42"/>
        <v>#VALUE!</v>
      </c>
      <c r="DY665" s="1356"/>
      <c r="DZ665" s="1356"/>
      <c r="EA665" s="1356"/>
      <c r="EB665" s="1356"/>
      <c r="EC665" s="1356" t="e">
        <f t="shared" si="43"/>
        <v>#VALUE!</v>
      </c>
      <c r="ED665" s="1356"/>
      <c r="EE665" s="1356"/>
      <c r="EF665" s="1356"/>
      <c r="EG665" s="1356"/>
      <c r="EH665" s="1356" t="e">
        <f t="shared" si="44"/>
        <v>#VALUE!</v>
      </c>
      <c r="EI665" s="1356"/>
      <c r="EJ665" s="1356"/>
      <c r="EK665" s="1356"/>
      <c r="EL665" s="1356"/>
      <c r="EM665" s="1356" t="e">
        <f t="shared" si="45"/>
        <v>#VALUE!</v>
      </c>
      <c r="EN665" s="1356"/>
      <c r="EO665" s="1356"/>
      <c r="EP665" s="1356"/>
      <c r="EQ665" s="1356"/>
      <c r="ER665" s="1356" t="e">
        <f t="shared" si="46"/>
        <v>#VALUE!</v>
      </c>
      <c r="ES665" s="1356"/>
      <c r="ET665" s="1356"/>
      <c r="EU665" s="1356"/>
      <c r="EV665" s="1356"/>
      <c r="EW665" s="1356" t="e">
        <f t="shared" si="47"/>
        <v>#VALUE!</v>
      </c>
      <c r="EX665" s="1356"/>
      <c r="EY665" s="1356"/>
      <c r="EZ665" s="1356"/>
      <c r="FA665" s="1356"/>
    </row>
    <row r="666" spans="1:157" ht="13"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1740</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6" t="e">
        <f t="shared" si="42"/>
        <v>#VALUE!</v>
      </c>
      <c r="DY666" s="1356"/>
      <c r="DZ666" s="1356"/>
      <c r="EA666" s="1356"/>
      <c r="EB666" s="1356"/>
      <c r="EC666" s="1356" t="e">
        <f t="shared" si="43"/>
        <v>#VALUE!</v>
      </c>
      <c r="ED666" s="1356"/>
      <c r="EE666" s="1356"/>
      <c r="EF666" s="1356"/>
      <c r="EG666" s="1356"/>
      <c r="EH666" s="1356" t="e">
        <f t="shared" si="44"/>
        <v>#VALUE!</v>
      </c>
      <c r="EI666" s="1356"/>
      <c r="EJ666" s="1356"/>
      <c r="EK666" s="1356"/>
      <c r="EL666" s="1356"/>
      <c r="EM666" s="1356" t="e">
        <f t="shared" si="45"/>
        <v>#VALUE!</v>
      </c>
      <c r="EN666" s="1356"/>
      <c r="EO666" s="1356"/>
      <c r="EP666" s="1356"/>
      <c r="EQ666" s="1356"/>
      <c r="ER666" s="1356" t="e">
        <f t="shared" si="46"/>
        <v>#VALUE!</v>
      </c>
      <c r="ES666" s="1356"/>
      <c r="ET666" s="1356"/>
      <c r="EU666" s="1356"/>
      <c r="EV666" s="1356"/>
      <c r="EW666" s="1356" t="e">
        <f t="shared" si="47"/>
        <v>#VALUE!</v>
      </c>
      <c r="EX666" s="1356"/>
      <c r="EY666" s="1356"/>
      <c r="EZ666" s="1356"/>
      <c r="FA666" s="1356"/>
    </row>
    <row r="667" spans="1:157" ht="13" customHeight="1">
      <c r="A667" s="55" t="s">
        <v>464</v>
      </c>
      <c r="B667" t="s">
        <v>472</v>
      </c>
      <c r="G667" s="1382" t="str">
        <f>C633</f>
        <v>GP Equity</v>
      </c>
      <c r="H667" s="1382"/>
      <c r="I667" s="1382"/>
      <c r="J667" s="1382"/>
      <c r="K667" s="1382"/>
      <c r="L667" s="1382"/>
      <c r="M667" s="1382"/>
      <c r="N667" s="1382"/>
      <c r="O667" s="1382"/>
      <c r="P667" s="1382"/>
      <c r="Q667" s="1382"/>
      <c r="R667" s="1382"/>
      <c r="T667" s="55" t="s">
        <v>465</v>
      </c>
      <c r="U667" t="s">
        <v>472</v>
      </c>
      <c r="Z667" s="1382">
        <f>C634</f>
        <v>0</v>
      </c>
      <c r="AA667" s="1382"/>
      <c r="AB667" s="1382"/>
      <c r="AC667" s="1382"/>
      <c r="AD667" s="1382"/>
      <c r="AE667" s="1382"/>
      <c r="AF667" s="1382"/>
      <c r="AG667" s="1382"/>
      <c r="AH667" s="1382"/>
      <c r="AI667" s="1382"/>
      <c r="AJ667" s="1382"/>
      <c r="AK667" s="1382"/>
      <c r="AZ667" s="3"/>
      <c r="BA667" s="118">
        <f t="shared" ref="BA667:BA699" si="48">IF($G718=0,"N/A",VLOOKUP($T$189,TC_Rent,(MATCH($B718,bedrooms,FALSE))))</f>
        <v>2724</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6" t="e">
        <f t="shared" si="42"/>
        <v>#VALUE!</v>
      </c>
      <c r="DY667" s="1356"/>
      <c r="DZ667" s="1356"/>
      <c r="EA667" s="1356"/>
      <c r="EB667" s="1356"/>
      <c r="EC667" s="1356" t="e">
        <f t="shared" si="43"/>
        <v>#VALUE!</v>
      </c>
      <c r="ED667" s="1356"/>
      <c r="EE667" s="1356"/>
      <c r="EF667" s="1356"/>
      <c r="EG667" s="1356"/>
      <c r="EH667" s="1356" t="e">
        <f t="shared" si="44"/>
        <v>#VALUE!</v>
      </c>
      <c r="EI667" s="1356"/>
      <c r="EJ667" s="1356"/>
      <c r="EK667" s="1356"/>
      <c r="EL667" s="1356"/>
      <c r="EM667" s="1356" t="e">
        <f t="shared" si="45"/>
        <v>#VALUE!</v>
      </c>
      <c r="EN667" s="1356"/>
      <c r="EO667" s="1356"/>
      <c r="EP667" s="1356"/>
      <c r="EQ667" s="1356"/>
      <c r="ER667" s="1356" t="e">
        <f t="shared" si="46"/>
        <v>#VALUE!</v>
      </c>
      <c r="ES667" s="1356"/>
      <c r="ET667" s="1356"/>
      <c r="EU667" s="1356"/>
      <c r="EV667" s="1356"/>
      <c r="EW667" s="1356" t="e">
        <f t="shared" si="47"/>
        <v>#VALUE!</v>
      </c>
      <c r="EX667" s="1356"/>
      <c r="EY667" s="1356"/>
      <c r="EZ667" s="1356"/>
      <c r="FA667" s="1356"/>
    </row>
    <row r="668" spans="1:157" ht="13" customHeight="1">
      <c r="A668" s="22"/>
      <c r="B668" t="s">
        <v>85</v>
      </c>
      <c r="G668" s="1381" t="s">
        <v>2652</v>
      </c>
      <c r="H668" s="1381"/>
      <c r="I668" s="1381"/>
      <c r="J668" s="1381"/>
      <c r="K668" s="1381"/>
      <c r="L668" s="1381"/>
      <c r="M668" s="1381"/>
      <c r="N668" s="1381"/>
      <c r="O668" s="1381"/>
      <c r="P668" s="1381"/>
      <c r="Q668" s="1381"/>
      <c r="R668" s="1381"/>
      <c r="T668" s="22"/>
      <c r="U668" t="s">
        <v>85</v>
      </c>
      <c r="Z668" s="1381"/>
      <c r="AA668" s="1381"/>
      <c r="AB668" s="1381"/>
      <c r="AC668" s="1381"/>
      <c r="AD668" s="1381"/>
      <c r="AE668" s="1381"/>
      <c r="AF668" s="1381"/>
      <c r="AG668" s="1381"/>
      <c r="AH668" s="1381"/>
      <c r="AI668" s="1381"/>
      <c r="AJ668" s="1381"/>
      <c r="AK668" s="1381"/>
      <c r="AZ668" s="3"/>
      <c r="BA668" s="118">
        <f t="shared" si="48"/>
        <v>2724</v>
      </c>
      <c r="BB668" s="3"/>
      <c r="BC668" s="3"/>
      <c r="BD668" s="3"/>
      <c r="BE668" s="3"/>
      <c r="BF668" s="218"/>
      <c r="BG668" s="315">
        <f t="shared" ref="BG668:BG700" si="49">G718</f>
        <v>9</v>
      </c>
      <c r="BH668" s="319">
        <f t="shared" ref="BH668:BH702" si="50">IF($BG$703=0,0,BG668/$BG$703)</f>
        <v>0.11392405063291139</v>
      </c>
      <c r="BI668" s="320">
        <f t="shared" ref="BI668:BI691" si="51">IF(BH668=0,"",BH668*AC718)</f>
        <v>3.4177215189873413E-2</v>
      </c>
      <c r="BJ668" s="3"/>
      <c r="BK668" s="3"/>
      <c r="BL668" s="3"/>
      <c r="BM668" s="3"/>
      <c r="BN668" s="3"/>
      <c r="BO668" s="3"/>
      <c r="BT668" s="315">
        <f t="shared" ref="BT668:BT700" si="52">G718</f>
        <v>9</v>
      </c>
      <c r="BU668" s="319">
        <f t="shared" ref="BU668:BU702" si="53">IF($BT$703=0,0,BT668/$BT$703)</f>
        <v>0.11392405063291139</v>
      </c>
      <c r="BV668" s="320">
        <f t="shared" ref="BV668:BV700" si="54">IF(BU668=0,"",BU668*AH718)</f>
        <v>3.4168850722132382E-2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6" t="e">
        <f>DX630*(BN630/$BN$632)</f>
        <v>#VALUE!</v>
      </c>
      <c r="DY668" s="1356"/>
      <c r="DZ668" s="1356"/>
      <c r="EA668" s="1356"/>
      <c r="EB668" s="1356"/>
      <c r="EC668" s="1356" t="e">
        <f>EC630*(BS630/$BS$632)</f>
        <v>#VALUE!</v>
      </c>
      <c r="ED668" s="1356"/>
      <c r="EE668" s="1356"/>
      <c r="EF668" s="1356"/>
      <c r="EG668" s="1356"/>
      <c r="EH668" s="1356" t="e">
        <f>EH630*(BX630/$BX$632)</f>
        <v>#VALUE!</v>
      </c>
      <c r="EI668" s="1356"/>
      <c r="EJ668" s="1356"/>
      <c r="EK668" s="1356"/>
      <c r="EL668" s="1356"/>
      <c r="EM668" s="1356" t="e">
        <f>EM630*(CC630/$CC$632)</f>
        <v>#VALUE!</v>
      </c>
      <c r="EN668" s="1356"/>
      <c r="EO668" s="1356"/>
      <c r="EP668" s="1356"/>
      <c r="EQ668" s="1356"/>
      <c r="ER668" s="1356" t="e">
        <f>ER630*(CH630/$CH$632)</f>
        <v>#VALUE!</v>
      </c>
      <c r="ES668" s="1356"/>
      <c r="ET668" s="1356"/>
      <c r="EU668" s="1356"/>
      <c r="EV668" s="1356"/>
      <c r="EW668" s="1356" t="e">
        <f>EW630*(CM630/$CM$632)</f>
        <v>#VALUE!</v>
      </c>
      <c r="EX668" s="1356"/>
      <c r="EY668" s="1356"/>
      <c r="EZ668" s="1356"/>
      <c r="FA668" s="1356"/>
    </row>
    <row r="669" spans="1:157" ht="13" customHeight="1">
      <c r="A669" s="22"/>
      <c r="B669" t="s">
        <v>589</v>
      </c>
      <c r="G669" s="1381" t="s">
        <v>2653</v>
      </c>
      <c r="H669" s="1381"/>
      <c r="I669" s="1381"/>
      <c r="J669" s="1381"/>
      <c r="K669" s="1381"/>
      <c r="L669" s="1381"/>
      <c r="M669" s="1381"/>
      <c r="N669" s="1381"/>
      <c r="O669" s="1381"/>
      <c r="P669" s="1381"/>
      <c r="Q669" s="1381"/>
      <c r="R669" s="1381"/>
      <c r="T669" s="22"/>
      <c r="U669" t="s">
        <v>589</v>
      </c>
      <c r="Z669" s="1438"/>
      <c r="AA669" s="1438"/>
      <c r="AB669" s="1438"/>
      <c r="AC669" s="1438"/>
      <c r="AD669" s="1438"/>
      <c r="AE669" s="1438"/>
      <c r="AF669" s="1438"/>
      <c r="AG669" s="1438"/>
      <c r="AH669" s="1438"/>
      <c r="AI669" s="1438"/>
      <c r="AJ669" s="1438"/>
      <c r="AK669" s="1438"/>
      <c r="AZ669" s="3"/>
      <c r="BA669" s="118">
        <f t="shared" si="48"/>
        <v>2724</v>
      </c>
      <c r="BB669" s="3"/>
      <c r="BC669" s="3"/>
      <c r="BD669" s="3"/>
      <c r="BE669" s="3"/>
      <c r="BF669" s="218"/>
      <c r="BG669" s="316">
        <f t="shared" si="49"/>
        <v>23</v>
      </c>
      <c r="BH669" s="319">
        <f t="shared" si="50"/>
        <v>0.29113924050632911</v>
      </c>
      <c r="BI669" s="320">
        <f t="shared" si="51"/>
        <v>0.14556962025316456</v>
      </c>
      <c r="BJ669" s="3"/>
      <c r="BK669" s="3"/>
      <c r="BL669" s="3"/>
      <c r="BM669" s="3"/>
      <c r="BN669" s="3"/>
      <c r="BO669" s="3"/>
      <c r="BT669" s="316">
        <f t="shared" si="52"/>
        <v>23</v>
      </c>
      <c r="BU669" s="319">
        <f t="shared" si="53"/>
        <v>0.29113924050632911</v>
      </c>
      <c r="BV669" s="320">
        <f t="shared" si="54"/>
        <v>0.14556962025316456</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6" t="e">
        <f>DX631*(BN631/$BN$632)</f>
        <v>#VALUE!</v>
      </c>
      <c r="DY669" s="1356"/>
      <c r="DZ669" s="1356"/>
      <c r="EA669" s="1356"/>
      <c r="EB669" s="1356"/>
      <c r="EC669" s="1356" t="e">
        <f>EC631*(BS631/$BS$632)</f>
        <v>#VALUE!</v>
      </c>
      <c r="ED669" s="1356"/>
      <c r="EE669" s="1356"/>
      <c r="EF669" s="1356"/>
      <c r="EG669" s="1356"/>
      <c r="EH669" s="1356" t="e">
        <f>EH631*(BX631/$BX$632)</f>
        <v>#VALUE!</v>
      </c>
      <c r="EI669" s="1356"/>
      <c r="EJ669" s="1356"/>
      <c r="EK669" s="1356"/>
      <c r="EL669" s="1356"/>
      <c r="EM669" s="1356" t="e">
        <f>EM631*(CC631/$CC$632)</f>
        <v>#VALUE!</v>
      </c>
      <c r="EN669" s="1356"/>
      <c r="EO669" s="1356"/>
      <c r="EP669" s="1356"/>
      <c r="EQ669" s="1356"/>
      <c r="ER669" s="1356" t="e">
        <f>ER631*(CH631/$CH$632)</f>
        <v>#VALUE!</v>
      </c>
      <c r="ES669" s="1356"/>
      <c r="ET669" s="1356"/>
      <c r="EU669" s="1356"/>
      <c r="EV669" s="1356"/>
      <c r="EW669" s="1356" t="e">
        <f>EW631*(CM631/$CM$632)</f>
        <v>#VALUE!</v>
      </c>
      <c r="EX669" s="1356"/>
      <c r="EY669" s="1356"/>
      <c r="EZ669" s="1356"/>
      <c r="FA669" s="1356"/>
    </row>
    <row r="670" spans="1:157" ht="13" customHeight="1">
      <c r="A670" s="22"/>
      <c r="B670" t="s">
        <v>17</v>
      </c>
      <c r="G670" s="1381" t="s">
        <v>2655</v>
      </c>
      <c r="H670" s="1381"/>
      <c r="I670" s="1381"/>
      <c r="J670" s="1381"/>
      <c r="K670" s="1381"/>
      <c r="L670" s="1381"/>
      <c r="M670" s="1381"/>
      <c r="N670" s="1381"/>
      <c r="O670" s="1381"/>
      <c r="P670" s="1381"/>
      <c r="Q670" s="1381"/>
      <c r="R670" s="1381"/>
      <c r="T670" s="22"/>
      <c r="U670" t="s">
        <v>17</v>
      </c>
      <c r="Z670" s="1438"/>
      <c r="AA670" s="1438"/>
      <c r="AB670" s="1438"/>
      <c r="AC670" s="1438"/>
      <c r="AD670" s="1438"/>
      <c r="AE670" s="1438"/>
      <c r="AF670" s="1438"/>
      <c r="AG670" s="1438"/>
      <c r="AH670" s="1438"/>
      <c r="AI670" s="1438"/>
      <c r="AJ670" s="1438"/>
      <c r="AK670" s="1438"/>
      <c r="AZ670" s="3"/>
      <c r="BA670" s="118">
        <f t="shared" si="48"/>
        <v>2920</v>
      </c>
      <c r="BB670" s="3"/>
      <c r="BC670" s="3"/>
      <c r="BD670" s="3"/>
      <c r="BE670" s="3"/>
      <c r="BF670" s="218"/>
      <c r="BG670" s="316">
        <f t="shared" si="49"/>
        <v>12</v>
      </c>
      <c r="BH670" s="319">
        <f t="shared" si="50"/>
        <v>0.15189873417721519</v>
      </c>
      <c r="BI670" s="320">
        <f t="shared" si="51"/>
        <v>9.1139240506329114E-2</v>
      </c>
      <c r="BJ670" s="3"/>
      <c r="BK670" s="3"/>
      <c r="BL670" s="3"/>
      <c r="BM670" s="3"/>
      <c r="BN670" s="3"/>
      <c r="BO670" s="3"/>
      <c r="BT670" s="316">
        <f t="shared" si="52"/>
        <v>12</v>
      </c>
      <c r="BU670" s="319">
        <f t="shared" si="53"/>
        <v>0.15189873417721519</v>
      </c>
      <c r="BV670" s="320">
        <f t="shared" si="54"/>
        <v>9.1172698377293249E-2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6">
        <f>SUMIF(DX635:EB669,"&gt;0")</f>
        <v>1250.9772727272727</v>
      </c>
      <c r="DY670" s="1356"/>
      <c r="DZ670" s="1356"/>
      <c r="EA670" s="1356"/>
      <c r="EB670" s="1356"/>
      <c r="EC670" s="1356">
        <f>SUMIF(EC635:EG669,"&gt;0")</f>
        <v>2053.333333333333</v>
      </c>
      <c r="ED670" s="1356"/>
      <c r="EE670" s="1356"/>
      <c r="EF670" s="1356"/>
      <c r="EG670" s="1356"/>
      <c r="EH670" s="1356">
        <f>SUMIF(EH635:EL669,"&gt;0")</f>
        <v>2488.818181818182</v>
      </c>
      <c r="EI670" s="1356"/>
      <c r="EJ670" s="1356"/>
      <c r="EK670" s="1356"/>
      <c r="EL670" s="1356"/>
      <c r="EM670" s="1356">
        <f>SUMIF(EM635:EQ669,"&gt;0")</f>
        <v>0</v>
      </c>
      <c r="EN670" s="1356"/>
      <c r="EO670" s="1356"/>
      <c r="EP670" s="1356"/>
      <c r="EQ670" s="1356"/>
      <c r="ER670" s="1356">
        <f>SUMIF(ER635:EV669,"&gt;0")</f>
        <v>0</v>
      </c>
      <c r="ES670" s="1356"/>
      <c r="ET670" s="1356"/>
      <c r="EU670" s="1356"/>
      <c r="EV670" s="1356"/>
      <c r="EW670" s="1356">
        <f>SUMIF(EW635:FA669,"&gt;0")</f>
        <v>0</v>
      </c>
      <c r="EX670" s="1356"/>
      <c r="EY670" s="1356"/>
      <c r="EZ670" s="1356"/>
      <c r="FA670" s="1356"/>
    </row>
    <row r="671" spans="1:157" ht="13" customHeight="1">
      <c r="A671" s="22"/>
      <c r="B671" t="s">
        <v>317</v>
      </c>
      <c r="G671" s="1493" t="str">
        <f>$G$589</f>
        <v>408-647-4720</v>
      </c>
      <c r="H671" s="1493"/>
      <c r="I671" s="1493"/>
      <c r="J671" s="1493"/>
      <c r="K671" s="1493"/>
      <c r="L671" s="1493"/>
      <c r="O671" s="33" t="s">
        <v>207</v>
      </c>
      <c r="P671" s="1412"/>
      <c r="Q671" s="1412"/>
      <c r="R671" s="1412"/>
      <c r="T671" s="22"/>
      <c r="U671" t="s">
        <v>317</v>
      </c>
      <c r="Z671" s="1493"/>
      <c r="AA671" s="1493"/>
      <c r="AB671" s="1493"/>
      <c r="AC671" s="1493"/>
      <c r="AD671" s="1493"/>
      <c r="AE671" s="1493"/>
      <c r="AH671" s="33" t="s">
        <v>207</v>
      </c>
      <c r="AI671" s="1412"/>
      <c r="AJ671" s="1412"/>
      <c r="AK671" s="1412"/>
      <c r="AZ671" s="3"/>
      <c r="BA671" s="118">
        <f t="shared" si="48"/>
        <v>2920</v>
      </c>
      <c r="BB671" s="3"/>
      <c r="BC671" s="3"/>
      <c r="BD671" s="3"/>
      <c r="BE671" s="3"/>
      <c r="BF671" s="218"/>
      <c r="BG671" s="316">
        <f t="shared" si="49"/>
        <v>8</v>
      </c>
      <c r="BH671" s="319">
        <f t="shared" si="50"/>
        <v>0.10126582278481013</v>
      </c>
      <c r="BI671" s="320">
        <f t="shared" si="51"/>
        <v>6.0759493670886074E-2</v>
      </c>
      <c r="BJ671" s="3"/>
      <c r="BK671" s="3"/>
      <c r="BL671" s="3"/>
      <c r="BM671" s="3"/>
      <c r="BN671" s="3"/>
      <c r="BO671" s="3"/>
      <c r="BT671" s="316">
        <f t="shared" si="52"/>
        <v>8</v>
      </c>
      <c r="BU671" s="319">
        <f t="shared" si="53"/>
        <v>0.10126582278481013</v>
      </c>
      <c r="BV671" s="320">
        <f t="shared" si="54"/>
        <v>6.0759493670886074E-2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81" t="str">
        <f>G667</f>
        <v>GP Equity</v>
      </c>
      <c r="I672" s="1381"/>
      <c r="J672" s="1381"/>
      <c r="K672" s="1381"/>
      <c r="L672" s="1381"/>
      <c r="M672" s="1381"/>
      <c r="N672" s="1381"/>
      <c r="O672" s="1381"/>
      <c r="P672" s="1381"/>
      <c r="Q672" s="1381"/>
      <c r="R672" s="1381"/>
      <c r="T672" s="22"/>
      <c r="U672" t="s">
        <v>18</v>
      </c>
      <c r="AA672" s="1381"/>
      <c r="AB672" s="1381"/>
      <c r="AC672" s="1381"/>
      <c r="AD672" s="1381"/>
      <c r="AE672" s="1381"/>
      <c r="AF672" s="1381"/>
      <c r="AG672" s="1381"/>
      <c r="AH672" s="1381"/>
      <c r="AI672" s="1381"/>
      <c r="AJ672" s="1381"/>
      <c r="AK672" s="1381"/>
      <c r="AZ672" s="3"/>
      <c r="BA672" s="118">
        <f t="shared" si="48"/>
        <v>3504</v>
      </c>
      <c r="BB672" s="3"/>
      <c r="BC672" s="3"/>
      <c r="BD672" s="3"/>
      <c r="BE672" s="3"/>
      <c r="BF672" s="218"/>
      <c r="BG672" s="316">
        <f t="shared" si="49"/>
        <v>16</v>
      </c>
      <c r="BH672" s="319">
        <f t="shared" si="50"/>
        <v>0.20253164556962025</v>
      </c>
      <c r="BI672" s="320">
        <f t="shared" si="51"/>
        <v>0.16202531645569621</v>
      </c>
      <c r="BJ672" s="3"/>
      <c r="BK672" s="3"/>
      <c r="BL672" s="3"/>
      <c r="BM672" s="3"/>
      <c r="BN672" s="3"/>
      <c r="BO672" s="3"/>
      <c r="BT672" s="316">
        <f t="shared" si="52"/>
        <v>16</v>
      </c>
      <c r="BU672" s="319">
        <f t="shared" si="53"/>
        <v>0.20253164556962025</v>
      </c>
      <c r="BV672" s="320">
        <f t="shared" si="54"/>
        <v>0.16202531645569621</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383" t="s">
        <v>554</v>
      </c>
      <c r="O673" s="1383"/>
      <c r="T673" s="22"/>
      <c r="U673" t="s">
        <v>20</v>
      </c>
      <c r="AG673" s="1383" t="s">
        <v>678</v>
      </c>
      <c r="AH673" s="1383"/>
      <c r="AZ673" s="3"/>
      <c r="BA673" s="118">
        <f t="shared" si="48"/>
        <v>3504</v>
      </c>
      <c r="BB673" s="3"/>
      <c r="BC673" s="3"/>
      <c r="BD673" s="3"/>
      <c r="BE673" s="3"/>
      <c r="BF673" s="218"/>
      <c r="BG673" s="316">
        <f t="shared" si="49"/>
        <v>3</v>
      </c>
      <c r="BH673" s="319">
        <f t="shared" si="50"/>
        <v>3.7974683544303799E-2</v>
      </c>
      <c r="BI673" s="320">
        <f t="shared" si="51"/>
        <v>2.2784810126582278E-2</v>
      </c>
      <c r="BJ673" s="3"/>
      <c r="BK673" s="3"/>
      <c r="BL673" s="3"/>
      <c r="BM673" s="3"/>
      <c r="BN673" s="3"/>
      <c r="BO673" s="3"/>
      <c r="BT673" s="316">
        <f t="shared" si="52"/>
        <v>3</v>
      </c>
      <c r="BU673" s="319">
        <f t="shared" si="53"/>
        <v>3.7974683544303799E-2</v>
      </c>
      <c r="BV673" s="320">
        <f t="shared" si="54"/>
        <v>2.2791312640887813E-2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t="str">
        <f t="shared" si="48"/>
        <v>N/A</v>
      </c>
      <c r="BB674" s="3"/>
      <c r="BC674" s="3"/>
      <c r="BD674" s="3"/>
      <c r="BE674" s="3"/>
      <c r="BF674" s="218"/>
      <c r="BG674" s="316">
        <f t="shared" si="49"/>
        <v>8</v>
      </c>
      <c r="BH674" s="319">
        <f t="shared" si="50"/>
        <v>0.10126582278481013</v>
      </c>
      <c r="BI674" s="320">
        <f t="shared" si="51"/>
        <v>8.1012658227848103E-2</v>
      </c>
      <c r="BJ674" s="3"/>
      <c r="BK674" s="3"/>
      <c r="BL674" s="3"/>
      <c r="BM674" s="3"/>
      <c r="BN674" s="3"/>
      <c r="BO674" s="3"/>
      <c r="BT674" s="316">
        <f t="shared" si="52"/>
        <v>8</v>
      </c>
      <c r="BU674" s="319">
        <f t="shared" si="53"/>
        <v>0.10126582278481013</v>
      </c>
      <c r="BV674" s="320">
        <f t="shared" si="54"/>
        <v>8.1035778278712223E-2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470</v>
      </c>
      <c r="B675" t="s">
        <v>472</v>
      </c>
      <c r="G675" s="1382">
        <f>C635</f>
        <v>0</v>
      </c>
      <c r="H675" s="1382"/>
      <c r="I675" s="1382"/>
      <c r="J675" s="1382"/>
      <c r="K675" s="1382"/>
      <c r="L675" s="1382"/>
      <c r="M675" s="1382"/>
      <c r="N675" s="1382"/>
      <c r="O675" s="1382"/>
      <c r="P675" s="1382"/>
      <c r="Q675" s="1382"/>
      <c r="R675" s="1382"/>
      <c r="T675" s="55" t="s">
        <v>655</v>
      </c>
      <c r="U675" t="s">
        <v>472</v>
      </c>
      <c r="Z675" s="1382">
        <f>C636</f>
        <v>0</v>
      </c>
      <c r="AA675" s="1382"/>
      <c r="AB675" s="1382"/>
      <c r="AC675" s="1382"/>
      <c r="AD675" s="1382"/>
      <c r="AE675" s="1382"/>
      <c r="AF675" s="1382"/>
      <c r="AG675" s="1382"/>
      <c r="AH675" s="1382"/>
      <c r="AI675" s="1382"/>
      <c r="AJ675" s="1382"/>
      <c r="AK675" s="1382"/>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381"/>
      <c r="H676" s="1381"/>
      <c r="I676" s="1381"/>
      <c r="J676" s="1381"/>
      <c r="K676" s="1381"/>
      <c r="L676" s="1381"/>
      <c r="M676" s="1381"/>
      <c r="N676" s="1381"/>
      <c r="O676" s="1381"/>
      <c r="P676" s="1381"/>
      <c r="Q676" s="1381"/>
      <c r="R676" s="1381"/>
      <c r="T676" s="22"/>
      <c r="U676" t="s">
        <v>85</v>
      </c>
      <c r="Z676" s="1381"/>
      <c r="AA676" s="1381"/>
      <c r="AB676" s="1381"/>
      <c r="AC676" s="1381"/>
      <c r="AD676" s="1381"/>
      <c r="AE676" s="1381"/>
      <c r="AF676" s="1381"/>
      <c r="AG676" s="1381"/>
      <c r="AH676" s="1381"/>
      <c r="AI676" s="1381"/>
      <c r="AJ676" s="1381"/>
      <c r="AK676" s="1381"/>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589</v>
      </c>
      <c r="G677" s="1381"/>
      <c r="H677" s="1381"/>
      <c r="I677" s="1381"/>
      <c r="J677" s="1381"/>
      <c r="K677" s="1381"/>
      <c r="L677" s="1381"/>
      <c r="M677" s="1381"/>
      <c r="N677" s="1381"/>
      <c r="O677" s="1381"/>
      <c r="P677" s="1381"/>
      <c r="Q677" s="1381"/>
      <c r="R677" s="1381"/>
      <c r="T677" s="22"/>
      <c r="U677" t="s">
        <v>589</v>
      </c>
      <c r="Z677" s="1438"/>
      <c r="AA677" s="1438"/>
      <c r="AB677" s="1438"/>
      <c r="AC677" s="1438"/>
      <c r="AD677" s="1438"/>
      <c r="AE677" s="1438"/>
      <c r="AF677" s="1438"/>
      <c r="AG677" s="1438"/>
      <c r="AH677" s="1438"/>
      <c r="AI677" s="1438"/>
      <c r="AJ677" s="1438"/>
      <c r="AK677" s="1438"/>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381"/>
      <c r="H678" s="1381"/>
      <c r="I678" s="1381"/>
      <c r="J678" s="1381"/>
      <c r="K678" s="1381"/>
      <c r="L678" s="1381"/>
      <c r="M678" s="1381"/>
      <c r="N678" s="1381"/>
      <c r="O678" s="1381"/>
      <c r="P678" s="1381"/>
      <c r="Q678" s="1381"/>
      <c r="R678" s="1381"/>
      <c r="T678" s="22"/>
      <c r="U678" t="s">
        <v>17</v>
      </c>
      <c r="Z678" s="1438"/>
      <c r="AA678" s="1438"/>
      <c r="AB678" s="1438"/>
      <c r="AC678" s="1438"/>
      <c r="AD678" s="1438"/>
      <c r="AE678" s="1438"/>
      <c r="AF678" s="1438"/>
      <c r="AG678" s="1438"/>
      <c r="AH678" s="1438"/>
      <c r="AI678" s="1438"/>
      <c r="AJ678" s="1438"/>
      <c r="AK678" s="1438"/>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493"/>
      <c r="H679" s="1493"/>
      <c r="I679" s="1493"/>
      <c r="J679" s="1493"/>
      <c r="K679" s="1493"/>
      <c r="L679" s="1493"/>
      <c r="O679" s="33" t="s">
        <v>207</v>
      </c>
      <c r="P679" s="1412"/>
      <c r="Q679" s="1412"/>
      <c r="R679" s="1412"/>
      <c r="T679" s="22"/>
      <c r="U679" t="s">
        <v>317</v>
      </c>
      <c r="Z679" s="1493"/>
      <c r="AA679" s="1493"/>
      <c r="AB679" s="1493"/>
      <c r="AC679" s="1493"/>
      <c r="AD679" s="1493"/>
      <c r="AE679" s="1493"/>
      <c r="AH679" s="33" t="s">
        <v>207</v>
      </c>
      <c r="AI679" s="1412"/>
      <c r="AJ679" s="1412"/>
      <c r="AK679" s="1412"/>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381"/>
      <c r="I680" s="1381"/>
      <c r="J680" s="1381"/>
      <c r="K680" s="1381"/>
      <c r="L680" s="1381"/>
      <c r="M680" s="1381"/>
      <c r="N680" s="1381"/>
      <c r="O680" s="1381"/>
      <c r="P680" s="1381"/>
      <c r="Q680" s="1381"/>
      <c r="R680" s="1381"/>
      <c r="T680" s="22"/>
      <c r="U680" t="s">
        <v>18</v>
      </c>
      <c r="AA680" s="1381"/>
      <c r="AB680" s="1381"/>
      <c r="AC680" s="1381"/>
      <c r="AD680" s="1381"/>
      <c r="AE680" s="1381"/>
      <c r="AF680" s="1381"/>
      <c r="AG680" s="1381"/>
      <c r="AH680" s="1381"/>
      <c r="AI680" s="1381"/>
      <c r="AJ680" s="1381"/>
      <c r="AK680" s="1381"/>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383" t="s">
        <v>678</v>
      </c>
      <c r="O681" s="1383"/>
      <c r="T681" s="22"/>
      <c r="U681" t="s">
        <v>20</v>
      </c>
      <c r="AG681" s="1383" t="s">
        <v>678</v>
      </c>
      <c r="AH681" s="1383"/>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472</v>
      </c>
      <c r="G683" s="1382">
        <f>C637</f>
        <v>0</v>
      </c>
      <c r="H683" s="1382"/>
      <c r="I683" s="1382"/>
      <c r="J683" s="1382"/>
      <c r="K683" s="1382"/>
      <c r="L683" s="1382"/>
      <c r="M683" s="1382"/>
      <c r="N683" s="1382"/>
      <c r="O683" s="1382"/>
      <c r="P683" s="1382"/>
      <c r="Q683" s="1382"/>
      <c r="R683" s="1382"/>
      <c r="T683" s="55" t="s">
        <v>364</v>
      </c>
      <c r="U683" t="s">
        <v>472</v>
      </c>
      <c r="Z683" s="1382">
        <f>C638</f>
        <v>0</v>
      </c>
      <c r="AA683" s="1382"/>
      <c r="AB683" s="1382"/>
      <c r="AC683" s="1382"/>
      <c r="AD683" s="1382"/>
      <c r="AE683" s="1382"/>
      <c r="AF683" s="1382"/>
      <c r="AG683" s="1382"/>
      <c r="AH683" s="1382"/>
      <c r="AI683" s="1382"/>
      <c r="AJ683" s="1382"/>
      <c r="AK683" s="1382"/>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381"/>
      <c r="H684" s="1381"/>
      <c r="I684" s="1381"/>
      <c r="J684" s="1381"/>
      <c r="K684" s="1381"/>
      <c r="L684" s="1381"/>
      <c r="M684" s="1381"/>
      <c r="N684" s="1381"/>
      <c r="O684" s="1381"/>
      <c r="P684" s="1381"/>
      <c r="Q684" s="1381"/>
      <c r="R684" s="1381"/>
      <c r="T684" s="22"/>
      <c r="U684" t="s">
        <v>85</v>
      </c>
      <c r="Z684" s="1381"/>
      <c r="AA684" s="1381"/>
      <c r="AB684" s="1381"/>
      <c r="AC684" s="1381"/>
      <c r="AD684" s="1381"/>
      <c r="AE684" s="1381"/>
      <c r="AF684" s="1381"/>
      <c r="AG684" s="1381"/>
      <c r="AH684" s="1381"/>
      <c r="AI684" s="1381"/>
      <c r="AJ684" s="1381"/>
      <c r="AK684" s="1381"/>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589</v>
      </c>
      <c r="G685" s="1381"/>
      <c r="H685" s="1381"/>
      <c r="I685" s="1381"/>
      <c r="J685" s="1381"/>
      <c r="K685" s="1381"/>
      <c r="L685" s="1381"/>
      <c r="M685" s="1381"/>
      <c r="N685" s="1381"/>
      <c r="O685" s="1381"/>
      <c r="P685" s="1381"/>
      <c r="Q685" s="1381"/>
      <c r="R685" s="1381"/>
      <c r="U685" t="s">
        <v>589</v>
      </c>
      <c r="Z685" s="1438"/>
      <c r="AA685" s="1438"/>
      <c r="AB685" s="1438"/>
      <c r="AC685" s="1438"/>
      <c r="AD685" s="1438"/>
      <c r="AE685" s="1438"/>
      <c r="AF685" s="1438"/>
      <c r="AG685" s="1438"/>
      <c r="AH685" s="1438"/>
      <c r="AI685" s="1438"/>
      <c r="AJ685" s="1438"/>
      <c r="AK685" s="1438"/>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381"/>
      <c r="H686" s="1381"/>
      <c r="I686" s="1381"/>
      <c r="J686" s="1381"/>
      <c r="K686" s="1381"/>
      <c r="L686" s="1381"/>
      <c r="M686" s="1381"/>
      <c r="N686" s="1381"/>
      <c r="O686" s="1381"/>
      <c r="P686" s="1381"/>
      <c r="Q686" s="1381"/>
      <c r="R686" s="1381"/>
      <c r="U686" t="s">
        <v>17</v>
      </c>
      <c r="Z686" s="1438"/>
      <c r="AA686" s="1438"/>
      <c r="AB686" s="1438"/>
      <c r="AC686" s="1438"/>
      <c r="AD686" s="1438"/>
      <c r="AE686" s="1438"/>
      <c r="AF686" s="1438"/>
      <c r="AG686" s="1438"/>
      <c r="AH686" s="1438"/>
      <c r="AI686" s="1438"/>
      <c r="AJ686" s="1438"/>
      <c r="AK686" s="1438"/>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493"/>
      <c r="H687" s="1493"/>
      <c r="I687" s="1493"/>
      <c r="J687" s="1493"/>
      <c r="K687" s="1493"/>
      <c r="L687" s="1493"/>
      <c r="O687" s="33" t="s">
        <v>207</v>
      </c>
      <c r="P687" s="1412"/>
      <c r="Q687" s="1412"/>
      <c r="R687" s="1412"/>
      <c r="U687" t="s">
        <v>317</v>
      </c>
      <c r="Z687" s="1493"/>
      <c r="AA687" s="1493"/>
      <c r="AB687" s="1493"/>
      <c r="AC687" s="1493"/>
      <c r="AD687" s="1493"/>
      <c r="AE687" s="1493"/>
      <c r="AH687" s="33" t="s">
        <v>207</v>
      </c>
      <c r="AI687" s="1412"/>
      <c r="AJ687" s="1412"/>
      <c r="AK687" s="141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381"/>
      <c r="I688" s="1381"/>
      <c r="J688" s="1381"/>
      <c r="K688" s="1381"/>
      <c r="L688" s="1381"/>
      <c r="M688" s="1381"/>
      <c r="N688" s="1381"/>
      <c r="O688" s="1381"/>
      <c r="P688" s="1381"/>
      <c r="Q688" s="1381"/>
      <c r="R688" s="1381"/>
      <c r="U688" t="s">
        <v>18</v>
      </c>
      <c r="AA688" s="1381"/>
      <c r="AB688" s="1381"/>
      <c r="AC688" s="1381"/>
      <c r="AD688" s="1381"/>
      <c r="AE688" s="1381"/>
      <c r="AF688" s="1381"/>
      <c r="AG688" s="1381"/>
      <c r="AH688" s="1381"/>
      <c r="AI688" s="1381"/>
      <c r="AJ688" s="1381"/>
      <c r="AK688" s="1381"/>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383" t="s">
        <v>678</v>
      </c>
      <c r="O689" s="1383"/>
      <c r="U689" t="s">
        <v>20</v>
      </c>
      <c r="AG689" s="1383" t="s">
        <v>678</v>
      </c>
      <c r="AH689" s="1383"/>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383" t="s">
        <v>554</v>
      </c>
      <c r="AF693" s="1383"/>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383" t="s">
        <v>554</v>
      </c>
      <c r="AF694" s="1383"/>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940</v>
      </c>
      <c r="E695" s="135"/>
      <c r="F695" s="135"/>
      <c r="G695" s="135"/>
      <c r="H695" s="135"/>
      <c r="AE695" s="1492">
        <v>45531</v>
      </c>
      <c r="AF695" s="1492"/>
      <c r="AG695" s="1492"/>
      <c r="AH695" s="1492"/>
      <c r="AI695" s="1492"/>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1003</v>
      </c>
      <c r="E696" s="135"/>
      <c r="F696" s="135"/>
      <c r="G696" s="135"/>
      <c r="H696" s="135"/>
      <c r="AE696" s="1605">
        <v>45637</v>
      </c>
      <c r="AF696" s="1605"/>
      <c r="AG696" s="1605"/>
      <c r="AH696" s="1605"/>
      <c r="AI696" s="160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826</v>
      </c>
      <c r="E698" s="135"/>
      <c r="F698" s="135"/>
      <c r="G698" s="135"/>
      <c r="H698" s="135"/>
      <c r="AE698" s="1492">
        <v>45819</v>
      </c>
      <c r="AF698" s="1492"/>
      <c r="AG698" s="1492"/>
      <c r="AH698" s="1492"/>
      <c r="AI698" s="1492"/>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591">
        <f>AM554/SUM('Sources and Uses Budget'!S107,'Sources and Uses Budget'!C4,'Sources and Uses Budget'!C5,'Sources and Uses Budget'!T107)</f>
        <v>0.55135731460594406</v>
      </c>
      <c r="AF699" s="1591"/>
      <c r="AG699" s="1591"/>
      <c r="AH699" s="1591"/>
      <c r="AI699" s="1591"/>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382" t="str">
        <f>H335</f>
        <v>California Muncipal Financial Authority</v>
      </c>
      <c r="X700" s="1382"/>
      <c r="Y700" s="1382"/>
      <c r="Z700" s="1382"/>
      <c r="AA700" s="1382"/>
      <c r="AB700" s="1382"/>
      <c r="AC700" s="1382"/>
      <c r="AD700" s="1382"/>
      <c r="AE700" s="1382"/>
      <c r="AF700" s="1382"/>
      <c r="AG700" s="1382"/>
      <c r="AH700" s="1382"/>
      <c r="AI700" s="1382"/>
      <c r="AJ700" s="1382"/>
      <c r="AK700" s="1382"/>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G751</f>
        <v>0</v>
      </c>
      <c r="BH701" s="319">
        <f t="shared" si="50"/>
        <v>0</v>
      </c>
      <c r="BI701" s="320" t="str">
        <f>IF(BH701=0,"",BH701*AC762)</f>
        <v/>
      </c>
      <c r="BJ701" s="3"/>
      <c r="BK701" s="34"/>
      <c r="BL701" s="34"/>
      <c r="BM701" s="34"/>
      <c r="BN701" s="34"/>
      <c r="BO701" s="34"/>
      <c r="BT701" s="316">
        <f>G751</f>
        <v>0</v>
      </c>
      <c r="BU701" s="319">
        <f t="shared" si="53"/>
        <v>0</v>
      </c>
      <c r="BV701" s="320" t="str">
        <f>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383" t="s">
        <v>678</v>
      </c>
      <c r="AF702" s="1383"/>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445</v>
      </c>
      <c r="E703" s="135"/>
      <c r="F703" s="135"/>
      <c r="G703" s="135"/>
      <c r="H703" s="135"/>
      <c r="W703" s="1381"/>
      <c r="X703" s="1381"/>
      <c r="Y703" s="1381"/>
      <c r="Z703" s="1381"/>
      <c r="AA703" s="1381"/>
      <c r="AB703" s="1381"/>
      <c r="AC703" s="1381"/>
      <c r="AD703" s="1381"/>
      <c r="AE703" s="1381"/>
      <c r="AF703" s="1381"/>
      <c r="AG703" s="1381"/>
      <c r="AH703" s="1381"/>
      <c r="AI703" s="1381"/>
      <c r="AJ703" s="1381"/>
      <c r="AK703" s="1381"/>
      <c r="AZ703" s="34"/>
      <c r="BA703" s="34"/>
      <c r="BB703" s="34"/>
      <c r="BC703" s="34"/>
      <c r="BD703" s="34"/>
      <c r="BE703" s="3"/>
      <c r="BF703" s="312" t="s">
        <v>915</v>
      </c>
      <c r="BG703" s="321">
        <f>SUM(BG668:BG702)</f>
        <v>79</v>
      </c>
      <c r="BH703" s="322">
        <f>SUM(BH668:BH702)</f>
        <v>0.99999999999999989</v>
      </c>
      <c r="BI703" s="322">
        <f>SUM(BI668:BI702)</f>
        <v>0.59746835443037971</v>
      </c>
      <c r="BN703" s="3"/>
      <c r="BO703" s="3"/>
      <c r="BT703" s="893">
        <f>SUM(BT668:BT702)</f>
        <v>79</v>
      </c>
      <c r="BU703" s="322">
        <f>SUM(BU668:BU702)</f>
        <v>0.99999999999999989</v>
      </c>
      <c r="BV703" s="322">
        <f>SUM(BV668:BV702)</f>
        <v>0.5975230703987725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381"/>
      <c r="K704" s="1381"/>
      <c r="L704" s="1381"/>
      <c r="M704" s="1381"/>
      <c r="N704" s="1381"/>
      <c r="O704" s="1381"/>
      <c r="P704" s="1381"/>
      <c r="Q704" s="1381"/>
      <c r="R704" s="1381"/>
      <c r="S704" s="1381"/>
      <c r="T704" s="1381"/>
      <c r="U704" s="1381"/>
      <c r="V704" s="1381"/>
      <c r="W704" s="1381"/>
      <c r="X704" s="138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493"/>
      <c r="K705" s="1493"/>
      <c r="L705" s="1493"/>
      <c r="M705" s="1493"/>
      <c r="N705" s="1493"/>
      <c r="O705" s="1493"/>
      <c r="P705" s="4" t="s">
        <v>207</v>
      </c>
      <c r="Q705" s="4"/>
      <c r="R705" s="1412"/>
      <c r="S705" s="1412"/>
      <c r="T705" s="141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446</v>
      </c>
      <c r="W706" s="1381" t="s">
        <v>308</v>
      </c>
      <c r="X706" s="1381"/>
      <c r="Y706" s="1381"/>
      <c r="Z706" s="1381"/>
      <c r="AA706" s="1381"/>
      <c r="AB706" s="1381"/>
      <c r="AC706" s="1381"/>
      <c r="AD706" s="1381"/>
      <c r="AE706" s="1381"/>
      <c r="AF706" s="1381"/>
      <c r="AG706" s="1381"/>
      <c r="AH706" s="1381"/>
      <c r="AI706" s="1381"/>
      <c r="AJ706" s="1381"/>
      <c r="AK706" s="138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381" t="s">
        <v>335</v>
      </c>
      <c r="F707" s="1381"/>
      <c r="G707" s="1381"/>
      <c r="H707" s="1381"/>
      <c r="I707" s="1381"/>
      <c r="J707" s="1381"/>
      <c r="K707" s="1381"/>
      <c r="L707" s="1381"/>
      <c r="M707" s="1381"/>
      <c r="N707" s="1381"/>
      <c r="O707" s="1381"/>
      <c r="P707" s="1381"/>
      <c r="Q707" s="1381"/>
      <c r="R707" s="1381"/>
      <c r="S707" s="1381"/>
      <c r="T707" s="1381"/>
      <c r="U707" s="1381"/>
      <c r="V707" s="1381"/>
      <c r="W707" s="1381"/>
      <c r="X707" s="1381"/>
      <c r="Y707" s="1381"/>
      <c r="Z707" s="1381"/>
      <c r="AA707" s="1381"/>
      <c r="AB707" s="1381"/>
      <c r="AC707" s="1381"/>
      <c r="AD707" s="1381"/>
      <c r="AE707" s="1381"/>
      <c r="AF707" s="1381"/>
      <c r="AG707" s="1381"/>
      <c r="AH707" s="1381"/>
      <c r="AI707" s="1381"/>
      <c r="AJ707" s="1381"/>
      <c r="AK707" s="138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413" t="s">
        <v>390</v>
      </c>
      <c r="C714" s="1370"/>
      <c r="D714" s="1370"/>
      <c r="E714" s="1370"/>
      <c r="F714" s="1371"/>
      <c r="G714" s="1413" t="s">
        <v>286</v>
      </c>
      <c r="H714" s="1370"/>
      <c r="I714" s="1370"/>
      <c r="J714" s="1371"/>
      <c r="K714" s="1576" t="s">
        <v>1868</v>
      </c>
      <c r="L714" s="1577"/>
      <c r="M714" s="1577"/>
      <c r="N714" s="1578"/>
      <c r="O714" s="1413" t="s">
        <v>456</v>
      </c>
      <c r="P714" s="1370"/>
      <c r="Q714" s="1370"/>
      <c r="R714" s="1370"/>
      <c r="S714" s="1371"/>
      <c r="T714" s="1369" t="s">
        <v>2252</v>
      </c>
      <c r="U714" s="1370"/>
      <c r="V714" s="1370"/>
      <c r="W714" s="1371"/>
      <c r="X714" s="1369" t="s">
        <v>2254</v>
      </c>
      <c r="Y714" s="1370"/>
      <c r="Z714" s="1370"/>
      <c r="AA714" s="1370"/>
      <c r="AB714" s="1371"/>
      <c r="AC714" s="1369" t="s">
        <v>2253</v>
      </c>
      <c r="AD714" s="1370"/>
      <c r="AE714" s="1370"/>
      <c r="AF714" s="1370"/>
      <c r="AG714" s="1371"/>
      <c r="AH714" s="1369" t="s">
        <v>2255</v>
      </c>
      <c r="AI714" s="1370"/>
      <c r="AJ714" s="1371"/>
      <c r="AK714" s="1369" t="s">
        <v>2289</v>
      </c>
      <c r="AL714" s="1370"/>
      <c r="AM714" s="1370"/>
      <c r="AN714" s="1370"/>
      <c r="AO714" s="137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72"/>
      <c r="C715" s="1373"/>
      <c r="D715" s="1373"/>
      <c r="E715" s="1373"/>
      <c r="F715" s="1374"/>
      <c r="G715" s="1372"/>
      <c r="H715" s="1373"/>
      <c r="I715" s="1373"/>
      <c r="J715" s="1374"/>
      <c r="K715" s="1579"/>
      <c r="L715" s="1580"/>
      <c r="M715" s="1580"/>
      <c r="N715" s="1581"/>
      <c r="O715" s="1372"/>
      <c r="P715" s="1373"/>
      <c r="Q715" s="1373"/>
      <c r="R715" s="1373"/>
      <c r="S715" s="1374"/>
      <c r="T715" s="1372"/>
      <c r="U715" s="1373"/>
      <c r="V715" s="1373"/>
      <c r="W715" s="1374"/>
      <c r="X715" s="1372"/>
      <c r="Y715" s="1373"/>
      <c r="Z715" s="1373"/>
      <c r="AA715" s="1373"/>
      <c r="AB715" s="1374"/>
      <c r="AC715" s="1372"/>
      <c r="AD715" s="1373"/>
      <c r="AE715" s="1373"/>
      <c r="AF715" s="1373"/>
      <c r="AG715" s="1374"/>
      <c r="AH715" s="1372"/>
      <c r="AI715" s="1373"/>
      <c r="AJ715" s="1374"/>
      <c r="AK715" s="1372"/>
      <c r="AL715" s="1373"/>
      <c r="AM715" s="1373"/>
      <c r="AN715" s="1373"/>
      <c r="AO715" s="137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72"/>
      <c r="C716" s="1373"/>
      <c r="D716" s="1373"/>
      <c r="E716" s="1373"/>
      <c r="F716" s="1374"/>
      <c r="G716" s="1372"/>
      <c r="H716" s="1373"/>
      <c r="I716" s="1373"/>
      <c r="J716" s="1374"/>
      <c r="K716" s="1579"/>
      <c r="L716" s="1580"/>
      <c r="M716" s="1580"/>
      <c r="N716" s="1581"/>
      <c r="O716" s="1372"/>
      <c r="P716" s="1373"/>
      <c r="Q716" s="1373"/>
      <c r="R716" s="1373"/>
      <c r="S716" s="1374"/>
      <c r="T716" s="1372"/>
      <c r="U716" s="1373"/>
      <c r="V716" s="1373"/>
      <c r="W716" s="1374"/>
      <c r="X716" s="1372"/>
      <c r="Y716" s="1373"/>
      <c r="Z716" s="1373"/>
      <c r="AA716" s="1373"/>
      <c r="AB716" s="1374"/>
      <c r="AC716" s="1372"/>
      <c r="AD716" s="1373"/>
      <c r="AE716" s="1373"/>
      <c r="AF716" s="1373"/>
      <c r="AG716" s="1374"/>
      <c r="AH716" s="1372"/>
      <c r="AI716" s="1373"/>
      <c r="AJ716" s="1374"/>
      <c r="AK716" s="1372"/>
      <c r="AL716" s="1373"/>
      <c r="AM716" s="1373"/>
      <c r="AN716" s="1373"/>
      <c r="AO716" s="137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5"/>
      <c r="C717" s="1376"/>
      <c r="D717" s="1376"/>
      <c r="E717" s="1376"/>
      <c r="F717" s="1377"/>
      <c r="G717" s="1375"/>
      <c r="H717" s="1376"/>
      <c r="I717" s="1376"/>
      <c r="J717" s="1377"/>
      <c r="K717" s="1579"/>
      <c r="L717" s="1580"/>
      <c r="M717" s="1580"/>
      <c r="N717" s="1581"/>
      <c r="O717" s="1375"/>
      <c r="P717" s="1376"/>
      <c r="Q717" s="1376"/>
      <c r="R717" s="1376"/>
      <c r="S717" s="1377"/>
      <c r="T717" s="1375"/>
      <c r="U717" s="1376"/>
      <c r="V717" s="1376"/>
      <c r="W717" s="1377"/>
      <c r="X717" s="1375"/>
      <c r="Y717" s="1376"/>
      <c r="Z717" s="1376"/>
      <c r="AA717" s="1376"/>
      <c r="AB717" s="1377"/>
      <c r="AC717" s="1375"/>
      <c r="AD717" s="1376"/>
      <c r="AE717" s="1376"/>
      <c r="AF717" s="1376"/>
      <c r="AG717" s="1377"/>
      <c r="AH717" s="1375"/>
      <c r="AI717" s="1376"/>
      <c r="AJ717" s="1377"/>
      <c r="AK717" s="1375"/>
      <c r="AL717" s="1376"/>
      <c r="AM717" s="1376"/>
      <c r="AN717" s="1376"/>
      <c r="AO717" s="137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7" t="s">
        <v>325</v>
      </c>
      <c r="C718" s="1358"/>
      <c r="D718" s="1358"/>
      <c r="E718" s="1358"/>
      <c r="F718" s="1359"/>
      <c r="G718" s="1366">
        <v>9</v>
      </c>
      <c r="H718" s="1367"/>
      <c r="I718" s="1367"/>
      <c r="J718" s="1368"/>
      <c r="K718" s="1390">
        <v>380</v>
      </c>
      <c r="L718" s="1391"/>
      <c r="M718" s="1391"/>
      <c r="N718" s="1392"/>
      <c r="O718" s="1378">
        <v>743</v>
      </c>
      <c r="P718" s="1379"/>
      <c r="Q718" s="1379"/>
      <c r="R718" s="1379"/>
      <c r="S718" s="1380"/>
      <c r="T718" s="1378">
        <v>74</v>
      </c>
      <c r="U718" s="1379"/>
      <c r="V718" s="1379"/>
      <c r="W718" s="1380"/>
      <c r="X718" s="1360">
        <f t="shared" ref="X718:X741" si="56">O718+T718</f>
        <v>817</v>
      </c>
      <c r="Y718" s="1361"/>
      <c r="Z718" s="1361"/>
      <c r="AA718" s="1361"/>
      <c r="AB718" s="1362"/>
      <c r="AC718" s="1384">
        <v>0.3</v>
      </c>
      <c r="AD718" s="1385"/>
      <c r="AE718" s="1385"/>
      <c r="AF718" s="1385"/>
      <c r="AG718" s="1386"/>
      <c r="AH718" s="1363">
        <f t="shared" ref="AH718:AH751" si="57">IF($AC718&gt;0,($X718/$BA667), "")</f>
        <v>0.29992657856093979</v>
      </c>
      <c r="AI718" s="1364"/>
      <c r="AJ718" s="1365"/>
      <c r="AK718" s="1357" t="s">
        <v>600</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7" t="s">
        <v>325</v>
      </c>
      <c r="C719" s="1358"/>
      <c r="D719" s="1358"/>
      <c r="E719" s="1358"/>
      <c r="F719" s="1359"/>
      <c r="G719" s="1366">
        <v>23</v>
      </c>
      <c r="H719" s="1367"/>
      <c r="I719" s="1367"/>
      <c r="J719" s="1368"/>
      <c r="K719" s="1390">
        <v>380</v>
      </c>
      <c r="L719" s="1391"/>
      <c r="M719" s="1391"/>
      <c r="N719" s="1392"/>
      <c r="O719" s="1378">
        <v>1288</v>
      </c>
      <c r="P719" s="1379"/>
      <c r="Q719" s="1379"/>
      <c r="R719" s="1379"/>
      <c r="S719" s="1380"/>
      <c r="T719" s="1378">
        <v>74</v>
      </c>
      <c r="U719" s="1379"/>
      <c r="V719" s="1379"/>
      <c r="W719" s="1380"/>
      <c r="X719" s="1360">
        <f t="shared" si="56"/>
        <v>1362</v>
      </c>
      <c r="Y719" s="1361"/>
      <c r="Z719" s="1361"/>
      <c r="AA719" s="1361"/>
      <c r="AB719" s="1362"/>
      <c r="AC719" s="1384">
        <v>0.5</v>
      </c>
      <c r="AD719" s="1385"/>
      <c r="AE719" s="1385"/>
      <c r="AF719" s="1385"/>
      <c r="AG719" s="1386"/>
      <c r="AH719" s="1363">
        <f t="shared" si="57"/>
        <v>0.5</v>
      </c>
      <c r="AI719" s="1364"/>
      <c r="AJ719" s="1365"/>
      <c r="AK719" s="1357" t="s">
        <v>600</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7" t="s">
        <v>325</v>
      </c>
      <c r="C720" s="1358"/>
      <c r="D720" s="1358"/>
      <c r="E720" s="1358"/>
      <c r="F720" s="1359"/>
      <c r="G720" s="1366">
        <v>12</v>
      </c>
      <c r="H720" s="1367"/>
      <c r="I720" s="1367"/>
      <c r="J720" s="1368"/>
      <c r="K720" s="1390">
        <v>540</v>
      </c>
      <c r="L720" s="1391"/>
      <c r="M720" s="1391"/>
      <c r="N720" s="1392"/>
      <c r="O720" s="1378">
        <v>1561</v>
      </c>
      <c r="P720" s="1379"/>
      <c r="Q720" s="1379"/>
      <c r="R720" s="1379"/>
      <c r="S720" s="1380"/>
      <c r="T720" s="1378">
        <v>74</v>
      </c>
      <c r="U720" s="1379"/>
      <c r="V720" s="1379"/>
      <c r="W720" s="1380"/>
      <c r="X720" s="1360">
        <f t="shared" si="56"/>
        <v>1635</v>
      </c>
      <c r="Y720" s="1361"/>
      <c r="Z720" s="1361"/>
      <c r="AA720" s="1361"/>
      <c r="AB720" s="1362"/>
      <c r="AC720" s="1384">
        <v>0.6</v>
      </c>
      <c r="AD720" s="1385"/>
      <c r="AE720" s="1385"/>
      <c r="AF720" s="1385"/>
      <c r="AG720" s="1386"/>
      <c r="AH720" s="1363">
        <f t="shared" si="57"/>
        <v>0.60022026431718056</v>
      </c>
      <c r="AI720" s="1364"/>
      <c r="AJ720" s="1365"/>
      <c r="AK720" s="1357" t="s">
        <v>600</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7" t="s">
        <v>326</v>
      </c>
      <c r="C721" s="1358"/>
      <c r="D721" s="1358"/>
      <c r="E721" s="1358"/>
      <c r="F721" s="1359"/>
      <c r="G721" s="1366">
        <v>8</v>
      </c>
      <c r="H721" s="1367"/>
      <c r="I721" s="1367"/>
      <c r="J721" s="1368"/>
      <c r="K721" s="1390">
        <v>603</v>
      </c>
      <c r="L721" s="1391"/>
      <c r="M721" s="1391"/>
      <c r="N721" s="1392"/>
      <c r="O721" s="1378">
        <v>1664</v>
      </c>
      <c r="P721" s="1379"/>
      <c r="Q721" s="1379"/>
      <c r="R721" s="1379"/>
      <c r="S721" s="1380"/>
      <c r="T721" s="1378">
        <v>88</v>
      </c>
      <c r="U721" s="1379"/>
      <c r="V721" s="1379"/>
      <c r="W721" s="1380"/>
      <c r="X721" s="1360">
        <f t="shared" si="56"/>
        <v>1752</v>
      </c>
      <c r="Y721" s="1361"/>
      <c r="Z721" s="1361"/>
      <c r="AA721" s="1361"/>
      <c r="AB721" s="1362"/>
      <c r="AC721" s="1384">
        <v>0.6</v>
      </c>
      <c r="AD721" s="1385"/>
      <c r="AE721" s="1385"/>
      <c r="AF721" s="1385"/>
      <c r="AG721" s="1386"/>
      <c r="AH721" s="1363">
        <f t="shared" si="57"/>
        <v>0.6</v>
      </c>
      <c r="AI721" s="1364"/>
      <c r="AJ721" s="1365"/>
      <c r="AK721" s="1357" t="s">
        <v>600</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7" t="s">
        <v>326</v>
      </c>
      <c r="C722" s="1358"/>
      <c r="D722" s="1358"/>
      <c r="E722" s="1358"/>
      <c r="F722" s="1359"/>
      <c r="G722" s="1366">
        <v>16</v>
      </c>
      <c r="H722" s="1367"/>
      <c r="I722" s="1367"/>
      <c r="J722" s="1368"/>
      <c r="K722" s="1390">
        <v>824</v>
      </c>
      <c r="L722" s="1391"/>
      <c r="M722" s="1391"/>
      <c r="N722" s="1392"/>
      <c r="O722" s="1378">
        <v>2248</v>
      </c>
      <c r="P722" s="1379"/>
      <c r="Q722" s="1379"/>
      <c r="R722" s="1379"/>
      <c r="S722" s="1380"/>
      <c r="T722" s="1378">
        <v>88</v>
      </c>
      <c r="U722" s="1379"/>
      <c r="V722" s="1379"/>
      <c r="W722" s="1380"/>
      <c r="X722" s="1360">
        <f t="shared" si="56"/>
        <v>2336</v>
      </c>
      <c r="Y722" s="1361"/>
      <c r="Z722" s="1361"/>
      <c r="AA722" s="1361"/>
      <c r="AB722" s="1362"/>
      <c r="AC722" s="1384">
        <v>0.8</v>
      </c>
      <c r="AD722" s="1385"/>
      <c r="AE722" s="1385"/>
      <c r="AF722" s="1385"/>
      <c r="AG722" s="1386"/>
      <c r="AH722" s="1363">
        <f t="shared" si="57"/>
        <v>0.8</v>
      </c>
      <c r="AI722" s="1364"/>
      <c r="AJ722" s="1365"/>
      <c r="AK722" s="1357" t="s">
        <v>600</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7" t="s">
        <v>163</v>
      </c>
      <c r="C723" s="1358"/>
      <c r="D723" s="1358"/>
      <c r="E723" s="1358"/>
      <c r="F723" s="1359"/>
      <c r="G723" s="1366">
        <v>3</v>
      </c>
      <c r="H723" s="1367"/>
      <c r="I723" s="1367"/>
      <c r="J723" s="1368"/>
      <c r="K723" s="1390">
        <v>804</v>
      </c>
      <c r="L723" s="1391"/>
      <c r="M723" s="1391"/>
      <c r="N723" s="1392"/>
      <c r="O723" s="1387">
        <v>1979</v>
      </c>
      <c r="P723" s="1388"/>
      <c r="Q723" s="1388"/>
      <c r="R723" s="1388"/>
      <c r="S723" s="1389"/>
      <c r="T723" s="1378">
        <v>124</v>
      </c>
      <c r="U723" s="1379"/>
      <c r="V723" s="1379"/>
      <c r="W723" s="1380"/>
      <c r="X723" s="1360">
        <f t="shared" si="56"/>
        <v>2103</v>
      </c>
      <c r="Y723" s="1361"/>
      <c r="Z723" s="1361"/>
      <c r="AA723" s="1361"/>
      <c r="AB723" s="1362"/>
      <c r="AC723" s="1384">
        <v>0.6</v>
      </c>
      <c r="AD723" s="1385"/>
      <c r="AE723" s="1385"/>
      <c r="AF723" s="1385"/>
      <c r="AG723" s="1386"/>
      <c r="AH723" s="1363">
        <f t="shared" si="57"/>
        <v>0.60017123287671237</v>
      </c>
      <c r="AI723" s="1364"/>
      <c r="AJ723" s="1365"/>
      <c r="AK723" s="1357" t="s">
        <v>600</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7" t="s">
        <v>163</v>
      </c>
      <c r="C724" s="1358"/>
      <c r="D724" s="1358"/>
      <c r="E724" s="1358"/>
      <c r="F724" s="1359"/>
      <c r="G724" s="1366">
        <v>8</v>
      </c>
      <c r="H724" s="1367"/>
      <c r="I724" s="1367"/>
      <c r="J724" s="1368"/>
      <c r="K724" s="1390">
        <v>1014</v>
      </c>
      <c r="L724" s="1391"/>
      <c r="M724" s="1391"/>
      <c r="N724" s="1392"/>
      <c r="O724" s="1387">
        <v>2680</v>
      </c>
      <c r="P724" s="1388"/>
      <c r="Q724" s="1388"/>
      <c r="R724" s="1388"/>
      <c r="S724" s="1389"/>
      <c r="T724" s="1378">
        <v>124</v>
      </c>
      <c r="U724" s="1379"/>
      <c r="V724" s="1379"/>
      <c r="W724" s="1380"/>
      <c r="X724" s="1360">
        <f t="shared" si="56"/>
        <v>2804</v>
      </c>
      <c r="Y724" s="1361"/>
      <c r="Z724" s="1361"/>
      <c r="AA724" s="1361"/>
      <c r="AB724" s="1362"/>
      <c r="AC724" s="1384">
        <v>0.8</v>
      </c>
      <c r="AD724" s="1385"/>
      <c r="AE724" s="1385"/>
      <c r="AF724" s="1385"/>
      <c r="AG724" s="1386"/>
      <c r="AH724" s="1363">
        <f t="shared" si="57"/>
        <v>0.80022831050228316</v>
      </c>
      <c r="AI724" s="1364"/>
      <c r="AJ724" s="1365"/>
      <c r="AK724" s="1357" t="s">
        <v>600</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7"/>
      <c r="C725" s="1358"/>
      <c r="D725" s="1358"/>
      <c r="E725" s="1358"/>
      <c r="F725" s="1359"/>
      <c r="G725" s="1366"/>
      <c r="H725" s="1367"/>
      <c r="I725" s="1367"/>
      <c r="J725" s="1368"/>
      <c r="K725" s="1390"/>
      <c r="L725" s="1391"/>
      <c r="M725" s="1391"/>
      <c r="N725" s="1392"/>
      <c r="O725" s="1378"/>
      <c r="P725" s="1379"/>
      <c r="Q725" s="1379"/>
      <c r="R725" s="1379"/>
      <c r="S725" s="1380"/>
      <c r="T725" s="1378"/>
      <c r="U725" s="1379"/>
      <c r="V725" s="1379"/>
      <c r="W725" s="1380"/>
      <c r="X725" s="1360">
        <f t="shared" si="56"/>
        <v>0</v>
      </c>
      <c r="Y725" s="1361"/>
      <c r="Z725" s="1361"/>
      <c r="AA725" s="1361"/>
      <c r="AB725" s="1362"/>
      <c r="AC725" s="1384"/>
      <c r="AD725" s="1385"/>
      <c r="AE725" s="1385"/>
      <c r="AF725" s="1385"/>
      <c r="AG725" s="1386"/>
      <c r="AH725" s="1363" t="str">
        <f t="shared" si="57"/>
        <v/>
      </c>
      <c r="AI725" s="1364"/>
      <c r="AJ725" s="1365"/>
      <c r="AK725" s="1357" t="s">
        <v>600</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7"/>
      <c r="C726" s="1358"/>
      <c r="D726" s="1358"/>
      <c r="E726" s="1358"/>
      <c r="F726" s="1359"/>
      <c r="G726" s="1366"/>
      <c r="H726" s="1367"/>
      <c r="I726" s="1367"/>
      <c r="J726" s="1368"/>
      <c r="K726" s="1390"/>
      <c r="L726" s="1391"/>
      <c r="M726" s="1391"/>
      <c r="N726" s="1392"/>
      <c r="O726" s="1378"/>
      <c r="P726" s="1379"/>
      <c r="Q726" s="1379"/>
      <c r="R726" s="1379"/>
      <c r="S726" s="1380"/>
      <c r="T726" s="1378"/>
      <c r="U726" s="1379"/>
      <c r="V726" s="1379"/>
      <c r="W726" s="1380"/>
      <c r="X726" s="1360">
        <f t="shared" si="56"/>
        <v>0</v>
      </c>
      <c r="Y726" s="1361"/>
      <c r="Z726" s="1361"/>
      <c r="AA726" s="1361"/>
      <c r="AB726" s="1362"/>
      <c r="AC726" s="1384"/>
      <c r="AD726" s="1385"/>
      <c r="AE726" s="1385"/>
      <c r="AF726" s="1385"/>
      <c r="AG726" s="1386"/>
      <c r="AH726" s="1363" t="str">
        <f t="shared" si="57"/>
        <v/>
      </c>
      <c r="AI726" s="1364"/>
      <c r="AJ726" s="1365"/>
      <c r="AK726" s="1357" t="s">
        <v>600</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7"/>
      <c r="C727" s="1358"/>
      <c r="D727" s="1358"/>
      <c r="E727" s="1358"/>
      <c r="F727" s="1359"/>
      <c r="G727" s="1366"/>
      <c r="H727" s="1367"/>
      <c r="I727" s="1367"/>
      <c r="J727" s="1368"/>
      <c r="K727" s="1390"/>
      <c r="L727" s="1391"/>
      <c r="M727" s="1391"/>
      <c r="N727" s="1392"/>
      <c r="O727" s="1378"/>
      <c r="P727" s="1379"/>
      <c r="Q727" s="1379"/>
      <c r="R727" s="1379"/>
      <c r="S727" s="1380"/>
      <c r="T727" s="1378"/>
      <c r="U727" s="1379"/>
      <c r="V727" s="1379"/>
      <c r="W727" s="1380"/>
      <c r="X727" s="1360">
        <f t="shared" si="56"/>
        <v>0</v>
      </c>
      <c r="Y727" s="1361"/>
      <c r="Z727" s="1361"/>
      <c r="AA727" s="1361"/>
      <c r="AB727" s="1362"/>
      <c r="AC727" s="1384"/>
      <c r="AD727" s="1385"/>
      <c r="AE727" s="1385"/>
      <c r="AF727" s="1385"/>
      <c r="AG727" s="1386"/>
      <c r="AH727" s="1363" t="str">
        <f t="shared" si="57"/>
        <v/>
      </c>
      <c r="AI727" s="1364"/>
      <c r="AJ727" s="1365"/>
      <c r="AK727" s="1357" t="s">
        <v>600</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7"/>
      <c r="C728" s="1358"/>
      <c r="D728" s="1358"/>
      <c r="E728" s="1358"/>
      <c r="F728" s="1359"/>
      <c r="G728" s="1366"/>
      <c r="H728" s="1367"/>
      <c r="I728" s="1367"/>
      <c r="J728" s="1368"/>
      <c r="K728" s="1390"/>
      <c r="L728" s="1391"/>
      <c r="M728" s="1391"/>
      <c r="N728" s="1392"/>
      <c r="O728" s="1378"/>
      <c r="P728" s="1379"/>
      <c r="Q728" s="1379"/>
      <c r="R728" s="1379"/>
      <c r="S728" s="1380"/>
      <c r="T728" s="1378"/>
      <c r="U728" s="1379"/>
      <c r="V728" s="1379"/>
      <c r="W728" s="1380"/>
      <c r="X728" s="1360">
        <f t="shared" si="56"/>
        <v>0</v>
      </c>
      <c r="Y728" s="1361"/>
      <c r="Z728" s="1361"/>
      <c r="AA728" s="1361"/>
      <c r="AB728" s="1362"/>
      <c r="AC728" s="1384"/>
      <c r="AD728" s="1385"/>
      <c r="AE728" s="1385"/>
      <c r="AF728" s="1385"/>
      <c r="AG728" s="1386"/>
      <c r="AH728" s="1363" t="str">
        <f t="shared" si="57"/>
        <v/>
      </c>
      <c r="AI728" s="1364"/>
      <c r="AJ728" s="1365"/>
      <c r="AK728" s="1357" t="s">
        <v>600</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7"/>
      <c r="C729" s="1358"/>
      <c r="D729" s="1358"/>
      <c r="E729" s="1358"/>
      <c r="F729" s="1359"/>
      <c r="G729" s="1366"/>
      <c r="H729" s="1367"/>
      <c r="I729" s="1367"/>
      <c r="J729" s="1368"/>
      <c r="K729" s="1390"/>
      <c r="L729" s="1391"/>
      <c r="M729" s="1391"/>
      <c r="N729" s="1392"/>
      <c r="O729" s="1378"/>
      <c r="P729" s="1379"/>
      <c r="Q729" s="1379"/>
      <c r="R729" s="1379"/>
      <c r="S729" s="1380"/>
      <c r="T729" s="1378"/>
      <c r="U729" s="1379"/>
      <c r="V729" s="1379"/>
      <c r="W729" s="1380"/>
      <c r="X729" s="1360">
        <f t="shared" si="56"/>
        <v>0</v>
      </c>
      <c r="Y729" s="1361"/>
      <c r="Z729" s="1361"/>
      <c r="AA729" s="1361"/>
      <c r="AB729" s="1362"/>
      <c r="AC729" s="1384"/>
      <c r="AD729" s="1385"/>
      <c r="AE729" s="1385"/>
      <c r="AF729" s="1385"/>
      <c r="AG729" s="1386"/>
      <c r="AH729" s="1363" t="str">
        <f t="shared" si="57"/>
        <v/>
      </c>
      <c r="AI729" s="1364"/>
      <c r="AJ729" s="1365"/>
      <c r="AK729" s="1357" t="s">
        <v>600</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7"/>
      <c r="C730" s="1358"/>
      <c r="D730" s="1358"/>
      <c r="E730" s="1358"/>
      <c r="F730" s="1359"/>
      <c r="G730" s="1366"/>
      <c r="H730" s="1367"/>
      <c r="I730" s="1367"/>
      <c r="J730" s="1368"/>
      <c r="K730" s="1390"/>
      <c r="L730" s="1391"/>
      <c r="M730" s="1391"/>
      <c r="N730" s="1392"/>
      <c r="O730" s="1378"/>
      <c r="P730" s="1379"/>
      <c r="Q730" s="1379"/>
      <c r="R730" s="1379"/>
      <c r="S730" s="1380"/>
      <c r="T730" s="1378"/>
      <c r="U730" s="1379"/>
      <c r="V730" s="1379"/>
      <c r="W730" s="1380"/>
      <c r="X730" s="1360">
        <f t="shared" si="56"/>
        <v>0</v>
      </c>
      <c r="Y730" s="1361"/>
      <c r="Z730" s="1361"/>
      <c r="AA730" s="1361"/>
      <c r="AB730" s="1362"/>
      <c r="AC730" s="1384"/>
      <c r="AD730" s="1385"/>
      <c r="AE730" s="1385"/>
      <c r="AF730" s="1385"/>
      <c r="AG730" s="1386"/>
      <c r="AH730" s="1363" t="str">
        <f t="shared" si="57"/>
        <v/>
      </c>
      <c r="AI730" s="1364"/>
      <c r="AJ730" s="1365"/>
      <c r="AK730" s="1357" t="s">
        <v>600</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7"/>
      <c r="C731" s="1358"/>
      <c r="D731" s="1358"/>
      <c r="E731" s="1358"/>
      <c r="F731" s="1359"/>
      <c r="G731" s="1366"/>
      <c r="H731" s="1367"/>
      <c r="I731" s="1367"/>
      <c r="J731" s="1368"/>
      <c r="K731" s="1390"/>
      <c r="L731" s="1391"/>
      <c r="M731" s="1391"/>
      <c r="N731" s="1392"/>
      <c r="O731" s="1378"/>
      <c r="P731" s="1379"/>
      <c r="Q731" s="1379"/>
      <c r="R731" s="1379"/>
      <c r="S731" s="1380"/>
      <c r="T731" s="1378"/>
      <c r="U731" s="1379"/>
      <c r="V731" s="1379"/>
      <c r="W731" s="1380"/>
      <c r="X731" s="1360">
        <f t="shared" si="56"/>
        <v>0</v>
      </c>
      <c r="Y731" s="1361"/>
      <c r="Z731" s="1361"/>
      <c r="AA731" s="1361"/>
      <c r="AB731" s="1362"/>
      <c r="AC731" s="1384"/>
      <c r="AD731" s="1385"/>
      <c r="AE731" s="1385"/>
      <c r="AF731" s="1385"/>
      <c r="AG731" s="1386"/>
      <c r="AH731" s="1363" t="str">
        <f t="shared" si="57"/>
        <v/>
      </c>
      <c r="AI731" s="1364"/>
      <c r="AJ731" s="1365"/>
      <c r="AK731" s="1357" t="s">
        <v>600</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7"/>
      <c r="C732" s="1358"/>
      <c r="D732" s="1358"/>
      <c r="E732" s="1358"/>
      <c r="F732" s="1359"/>
      <c r="G732" s="1366"/>
      <c r="H732" s="1367"/>
      <c r="I732" s="1367"/>
      <c r="J732" s="1368"/>
      <c r="K732" s="1390"/>
      <c r="L732" s="1391"/>
      <c r="M732" s="1391"/>
      <c r="N732" s="1392"/>
      <c r="O732" s="1378"/>
      <c r="P732" s="1379"/>
      <c r="Q732" s="1379"/>
      <c r="R732" s="1379"/>
      <c r="S732" s="1380"/>
      <c r="T732" s="1378"/>
      <c r="U732" s="1379"/>
      <c r="V732" s="1379"/>
      <c r="W732" s="1380"/>
      <c r="X732" s="1360">
        <f t="shared" si="56"/>
        <v>0</v>
      </c>
      <c r="Y732" s="1361"/>
      <c r="Z732" s="1361"/>
      <c r="AA732" s="1361"/>
      <c r="AB732" s="1362"/>
      <c r="AC732" s="1384"/>
      <c r="AD732" s="1385"/>
      <c r="AE732" s="1385"/>
      <c r="AF732" s="1385"/>
      <c r="AG732" s="1386"/>
      <c r="AH732" s="1363" t="str">
        <f t="shared" si="57"/>
        <v/>
      </c>
      <c r="AI732" s="1364"/>
      <c r="AJ732" s="1365"/>
      <c r="AK732" s="1357" t="s">
        <v>600</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7"/>
      <c r="C733" s="1358"/>
      <c r="D733" s="1358"/>
      <c r="E733" s="1358"/>
      <c r="F733" s="1359"/>
      <c r="G733" s="1366"/>
      <c r="H733" s="1367"/>
      <c r="I733" s="1367"/>
      <c r="J733" s="1368"/>
      <c r="K733" s="1390"/>
      <c r="L733" s="1391"/>
      <c r="M733" s="1391"/>
      <c r="N733" s="1392"/>
      <c r="O733" s="1378"/>
      <c r="P733" s="1379"/>
      <c r="Q733" s="1379"/>
      <c r="R733" s="1379"/>
      <c r="S733" s="1380"/>
      <c r="T733" s="1378"/>
      <c r="U733" s="1379"/>
      <c r="V733" s="1379"/>
      <c r="W733" s="1380"/>
      <c r="X733" s="1360">
        <f t="shared" si="56"/>
        <v>0</v>
      </c>
      <c r="Y733" s="1361"/>
      <c r="Z733" s="1361"/>
      <c r="AA733" s="1361"/>
      <c r="AB733" s="1362"/>
      <c r="AC733" s="1384"/>
      <c r="AD733" s="1385"/>
      <c r="AE733" s="1385"/>
      <c r="AF733" s="1385"/>
      <c r="AG733" s="1386"/>
      <c r="AH733" s="1363" t="str">
        <f t="shared" si="57"/>
        <v/>
      </c>
      <c r="AI733" s="1364"/>
      <c r="AJ733" s="1365"/>
      <c r="AK733" s="1357" t="s">
        <v>600</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7"/>
      <c r="C734" s="1358"/>
      <c r="D734" s="1358"/>
      <c r="E734" s="1358"/>
      <c r="F734" s="1359"/>
      <c r="G734" s="1366"/>
      <c r="H734" s="1367"/>
      <c r="I734" s="1367"/>
      <c r="J734" s="1368"/>
      <c r="K734" s="1390"/>
      <c r="L734" s="1391"/>
      <c r="M734" s="1391"/>
      <c r="N734" s="1392"/>
      <c r="O734" s="1378"/>
      <c r="P734" s="1379"/>
      <c r="Q734" s="1379"/>
      <c r="R734" s="1379"/>
      <c r="S734" s="1380"/>
      <c r="T734" s="1378"/>
      <c r="U734" s="1379"/>
      <c r="V734" s="1379"/>
      <c r="W734" s="1380"/>
      <c r="X734" s="1360">
        <f t="shared" si="56"/>
        <v>0</v>
      </c>
      <c r="Y734" s="1361"/>
      <c r="Z734" s="1361"/>
      <c r="AA734" s="1361"/>
      <c r="AB734" s="1362"/>
      <c r="AC734" s="1384"/>
      <c r="AD734" s="1385"/>
      <c r="AE734" s="1385"/>
      <c r="AF734" s="1385"/>
      <c r="AG734" s="1386"/>
      <c r="AH734" s="1363" t="str">
        <f t="shared" si="57"/>
        <v/>
      </c>
      <c r="AI734" s="1364"/>
      <c r="AJ734" s="1365"/>
      <c r="AK734" s="1357" t="s">
        <v>600</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7"/>
      <c r="C735" s="1358"/>
      <c r="D735" s="1358"/>
      <c r="E735" s="1358"/>
      <c r="F735" s="1359"/>
      <c r="G735" s="1366"/>
      <c r="H735" s="1367"/>
      <c r="I735" s="1367"/>
      <c r="J735" s="1368"/>
      <c r="K735" s="1390"/>
      <c r="L735" s="1391"/>
      <c r="M735" s="1391"/>
      <c r="N735" s="1392"/>
      <c r="O735" s="1378"/>
      <c r="P735" s="1379"/>
      <c r="Q735" s="1379"/>
      <c r="R735" s="1379"/>
      <c r="S735" s="1380"/>
      <c r="T735" s="1378"/>
      <c r="U735" s="1379"/>
      <c r="V735" s="1379"/>
      <c r="W735" s="1380"/>
      <c r="X735" s="1360">
        <f t="shared" si="56"/>
        <v>0</v>
      </c>
      <c r="Y735" s="1361"/>
      <c r="Z735" s="1361"/>
      <c r="AA735" s="1361"/>
      <c r="AB735" s="1362"/>
      <c r="AC735" s="1384"/>
      <c r="AD735" s="1385"/>
      <c r="AE735" s="1385"/>
      <c r="AF735" s="1385"/>
      <c r="AG735" s="1386"/>
      <c r="AH735" s="1363" t="str">
        <f t="shared" si="57"/>
        <v/>
      </c>
      <c r="AI735" s="1364"/>
      <c r="AJ735" s="1365"/>
      <c r="AK735" s="1357" t="s">
        <v>600</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7"/>
      <c r="C736" s="1358"/>
      <c r="D736" s="1358"/>
      <c r="E736" s="1358"/>
      <c r="F736" s="1359"/>
      <c r="G736" s="1366"/>
      <c r="H736" s="1367"/>
      <c r="I736" s="1367"/>
      <c r="J736" s="1368"/>
      <c r="K736" s="1390"/>
      <c r="L736" s="1391"/>
      <c r="M736" s="1391"/>
      <c r="N736" s="1392"/>
      <c r="O736" s="1378"/>
      <c r="P736" s="1379"/>
      <c r="Q736" s="1379"/>
      <c r="R736" s="1379"/>
      <c r="S736" s="1380"/>
      <c r="T736" s="1378"/>
      <c r="U736" s="1379"/>
      <c r="V736" s="1379"/>
      <c r="W736" s="1380"/>
      <c r="X736" s="1360">
        <f t="shared" si="56"/>
        <v>0</v>
      </c>
      <c r="Y736" s="1361"/>
      <c r="Z736" s="1361"/>
      <c r="AA736" s="1361"/>
      <c r="AB736" s="1362"/>
      <c r="AC736" s="1384"/>
      <c r="AD736" s="1385"/>
      <c r="AE736" s="1385"/>
      <c r="AF736" s="1385"/>
      <c r="AG736" s="1386"/>
      <c r="AH736" s="1363" t="str">
        <f t="shared" si="57"/>
        <v/>
      </c>
      <c r="AI736" s="1364"/>
      <c r="AJ736" s="1365"/>
      <c r="AK736" s="1357" t="s">
        <v>600</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7"/>
      <c r="C737" s="1358"/>
      <c r="D737" s="1358"/>
      <c r="E737" s="1358"/>
      <c r="F737" s="1359"/>
      <c r="G737" s="1366"/>
      <c r="H737" s="1367"/>
      <c r="I737" s="1367"/>
      <c r="J737" s="1368"/>
      <c r="K737" s="1390"/>
      <c r="L737" s="1391"/>
      <c r="M737" s="1391"/>
      <c r="N737" s="1392"/>
      <c r="O737" s="1378"/>
      <c r="P737" s="1379"/>
      <c r="Q737" s="1379"/>
      <c r="R737" s="1379"/>
      <c r="S737" s="1380"/>
      <c r="T737" s="1378"/>
      <c r="U737" s="1379"/>
      <c r="V737" s="1379"/>
      <c r="W737" s="1380"/>
      <c r="X737" s="1360">
        <f t="shared" si="56"/>
        <v>0</v>
      </c>
      <c r="Y737" s="1361"/>
      <c r="Z737" s="1361"/>
      <c r="AA737" s="1361"/>
      <c r="AB737" s="1362"/>
      <c r="AC737" s="1384"/>
      <c r="AD737" s="1385"/>
      <c r="AE737" s="1385"/>
      <c r="AF737" s="1385"/>
      <c r="AG737" s="1386"/>
      <c r="AH737" s="1363" t="str">
        <f t="shared" si="57"/>
        <v/>
      </c>
      <c r="AI737" s="1364"/>
      <c r="AJ737" s="1365"/>
      <c r="AK737" s="1357" t="s">
        <v>600</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7"/>
      <c r="C738" s="1358"/>
      <c r="D738" s="1358"/>
      <c r="E738" s="1358"/>
      <c r="F738" s="1359"/>
      <c r="G738" s="1366"/>
      <c r="H738" s="1367"/>
      <c r="I738" s="1367"/>
      <c r="J738" s="1368"/>
      <c r="K738" s="1390"/>
      <c r="L738" s="1391"/>
      <c r="M738" s="1391"/>
      <c r="N738" s="1392"/>
      <c r="O738" s="1378"/>
      <c r="P738" s="1379"/>
      <c r="Q738" s="1379"/>
      <c r="R738" s="1379"/>
      <c r="S738" s="1380"/>
      <c r="T738" s="1378"/>
      <c r="U738" s="1379"/>
      <c r="V738" s="1379"/>
      <c r="W738" s="1380"/>
      <c r="X738" s="1360">
        <f t="shared" si="56"/>
        <v>0</v>
      </c>
      <c r="Y738" s="1361"/>
      <c r="Z738" s="1361"/>
      <c r="AA738" s="1361"/>
      <c r="AB738" s="1362"/>
      <c r="AC738" s="1384"/>
      <c r="AD738" s="1385"/>
      <c r="AE738" s="1385"/>
      <c r="AF738" s="1385"/>
      <c r="AG738" s="1386"/>
      <c r="AH738" s="1363" t="str">
        <f t="shared" si="57"/>
        <v/>
      </c>
      <c r="AI738" s="1364"/>
      <c r="AJ738" s="1365"/>
      <c r="AK738" s="1357" t="s">
        <v>600</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7"/>
      <c r="C739" s="1358"/>
      <c r="D739" s="1358"/>
      <c r="E739" s="1358"/>
      <c r="F739" s="1359"/>
      <c r="G739" s="1366"/>
      <c r="H739" s="1367"/>
      <c r="I739" s="1367"/>
      <c r="J739" s="1368"/>
      <c r="K739" s="1390"/>
      <c r="L739" s="1391"/>
      <c r="M739" s="1391"/>
      <c r="N739" s="1392"/>
      <c r="O739" s="1378"/>
      <c r="P739" s="1379"/>
      <c r="Q739" s="1379"/>
      <c r="R739" s="1379"/>
      <c r="S739" s="1380"/>
      <c r="T739" s="1378"/>
      <c r="U739" s="1379"/>
      <c r="V739" s="1379"/>
      <c r="W739" s="1380"/>
      <c r="X739" s="1360">
        <f t="shared" si="56"/>
        <v>0</v>
      </c>
      <c r="Y739" s="1361"/>
      <c r="Z739" s="1361"/>
      <c r="AA739" s="1361"/>
      <c r="AB739" s="1362"/>
      <c r="AC739" s="1384"/>
      <c r="AD739" s="1385"/>
      <c r="AE739" s="1385"/>
      <c r="AF739" s="1385"/>
      <c r="AG739" s="1386"/>
      <c r="AH739" s="1363" t="str">
        <f t="shared" si="57"/>
        <v/>
      </c>
      <c r="AI739" s="1364"/>
      <c r="AJ739" s="1365"/>
      <c r="AK739" s="1357" t="s">
        <v>600</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7"/>
      <c r="C740" s="1358"/>
      <c r="D740" s="1358"/>
      <c r="E740" s="1358"/>
      <c r="F740" s="1359"/>
      <c r="G740" s="1366"/>
      <c r="H740" s="1367"/>
      <c r="I740" s="1367"/>
      <c r="J740" s="1368"/>
      <c r="K740" s="1390"/>
      <c r="L740" s="1391"/>
      <c r="M740" s="1391"/>
      <c r="N740" s="1392"/>
      <c r="O740" s="1378"/>
      <c r="P740" s="1379"/>
      <c r="Q740" s="1379"/>
      <c r="R740" s="1379"/>
      <c r="S740" s="1380"/>
      <c r="T740" s="1378"/>
      <c r="U740" s="1379"/>
      <c r="V740" s="1379"/>
      <c r="W740" s="1380"/>
      <c r="X740" s="1360">
        <f t="shared" si="56"/>
        <v>0</v>
      </c>
      <c r="Y740" s="1361"/>
      <c r="Z740" s="1361"/>
      <c r="AA740" s="1361"/>
      <c r="AB740" s="1362"/>
      <c r="AC740" s="1384"/>
      <c r="AD740" s="1385"/>
      <c r="AE740" s="1385"/>
      <c r="AF740" s="1385"/>
      <c r="AG740" s="1386"/>
      <c r="AH740" s="1363" t="str">
        <f t="shared" si="57"/>
        <v/>
      </c>
      <c r="AI740" s="1364"/>
      <c r="AJ740" s="1365"/>
      <c r="AK740" s="1357" t="s">
        <v>600</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7"/>
      <c r="C741" s="1358"/>
      <c r="D741" s="1358"/>
      <c r="E741" s="1358"/>
      <c r="F741" s="1359"/>
      <c r="G741" s="1366"/>
      <c r="H741" s="1367"/>
      <c r="I741" s="1367"/>
      <c r="J741" s="1368"/>
      <c r="K741" s="1390"/>
      <c r="L741" s="1391"/>
      <c r="M741" s="1391"/>
      <c r="N741" s="1392"/>
      <c r="O741" s="1378"/>
      <c r="P741" s="1379"/>
      <c r="Q741" s="1379"/>
      <c r="R741" s="1379"/>
      <c r="S741" s="1380"/>
      <c r="T741" s="1378"/>
      <c r="U741" s="1379"/>
      <c r="V741" s="1379"/>
      <c r="W741" s="1380"/>
      <c r="X741" s="1360">
        <f t="shared" si="56"/>
        <v>0</v>
      </c>
      <c r="Y741" s="1361"/>
      <c r="Z741" s="1361"/>
      <c r="AA741" s="1361"/>
      <c r="AB741" s="1362"/>
      <c r="AC741" s="1384"/>
      <c r="AD741" s="1385"/>
      <c r="AE741" s="1385"/>
      <c r="AF741" s="1385"/>
      <c r="AG741" s="1386"/>
      <c r="AH741" s="1363" t="str">
        <f t="shared" si="57"/>
        <v/>
      </c>
      <c r="AI741" s="1364"/>
      <c r="AJ741" s="1365"/>
      <c r="AK741" s="1357" t="s">
        <v>600</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7"/>
      <c r="C742" s="1358"/>
      <c r="D742" s="1358"/>
      <c r="E742" s="1358"/>
      <c r="F742" s="1359"/>
      <c r="G742" s="1366"/>
      <c r="H742" s="1367"/>
      <c r="I742" s="1367"/>
      <c r="J742" s="1368"/>
      <c r="K742" s="1390"/>
      <c r="L742" s="1391"/>
      <c r="M742" s="1391"/>
      <c r="N742" s="1392"/>
      <c r="O742" s="1378"/>
      <c r="P742" s="1379"/>
      <c r="Q742" s="1379"/>
      <c r="R742" s="1379"/>
      <c r="S742" s="1380"/>
      <c r="T742" s="1378"/>
      <c r="U742" s="1379"/>
      <c r="V742" s="1379"/>
      <c r="W742" s="1380"/>
      <c r="X742" s="1360">
        <f t="shared" ref="X742:X751" si="58">O742+T742</f>
        <v>0</v>
      </c>
      <c r="Y742" s="1361"/>
      <c r="Z742" s="1361"/>
      <c r="AA742" s="1361"/>
      <c r="AB742" s="1362"/>
      <c r="AC742" s="1384"/>
      <c r="AD742" s="1385"/>
      <c r="AE742" s="1385"/>
      <c r="AF742" s="1385"/>
      <c r="AG742" s="1386"/>
      <c r="AH742" s="1363" t="str">
        <f t="shared" si="57"/>
        <v/>
      </c>
      <c r="AI742" s="1364"/>
      <c r="AJ742" s="1365"/>
      <c r="AK742" s="1357" t="s">
        <v>600</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7"/>
      <c r="C743" s="1358"/>
      <c r="D743" s="1358"/>
      <c r="E743" s="1358"/>
      <c r="F743" s="1359"/>
      <c r="G743" s="1366"/>
      <c r="H743" s="1367"/>
      <c r="I743" s="1367"/>
      <c r="J743" s="1368"/>
      <c r="K743" s="1390"/>
      <c r="L743" s="1391"/>
      <c r="M743" s="1391"/>
      <c r="N743" s="1392"/>
      <c r="O743" s="1378"/>
      <c r="P743" s="1379"/>
      <c r="Q743" s="1379"/>
      <c r="R743" s="1379"/>
      <c r="S743" s="1380"/>
      <c r="T743" s="1378"/>
      <c r="U743" s="1379"/>
      <c r="V743" s="1379"/>
      <c r="W743" s="1380"/>
      <c r="X743" s="1360">
        <f t="shared" si="58"/>
        <v>0</v>
      </c>
      <c r="Y743" s="1361"/>
      <c r="Z743" s="1361"/>
      <c r="AA743" s="1361"/>
      <c r="AB743" s="1362"/>
      <c r="AC743" s="1384"/>
      <c r="AD743" s="1385"/>
      <c r="AE743" s="1385"/>
      <c r="AF743" s="1385"/>
      <c r="AG743" s="1386"/>
      <c r="AH743" s="1363" t="str">
        <f t="shared" si="57"/>
        <v/>
      </c>
      <c r="AI743" s="1364"/>
      <c r="AJ743" s="1365"/>
      <c r="AK743" s="1357" t="s">
        <v>600</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7"/>
      <c r="C744" s="1358"/>
      <c r="D744" s="1358"/>
      <c r="E744" s="1358"/>
      <c r="F744" s="1359"/>
      <c r="G744" s="1366"/>
      <c r="H744" s="1367"/>
      <c r="I744" s="1367"/>
      <c r="J744" s="1368"/>
      <c r="K744" s="1390"/>
      <c r="L744" s="1391"/>
      <c r="M744" s="1391"/>
      <c r="N744" s="1392"/>
      <c r="O744" s="1378"/>
      <c r="P744" s="1379"/>
      <c r="Q744" s="1379"/>
      <c r="R744" s="1379"/>
      <c r="S744" s="1380"/>
      <c r="T744" s="1378"/>
      <c r="U744" s="1379"/>
      <c r="V744" s="1379"/>
      <c r="W744" s="1380"/>
      <c r="X744" s="1360">
        <f t="shared" si="58"/>
        <v>0</v>
      </c>
      <c r="Y744" s="1361"/>
      <c r="Z744" s="1361"/>
      <c r="AA744" s="1361"/>
      <c r="AB744" s="1362"/>
      <c r="AC744" s="1384"/>
      <c r="AD744" s="1385"/>
      <c r="AE744" s="1385"/>
      <c r="AF744" s="1385"/>
      <c r="AG744" s="1386"/>
      <c r="AH744" s="1363" t="str">
        <f t="shared" si="57"/>
        <v/>
      </c>
      <c r="AI744" s="1364"/>
      <c r="AJ744" s="1365"/>
      <c r="AK744" s="1357" t="s">
        <v>600</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7"/>
      <c r="C745" s="1358"/>
      <c r="D745" s="1358"/>
      <c r="E745" s="1358"/>
      <c r="F745" s="1359"/>
      <c r="G745" s="1366"/>
      <c r="H745" s="1367"/>
      <c r="I745" s="1367"/>
      <c r="J745" s="1368"/>
      <c r="K745" s="1390"/>
      <c r="L745" s="1391"/>
      <c r="M745" s="1391"/>
      <c r="N745" s="1392"/>
      <c r="O745" s="1378"/>
      <c r="P745" s="1379"/>
      <c r="Q745" s="1379"/>
      <c r="R745" s="1379"/>
      <c r="S745" s="1380"/>
      <c r="T745" s="1378"/>
      <c r="U745" s="1379"/>
      <c r="V745" s="1379"/>
      <c r="W745" s="1380"/>
      <c r="X745" s="1360">
        <f t="shared" si="58"/>
        <v>0</v>
      </c>
      <c r="Y745" s="1361"/>
      <c r="Z745" s="1361"/>
      <c r="AA745" s="1361"/>
      <c r="AB745" s="1362"/>
      <c r="AC745" s="1384"/>
      <c r="AD745" s="1385"/>
      <c r="AE745" s="1385"/>
      <c r="AF745" s="1385"/>
      <c r="AG745" s="1386"/>
      <c r="AH745" s="1363" t="str">
        <f t="shared" si="57"/>
        <v/>
      </c>
      <c r="AI745" s="1364"/>
      <c r="AJ745" s="1365"/>
      <c r="AK745" s="1357" t="s">
        <v>600</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7"/>
      <c r="C746" s="1358"/>
      <c r="D746" s="1358"/>
      <c r="E746" s="1358"/>
      <c r="F746" s="1359"/>
      <c r="G746" s="1366"/>
      <c r="H746" s="1367"/>
      <c r="I746" s="1367"/>
      <c r="J746" s="1368"/>
      <c r="K746" s="1390"/>
      <c r="L746" s="1391"/>
      <c r="M746" s="1391"/>
      <c r="N746" s="1392"/>
      <c r="O746" s="1378"/>
      <c r="P746" s="1379"/>
      <c r="Q746" s="1379"/>
      <c r="R746" s="1379"/>
      <c r="S746" s="1380"/>
      <c r="T746" s="1378"/>
      <c r="U746" s="1379"/>
      <c r="V746" s="1379"/>
      <c r="W746" s="1380"/>
      <c r="X746" s="1360">
        <f t="shared" si="58"/>
        <v>0</v>
      </c>
      <c r="Y746" s="1361"/>
      <c r="Z746" s="1361"/>
      <c r="AA746" s="1361"/>
      <c r="AB746" s="1362"/>
      <c r="AC746" s="1384"/>
      <c r="AD746" s="1385"/>
      <c r="AE746" s="1385"/>
      <c r="AF746" s="1385"/>
      <c r="AG746" s="1386"/>
      <c r="AH746" s="1363" t="str">
        <f t="shared" si="57"/>
        <v/>
      </c>
      <c r="AI746" s="1364"/>
      <c r="AJ746" s="1365"/>
      <c r="AK746" s="1357" t="s">
        <v>600</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7"/>
      <c r="C747" s="1358"/>
      <c r="D747" s="1358"/>
      <c r="E747" s="1358"/>
      <c r="F747" s="1359"/>
      <c r="G747" s="1366"/>
      <c r="H747" s="1367"/>
      <c r="I747" s="1367"/>
      <c r="J747" s="1368"/>
      <c r="K747" s="1390"/>
      <c r="L747" s="1391"/>
      <c r="M747" s="1391"/>
      <c r="N747" s="1392"/>
      <c r="O747" s="1378"/>
      <c r="P747" s="1379"/>
      <c r="Q747" s="1379"/>
      <c r="R747" s="1379"/>
      <c r="S747" s="1380"/>
      <c r="T747" s="1378"/>
      <c r="U747" s="1379"/>
      <c r="V747" s="1379"/>
      <c r="W747" s="1380"/>
      <c r="X747" s="1360">
        <f t="shared" si="58"/>
        <v>0</v>
      </c>
      <c r="Y747" s="1361"/>
      <c r="Z747" s="1361"/>
      <c r="AA747" s="1361"/>
      <c r="AB747" s="1362"/>
      <c r="AC747" s="1384"/>
      <c r="AD747" s="1385"/>
      <c r="AE747" s="1385"/>
      <c r="AF747" s="1385"/>
      <c r="AG747" s="1386"/>
      <c r="AH747" s="1363" t="str">
        <f t="shared" si="57"/>
        <v/>
      </c>
      <c r="AI747" s="1364"/>
      <c r="AJ747" s="1365"/>
      <c r="AK747" s="1357" t="s">
        <v>600</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7"/>
      <c r="C748" s="1358"/>
      <c r="D748" s="1358"/>
      <c r="E748" s="1358"/>
      <c r="F748" s="1359"/>
      <c r="G748" s="1366"/>
      <c r="H748" s="1367"/>
      <c r="I748" s="1367"/>
      <c r="J748" s="1368"/>
      <c r="K748" s="1390"/>
      <c r="L748" s="1391"/>
      <c r="M748" s="1391"/>
      <c r="N748" s="1392"/>
      <c r="O748" s="1378"/>
      <c r="P748" s="1379"/>
      <c r="Q748" s="1379"/>
      <c r="R748" s="1379"/>
      <c r="S748" s="1380"/>
      <c r="T748" s="1378"/>
      <c r="U748" s="1379"/>
      <c r="V748" s="1379"/>
      <c r="W748" s="1380"/>
      <c r="X748" s="1360">
        <f t="shared" si="58"/>
        <v>0</v>
      </c>
      <c r="Y748" s="1361"/>
      <c r="Z748" s="1361"/>
      <c r="AA748" s="1361"/>
      <c r="AB748" s="1362"/>
      <c r="AC748" s="1384"/>
      <c r="AD748" s="1385"/>
      <c r="AE748" s="1385"/>
      <c r="AF748" s="1385"/>
      <c r="AG748" s="1386"/>
      <c r="AH748" s="1363" t="str">
        <f t="shared" si="57"/>
        <v/>
      </c>
      <c r="AI748" s="1364"/>
      <c r="AJ748" s="1365"/>
      <c r="AK748" s="1357" t="s">
        <v>600</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7"/>
      <c r="C749" s="1358"/>
      <c r="D749" s="1358"/>
      <c r="E749" s="1358"/>
      <c r="F749" s="1359"/>
      <c r="G749" s="1366"/>
      <c r="H749" s="1367"/>
      <c r="I749" s="1367"/>
      <c r="J749" s="1368"/>
      <c r="K749" s="1390"/>
      <c r="L749" s="1391"/>
      <c r="M749" s="1391"/>
      <c r="N749" s="1392"/>
      <c r="O749" s="1378"/>
      <c r="P749" s="1379"/>
      <c r="Q749" s="1379"/>
      <c r="R749" s="1379"/>
      <c r="S749" s="1380"/>
      <c r="T749" s="1378"/>
      <c r="U749" s="1379"/>
      <c r="V749" s="1379"/>
      <c r="W749" s="1380"/>
      <c r="X749" s="1360">
        <f t="shared" si="58"/>
        <v>0</v>
      </c>
      <c r="Y749" s="1361"/>
      <c r="Z749" s="1361"/>
      <c r="AA749" s="1361"/>
      <c r="AB749" s="1362"/>
      <c r="AC749" s="1384"/>
      <c r="AD749" s="1385"/>
      <c r="AE749" s="1385"/>
      <c r="AF749" s="1385"/>
      <c r="AG749" s="1386"/>
      <c r="AH749" s="1363" t="str">
        <f t="shared" si="57"/>
        <v/>
      </c>
      <c r="AI749" s="1364"/>
      <c r="AJ749" s="1365"/>
      <c r="AK749" s="1357" t="s">
        <v>600</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7"/>
      <c r="C750" s="1358"/>
      <c r="D750" s="1358"/>
      <c r="E750" s="1358"/>
      <c r="F750" s="1359"/>
      <c r="G750" s="1366"/>
      <c r="H750" s="1367"/>
      <c r="I750" s="1367"/>
      <c r="J750" s="1368"/>
      <c r="K750" s="1390"/>
      <c r="L750" s="1391"/>
      <c r="M750" s="1391"/>
      <c r="N750" s="1392"/>
      <c r="O750" s="1378"/>
      <c r="P750" s="1379"/>
      <c r="Q750" s="1379"/>
      <c r="R750" s="1379"/>
      <c r="S750" s="1380"/>
      <c r="T750" s="1378"/>
      <c r="U750" s="1379"/>
      <c r="V750" s="1379"/>
      <c r="W750" s="1380"/>
      <c r="X750" s="1360">
        <f t="shared" si="58"/>
        <v>0</v>
      </c>
      <c r="Y750" s="1361"/>
      <c r="Z750" s="1361"/>
      <c r="AA750" s="1361"/>
      <c r="AB750" s="1362"/>
      <c r="AC750" s="1384"/>
      <c r="AD750" s="1385"/>
      <c r="AE750" s="1385"/>
      <c r="AF750" s="1385"/>
      <c r="AG750" s="1386"/>
      <c r="AH750" s="1363" t="str">
        <f t="shared" si="57"/>
        <v/>
      </c>
      <c r="AI750" s="1364"/>
      <c r="AJ750" s="1365"/>
      <c r="AK750" s="1357" t="s">
        <v>600</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7"/>
      <c r="C751" s="1358"/>
      <c r="D751" s="1358"/>
      <c r="E751" s="1358"/>
      <c r="F751" s="1359"/>
      <c r="G751" s="1366"/>
      <c r="H751" s="1367"/>
      <c r="I751" s="1367"/>
      <c r="J751" s="1368"/>
      <c r="K751" s="1390"/>
      <c r="L751" s="1391"/>
      <c r="M751" s="1391"/>
      <c r="N751" s="1392"/>
      <c r="O751" s="1378"/>
      <c r="P751" s="1379"/>
      <c r="Q751" s="1379"/>
      <c r="R751" s="1379"/>
      <c r="S751" s="1380"/>
      <c r="T751" s="1378"/>
      <c r="U751" s="1379"/>
      <c r="V751" s="1379"/>
      <c r="W751" s="1380"/>
      <c r="X751" s="1360">
        <f t="shared" si="58"/>
        <v>0</v>
      </c>
      <c r="Y751" s="1361"/>
      <c r="Z751" s="1361"/>
      <c r="AA751" s="1361"/>
      <c r="AB751" s="1362"/>
      <c r="AC751" s="1384"/>
      <c r="AD751" s="1385"/>
      <c r="AE751" s="1385"/>
      <c r="AF751" s="1385"/>
      <c r="AG751" s="1386"/>
      <c r="AH751" s="1363" t="str">
        <f t="shared" si="57"/>
        <v/>
      </c>
      <c r="AI751" s="1364"/>
      <c r="AJ751" s="1365"/>
      <c r="AK751" s="1357" t="s">
        <v>600</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7"/>
      <c r="C752" s="1358"/>
      <c r="D752" s="1358"/>
      <c r="E752" s="1358"/>
      <c r="F752" s="1359"/>
      <c r="G752" s="1366"/>
      <c r="H752" s="1367"/>
      <c r="I752" s="1367"/>
      <c r="J752" s="1368"/>
      <c r="K752" s="1390"/>
      <c r="L752" s="1391"/>
      <c r="M752" s="1391"/>
      <c r="N752" s="1392"/>
      <c r="O752" s="1378"/>
      <c r="P752" s="1379"/>
      <c r="Q752" s="1379"/>
      <c r="R752" s="1379"/>
      <c r="S752" s="1380"/>
      <c r="T752" s="1378"/>
      <c r="U752" s="1379"/>
      <c r="V752" s="1379"/>
      <c r="W752" s="1380"/>
      <c r="X752" s="1360">
        <f>O752+T752</f>
        <v>0</v>
      </c>
      <c r="Y752" s="1361"/>
      <c r="Z752" s="1361"/>
      <c r="AA752" s="1361"/>
      <c r="AB752" s="1362"/>
      <c r="AC752" s="1384"/>
      <c r="AD752" s="1385"/>
      <c r="AE752" s="1385"/>
      <c r="AF752" s="1385"/>
      <c r="AG752" s="1386"/>
      <c r="AH752" s="1363" t="str">
        <f>IF($AC752&gt;0,($X752/$BA701), "")</f>
        <v/>
      </c>
      <c r="AI752" s="1364"/>
      <c r="AJ752" s="1365"/>
      <c r="AK752" s="1357" t="s">
        <v>600</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592" t="s">
        <v>125</v>
      </c>
      <c r="C753" s="1593"/>
      <c r="D753" s="1593"/>
      <c r="E753" s="1593"/>
      <c r="F753" s="1594"/>
      <c r="G753" s="1736">
        <f>SUM(G718:G752)</f>
        <v>79</v>
      </c>
      <c r="H753" s="1737"/>
      <c r="I753" s="1737"/>
      <c r="J753" s="1738"/>
      <c r="K753" s="937" t="s">
        <v>124</v>
      </c>
      <c r="L753" s="5"/>
      <c r="M753" s="5"/>
      <c r="N753" s="46"/>
      <c r="O753" s="1360">
        <f>SUMPRODUCT(G718:G752,O718:O752)</f>
        <v>131700</v>
      </c>
      <c r="P753" s="1361"/>
      <c r="Q753" s="1361"/>
      <c r="R753" s="1361"/>
      <c r="S753" s="1362"/>
      <c r="T753"/>
      <c r="U753"/>
      <c r="V753"/>
      <c r="W753"/>
      <c r="X753" s="939" t="s">
        <v>916</v>
      </c>
      <c r="Y753" s="938"/>
      <c r="Z753" s="938"/>
      <c r="AA753" s="938"/>
      <c r="AB753" s="940"/>
      <c r="AC753" s="1716">
        <f>BI703</f>
        <v>0.59746835443037971</v>
      </c>
      <c r="AD753" s="1717"/>
      <c r="AE753" s="1717"/>
      <c r="AF753" s="1717"/>
      <c r="AG753" s="1718"/>
      <c r="AH753" s="1716">
        <f>IFERROR(BV703,"")</f>
        <v>0.5975230703987725</v>
      </c>
      <c r="AI753" s="1717"/>
      <c r="AJ753" s="1718"/>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792" t="s">
        <v>2183</v>
      </c>
      <c r="C754" s="1792"/>
      <c r="D754" s="1792"/>
      <c r="E754" s="1792"/>
      <c r="F754" s="1792"/>
      <c r="G754" s="1792"/>
      <c r="H754" s="1792"/>
      <c r="I754" s="1792"/>
      <c r="J754" s="1792"/>
      <c r="K754" s="1792"/>
      <c r="L754" s="1792"/>
      <c r="M754" s="1792"/>
      <c r="N754" s="1792"/>
      <c r="O754" s="1792"/>
      <c r="P754" s="1792"/>
      <c r="Q754" s="1792"/>
      <c r="R754" s="1792"/>
      <c r="S754" s="1792"/>
      <c r="T754" s="1792"/>
      <c r="U754" s="1792"/>
      <c r="V754" s="1792"/>
      <c r="W754" s="1792"/>
      <c r="X754" s="1792"/>
      <c r="Y754" s="1792"/>
      <c r="Z754" s="1792"/>
      <c r="AA754" s="1792"/>
      <c r="AB754" s="1792"/>
      <c r="AC754" s="1792"/>
      <c r="AD754" s="1792"/>
      <c r="AE754" s="1792"/>
      <c r="AF754" s="1792"/>
      <c r="AG754" s="1792"/>
      <c r="AH754" s="179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792"/>
      <c r="C755" s="1792"/>
      <c r="D755" s="1792"/>
      <c r="E755" s="1792"/>
      <c r="F755" s="1792"/>
      <c r="G755" s="1792"/>
      <c r="H755" s="1792"/>
      <c r="I755" s="1792"/>
      <c r="J755" s="1792"/>
      <c r="K755" s="1792"/>
      <c r="L755" s="1792"/>
      <c r="M755" s="1792"/>
      <c r="N755" s="1792"/>
      <c r="O755" s="1792"/>
      <c r="P755" s="1792"/>
      <c r="Q755" s="1792"/>
      <c r="R755" s="1792"/>
      <c r="S755" s="1792"/>
      <c r="T755" s="1792"/>
      <c r="U755" s="1792"/>
      <c r="V755" s="1792"/>
      <c r="W755" s="1792"/>
      <c r="X755" s="1792"/>
      <c r="Y755" s="1792"/>
      <c r="Z755" s="1792"/>
      <c r="AA755" s="1792"/>
      <c r="AB755" s="1792"/>
      <c r="AC755" s="1792"/>
      <c r="AD755" s="1792"/>
      <c r="AE755" s="1792"/>
      <c r="AF755" s="1792"/>
      <c r="AG755" s="1792"/>
      <c r="AH755" s="179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2181</v>
      </c>
      <c r="D756" s="1067"/>
      <c r="E756" s="1067"/>
      <c r="F756" s="1067"/>
      <c r="G756" s="1068"/>
      <c r="H756" s="1068"/>
      <c r="I756" s="1068"/>
      <c r="J756" s="1068"/>
      <c r="K756" s="1067"/>
      <c r="L756" s="1067"/>
      <c r="M756" s="1067"/>
      <c r="N756" s="1067"/>
      <c r="O756" s="1396">
        <f>CS634</f>
        <v>90</v>
      </c>
      <c r="P756" s="1396"/>
      <c r="Q756" s="1396"/>
      <c r="R756" s="1396"/>
      <c r="S756" s="1004"/>
      <c r="T756" s="1004"/>
      <c r="U756" s="118" t="s">
        <v>2182</v>
      </c>
      <c r="V756" s="1067"/>
      <c r="W756" s="1067"/>
      <c r="X756" s="1067"/>
      <c r="Y756" s="1068"/>
      <c r="Z756" s="1068"/>
      <c r="AA756" s="1068"/>
      <c r="AB756" s="1068"/>
      <c r="AC756" s="1067"/>
      <c r="AD756" s="1067"/>
      <c r="AE756" s="1067"/>
      <c r="AF756" s="1067"/>
      <c r="AG756" s="1595"/>
      <c r="AH756" s="1595"/>
      <c r="AI756" s="1595"/>
      <c r="AJ756" s="1595"/>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68" t="str">
        <f>IF(G753&lt;&gt;AG440,"! Total Low-Income Units in the Unit Mix Table above does not match the number of Total Low-Income Units on row #"&amp;TEXT(ROW(D440),"#"),"")</f>
        <v/>
      </c>
      <c r="D757" s="1868"/>
      <c r="E757" s="1868"/>
      <c r="F757" s="1868"/>
      <c r="G757" s="1868"/>
      <c r="H757" s="1868"/>
      <c r="I757" s="1868"/>
      <c r="J757" s="1868"/>
      <c r="K757" s="1868"/>
      <c r="L757" s="1868"/>
      <c r="M757" s="1868"/>
      <c r="N757" s="1868"/>
      <c r="O757" s="1868"/>
      <c r="P757" s="1868"/>
      <c r="Q757" s="1868"/>
      <c r="R757" s="1868"/>
      <c r="S757" s="1868"/>
      <c r="T757" s="1868"/>
      <c r="U757" s="1868"/>
      <c r="V757" s="1868"/>
      <c r="W757" s="1868"/>
      <c r="X757" s="1868"/>
      <c r="Y757" s="1868"/>
      <c r="Z757" s="1868"/>
      <c r="AA757" s="1868"/>
      <c r="AB757" s="1868"/>
      <c r="AC757" s="1868"/>
      <c r="AD757" s="1868"/>
      <c r="AE757" s="1868"/>
      <c r="AF757" s="1868"/>
      <c r="AG757" s="1868"/>
      <c r="AH757" s="1868"/>
      <c r="AI757" s="1868"/>
      <c r="AJ757" s="1868"/>
      <c r="AK757" s="1868"/>
      <c r="AL757" s="1868"/>
      <c r="AM757" s="1868"/>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68"/>
      <c r="D758" s="1868"/>
      <c r="E758" s="1868"/>
      <c r="F758" s="1868"/>
      <c r="G758" s="1868"/>
      <c r="H758" s="1868"/>
      <c r="I758" s="1868"/>
      <c r="J758" s="1868"/>
      <c r="K758" s="1868"/>
      <c r="L758" s="1868"/>
      <c r="M758" s="1868"/>
      <c r="N758" s="1868"/>
      <c r="O758" s="1868"/>
      <c r="P758" s="1868"/>
      <c r="Q758" s="1868"/>
      <c r="R758" s="1868"/>
      <c r="S758" s="1868"/>
      <c r="T758" s="1868"/>
      <c r="U758" s="1868"/>
      <c r="V758" s="1868"/>
      <c r="W758" s="1868"/>
      <c r="X758" s="1868"/>
      <c r="Y758" s="1868"/>
      <c r="Z758" s="1868"/>
      <c r="AA758" s="1868"/>
      <c r="AB758" s="1868"/>
      <c r="AC758" s="1868"/>
      <c r="AD758" s="1868"/>
      <c r="AE758" s="1868"/>
      <c r="AF758" s="1868"/>
      <c r="AG758" s="1868"/>
      <c r="AH758" s="1868"/>
      <c r="AI758" s="1868"/>
      <c r="AJ758" s="1868"/>
      <c r="AK758" s="1868"/>
      <c r="AL758" s="1868"/>
      <c r="AM758" s="1868"/>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2180</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28" t="s">
        <v>600</v>
      </c>
      <c r="AE759" s="1728"/>
      <c r="AF759" s="172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2405</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0" t="s">
        <v>2406</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0" t="s">
        <v>2407</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413" t="s">
        <v>390</v>
      </c>
      <c r="K769" s="1370"/>
      <c r="L769" s="1370"/>
      <c r="M769" s="1370"/>
      <c r="N769" s="1371"/>
      <c r="O769" s="1773" t="s">
        <v>286</v>
      </c>
      <c r="P769" s="1773"/>
      <c r="Q769" s="1773"/>
      <c r="R769" s="1773"/>
      <c r="S769" s="1773"/>
      <c r="T769" s="1576" t="s">
        <v>1868</v>
      </c>
      <c r="U769" s="1577"/>
      <c r="V769" s="1577"/>
      <c r="W769" s="1578"/>
      <c r="X769" s="1413" t="s">
        <v>456</v>
      </c>
      <c r="Y769" s="1370"/>
      <c r="Z769" s="1370"/>
      <c r="AA769" s="1370"/>
      <c r="AB769" s="1371"/>
      <c r="AC769" s="1413" t="s">
        <v>287</v>
      </c>
      <c r="AD769" s="1370"/>
      <c r="AE769" s="1370"/>
      <c r="AF769" s="1370"/>
      <c r="AG769" s="137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72"/>
      <c r="K770" s="1373"/>
      <c r="L770" s="1373"/>
      <c r="M770" s="1373"/>
      <c r="N770" s="1374"/>
      <c r="O770" s="1773"/>
      <c r="P770" s="1773"/>
      <c r="Q770" s="1773"/>
      <c r="R770" s="1773"/>
      <c r="S770" s="1773"/>
      <c r="T770" s="1579"/>
      <c r="U770" s="1580"/>
      <c r="V770" s="1580"/>
      <c r="W770" s="1581"/>
      <c r="X770" s="1372"/>
      <c r="Y770" s="1373"/>
      <c r="Z770" s="1373"/>
      <c r="AA770" s="1373"/>
      <c r="AB770" s="1374"/>
      <c r="AC770" s="1372"/>
      <c r="AD770" s="1373"/>
      <c r="AE770" s="1373"/>
      <c r="AF770" s="1373"/>
      <c r="AG770" s="137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72"/>
      <c r="K771" s="1373"/>
      <c r="L771" s="1373"/>
      <c r="M771" s="1373"/>
      <c r="N771" s="1374"/>
      <c r="O771" s="1773"/>
      <c r="P771" s="1773"/>
      <c r="Q771" s="1773"/>
      <c r="R771" s="1773"/>
      <c r="S771" s="1773"/>
      <c r="T771" s="1579"/>
      <c r="U771" s="1580"/>
      <c r="V771" s="1580"/>
      <c r="W771" s="1581"/>
      <c r="X771" s="1372"/>
      <c r="Y771" s="1373"/>
      <c r="Z771" s="1373"/>
      <c r="AA771" s="1373"/>
      <c r="AB771" s="1374"/>
      <c r="AC771" s="1372"/>
      <c r="AD771" s="1373"/>
      <c r="AE771" s="1373"/>
      <c r="AF771" s="1373"/>
      <c r="AG771" s="137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5"/>
      <c r="K772" s="1376"/>
      <c r="L772" s="1376"/>
      <c r="M772" s="1376"/>
      <c r="N772" s="1377"/>
      <c r="O772" s="1773"/>
      <c r="P772" s="1773"/>
      <c r="Q772" s="1773"/>
      <c r="R772" s="1773"/>
      <c r="S772" s="1773"/>
      <c r="T772" s="1599"/>
      <c r="U772" s="1600"/>
      <c r="V772" s="1600"/>
      <c r="W772" s="1601"/>
      <c r="X772" s="1375"/>
      <c r="Y772" s="1376"/>
      <c r="Z772" s="1376"/>
      <c r="AA772" s="1376"/>
      <c r="AB772" s="1377"/>
      <c r="AC772" s="1375"/>
      <c r="AD772" s="1376"/>
      <c r="AE772" s="1376"/>
      <c r="AF772" s="1376"/>
      <c r="AG772" s="137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7" t="s">
        <v>163</v>
      </c>
      <c r="K773" s="1358"/>
      <c r="L773" s="1358"/>
      <c r="M773" s="1358"/>
      <c r="N773" s="1359"/>
      <c r="O773" s="1419">
        <v>1</v>
      </c>
      <c r="P773" s="1419"/>
      <c r="Q773" s="1419"/>
      <c r="R773" s="1419"/>
      <c r="S773" s="1419"/>
      <c r="T773" s="1390">
        <v>804</v>
      </c>
      <c r="U773" s="1391"/>
      <c r="V773" s="1391"/>
      <c r="W773" s="1392"/>
      <c r="X773" s="1378">
        <v>1881</v>
      </c>
      <c r="Y773" s="1379"/>
      <c r="Z773" s="1379"/>
      <c r="AA773" s="1379"/>
      <c r="AB773" s="1380"/>
      <c r="AC773" s="1360">
        <f>X773*O773</f>
        <v>1881</v>
      </c>
      <c r="AD773" s="1361"/>
      <c r="AE773" s="1361"/>
      <c r="AF773" s="1361"/>
      <c r="AG773" s="136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7"/>
      <c r="K774" s="1358"/>
      <c r="L774" s="1358"/>
      <c r="M774" s="1358"/>
      <c r="N774" s="1359"/>
      <c r="O774" s="1419"/>
      <c r="P774" s="1419"/>
      <c r="Q774" s="1419"/>
      <c r="R774" s="1419"/>
      <c r="S774" s="1419"/>
      <c r="T774" s="1390"/>
      <c r="U774" s="1391"/>
      <c r="V774" s="1391"/>
      <c r="W774" s="1392"/>
      <c r="X774" s="1378"/>
      <c r="Y774" s="1379"/>
      <c r="Z774" s="1379"/>
      <c r="AA774" s="1379"/>
      <c r="AB774" s="1380"/>
      <c r="AC774" s="1360">
        <f>X774*O774</f>
        <v>0</v>
      </c>
      <c r="AD774" s="1361"/>
      <c r="AE774" s="1361"/>
      <c r="AF774" s="1361"/>
      <c r="AG774" s="136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7"/>
      <c r="K775" s="1358"/>
      <c r="L775" s="1358"/>
      <c r="M775" s="1358"/>
      <c r="N775" s="1359"/>
      <c r="O775" s="1419"/>
      <c r="P775" s="1419"/>
      <c r="Q775" s="1419"/>
      <c r="R775" s="1419"/>
      <c r="S775" s="1419"/>
      <c r="T775" s="1390"/>
      <c r="U775" s="1391"/>
      <c r="V775" s="1391"/>
      <c r="W775" s="1392"/>
      <c r="X775" s="1378"/>
      <c r="Y775" s="1379"/>
      <c r="Z775" s="1379"/>
      <c r="AA775" s="1379"/>
      <c r="AB775" s="1380"/>
      <c r="AC775" s="1360">
        <f>X775*O775</f>
        <v>0</v>
      </c>
      <c r="AD775" s="1361"/>
      <c r="AE775" s="1361"/>
      <c r="AF775" s="1361"/>
      <c r="AG775" s="136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7"/>
      <c r="K776" s="1358"/>
      <c r="L776" s="1358"/>
      <c r="M776" s="1358"/>
      <c r="N776" s="1359"/>
      <c r="O776" s="1419"/>
      <c r="P776" s="1419"/>
      <c r="Q776" s="1419"/>
      <c r="R776" s="1419"/>
      <c r="S776" s="1419"/>
      <c r="T776" s="1390"/>
      <c r="U776" s="1391"/>
      <c r="V776" s="1391"/>
      <c r="W776" s="1392"/>
      <c r="X776" s="1378"/>
      <c r="Y776" s="1379"/>
      <c r="Z776" s="1379"/>
      <c r="AA776" s="1379"/>
      <c r="AB776" s="1380"/>
      <c r="AC776" s="1360">
        <f>X776*O776</f>
        <v>0</v>
      </c>
      <c r="AD776" s="1361"/>
      <c r="AE776" s="1361"/>
      <c r="AF776" s="1361"/>
      <c r="AG776" s="136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592" t="s">
        <v>125</v>
      </c>
      <c r="K777" s="1593"/>
      <c r="L777" s="1593"/>
      <c r="M777" s="1593"/>
      <c r="N777" s="1594"/>
      <c r="O777" s="1399">
        <f>SUM(O773:S776)</f>
        <v>1</v>
      </c>
      <c r="P777" s="1519"/>
      <c r="Q777" s="1519"/>
      <c r="R777" s="1519"/>
      <c r="S777" s="1400"/>
      <c r="X777" s="1592" t="s">
        <v>124</v>
      </c>
      <c r="Y777" s="1593"/>
      <c r="Z777" s="1593"/>
      <c r="AA777" s="1593"/>
      <c r="AB777" s="1594"/>
      <c r="AC777" s="1360">
        <f>SUM(AC773:AG776)</f>
        <v>1881</v>
      </c>
      <c r="AD777" s="1361"/>
      <c r="AE777" s="1361"/>
      <c r="AF777" s="1361"/>
      <c r="AG777" s="136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41" t="s">
        <v>678</v>
      </c>
      <c r="K779" s="1441"/>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413" t="s">
        <v>390</v>
      </c>
      <c r="K783" s="1370"/>
      <c r="L783" s="1370"/>
      <c r="M783" s="1370"/>
      <c r="N783" s="1371"/>
      <c r="O783" s="1773" t="s">
        <v>286</v>
      </c>
      <c r="P783" s="1773"/>
      <c r="Q783" s="1773"/>
      <c r="R783" s="1773"/>
      <c r="S783" s="1773"/>
      <c r="T783" s="1576" t="s">
        <v>1868</v>
      </c>
      <c r="U783" s="1577"/>
      <c r="V783" s="1577"/>
      <c r="W783" s="1578"/>
      <c r="X783" s="1413" t="s">
        <v>456</v>
      </c>
      <c r="Y783" s="1370"/>
      <c r="Z783" s="1370"/>
      <c r="AA783" s="1370"/>
      <c r="AB783" s="1371"/>
      <c r="AC783" s="1413" t="s">
        <v>287</v>
      </c>
      <c r="AD783" s="1370"/>
      <c r="AE783" s="1370"/>
      <c r="AF783" s="1370"/>
      <c r="AG783" s="137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72"/>
      <c r="K784" s="1373"/>
      <c r="L784" s="1373"/>
      <c r="M784" s="1373"/>
      <c r="N784" s="1374"/>
      <c r="O784" s="1773"/>
      <c r="P784" s="1773"/>
      <c r="Q784" s="1773"/>
      <c r="R784" s="1773"/>
      <c r="S784" s="1773"/>
      <c r="T784" s="1579"/>
      <c r="U784" s="1580"/>
      <c r="V784" s="1580"/>
      <c r="W784" s="1581"/>
      <c r="X784" s="1372"/>
      <c r="Y784" s="1373"/>
      <c r="Z784" s="1373"/>
      <c r="AA784" s="1373"/>
      <c r="AB784" s="1374"/>
      <c r="AC784" s="1372"/>
      <c r="AD784" s="1373"/>
      <c r="AE784" s="1373"/>
      <c r="AF784" s="1373"/>
      <c r="AG784" s="137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72"/>
      <c r="K785" s="1373"/>
      <c r="L785" s="1373"/>
      <c r="M785" s="1373"/>
      <c r="N785" s="1374"/>
      <c r="O785" s="1773"/>
      <c r="P785" s="1773"/>
      <c r="Q785" s="1773"/>
      <c r="R785" s="1773"/>
      <c r="S785" s="1773"/>
      <c r="T785" s="1579"/>
      <c r="U785" s="1580"/>
      <c r="V785" s="1580"/>
      <c r="W785" s="1581"/>
      <c r="X785" s="1372"/>
      <c r="Y785" s="1373"/>
      <c r="Z785" s="1373"/>
      <c r="AA785" s="1373"/>
      <c r="AB785" s="1374"/>
      <c r="AC785" s="1372"/>
      <c r="AD785" s="1373"/>
      <c r="AE785" s="1373"/>
      <c r="AF785" s="1373"/>
      <c r="AG785" s="137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5"/>
      <c r="K786" s="1376"/>
      <c r="L786" s="1376"/>
      <c r="M786" s="1376"/>
      <c r="N786" s="1377"/>
      <c r="O786" s="1773"/>
      <c r="P786" s="1773"/>
      <c r="Q786" s="1773"/>
      <c r="R786" s="1773"/>
      <c r="S786" s="1773"/>
      <c r="T786" s="1599"/>
      <c r="U786" s="1600"/>
      <c r="V786" s="1600"/>
      <c r="W786" s="1601"/>
      <c r="X786" s="1375"/>
      <c r="Y786" s="1376"/>
      <c r="Z786" s="1376"/>
      <c r="AA786" s="1376"/>
      <c r="AB786" s="1377"/>
      <c r="AC786" s="1375"/>
      <c r="AD786" s="1376"/>
      <c r="AE786" s="1376"/>
      <c r="AF786" s="1376"/>
      <c r="AG786" s="137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7"/>
      <c r="K787" s="1358"/>
      <c r="L787" s="1358"/>
      <c r="M787" s="1358"/>
      <c r="N787" s="1359"/>
      <c r="O787" s="1419"/>
      <c r="P787" s="1419"/>
      <c r="Q787" s="1419"/>
      <c r="R787" s="1419"/>
      <c r="S787" s="1419"/>
      <c r="T787" s="1390"/>
      <c r="U787" s="1391"/>
      <c r="V787" s="1391"/>
      <c r="W787" s="1392"/>
      <c r="X787" s="1378"/>
      <c r="Y787" s="1379"/>
      <c r="Z787" s="1379"/>
      <c r="AA787" s="1379"/>
      <c r="AB787" s="1380"/>
      <c r="AC787" s="1360">
        <f t="shared" ref="AC787:AC796" si="59">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7"/>
      <c r="K788" s="1358"/>
      <c r="L788" s="1358"/>
      <c r="M788" s="1358"/>
      <c r="N788" s="1359"/>
      <c r="O788" s="1419"/>
      <c r="P788" s="1419"/>
      <c r="Q788" s="1419"/>
      <c r="R788" s="1419"/>
      <c r="S788" s="1419"/>
      <c r="T788" s="1390"/>
      <c r="U788" s="1391"/>
      <c r="V788" s="1391"/>
      <c r="W788" s="1392"/>
      <c r="X788" s="1378"/>
      <c r="Y788" s="1379"/>
      <c r="Z788" s="1379"/>
      <c r="AA788" s="1379"/>
      <c r="AB788" s="1380"/>
      <c r="AC788" s="1360">
        <f t="shared" si="59"/>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7"/>
      <c r="K789" s="1358"/>
      <c r="L789" s="1358"/>
      <c r="M789" s="1358"/>
      <c r="N789" s="1359"/>
      <c r="O789" s="1419"/>
      <c r="P789" s="1419"/>
      <c r="Q789" s="1419"/>
      <c r="R789" s="1419"/>
      <c r="S789" s="1419"/>
      <c r="T789" s="1390"/>
      <c r="U789" s="1391"/>
      <c r="V789" s="1391"/>
      <c r="W789" s="1392"/>
      <c r="X789" s="1378"/>
      <c r="Y789" s="1379"/>
      <c r="Z789" s="1379"/>
      <c r="AA789" s="1379"/>
      <c r="AB789" s="1380"/>
      <c r="AC789" s="1360">
        <f t="shared" si="59"/>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7"/>
      <c r="K790" s="1358"/>
      <c r="L790" s="1358"/>
      <c r="M790" s="1358"/>
      <c r="N790" s="1359"/>
      <c r="O790" s="1419"/>
      <c r="P790" s="1419"/>
      <c r="Q790" s="1419"/>
      <c r="R790" s="1419"/>
      <c r="S790" s="1419"/>
      <c r="T790" s="1390"/>
      <c r="U790" s="1391"/>
      <c r="V790" s="1391"/>
      <c r="W790" s="1392"/>
      <c r="X790" s="1378"/>
      <c r="Y790" s="1379"/>
      <c r="Z790" s="1379"/>
      <c r="AA790" s="1379"/>
      <c r="AB790" s="1380"/>
      <c r="AC790" s="1360">
        <f t="shared" si="59"/>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7"/>
      <c r="K791" s="1358"/>
      <c r="L791" s="1358"/>
      <c r="M791" s="1358"/>
      <c r="N791" s="1359"/>
      <c r="O791" s="1419"/>
      <c r="P791" s="1419"/>
      <c r="Q791" s="1419"/>
      <c r="R791" s="1419"/>
      <c r="S791" s="1419"/>
      <c r="T791" s="1390"/>
      <c r="U791" s="1391"/>
      <c r="V791" s="1391"/>
      <c r="W791" s="1392"/>
      <c r="X791" s="1378"/>
      <c r="Y791" s="1379"/>
      <c r="Z791" s="1379"/>
      <c r="AA791" s="1379"/>
      <c r="AB791" s="1380"/>
      <c r="AC791" s="1360">
        <f t="shared" si="59"/>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7"/>
      <c r="K792" s="1358"/>
      <c r="L792" s="1358"/>
      <c r="M792" s="1358"/>
      <c r="N792" s="1359"/>
      <c r="O792" s="1419"/>
      <c r="P792" s="1419"/>
      <c r="Q792" s="1419"/>
      <c r="R792" s="1419"/>
      <c r="S792" s="1419"/>
      <c r="T792" s="1390"/>
      <c r="U792" s="1391"/>
      <c r="V792" s="1391"/>
      <c r="W792" s="1392"/>
      <c r="X792" s="1378"/>
      <c r="Y792" s="1379"/>
      <c r="Z792" s="1379"/>
      <c r="AA792" s="1379"/>
      <c r="AB792" s="1380"/>
      <c r="AC792" s="1360">
        <f t="shared" si="59"/>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7"/>
      <c r="K793" s="1358"/>
      <c r="L793" s="1358"/>
      <c r="M793" s="1358"/>
      <c r="N793" s="1359"/>
      <c r="O793" s="1419"/>
      <c r="P793" s="1419"/>
      <c r="Q793" s="1419"/>
      <c r="R793" s="1419"/>
      <c r="S793" s="1419"/>
      <c r="T793" s="1390"/>
      <c r="U793" s="1391"/>
      <c r="V793" s="1391"/>
      <c r="W793" s="1392"/>
      <c r="X793" s="1378"/>
      <c r="Y793" s="1379"/>
      <c r="Z793" s="1379"/>
      <c r="AA793" s="1379"/>
      <c r="AB793" s="1380"/>
      <c r="AC793" s="1360">
        <f t="shared" si="59"/>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7"/>
      <c r="K794" s="1358"/>
      <c r="L794" s="1358"/>
      <c r="M794" s="1358"/>
      <c r="N794" s="1359"/>
      <c r="O794" s="1419"/>
      <c r="P794" s="1419"/>
      <c r="Q794" s="1419"/>
      <c r="R794" s="1419"/>
      <c r="S794" s="1419"/>
      <c r="T794" s="1390"/>
      <c r="U794" s="1391"/>
      <c r="V794" s="1391"/>
      <c r="W794" s="1392"/>
      <c r="X794" s="1378"/>
      <c r="Y794" s="1379"/>
      <c r="Z794" s="1379"/>
      <c r="AA794" s="1379"/>
      <c r="AB794" s="1380"/>
      <c r="AC794" s="1360">
        <f t="shared" si="59"/>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7"/>
      <c r="K795" s="1358"/>
      <c r="L795" s="1358"/>
      <c r="M795" s="1358"/>
      <c r="N795" s="1359"/>
      <c r="O795" s="1419"/>
      <c r="P795" s="1419"/>
      <c r="Q795" s="1419"/>
      <c r="R795" s="1419"/>
      <c r="S795" s="1419"/>
      <c r="T795" s="1390"/>
      <c r="U795" s="1391"/>
      <c r="V795" s="1391"/>
      <c r="W795" s="1392"/>
      <c r="X795" s="1378"/>
      <c r="Y795" s="1379"/>
      <c r="Z795" s="1379"/>
      <c r="AA795" s="1379"/>
      <c r="AB795" s="1380"/>
      <c r="AC795" s="1360">
        <f t="shared" si="59"/>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7"/>
      <c r="K796" s="1358"/>
      <c r="L796" s="1358"/>
      <c r="M796" s="1358"/>
      <c r="N796" s="1359"/>
      <c r="O796" s="1419"/>
      <c r="P796" s="1419"/>
      <c r="Q796" s="1419"/>
      <c r="R796" s="1419"/>
      <c r="S796" s="1419"/>
      <c r="T796" s="1390"/>
      <c r="U796" s="1391"/>
      <c r="V796" s="1391"/>
      <c r="W796" s="1392"/>
      <c r="X796" s="1378"/>
      <c r="Y796" s="1379"/>
      <c r="Z796" s="1379"/>
      <c r="AA796" s="1379"/>
      <c r="AB796" s="1380"/>
      <c r="AC796" s="1360">
        <f t="shared" si="59"/>
        <v>0</v>
      </c>
      <c r="AD796" s="1361"/>
      <c r="AE796" s="1361"/>
      <c r="AF796" s="1361"/>
      <c r="AG796" s="1362"/>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22" t="s">
        <v>478</v>
      </c>
      <c r="BO796" s="1723"/>
      <c r="BP796" s="3"/>
      <c r="BQ796" s="3"/>
      <c r="BR796" s="3"/>
      <c r="BS796" s="14" t="s">
        <v>643</v>
      </c>
      <c r="BT796" s="14"/>
      <c r="BU796" s="14"/>
      <c r="BV796" s="14"/>
      <c r="BW796" s="14"/>
      <c r="BX796" s="14"/>
      <c r="BY796" s="14"/>
      <c r="BZ796" s="14"/>
      <c r="CA796" s="14"/>
      <c r="CB796" s="1719" t="str">
        <f>T189</f>
        <v>Alameda</v>
      </c>
      <c r="CC796" s="1720"/>
      <c r="CD796" s="1720"/>
      <c r="CE796" s="1720"/>
      <c r="CF796" s="1720"/>
      <c r="CG796" s="1720"/>
      <c r="CH796" s="1721"/>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592" t="s">
        <v>125</v>
      </c>
      <c r="K797" s="1593"/>
      <c r="L797" s="1593"/>
      <c r="M797" s="1593"/>
      <c r="N797" s="1594"/>
      <c r="O797" s="1590">
        <f>SUM(O787:S796)</f>
        <v>0</v>
      </c>
      <c r="P797" s="1590"/>
      <c r="Q797" s="1590"/>
      <c r="R797" s="1590"/>
      <c r="S797" s="1590"/>
      <c r="T797"/>
      <c r="U797"/>
      <c r="V797"/>
      <c r="W797"/>
      <c r="X797" s="937" t="s">
        <v>124</v>
      </c>
      <c r="Y797" s="11"/>
      <c r="Z797" s="11"/>
      <c r="AA797" s="11"/>
      <c r="AB797" s="944"/>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3">
        <f>O753+AC777+AC797</f>
        <v>133581</v>
      </c>
      <c r="Z800" s="1603"/>
      <c r="AA800" s="1603"/>
      <c r="AB800" s="1603"/>
      <c r="AC800" s="160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3">
        <f>(O753+AC777+AC797)*12</f>
        <v>1602972</v>
      </c>
      <c r="Z801" s="1603"/>
      <c r="AA801" s="1603"/>
      <c r="AB801" s="1603"/>
      <c r="AC801" s="160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39"/>
      <c r="AA806" s="1597"/>
      <c r="AB806" s="1597"/>
      <c r="AC806" s="1597"/>
      <c r="AD806" s="1597"/>
      <c r="AE806" s="159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6"/>
      <c r="AA807" s="1597"/>
      <c r="AB807" s="1597"/>
      <c r="AC807" s="1597"/>
      <c r="AD807" s="1597"/>
      <c r="AE807" s="159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1"/>
      <c r="AA808" s="1612"/>
      <c r="AB808" s="1612"/>
      <c r="AC808" s="1612"/>
      <c r="AD808" s="1612"/>
      <c r="AE808" s="161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76">
        <f>'Subsidy Contract Calculation'!J40</f>
        <v>0</v>
      </c>
      <c r="AA809" s="1677"/>
      <c r="AB809" s="1677"/>
      <c r="AC809" s="1677"/>
      <c r="AD809" s="1677"/>
      <c r="AE809" s="167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3">
        <v>17440</v>
      </c>
      <c r="AA813" s="1584"/>
      <c r="AB813" s="1584"/>
      <c r="AC813" s="1584"/>
      <c r="AD813" s="1584"/>
      <c r="AE813" s="158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3">
        <v>2720</v>
      </c>
      <c r="AA814" s="1584"/>
      <c r="AB814" s="1584"/>
      <c r="AC814" s="1584"/>
      <c r="AD814" s="1584"/>
      <c r="AE814" s="158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3">
        <v>3000</v>
      </c>
      <c r="AA815" s="1584"/>
      <c r="AB815" s="1584"/>
      <c r="AC815" s="1584"/>
      <c r="AD815" s="1584"/>
      <c r="AE815" s="158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07" t="s">
        <v>2748</v>
      </c>
      <c r="Q816" s="1608"/>
      <c r="R816" s="1608"/>
      <c r="S816" s="1608"/>
      <c r="T816" s="1608"/>
      <c r="U816" s="1608"/>
      <c r="V816" s="1608"/>
      <c r="W816" s="1608"/>
      <c r="X816" s="1608"/>
      <c r="Y816" s="1609"/>
      <c r="Z816" s="1583">
        <v>6000</v>
      </c>
      <c r="AA816" s="1584"/>
      <c r="AB816" s="1584"/>
      <c r="AC816" s="1584"/>
      <c r="AD816" s="1584"/>
      <c r="AE816" s="158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76">
        <f>SUM(Z813:AE816)</f>
        <v>29160</v>
      </c>
      <c r="AA817" s="1677"/>
      <c r="AB817" s="1677"/>
      <c r="AC817" s="1677"/>
      <c r="AD817" s="1677"/>
      <c r="AE817" s="167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76">
        <f>Z817+Y801+Z809</f>
        <v>1632132</v>
      </c>
      <c r="AA818" s="1677"/>
      <c r="AB818" s="1677"/>
      <c r="AC818" s="1677"/>
      <c r="AD818" s="1677"/>
      <c r="AE818" s="167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24" t="s">
        <v>126</v>
      </c>
      <c r="N823" s="1724"/>
      <c r="O823" s="1724"/>
      <c r="P823" s="1725"/>
      <c r="Q823" s="1610" t="s">
        <v>291</v>
      </c>
      <c r="R823" s="1610"/>
      <c r="S823" s="1610"/>
      <c r="T823" s="1610"/>
      <c r="U823" s="1610" t="s">
        <v>292</v>
      </c>
      <c r="V823" s="1610"/>
      <c r="W823" s="1610"/>
      <c r="X823" s="1610"/>
      <c r="Y823" s="1610" t="s">
        <v>293</v>
      </c>
      <c r="Z823" s="1610"/>
      <c r="AA823" s="1610"/>
      <c r="AB823" s="1610"/>
      <c r="AC823" s="1610" t="s">
        <v>362</v>
      </c>
      <c r="AD823" s="1610"/>
      <c r="AE823" s="1610"/>
      <c r="AF823" s="1610"/>
      <c r="AG823" s="1602" t="s">
        <v>336</v>
      </c>
      <c r="AH823" s="1602"/>
      <c r="AI823" s="1602"/>
      <c r="AJ823" s="160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726"/>
      <c r="N824" s="1726"/>
      <c r="O824" s="1726"/>
      <c r="P824" s="1727"/>
      <c r="Q824" s="1610"/>
      <c r="R824" s="1610"/>
      <c r="S824" s="1610"/>
      <c r="T824" s="1610"/>
      <c r="U824" s="1610"/>
      <c r="V824" s="1610"/>
      <c r="W824" s="1610"/>
      <c r="X824" s="1610"/>
      <c r="Y824" s="1610"/>
      <c r="Z824" s="1610"/>
      <c r="AA824" s="1610"/>
      <c r="AB824" s="1610"/>
      <c r="AC824" s="1610"/>
      <c r="AD824" s="1610"/>
      <c r="AE824" s="1610"/>
      <c r="AF824" s="1610"/>
      <c r="AG824" s="1602"/>
      <c r="AH824" s="1602"/>
      <c r="AI824" s="1602"/>
      <c r="AJ824" s="1602"/>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604" t="s">
        <v>40</v>
      </c>
      <c r="D825" s="1382"/>
      <c r="E825" s="1382"/>
      <c r="F825" s="1382"/>
      <c r="G825" s="1382"/>
      <c r="H825" s="1382"/>
      <c r="I825" s="48"/>
      <c r="J825" s="48"/>
      <c r="K825" s="48"/>
      <c r="L825" s="49"/>
      <c r="M825" s="1586">
        <v>34</v>
      </c>
      <c r="N825" s="1586"/>
      <c r="O825" s="1586"/>
      <c r="P825" s="1586"/>
      <c r="Q825" s="1586">
        <v>40</v>
      </c>
      <c r="R825" s="1586"/>
      <c r="S825" s="1586"/>
      <c r="T825" s="1586"/>
      <c r="U825" s="1586">
        <v>49</v>
      </c>
      <c r="V825" s="1586"/>
      <c r="W825" s="1586"/>
      <c r="X825" s="1586"/>
      <c r="Y825" s="1586"/>
      <c r="Z825" s="1586"/>
      <c r="AA825" s="1586"/>
      <c r="AB825" s="1586"/>
      <c r="AC825" s="1587"/>
      <c r="AD825" s="1588"/>
      <c r="AE825" s="1588"/>
      <c r="AF825" s="1589"/>
      <c r="AG825" s="1587"/>
      <c r="AH825" s="1588"/>
      <c r="AI825" s="1588"/>
      <c r="AJ825" s="1589"/>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72" t="s">
        <v>41</v>
      </c>
      <c r="D826" s="1448"/>
      <c r="E826" s="1448"/>
      <c r="F826" s="1448"/>
      <c r="G826" s="1448"/>
      <c r="H826" s="1448"/>
      <c r="I826" s="5"/>
      <c r="J826" s="5"/>
      <c r="K826" s="5"/>
      <c r="L826" s="46"/>
      <c r="M826" s="1586"/>
      <c r="N826" s="1586"/>
      <c r="O826" s="1586"/>
      <c r="P826" s="1586"/>
      <c r="Q826" s="1586"/>
      <c r="R826" s="1586"/>
      <c r="S826" s="1586"/>
      <c r="T826" s="1586"/>
      <c r="U826" s="1586"/>
      <c r="V826" s="1586"/>
      <c r="W826" s="1586"/>
      <c r="X826" s="1586"/>
      <c r="Y826" s="1586"/>
      <c r="Z826" s="1586"/>
      <c r="AA826" s="1586"/>
      <c r="AB826" s="1586"/>
      <c r="AC826" s="1587"/>
      <c r="AD826" s="1588"/>
      <c r="AE826" s="1588"/>
      <c r="AF826" s="1589"/>
      <c r="AG826" s="1587"/>
      <c r="AH826" s="1588"/>
      <c r="AI826" s="1588"/>
      <c r="AJ826" s="1589"/>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72" t="s">
        <v>42</v>
      </c>
      <c r="D827" s="1448"/>
      <c r="E827" s="1448"/>
      <c r="F827" s="1448"/>
      <c r="G827" s="1448"/>
      <c r="H827" s="1448"/>
      <c r="I827" s="60"/>
      <c r="J827" s="60"/>
      <c r="K827" s="60"/>
      <c r="L827" s="61"/>
      <c r="M827" s="1586">
        <v>8</v>
      </c>
      <c r="N827" s="1586"/>
      <c r="O827" s="1586"/>
      <c r="P827" s="1586"/>
      <c r="Q827" s="1586">
        <v>10</v>
      </c>
      <c r="R827" s="1586"/>
      <c r="S827" s="1586"/>
      <c r="T827" s="1586"/>
      <c r="U827" s="1586">
        <v>18</v>
      </c>
      <c r="V827" s="1586"/>
      <c r="W827" s="1586"/>
      <c r="X827" s="1586"/>
      <c r="Y827" s="1586"/>
      <c r="Z827" s="1586"/>
      <c r="AA827" s="1586"/>
      <c r="AB827" s="1586"/>
      <c r="AC827" s="1587"/>
      <c r="AD827" s="1588"/>
      <c r="AE827" s="1588"/>
      <c r="AF827" s="1589"/>
      <c r="AG827" s="1587"/>
      <c r="AH827" s="1588"/>
      <c r="AI827" s="1588"/>
      <c r="AJ827" s="1589"/>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72" t="s">
        <v>772</v>
      </c>
      <c r="D828" s="1448"/>
      <c r="E828" s="1448"/>
      <c r="F828" s="1448"/>
      <c r="G828" s="1448"/>
      <c r="H828" s="1448"/>
      <c r="I828" s="60"/>
      <c r="J828" s="60"/>
      <c r="K828" s="60"/>
      <c r="L828" s="61"/>
      <c r="M828" s="1586"/>
      <c r="N828" s="1586"/>
      <c r="O828" s="1586"/>
      <c r="P828" s="1586"/>
      <c r="Q828" s="1586"/>
      <c r="R828" s="1586"/>
      <c r="S828" s="1586"/>
      <c r="T828" s="1586"/>
      <c r="U828" s="1586"/>
      <c r="V828" s="1586"/>
      <c r="W828" s="1586"/>
      <c r="X828" s="1586"/>
      <c r="Y828" s="1586"/>
      <c r="Z828" s="1586"/>
      <c r="AA828" s="1586"/>
      <c r="AB828" s="1586"/>
      <c r="AC828" s="1587"/>
      <c r="AD828" s="1588"/>
      <c r="AE828" s="1588"/>
      <c r="AF828" s="1589"/>
      <c r="AG828" s="1587"/>
      <c r="AH828" s="1588"/>
      <c r="AI828" s="1588"/>
      <c r="AJ828" s="1589"/>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72" t="s">
        <v>468</v>
      </c>
      <c r="D829" s="1448"/>
      <c r="E829" s="1448"/>
      <c r="F829" s="1448"/>
      <c r="G829" s="1448"/>
      <c r="H829" s="1448"/>
      <c r="I829" s="60"/>
      <c r="J829" s="60"/>
      <c r="K829" s="60"/>
      <c r="L829" s="61"/>
      <c r="M829" s="1586">
        <v>32</v>
      </c>
      <c r="N829" s="1586"/>
      <c r="O829" s="1586"/>
      <c r="P829" s="1586"/>
      <c r="Q829" s="1586">
        <v>38</v>
      </c>
      <c r="R829" s="1586"/>
      <c r="S829" s="1586"/>
      <c r="T829" s="1586"/>
      <c r="U829" s="1586">
        <v>57</v>
      </c>
      <c r="V829" s="1586"/>
      <c r="W829" s="1586"/>
      <c r="X829" s="1586"/>
      <c r="Y829" s="1586"/>
      <c r="Z829" s="1586"/>
      <c r="AA829" s="1586"/>
      <c r="AB829" s="1586"/>
      <c r="AC829" s="1587"/>
      <c r="AD829" s="1588"/>
      <c r="AE829" s="1588"/>
      <c r="AF829" s="1589"/>
      <c r="AG829" s="1587"/>
      <c r="AH829" s="1588"/>
      <c r="AI829" s="1588"/>
      <c r="AJ829" s="1589"/>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74" t="s">
        <v>793</v>
      </c>
      <c r="D830" s="1448"/>
      <c r="E830" s="1448"/>
      <c r="F830" s="1448"/>
      <c r="G830" s="1448"/>
      <c r="H830" s="1448"/>
      <c r="I830" s="60"/>
      <c r="J830" s="60"/>
      <c r="K830" s="60"/>
      <c r="L830" s="61"/>
      <c r="M830" s="1586"/>
      <c r="N830" s="1586"/>
      <c r="O830" s="1586"/>
      <c r="P830" s="1586"/>
      <c r="Q830" s="1586"/>
      <c r="R830" s="1586"/>
      <c r="S830" s="1586"/>
      <c r="T830" s="1586"/>
      <c r="U830" s="1586"/>
      <c r="V830" s="1586"/>
      <c r="W830" s="1586"/>
      <c r="X830" s="1586"/>
      <c r="Y830" s="1586"/>
      <c r="Z830" s="1586"/>
      <c r="AA830" s="1586"/>
      <c r="AB830" s="1586"/>
      <c r="AC830" s="1587"/>
      <c r="AD830" s="1588"/>
      <c r="AE830" s="1588"/>
      <c r="AF830" s="1589"/>
      <c r="AG830" s="1587"/>
      <c r="AH830" s="1588"/>
      <c r="AI830" s="1588"/>
      <c r="AJ830" s="1589"/>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607" t="s">
        <v>335</v>
      </c>
      <c r="G831" s="1608"/>
      <c r="H831" s="1608"/>
      <c r="I831" s="1608"/>
      <c r="J831" s="1608"/>
      <c r="K831" s="1608"/>
      <c r="L831" s="1608"/>
      <c r="M831" s="1586"/>
      <c r="N831" s="1586"/>
      <c r="O831" s="1586"/>
      <c r="P831" s="1586"/>
      <c r="Q831" s="1586"/>
      <c r="R831" s="1586"/>
      <c r="S831" s="1586"/>
      <c r="T831" s="1586"/>
      <c r="U831" s="1586"/>
      <c r="V831" s="1586"/>
      <c r="W831" s="1586"/>
      <c r="X831" s="1586"/>
      <c r="Y831" s="1586"/>
      <c r="Z831" s="1586"/>
      <c r="AA831" s="1586"/>
      <c r="AB831" s="1586"/>
      <c r="AC831" s="1587"/>
      <c r="AD831" s="1588"/>
      <c r="AE831" s="1588"/>
      <c r="AF831" s="1589"/>
      <c r="AG831" s="1587"/>
      <c r="AH831" s="1588"/>
      <c r="AI831" s="1588"/>
      <c r="AJ831" s="1589"/>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592" t="s">
        <v>124</v>
      </c>
      <c r="D832" s="1593"/>
      <c r="E832" s="1593"/>
      <c r="F832" s="1593"/>
      <c r="G832" s="1593"/>
      <c r="H832" s="1593"/>
      <c r="I832" s="1593"/>
      <c r="J832" s="1593"/>
      <c r="K832" s="1593"/>
      <c r="L832" s="1594"/>
      <c r="M832" s="1614">
        <f>SUM(M825:P831)</f>
        <v>74</v>
      </c>
      <c r="N832" s="1614"/>
      <c r="O832" s="1614"/>
      <c r="P832" s="1614"/>
      <c r="Q832" s="1614">
        <f>SUM(Q825:T831)</f>
        <v>88</v>
      </c>
      <c r="R832" s="1614"/>
      <c r="S832" s="1614"/>
      <c r="T832" s="1614"/>
      <c r="U832" s="1614">
        <f>SUM(U825:X831)</f>
        <v>124</v>
      </c>
      <c r="V832" s="1614"/>
      <c r="W832" s="1614"/>
      <c r="X832" s="1614"/>
      <c r="Y832" s="1614">
        <f>SUM(Y825:AB831)</f>
        <v>0</v>
      </c>
      <c r="Z832" s="1614"/>
      <c r="AA832" s="1614"/>
      <c r="AB832" s="1614"/>
      <c r="AC832" s="1614">
        <f>SUM(AC825:AF831)</f>
        <v>0</v>
      </c>
      <c r="AD832" s="1614"/>
      <c r="AE832" s="1614"/>
      <c r="AF832" s="1614"/>
      <c r="AG832" s="1614">
        <f>SUM(AG825:AJ831)</f>
        <v>0</v>
      </c>
      <c r="AH832" s="1614"/>
      <c r="AI832" s="1614"/>
      <c r="AJ832" s="161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353" t="s">
        <v>2716</v>
      </c>
      <c r="D837" s="1354"/>
      <c r="E837" s="1354"/>
      <c r="F837" s="1354"/>
      <c r="G837" s="1354"/>
      <c r="H837" s="1354"/>
      <c r="I837" s="1354"/>
      <c r="J837" s="1354"/>
      <c r="K837" s="1354"/>
      <c r="L837" s="1354"/>
      <c r="M837" s="1354"/>
      <c r="N837" s="1354"/>
      <c r="O837" s="1354"/>
      <c r="P837" s="1354"/>
      <c r="Q837" s="1354"/>
      <c r="R837" s="1354"/>
      <c r="S837" s="1354"/>
      <c r="T837" s="1354"/>
      <c r="U837" s="1354"/>
      <c r="V837" s="1354"/>
      <c r="W837" s="1354"/>
      <c r="X837" s="1354"/>
      <c r="Y837" s="1354"/>
      <c r="Z837" s="1354"/>
      <c r="AA837" s="1354"/>
      <c r="AB837" s="1354"/>
      <c r="AC837" s="1354"/>
      <c r="AD837" s="1354"/>
      <c r="AE837" s="1354"/>
      <c r="AF837" s="1354"/>
      <c r="AG837" s="1354"/>
      <c r="AH837" s="1354"/>
      <c r="AI837" s="1354"/>
      <c r="AJ837" s="1355"/>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3">
        <f>ROUNDDOWN(BC939*2,2)</f>
        <v>0</v>
      </c>
      <c r="BJ841" s="1643"/>
      <c r="BK841" s="1643"/>
      <c r="BL841" s="1643"/>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606">
        <v>3200</v>
      </c>
      <c r="X842" s="1606"/>
      <c r="Y842" s="1606"/>
      <c r="Z842" s="1606"/>
      <c r="AA842" s="1606"/>
      <c r="AB842" s="1606"/>
      <c r="AC842" s="1606"/>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606">
        <v>10500</v>
      </c>
      <c r="X843" s="1606"/>
      <c r="Y843" s="1606"/>
      <c r="Z843" s="1606"/>
      <c r="AA843" s="1606"/>
      <c r="AB843" s="1606"/>
      <c r="AC843" s="160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606">
        <v>9200</v>
      </c>
      <c r="X844" s="1606"/>
      <c r="Y844" s="1606"/>
      <c r="Z844" s="1606"/>
      <c r="AA844" s="1606"/>
      <c r="AB844" s="1606"/>
      <c r="AC844" s="160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606">
        <v>24400</v>
      </c>
      <c r="X845" s="1606"/>
      <c r="Y845" s="1606"/>
      <c r="Z845" s="1606"/>
      <c r="AA845" s="1606"/>
      <c r="AB845" s="1606"/>
      <c r="AC845" s="160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607" t="s">
        <v>2717</v>
      </c>
      <c r="N846" s="1608"/>
      <c r="O846" s="1608"/>
      <c r="P846" s="1608"/>
      <c r="Q846" s="1608"/>
      <c r="R846" s="1608"/>
      <c r="S846" s="1608"/>
      <c r="T846" s="1608"/>
      <c r="U846" s="1608"/>
      <c r="V846" s="1609"/>
      <c r="W846" s="1606">
        <v>10600</v>
      </c>
      <c r="X846" s="1606"/>
      <c r="Y846" s="1606"/>
      <c r="Z846" s="1606"/>
      <c r="AA846" s="1606"/>
      <c r="AB846" s="1606"/>
      <c r="AC846" s="1606"/>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676">
        <f>SUM(W842:AC846)</f>
        <v>57900</v>
      </c>
      <c r="X847" s="1677"/>
      <c r="Y847" s="1677"/>
      <c r="Z847" s="1677"/>
      <c r="AA847" s="1677"/>
      <c r="AB847" s="1677"/>
      <c r="AC847" s="1678"/>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18"/>
      <c r="BH848" s="1618"/>
      <c r="BI848" s="1618"/>
      <c r="BJ848" s="1618"/>
      <c r="BK848" s="1618"/>
      <c r="BL848" s="1618"/>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592" t="s">
        <v>346</v>
      </c>
      <c r="K849" s="1593"/>
      <c r="L849" s="1593"/>
      <c r="M849" s="1593"/>
      <c r="N849" s="1593"/>
      <c r="O849" s="1593"/>
      <c r="P849" s="1593"/>
      <c r="Q849" s="1593"/>
      <c r="R849" s="1593"/>
      <c r="S849" s="1593"/>
      <c r="T849" s="1593"/>
      <c r="U849" s="1593"/>
      <c r="V849" s="1594"/>
      <c r="W849" s="1583">
        <f>4%*Y801</f>
        <v>64118.880000000005</v>
      </c>
      <c r="X849" s="1584"/>
      <c r="Y849" s="1584"/>
      <c r="Z849" s="1584"/>
      <c r="AA849" s="1584"/>
      <c r="AB849" s="1584"/>
      <c r="AC849" s="1585"/>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570</v>
      </c>
      <c r="J851" s="45" t="s">
        <v>353</v>
      </c>
      <c r="K851" s="5"/>
      <c r="L851" s="5"/>
      <c r="M851" s="5"/>
      <c r="N851" s="5"/>
      <c r="O851" s="5"/>
      <c r="P851" s="5"/>
      <c r="Q851" s="5"/>
      <c r="R851" s="5"/>
      <c r="S851" s="5"/>
      <c r="T851" s="5"/>
      <c r="U851" s="5"/>
      <c r="V851" s="46"/>
      <c r="W851" s="1620"/>
      <c r="X851" s="1620"/>
      <c r="Y851" s="1620"/>
      <c r="Z851" s="1620"/>
      <c r="AA851" s="1620"/>
      <c r="AB851" s="1620"/>
      <c r="AC851" s="1620"/>
      <c r="AZ851" s="1619">
        <f>SUM(AZ818:AZ846)</f>
        <v>7.5000000000000011E-2</v>
      </c>
      <c r="BA851" s="1619"/>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620">
        <v>24362</v>
      </c>
      <c r="X852" s="1620"/>
      <c r="Y852" s="1620"/>
      <c r="Z852" s="1620"/>
      <c r="AA852" s="1620"/>
      <c r="AB852" s="1620"/>
      <c r="AC852" s="1620"/>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468</v>
      </c>
      <c r="K853" s="5"/>
      <c r="L853" s="5"/>
      <c r="M853" s="5"/>
      <c r="N853" s="5"/>
      <c r="O853" s="5"/>
      <c r="P853" s="5"/>
      <c r="Q853" s="5"/>
      <c r="R853" s="5"/>
      <c r="S853" s="5"/>
      <c r="T853" s="5"/>
      <c r="U853" s="5"/>
      <c r="V853" s="46"/>
      <c r="W853" s="1620">
        <v>18230</v>
      </c>
      <c r="X853" s="1620"/>
      <c r="Y853" s="1620"/>
      <c r="Z853" s="1620"/>
      <c r="AA853" s="1620"/>
      <c r="AB853" s="1620"/>
      <c r="AC853" s="1620"/>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629</v>
      </c>
      <c r="K854" s="5"/>
      <c r="L854" s="5"/>
      <c r="M854" s="5"/>
      <c r="N854" s="5"/>
      <c r="O854" s="5"/>
      <c r="P854" s="5"/>
      <c r="Q854" s="5"/>
      <c r="R854" s="5"/>
      <c r="S854" s="5"/>
      <c r="T854" s="5"/>
      <c r="U854" s="5"/>
      <c r="V854" s="46"/>
      <c r="W854" s="1620">
        <v>28700</v>
      </c>
      <c r="X854" s="1620"/>
      <c r="Y854" s="1620"/>
      <c r="Z854" s="1620"/>
      <c r="AA854" s="1620"/>
      <c r="AB854" s="1620"/>
      <c r="AC854" s="1620"/>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664">
        <f>SUM(W851:AC854)</f>
        <v>71292</v>
      </c>
      <c r="X855" s="1664"/>
      <c r="Y855" s="1664"/>
      <c r="Z855" s="1664"/>
      <c r="AA855" s="1664"/>
      <c r="AB855" s="1664"/>
      <c r="AC855" s="166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628</v>
      </c>
      <c r="K857" s="5"/>
      <c r="L857" s="5"/>
      <c r="M857" s="5"/>
      <c r="N857" s="5"/>
      <c r="O857" s="5"/>
      <c r="P857" s="5"/>
      <c r="Q857" s="5"/>
      <c r="R857" s="5"/>
      <c r="S857" s="5"/>
      <c r="T857" s="5"/>
      <c r="U857" s="5"/>
      <c r="V857" s="46"/>
      <c r="W857" s="1615">
        <v>116372</v>
      </c>
      <c r="X857" s="1616"/>
      <c r="Y857" s="1616"/>
      <c r="Z857" s="1616"/>
      <c r="AA857" s="1616"/>
      <c r="AB857" s="1616"/>
      <c r="AC857" s="1617"/>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1768</v>
      </c>
      <c r="K858" s="5"/>
      <c r="L858" s="5"/>
      <c r="M858" s="5"/>
      <c r="N858" s="5"/>
      <c r="O858" s="5"/>
      <c r="P858" s="5"/>
      <c r="Q858" s="5"/>
      <c r="R858" s="5"/>
      <c r="S858" s="5"/>
      <c r="T858" s="1622">
        <v>1</v>
      </c>
      <c r="U858" s="1509"/>
      <c r="V858" s="162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627</v>
      </c>
      <c r="K859" s="5"/>
      <c r="L859" s="5"/>
      <c r="M859" s="5"/>
      <c r="N859" s="5"/>
      <c r="O859" s="5"/>
      <c r="P859" s="5"/>
      <c r="Q859" s="5"/>
      <c r="R859" s="5"/>
      <c r="S859" s="5"/>
      <c r="T859" s="5"/>
      <c r="U859" s="5"/>
      <c r="V859" s="46"/>
      <c r="W859" s="1615">
        <v>80700</v>
      </c>
      <c r="X859" s="1616"/>
      <c r="Y859" s="1616"/>
      <c r="Z859" s="1616"/>
      <c r="AA859" s="1616"/>
      <c r="AB859" s="1616"/>
      <c r="AC859" s="1617"/>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1769</v>
      </c>
      <c r="K860" s="5"/>
      <c r="L860" s="5"/>
      <c r="M860" s="5"/>
      <c r="N860" s="5"/>
      <c r="O860" s="5"/>
      <c r="P860" s="5"/>
      <c r="Q860" s="5"/>
      <c r="R860" s="5"/>
      <c r="S860" s="5"/>
      <c r="T860" s="1622"/>
      <c r="U860" s="1509"/>
      <c r="V860" s="162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607" t="s">
        <v>335</v>
      </c>
      <c r="N861" s="1608"/>
      <c r="O861" s="1608"/>
      <c r="P861" s="1608"/>
      <c r="Q861" s="1608"/>
      <c r="R861" s="1608"/>
      <c r="S861" s="1608"/>
      <c r="T861" s="1608"/>
      <c r="U861" s="1608"/>
      <c r="V861" s="1609"/>
      <c r="W861" s="1615"/>
      <c r="X861" s="1616"/>
      <c r="Y861" s="1616"/>
      <c r="Z861" s="1616"/>
      <c r="AA861" s="1616"/>
      <c r="AB861" s="1616"/>
      <c r="AC861" s="1617"/>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624">
        <f>SUM(W857:AC861)</f>
        <v>197072</v>
      </c>
      <c r="X862" s="1625"/>
      <c r="Y862" s="1625"/>
      <c r="Z862" s="1625"/>
      <c r="AA862" s="1625"/>
      <c r="AB862" s="1625"/>
      <c r="AC862" s="162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15"/>
      <c r="X863" s="1616"/>
      <c r="Y863" s="1616"/>
      <c r="Z863" s="1616"/>
      <c r="AA863" s="1616"/>
      <c r="AB863" s="1616"/>
      <c r="AC863" s="1617"/>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626</v>
      </c>
      <c r="K865" s="5"/>
      <c r="L865" s="5"/>
      <c r="M865" s="5"/>
      <c r="N865" s="5"/>
      <c r="O865" s="5"/>
      <c r="P865" s="5"/>
      <c r="Q865" s="5"/>
      <c r="R865" s="5"/>
      <c r="S865" s="5"/>
      <c r="T865" s="5"/>
      <c r="U865" s="5"/>
      <c r="V865" s="46"/>
      <c r="W865" s="1606">
        <v>12100</v>
      </c>
      <c r="X865" s="1606"/>
      <c r="Y865" s="1606"/>
      <c r="Z865" s="1606"/>
      <c r="AA865" s="1606"/>
      <c r="AB865" s="1606"/>
      <c r="AC865" s="160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531</v>
      </c>
      <c r="K866" s="5"/>
      <c r="L866" s="5"/>
      <c r="M866" s="5"/>
      <c r="N866" s="5"/>
      <c r="O866" s="5"/>
      <c r="P866" s="5"/>
      <c r="Q866" s="5"/>
      <c r="R866" s="5"/>
      <c r="S866" s="5"/>
      <c r="T866" s="5"/>
      <c r="U866" s="5"/>
      <c r="V866" s="46"/>
      <c r="W866" s="1606">
        <v>70180</v>
      </c>
      <c r="X866" s="1606"/>
      <c r="Y866" s="1606"/>
      <c r="Z866" s="1606"/>
      <c r="AA866" s="1606"/>
      <c r="AB866" s="1606"/>
      <c r="AC866" s="160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530</v>
      </c>
      <c r="K867" s="5"/>
      <c r="L867" s="5"/>
      <c r="M867" s="5"/>
      <c r="N867" s="5"/>
      <c r="O867" s="5"/>
      <c r="P867" s="5"/>
      <c r="Q867" s="5"/>
      <c r="R867" s="5"/>
      <c r="S867" s="5"/>
      <c r="T867" s="5"/>
      <c r="U867" s="5"/>
      <c r="V867" s="46"/>
      <c r="W867" s="1606">
        <v>39000</v>
      </c>
      <c r="X867" s="1606"/>
      <c r="Y867" s="1606"/>
      <c r="Z867" s="1606"/>
      <c r="AA867" s="1606"/>
      <c r="AB867" s="1606"/>
      <c r="AC867" s="160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529</v>
      </c>
      <c r="K868" s="5"/>
      <c r="L868" s="5"/>
      <c r="M868" s="5"/>
      <c r="N868" s="5"/>
      <c r="O868" s="5"/>
      <c r="P868" s="5"/>
      <c r="Q868" s="5"/>
      <c r="R868" s="5"/>
      <c r="S868" s="5"/>
      <c r="T868" s="5"/>
      <c r="U868" s="5"/>
      <c r="V868" s="46"/>
      <c r="W868" s="1606">
        <v>11500</v>
      </c>
      <c r="X868" s="1606"/>
      <c r="Y868" s="1606"/>
      <c r="Z868" s="1606"/>
      <c r="AA868" s="1606"/>
      <c r="AB868" s="1606"/>
      <c r="AC868" s="160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528</v>
      </c>
      <c r="K869" s="5"/>
      <c r="L869" s="5"/>
      <c r="M869" s="5"/>
      <c r="N869" s="5"/>
      <c r="O869" s="5"/>
      <c r="P869" s="5"/>
      <c r="Q869" s="5"/>
      <c r="R869" s="5"/>
      <c r="S869" s="5"/>
      <c r="T869" s="5"/>
      <c r="U869" s="5"/>
      <c r="V869" s="46"/>
      <c r="W869" s="1606">
        <v>8100</v>
      </c>
      <c r="X869" s="1606"/>
      <c r="Y869" s="1606"/>
      <c r="Z869" s="1606"/>
      <c r="AA869" s="1606"/>
      <c r="AB869" s="1606"/>
      <c r="AC869" s="160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527</v>
      </c>
      <c r="K870" s="5"/>
      <c r="L870" s="5"/>
      <c r="M870" s="5"/>
      <c r="N870" s="5"/>
      <c r="O870" s="5"/>
      <c r="P870" s="5"/>
      <c r="Q870" s="5"/>
      <c r="R870" s="5"/>
      <c r="S870" s="5"/>
      <c r="T870" s="5"/>
      <c r="U870" s="5"/>
      <c r="V870" s="46"/>
      <c r="W870" s="1606">
        <v>9250</v>
      </c>
      <c r="X870" s="1606"/>
      <c r="Y870" s="1606"/>
      <c r="Z870" s="1606"/>
      <c r="AA870" s="1606"/>
      <c r="AB870" s="1606"/>
      <c r="AC870" s="160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607" t="s">
        <v>2718</v>
      </c>
      <c r="N871" s="1608"/>
      <c r="O871" s="1608"/>
      <c r="P871" s="1608"/>
      <c r="Q871" s="1608"/>
      <c r="R871" s="1608"/>
      <c r="S871" s="1608"/>
      <c r="T871" s="1608"/>
      <c r="U871" s="1608"/>
      <c r="V871" s="1609"/>
      <c r="W871" s="1606">
        <v>30800</v>
      </c>
      <c r="X871" s="1606"/>
      <c r="Y871" s="1606"/>
      <c r="Z871" s="1606"/>
      <c r="AA871" s="1606"/>
      <c r="AB871" s="1606"/>
      <c r="AC871" s="160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603">
        <f>SUM(W865:AC871)</f>
        <v>180930</v>
      </c>
      <c r="X872" s="1603"/>
      <c r="Y872" s="1603"/>
      <c r="Z872" s="1603"/>
      <c r="AA872" s="1603"/>
      <c r="AB872" s="1603"/>
      <c r="AC872" s="160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1351</v>
      </c>
      <c r="J874" s="45" t="s">
        <v>170</v>
      </c>
      <c r="K874" s="5"/>
      <c r="L874" s="5"/>
      <c r="M874" s="1607" t="s">
        <v>2719</v>
      </c>
      <c r="N874" s="1608"/>
      <c r="O874" s="1608"/>
      <c r="P874" s="1608"/>
      <c r="Q874" s="1608"/>
      <c r="R874" s="1608"/>
      <c r="S874" s="1608"/>
      <c r="T874" s="1608"/>
      <c r="U874" s="1608"/>
      <c r="V874" s="1609"/>
      <c r="W874" s="1583">
        <v>0</v>
      </c>
      <c r="X874" s="1584"/>
      <c r="Y874" s="1584"/>
      <c r="Z874" s="1584"/>
      <c r="AA874" s="1584"/>
      <c r="AB874" s="1584"/>
      <c r="AC874" s="158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1352</v>
      </c>
      <c r="J875" s="45" t="s">
        <v>170</v>
      </c>
      <c r="K875" s="5"/>
      <c r="L875" s="5"/>
      <c r="M875" s="1607" t="s">
        <v>2720</v>
      </c>
      <c r="N875" s="1608"/>
      <c r="O875" s="1608"/>
      <c r="P875" s="1608"/>
      <c r="Q875" s="1608"/>
      <c r="R875" s="1608"/>
      <c r="S875" s="1608"/>
      <c r="T875" s="1608"/>
      <c r="U875" s="1608"/>
      <c r="V875" s="1609"/>
      <c r="W875" s="1583">
        <v>0</v>
      </c>
      <c r="X875" s="1584"/>
      <c r="Y875" s="1584"/>
      <c r="Z875" s="1584"/>
      <c r="AA875" s="1584"/>
      <c r="AB875" s="1584"/>
      <c r="AC875" s="158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607" t="s">
        <v>335</v>
      </c>
      <c r="N876" s="1608"/>
      <c r="O876" s="1608"/>
      <c r="P876" s="1608"/>
      <c r="Q876" s="1608"/>
      <c r="R876" s="1608"/>
      <c r="S876" s="1608"/>
      <c r="T876" s="1608"/>
      <c r="U876" s="1608"/>
      <c r="V876" s="1609"/>
      <c r="W876" s="1583"/>
      <c r="X876" s="1584"/>
      <c r="Y876" s="1584"/>
      <c r="Z876" s="1584"/>
      <c r="AA876" s="1584"/>
      <c r="AB876" s="1584"/>
      <c r="AC876" s="158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607" t="s">
        <v>335</v>
      </c>
      <c r="N877" s="1608"/>
      <c r="O877" s="1608"/>
      <c r="P877" s="1608"/>
      <c r="Q877" s="1608"/>
      <c r="R877" s="1608"/>
      <c r="S877" s="1608"/>
      <c r="T877" s="1608"/>
      <c r="U877" s="1608"/>
      <c r="V877" s="1609"/>
      <c r="W877" s="1583"/>
      <c r="X877" s="1584"/>
      <c r="Y877" s="1584"/>
      <c r="Z877" s="1584"/>
      <c r="AA877" s="1584"/>
      <c r="AB877" s="1584"/>
      <c r="AC877" s="158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607" t="s">
        <v>335</v>
      </c>
      <c r="N878" s="1608"/>
      <c r="O878" s="1608"/>
      <c r="P878" s="1608"/>
      <c r="Q878" s="1608"/>
      <c r="R878" s="1608"/>
      <c r="S878" s="1608"/>
      <c r="T878" s="1608"/>
      <c r="U878" s="1608"/>
      <c r="V878" s="1609"/>
      <c r="W878" s="1583"/>
      <c r="X878" s="1584"/>
      <c r="Y878" s="1584"/>
      <c r="Z878" s="1584"/>
      <c r="AA878" s="1584"/>
      <c r="AB878" s="1584"/>
      <c r="AC878" s="158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676">
        <f>SUM(W874:AC878)</f>
        <v>0</v>
      </c>
      <c r="X879" s="1677"/>
      <c r="Y879" s="1677"/>
      <c r="Z879" s="1677"/>
      <c r="AA879" s="1677"/>
      <c r="AB879" s="1677"/>
      <c r="AC879" s="167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77">
        <f>W847+W855+W862+W863+W872+W879+W849</f>
        <v>571312.88</v>
      </c>
      <c r="AD883" s="1677"/>
      <c r="AE883" s="1677"/>
      <c r="AF883" s="1677"/>
      <c r="AG883" s="1677"/>
      <c r="AH883" s="167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30">
        <f>O797+O777+G753</f>
        <v>80</v>
      </c>
      <c r="AD884" s="1630"/>
      <c r="AE884" s="1630"/>
      <c r="AF884" s="1630"/>
      <c r="AG884" s="1630"/>
      <c r="AH884" s="1631"/>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743" t="s">
        <v>32</v>
      </c>
      <c r="F885" s="1743"/>
      <c r="G885" s="1743"/>
      <c r="H885" s="1743"/>
      <c r="I885" s="1743"/>
      <c r="J885" s="1743"/>
      <c r="K885" s="1743"/>
      <c r="L885" s="1743"/>
      <c r="M885" s="1743"/>
      <c r="N885" s="1743"/>
      <c r="O885" s="1743"/>
      <c r="P885" s="1743"/>
      <c r="Q885" s="1743"/>
      <c r="R885" s="1743"/>
      <c r="S885" s="1743"/>
      <c r="T885" s="1743"/>
      <c r="U885" s="1743"/>
      <c r="V885" s="1743"/>
      <c r="W885" s="1743"/>
      <c r="X885" s="1743"/>
      <c r="Y885" s="1743"/>
      <c r="Z885" s="1743"/>
      <c r="AA885" s="1743"/>
      <c r="AB885" s="1744"/>
      <c r="AC885" s="1603">
        <f>IF(ISERROR((ROUNDDOWN(AC883/AC884,0))),0,(ROUNDDOWN(AC883/AC884,0)))</f>
        <v>7141</v>
      </c>
      <c r="AD885" s="1603"/>
      <c r="AE885" s="1603"/>
      <c r="AF885" s="1603"/>
      <c r="AG885" s="1603"/>
      <c r="AH885" s="160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32">
        <f>ROUND(((AC883+'15 Year Pro Forma'!E40)/12)*3,0)</f>
        <v>340294</v>
      </c>
      <c r="AD886" s="1633"/>
      <c r="AE886" s="1633"/>
      <c r="AF886" s="1633"/>
      <c r="AG886" s="1633"/>
      <c r="AH886" s="163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5"/>
      <c r="AD887" s="1606"/>
      <c r="AE887" s="1606"/>
      <c r="AF887" s="1606"/>
      <c r="AG887" s="1606"/>
      <c r="AH887" s="160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84">
        <v>15000</v>
      </c>
      <c r="AD888" s="1584"/>
      <c r="AE888" s="1584"/>
      <c r="AF888" s="1584"/>
      <c r="AG888" s="1584"/>
      <c r="AH888" s="158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4">
        <f>300*AC884</f>
        <v>24000</v>
      </c>
      <c r="AD889" s="1584"/>
      <c r="AE889" s="1584"/>
      <c r="AF889" s="1584"/>
      <c r="AG889" s="1584"/>
      <c r="AH889" s="158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587">
        <v>4000</v>
      </c>
      <c r="AD890" s="1588"/>
      <c r="AE890" s="1588"/>
      <c r="AF890" s="1588"/>
      <c r="AG890" s="1588"/>
      <c r="AH890" s="1589"/>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4">
        <v>0</v>
      </c>
      <c r="AD891" s="1584"/>
      <c r="AE891" s="1584"/>
      <c r="AF891" s="1584"/>
      <c r="AG891" s="1584"/>
      <c r="AH891" s="158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584"/>
      <c r="AD892" s="1584"/>
      <c r="AE892" s="1584"/>
      <c r="AF892" s="1584"/>
      <c r="AG892" s="1584"/>
      <c r="AH892" s="158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27" t="s">
        <v>976</v>
      </c>
      <c r="D893" s="1628"/>
      <c r="E893" s="1628"/>
      <c r="F893" s="1628"/>
      <c r="G893" s="1628"/>
      <c r="H893" s="1628"/>
      <c r="I893" s="1628"/>
      <c r="J893" s="1628"/>
      <c r="K893" s="1628"/>
      <c r="L893" s="1628"/>
      <c r="M893" s="1628"/>
      <c r="N893" s="1628"/>
      <c r="O893" s="1628"/>
      <c r="P893" s="1628"/>
      <c r="Q893" s="1628"/>
      <c r="R893" s="1628"/>
      <c r="S893" s="1628"/>
      <c r="T893" s="1628"/>
      <c r="U893" s="1628"/>
      <c r="V893" s="1628"/>
      <c r="W893" s="1628"/>
      <c r="X893" s="1628"/>
      <c r="Y893" s="1628"/>
      <c r="Z893" s="1628"/>
      <c r="AA893" s="1628"/>
      <c r="AB893" s="1629"/>
      <c r="AC893" s="1606"/>
      <c r="AD893" s="1606"/>
      <c r="AE893" s="1606"/>
      <c r="AF893" s="1606"/>
      <c r="AG893" s="1606"/>
      <c r="AH893" s="160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27" t="s">
        <v>976</v>
      </c>
      <c r="D894" s="1628"/>
      <c r="E894" s="1628"/>
      <c r="F894" s="1628"/>
      <c r="G894" s="1628"/>
      <c r="H894" s="1628"/>
      <c r="I894" s="1628"/>
      <c r="J894" s="1628"/>
      <c r="K894" s="1628"/>
      <c r="L894" s="1628"/>
      <c r="M894" s="1628"/>
      <c r="N894" s="1628"/>
      <c r="O894" s="1628"/>
      <c r="P894" s="1628"/>
      <c r="Q894" s="1628"/>
      <c r="R894" s="1628"/>
      <c r="S894" s="1628"/>
      <c r="T894" s="1628"/>
      <c r="U894" s="1628"/>
      <c r="V894" s="1628"/>
      <c r="W894" s="1628"/>
      <c r="X894" s="1628"/>
      <c r="Y894" s="1628"/>
      <c r="Z894" s="1628"/>
      <c r="AA894" s="1628"/>
      <c r="AB894" s="1629"/>
      <c r="AC894" s="1606"/>
      <c r="AD894" s="1606"/>
      <c r="AE894" s="1606"/>
      <c r="AF894" s="1606"/>
      <c r="AG894" s="1606"/>
      <c r="AH894" s="160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83"/>
      <c r="AA898" s="1584"/>
      <c r="AB898" s="1584"/>
      <c r="AC898" s="1584"/>
      <c r="AD898" s="1584"/>
      <c r="AE898" s="1585"/>
      <c r="AF898" s="567"/>
      <c r="AZ898" s="34"/>
      <c r="BB898" s="30"/>
      <c r="BC898" s="850"/>
      <c r="BD898" s="1621"/>
      <c r="BE898" s="162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83"/>
      <c r="AA899" s="1584"/>
      <c r="AB899" s="1584"/>
      <c r="AC899" s="1584"/>
      <c r="AD899" s="1584"/>
      <c r="AE899" s="1585"/>
      <c r="AZ899" s="34"/>
      <c r="BB899" s="30"/>
      <c r="BC899" s="850"/>
      <c r="BD899" s="1621"/>
      <c r="BE899" s="162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83"/>
      <c r="AA900" s="1584"/>
      <c r="AB900" s="1584"/>
      <c r="AC900" s="1584"/>
      <c r="AD900" s="1584"/>
      <c r="AE900" s="1585"/>
      <c r="AZ900" s="34"/>
      <c r="BB900" s="30"/>
      <c r="BC900" s="850"/>
      <c r="BD900" s="1618"/>
      <c r="BE900" s="161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676">
        <f>Z898-(Z899+Z900)</f>
        <v>0</v>
      </c>
      <c r="AA901" s="1677"/>
      <c r="AB901" s="1677"/>
      <c r="AC901" s="1677"/>
      <c r="AD901" s="1677"/>
      <c r="AE901" s="1678"/>
      <c r="AZ901" s="34"/>
      <c r="BB901" s="30"/>
      <c r="BC901" s="850"/>
      <c r="BD901" s="1618"/>
      <c r="BE901" s="161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8"/>
      <c r="BE902" s="161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1"/>
      <c r="BE903" s="161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4"/>
      <c r="BE904" s="1644"/>
      <c r="BF904" s="164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3"/>
      <c r="BE905" s="1643"/>
      <c r="BF905" s="164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8"/>
      <c r="BE906" s="161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1"/>
      <c r="BE907" s="161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654" t="s">
        <v>96</v>
      </c>
      <c r="B909" s="1654"/>
      <c r="C909" s="1654"/>
      <c r="D909" s="1654"/>
      <c r="E909" s="1654"/>
      <c r="F909" s="1654"/>
      <c r="G909" s="1654"/>
      <c r="H909" s="1654"/>
      <c r="I909" s="1654"/>
      <c r="J909" s="1654"/>
      <c r="K909" s="1654"/>
      <c r="L909" s="1654"/>
      <c r="M909" s="1654"/>
      <c r="N909" s="1654"/>
      <c r="O909" s="1654"/>
      <c r="P909" s="1654"/>
      <c r="Q909" s="1654"/>
      <c r="R909" s="1654"/>
      <c r="S909" s="1654"/>
      <c r="T909" s="1654"/>
      <c r="U909" s="1654"/>
      <c r="V909" s="1654"/>
      <c r="W909" s="1654"/>
      <c r="X909" s="1654"/>
      <c r="Y909" s="1654"/>
      <c r="Z909" s="1654"/>
      <c r="AA909" s="1654"/>
      <c r="AB909" s="1654"/>
      <c r="AC909" s="1654"/>
      <c r="AD909" s="1654"/>
      <c r="AE909" s="1654"/>
      <c r="AF909" s="1654"/>
      <c r="AG909" s="1654"/>
      <c r="AH909" s="1654"/>
      <c r="AI909" s="1654"/>
      <c r="AJ909" s="1654"/>
      <c r="AK909" s="1654"/>
      <c r="AL909" s="1654"/>
      <c r="AM909" s="1654"/>
      <c r="AN909" s="1654"/>
      <c r="AO909" s="1654"/>
      <c r="AP909" s="1654"/>
      <c r="AQ909" s="1654"/>
      <c r="AR909" s="1654"/>
      <c r="AS909" s="1654"/>
      <c r="AT909" s="1654"/>
      <c r="AZ909" s="34"/>
      <c r="BA909" s="34"/>
      <c r="BB909" s="30"/>
      <c r="BC909" s="30"/>
      <c r="BD909" s="1621"/>
      <c r="BE909" s="161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654"/>
      <c r="B910" s="1654"/>
      <c r="C910" s="1654"/>
      <c r="D910" s="1654"/>
      <c r="E910" s="1654"/>
      <c r="F910" s="1654"/>
      <c r="G910" s="1654"/>
      <c r="H910" s="1654"/>
      <c r="I910" s="1654"/>
      <c r="J910" s="1654"/>
      <c r="K910" s="1654"/>
      <c r="L910" s="1654"/>
      <c r="M910" s="1654"/>
      <c r="N910" s="1654"/>
      <c r="O910" s="1654"/>
      <c r="P910" s="1654"/>
      <c r="Q910" s="1654"/>
      <c r="R910" s="1654"/>
      <c r="S910" s="1654"/>
      <c r="T910" s="1654"/>
      <c r="U910" s="1654"/>
      <c r="V910" s="1654"/>
      <c r="W910" s="1654"/>
      <c r="X910" s="1654"/>
      <c r="Y910" s="1654"/>
      <c r="Z910" s="1654"/>
      <c r="AA910" s="1654"/>
      <c r="AB910" s="1654"/>
      <c r="AC910" s="1654"/>
      <c r="AD910" s="1654"/>
      <c r="AE910" s="1654"/>
      <c r="AF910" s="1654"/>
      <c r="AG910" s="1654"/>
      <c r="AH910" s="1654"/>
      <c r="AI910" s="1654"/>
      <c r="AJ910" s="1654"/>
      <c r="AK910" s="1654"/>
      <c r="AL910" s="1654"/>
      <c r="AM910" s="1654"/>
      <c r="AN910" s="1654"/>
      <c r="AO910" s="1654"/>
      <c r="AP910" s="1654"/>
      <c r="AQ910" s="1654"/>
      <c r="AR910" s="1654"/>
      <c r="AS910" s="1654"/>
      <c r="AT910" s="165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44" t="s">
        <v>802</v>
      </c>
      <c r="G914" s="1845"/>
      <c r="H914" s="1845"/>
      <c r="I914" s="1845"/>
      <c r="J914" s="1845"/>
      <c r="K914" s="1845"/>
      <c r="L914" s="1845"/>
      <c r="M914" s="1845"/>
      <c r="N914" s="1845"/>
      <c r="O914" s="1845"/>
      <c r="P914" s="1845"/>
      <c r="Q914" s="1845"/>
      <c r="R914" s="1845"/>
      <c r="S914" s="1845"/>
      <c r="T914" s="1846"/>
      <c r="U914" s="1777" t="s">
        <v>31</v>
      </c>
      <c r="V914" s="1724"/>
      <c r="W914" s="1724"/>
      <c r="X914" s="1724"/>
      <c r="Y914" s="1724"/>
      <c r="Z914" s="172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778" t="s">
        <v>828</v>
      </c>
      <c r="G915" s="1779"/>
      <c r="H915" s="1779"/>
      <c r="I915" s="1779"/>
      <c r="J915" s="1779"/>
      <c r="K915" s="1779"/>
      <c r="L915" s="1779"/>
      <c r="M915" s="1779"/>
      <c r="N915" s="1779"/>
      <c r="O915" s="1779"/>
      <c r="P915" s="1779"/>
      <c r="Q915" s="1779"/>
      <c r="R915" s="1779"/>
      <c r="S915" s="1779"/>
      <c r="T915" s="1826"/>
      <c r="U915" s="1778"/>
      <c r="V915" s="1779"/>
      <c r="W915" s="1779"/>
      <c r="X915" s="1779"/>
      <c r="Y915" s="1779"/>
      <c r="Z915" s="177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780"/>
      <c r="G916" s="1726"/>
      <c r="H916" s="1726"/>
      <c r="I916" s="1726"/>
      <c r="J916" s="1726"/>
      <c r="K916" s="1726"/>
      <c r="L916" s="1726"/>
      <c r="M916" s="1726"/>
      <c r="N916" s="1726"/>
      <c r="O916" s="1726"/>
      <c r="P916" s="1726"/>
      <c r="Q916" s="1726"/>
      <c r="R916" s="1726"/>
      <c r="S916" s="1726"/>
      <c r="T916" s="1727"/>
      <c r="U916" s="1780"/>
      <c r="V916" s="1726"/>
      <c r="W916" s="1726"/>
      <c r="X916" s="1726"/>
      <c r="Y916" s="1726"/>
      <c r="Z916" s="1726"/>
      <c r="AA916" s="108"/>
      <c r="AB916" s="1416" t="s">
        <v>392</v>
      </c>
      <c r="AC916" s="1416"/>
      <c r="AD916" s="1416"/>
      <c r="AE916" s="141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768</v>
      </c>
      <c r="G917" s="48"/>
      <c r="H917" s="48"/>
      <c r="I917" s="48"/>
      <c r="J917" s="48"/>
      <c r="K917" s="48"/>
      <c r="L917" s="48"/>
      <c r="M917" s="48"/>
      <c r="N917" s="48"/>
      <c r="O917" s="48"/>
      <c r="P917" s="48"/>
      <c r="Q917" s="48"/>
      <c r="R917" s="48"/>
      <c r="S917" s="48"/>
      <c r="T917" s="49"/>
      <c r="U917" s="1634" t="s">
        <v>554</v>
      </c>
      <c r="V917" s="1417"/>
      <c r="W917" s="1417"/>
      <c r="X917" s="1417"/>
      <c r="Y917" s="1417"/>
      <c r="Z917" s="1418"/>
      <c r="AA917" s="1635">
        <f>AM554</f>
        <v>31217200</v>
      </c>
      <c r="AB917" s="1541"/>
      <c r="AC917" s="1541"/>
      <c r="AD917" s="1541"/>
      <c r="AE917" s="1541"/>
      <c r="AF917" s="163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684</v>
      </c>
      <c r="G918" s="48"/>
      <c r="H918" s="48"/>
      <c r="I918" s="48"/>
      <c r="J918" s="48"/>
      <c r="K918" s="48"/>
      <c r="L918" s="48"/>
      <c r="M918" s="48"/>
      <c r="N918" s="48"/>
      <c r="O918" s="48"/>
      <c r="P918" s="48"/>
      <c r="Q918" s="48"/>
      <c r="R918" s="48"/>
      <c r="S918" s="48"/>
      <c r="T918" s="49"/>
      <c r="U918" s="1634" t="s">
        <v>554</v>
      </c>
      <c r="V918" s="1417"/>
      <c r="W918" s="1417"/>
      <c r="X918" s="1417"/>
      <c r="Y918" s="1417"/>
      <c r="Z918" s="1418"/>
      <c r="AA918" s="1635">
        <f>AM560</f>
        <v>3997871</v>
      </c>
      <c r="AB918" s="1541"/>
      <c r="AC918" s="1541"/>
      <c r="AD918" s="1541"/>
      <c r="AE918" s="1541"/>
      <c r="AF918" s="163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811</v>
      </c>
      <c r="G919" s="5"/>
      <c r="H919" s="5"/>
      <c r="I919" s="5"/>
      <c r="J919" s="5"/>
      <c r="K919" s="5"/>
      <c r="L919" s="5"/>
      <c r="M919" s="5"/>
      <c r="N919" s="5"/>
      <c r="O919" s="5"/>
      <c r="P919" s="5"/>
      <c r="Q919" s="5"/>
      <c r="R919" s="5"/>
      <c r="S919" s="5"/>
      <c r="T919" s="46"/>
      <c r="U919" s="1634" t="s">
        <v>600</v>
      </c>
      <c r="V919" s="1417"/>
      <c r="W919" s="1417"/>
      <c r="X919" s="1417"/>
      <c r="Y919" s="1417"/>
      <c r="Z919" s="1418"/>
      <c r="AA919" s="1635"/>
      <c r="AB919" s="1541"/>
      <c r="AC919" s="1541"/>
      <c r="AD919" s="1541"/>
      <c r="AE919" s="1541"/>
      <c r="AF919" s="163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687</v>
      </c>
      <c r="G920" s="5"/>
      <c r="H920" s="5"/>
      <c r="I920" s="5"/>
      <c r="J920" s="5"/>
      <c r="K920" s="5"/>
      <c r="L920" s="5"/>
      <c r="M920" s="5"/>
      <c r="N920" s="5"/>
      <c r="O920" s="5"/>
      <c r="P920" s="5"/>
      <c r="Q920" s="5"/>
      <c r="R920" s="5"/>
      <c r="S920" s="5"/>
      <c r="T920" s="46"/>
      <c r="U920" s="1634" t="s">
        <v>600</v>
      </c>
      <c r="V920" s="1417"/>
      <c r="W920" s="1417"/>
      <c r="X920" s="1417"/>
      <c r="Y920" s="1417"/>
      <c r="Z920" s="1418"/>
      <c r="AA920" s="1635"/>
      <c r="AB920" s="1541"/>
      <c r="AC920" s="1541"/>
      <c r="AD920" s="1541"/>
      <c r="AE920" s="1541"/>
      <c r="AF920" s="163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796</v>
      </c>
      <c r="G921" s="5"/>
      <c r="H921" s="5"/>
      <c r="I921" s="5"/>
      <c r="J921" s="5"/>
      <c r="K921" s="5"/>
      <c r="L921" s="5"/>
      <c r="M921" s="5"/>
      <c r="N921" s="5"/>
      <c r="O921" s="5"/>
      <c r="P921" s="5"/>
      <c r="Q921" s="5"/>
      <c r="R921" s="5"/>
      <c r="S921" s="5"/>
      <c r="T921" s="46"/>
      <c r="U921" s="1634" t="s">
        <v>600</v>
      </c>
      <c r="V921" s="1417"/>
      <c r="W921" s="1417"/>
      <c r="X921" s="1417"/>
      <c r="Y921" s="1417"/>
      <c r="Z921" s="1418"/>
      <c r="AA921" s="1635"/>
      <c r="AB921" s="1541"/>
      <c r="AC921" s="1541"/>
      <c r="AD921" s="1541"/>
      <c r="AE921" s="1541"/>
      <c r="AF921" s="163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797</v>
      </c>
      <c r="G922" s="5"/>
      <c r="H922" s="5"/>
      <c r="I922" s="5"/>
      <c r="J922" s="5"/>
      <c r="K922" s="5"/>
      <c r="L922" s="5"/>
      <c r="M922" s="5"/>
      <c r="N922" s="5"/>
      <c r="O922" s="5"/>
      <c r="P922" s="5"/>
      <c r="Q922" s="5"/>
      <c r="R922" s="5"/>
      <c r="S922" s="5"/>
      <c r="T922" s="46"/>
      <c r="U922" s="1634" t="s">
        <v>600</v>
      </c>
      <c r="V922" s="1417"/>
      <c r="W922" s="1417"/>
      <c r="X922" s="1417"/>
      <c r="Y922" s="1417"/>
      <c r="Z922" s="1418"/>
      <c r="AA922" s="1635"/>
      <c r="AB922" s="1541"/>
      <c r="AC922" s="1541"/>
      <c r="AD922" s="1541"/>
      <c r="AE922" s="1541"/>
      <c r="AF922" s="163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798</v>
      </c>
      <c r="G923" s="5"/>
      <c r="H923" s="5"/>
      <c r="I923" s="5"/>
      <c r="J923" s="5"/>
      <c r="K923" s="5"/>
      <c r="L923" s="5"/>
      <c r="M923" s="5"/>
      <c r="N923" s="5"/>
      <c r="O923" s="5"/>
      <c r="P923" s="5"/>
      <c r="Q923" s="5"/>
      <c r="R923" s="5"/>
      <c r="S923" s="5"/>
      <c r="T923" s="46"/>
      <c r="U923" s="1634" t="s">
        <v>600</v>
      </c>
      <c r="V923" s="1417"/>
      <c r="W923" s="1417"/>
      <c r="X923" s="1417"/>
      <c r="Y923" s="1417"/>
      <c r="Z923" s="1418"/>
      <c r="AA923" s="1635"/>
      <c r="AB923" s="1541"/>
      <c r="AC923" s="1541"/>
      <c r="AD923" s="1541"/>
      <c r="AE923" s="1541"/>
      <c r="AF923" s="163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686</v>
      </c>
      <c r="G924" s="5"/>
      <c r="H924" s="5"/>
      <c r="I924" s="5"/>
      <c r="J924" s="5"/>
      <c r="K924" s="5"/>
      <c r="L924" s="5"/>
      <c r="M924" s="5"/>
      <c r="N924" s="5"/>
      <c r="O924" s="5"/>
      <c r="P924" s="5"/>
      <c r="Q924" s="5"/>
      <c r="R924" s="5"/>
      <c r="S924" s="5"/>
      <c r="T924" s="46"/>
      <c r="U924" s="1634" t="s">
        <v>600</v>
      </c>
      <c r="V924" s="1417"/>
      <c r="W924" s="1417"/>
      <c r="X924" s="1417"/>
      <c r="Y924" s="1417"/>
      <c r="Z924" s="1418"/>
      <c r="AA924" s="1635"/>
      <c r="AB924" s="1541"/>
      <c r="AC924" s="1541"/>
      <c r="AD924" s="1541"/>
      <c r="AE924" s="1541"/>
      <c r="AF924" s="163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37" t="s">
        <v>2555</v>
      </c>
      <c r="G925" s="1638"/>
      <c r="H925" s="1638"/>
      <c r="I925" s="1638"/>
      <c r="J925" s="1638"/>
      <c r="K925" s="1638"/>
      <c r="L925" s="1638"/>
      <c r="M925" s="1638"/>
      <c r="N925" s="1638"/>
      <c r="O925" s="1638"/>
      <c r="P925" s="1638"/>
      <c r="Q925" s="1638"/>
      <c r="R925" s="1638"/>
      <c r="S925" s="1638"/>
      <c r="T925" s="1639"/>
      <c r="U925" s="1634" t="s">
        <v>600</v>
      </c>
      <c r="V925" s="1417"/>
      <c r="W925" s="1417"/>
      <c r="X925" s="1417"/>
      <c r="Y925" s="1417"/>
      <c r="Z925" s="1418"/>
      <c r="AA925" s="1635"/>
      <c r="AB925" s="1541"/>
      <c r="AC925" s="1541"/>
      <c r="AD925" s="1541"/>
      <c r="AE925" s="1541"/>
      <c r="AF925" s="163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37" t="s">
        <v>688</v>
      </c>
      <c r="G926" s="1638"/>
      <c r="H926" s="1638"/>
      <c r="I926" s="1638"/>
      <c r="J926" s="1638"/>
      <c r="K926" s="1638"/>
      <c r="L926" s="1638"/>
      <c r="M926" s="1638"/>
      <c r="N926" s="1638"/>
      <c r="O926" s="1638"/>
      <c r="P926" s="1638"/>
      <c r="Q926" s="1638"/>
      <c r="R926" s="1638"/>
      <c r="S926" s="1638"/>
      <c r="T926" s="1639"/>
      <c r="U926" s="1634" t="s">
        <v>600</v>
      </c>
      <c r="V926" s="1417"/>
      <c r="W926" s="1417"/>
      <c r="X926" s="1417"/>
      <c r="Y926" s="1417"/>
      <c r="Z926" s="1418"/>
      <c r="AA926" s="1635"/>
      <c r="AB926" s="1541"/>
      <c r="AC926" s="1541"/>
      <c r="AD926" s="1541"/>
      <c r="AE926" s="1541"/>
      <c r="AF926" s="163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37" t="s">
        <v>2556</v>
      </c>
      <c r="G927" s="1638"/>
      <c r="H927" s="1638"/>
      <c r="I927" s="1638"/>
      <c r="J927" s="1638"/>
      <c r="K927" s="1638"/>
      <c r="L927" s="1638"/>
      <c r="M927" s="1638"/>
      <c r="N927" s="1638"/>
      <c r="O927" s="1638"/>
      <c r="P927" s="1638"/>
      <c r="Q927" s="1638"/>
      <c r="R927" s="1638"/>
      <c r="S927" s="1638"/>
      <c r="T927" s="1639"/>
      <c r="U927" s="1634" t="s">
        <v>600</v>
      </c>
      <c r="V927" s="1417"/>
      <c r="W927" s="1417"/>
      <c r="X927" s="1417"/>
      <c r="Y927" s="1417"/>
      <c r="Z927" s="1418"/>
      <c r="AA927" s="1635"/>
      <c r="AB927" s="1541"/>
      <c r="AC927" s="1541"/>
      <c r="AD927" s="1541"/>
      <c r="AE927" s="1541"/>
      <c r="AF927" s="163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37" t="s">
        <v>2557</v>
      </c>
      <c r="G928" s="1638"/>
      <c r="H928" s="1638"/>
      <c r="I928" s="1638"/>
      <c r="J928" s="1638"/>
      <c r="K928" s="1638"/>
      <c r="L928" s="1638"/>
      <c r="M928" s="1638"/>
      <c r="N928" s="1638"/>
      <c r="O928" s="1638"/>
      <c r="P928" s="1638"/>
      <c r="Q928" s="1638"/>
      <c r="R928" s="1638"/>
      <c r="S928" s="1638"/>
      <c r="T928" s="1639"/>
      <c r="U928" s="1634" t="s">
        <v>600</v>
      </c>
      <c r="V928" s="1417"/>
      <c r="W928" s="1417"/>
      <c r="X928" s="1417"/>
      <c r="Y928" s="1417"/>
      <c r="Z928" s="1418"/>
      <c r="AA928" s="1635"/>
      <c r="AB928" s="1541"/>
      <c r="AC928" s="1541"/>
      <c r="AD928" s="1541"/>
      <c r="AE928" s="1541"/>
      <c r="AF928" s="163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37" t="s">
        <v>2558</v>
      </c>
      <c r="G929" s="1638"/>
      <c r="H929" s="1638"/>
      <c r="I929" s="1638"/>
      <c r="J929" s="1638"/>
      <c r="K929" s="1638"/>
      <c r="L929" s="1638"/>
      <c r="M929" s="1638"/>
      <c r="N929" s="1638"/>
      <c r="O929" s="1638"/>
      <c r="P929" s="1638"/>
      <c r="Q929" s="1638"/>
      <c r="R929" s="1638"/>
      <c r="S929" s="1638"/>
      <c r="T929" s="1639"/>
      <c r="U929" s="1634" t="s">
        <v>600</v>
      </c>
      <c r="V929" s="1417"/>
      <c r="W929" s="1417"/>
      <c r="X929" s="1417"/>
      <c r="Y929" s="1417"/>
      <c r="Z929" s="1418"/>
      <c r="AA929" s="1635"/>
      <c r="AB929" s="1541"/>
      <c r="AC929" s="1541"/>
      <c r="AD929" s="1541"/>
      <c r="AE929" s="1541"/>
      <c r="AF929" s="163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37" t="s">
        <v>2559</v>
      </c>
      <c r="G930" s="1638"/>
      <c r="H930" s="1638"/>
      <c r="I930" s="1638"/>
      <c r="J930" s="1638"/>
      <c r="K930" s="1638"/>
      <c r="L930" s="1638"/>
      <c r="M930" s="1638"/>
      <c r="N930" s="1638"/>
      <c r="O930" s="1638"/>
      <c r="P930" s="1638"/>
      <c r="Q930" s="1638"/>
      <c r="R930" s="1638"/>
      <c r="S930" s="1638"/>
      <c r="T930" s="1639"/>
      <c r="U930" s="1634" t="s">
        <v>600</v>
      </c>
      <c r="V930" s="1417"/>
      <c r="W930" s="1417"/>
      <c r="X930" s="1417"/>
      <c r="Y930" s="1417"/>
      <c r="Z930" s="1418"/>
      <c r="AA930" s="1635"/>
      <c r="AB930" s="1541"/>
      <c r="AC930" s="1541"/>
      <c r="AD930" s="1541"/>
      <c r="AE930" s="1541"/>
      <c r="AF930" s="163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37" t="s">
        <v>2560</v>
      </c>
      <c r="G931" s="1638"/>
      <c r="H931" s="1638"/>
      <c r="I931" s="1638"/>
      <c r="J931" s="1638"/>
      <c r="K931" s="1638"/>
      <c r="L931" s="1638"/>
      <c r="M931" s="1638"/>
      <c r="N931" s="1638"/>
      <c r="O931" s="1638"/>
      <c r="P931" s="1638"/>
      <c r="Q931" s="1638"/>
      <c r="R931" s="1638"/>
      <c r="S931" s="1638"/>
      <c r="T931" s="1639"/>
      <c r="U931" s="1634" t="s">
        <v>600</v>
      </c>
      <c r="V931" s="1417"/>
      <c r="W931" s="1417"/>
      <c r="X931" s="1417"/>
      <c r="Y931" s="1417"/>
      <c r="Z931" s="1418"/>
      <c r="AA931" s="1635"/>
      <c r="AB931" s="1541"/>
      <c r="AC931" s="1541"/>
      <c r="AD931" s="1541"/>
      <c r="AE931" s="1541"/>
      <c r="AF931" s="163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685</v>
      </c>
      <c r="G932" s="5"/>
      <c r="H932" s="5"/>
      <c r="I932" s="5"/>
      <c r="J932" s="5"/>
      <c r="K932" s="5"/>
      <c r="L932" s="5"/>
      <c r="M932" s="5"/>
      <c r="N932" s="5"/>
      <c r="O932" s="5"/>
      <c r="P932" s="5"/>
      <c r="Q932" s="5"/>
      <c r="R932" s="5"/>
      <c r="S932" s="5"/>
      <c r="T932" s="46"/>
      <c r="U932" s="1634" t="s">
        <v>600</v>
      </c>
      <c r="V932" s="1417"/>
      <c r="W932" s="1417"/>
      <c r="X932" s="1417"/>
      <c r="Y932" s="1417"/>
      <c r="Z932" s="1418"/>
      <c r="AA932" s="1635"/>
      <c r="AB932" s="1541"/>
      <c r="AC932" s="1541"/>
      <c r="AD932" s="1541"/>
      <c r="AE932" s="1541"/>
      <c r="AF932" s="163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1387</v>
      </c>
      <c r="G933" s="5"/>
      <c r="H933" s="5"/>
      <c r="I933" s="5"/>
      <c r="J933" s="5"/>
      <c r="K933" s="5"/>
      <c r="L933" s="5"/>
      <c r="M933" s="5"/>
      <c r="N933" s="5"/>
      <c r="O933" s="5"/>
      <c r="P933" s="5"/>
      <c r="Q933" s="5"/>
      <c r="R933" s="5"/>
      <c r="S933" s="5"/>
      <c r="T933" s="46"/>
      <c r="U933" s="1634" t="s">
        <v>600</v>
      </c>
      <c r="V933" s="1417"/>
      <c r="W933" s="1417"/>
      <c r="X933" s="1417"/>
      <c r="Y933" s="1417"/>
      <c r="Z933" s="1418"/>
      <c r="AA933" s="1635"/>
      <c r="AB933" s="1541"/>
      <c r="AC933" s="1541"/>
      <c r="AD933" s="1541"/>
      <c r="AE933" s="1541"/>
      <c r="AF933" s="163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812</v>
      </c>
      <c r="G934" s="5"/>
      <c r="H934" s="5"/>
      <c r="I934" s="5"/>
      <c r="J934" s="5"/>
      <c r="K934" s="5"/>
      <c r="L934" s="5"/>
      <c r="M934" s="5"/>
      <c r="N934" s="5"/>
      <c r="O934" s="5"/>
      <c r="P934" s="5"/>
      <c r="Q934" s="5"/>
      <c r="R934" s="5"/>
      <c r="S934" s="5"/>
      <c r="T934" s="46"/>
      <c r="U934" s="1634" t="s">
        <v>600</v>
      </c>
      <c r="V934" s="1417"/>
      <c r="W934" s="1417"/>
      <c r="X934" s="1417"/>
      <c r="Y934" s="1417"/>
      <c r="Z934" s="1418"/>
      <c r="AA934" s="1635"/>
      <c r="AB934" s="1541"/>
      <c r="AC934" s="1541"/>
      <c r="AD934" s="1541"/>
      <c r="AE934" s="1541"/>
      <c r="AF934" s="163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40" t="s">
        <v>2564</v>
      </c>
      <c r="G935" s="1641"/>
      <c r="H935" s="1641"/>
      <c r="I935" s="1641"/>
      <c r="J935" s="1641"/>
      <c r="K935" s="1641"/>
      <c r="L935" s="1641"/>
      <c r="M935" s="1641"/>
      <c r="N935" s="1641"/>
      <c r="O935" s="1641"/>
      <c r="P935" s="1641"/>
      <c r="Q935" s="1641"/>
      <c r="R935" s="1641"/>
      <c r="S935" s="1641"/>
      <c r="T935" s="1642"/>
      <c r="U935" s="1634" t="s">
        <v>600</v>
      </c>
      <c r="V935" s="1417"/>
      <c r="W935" s="1417"/>
      <c r="X935" s="1417"/>
      <c r="Y935" s="1417"/>
      <c r="Z935" s="1418"/>
      <c r="AA935" s="1635"/>
      <c r="AB935" s="1541"/>
      <c r="AC935" s="1541"/>
      <c r="AD935" s="1541"/>
      <c r="AE935" s="1541"/>
      <c r="AF935" s="163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40" t="s">
        <v>2565</v>
      </c>
      <c r="G936" s="1641"/>
      <c r="H936" s="1641"/>
      <c r="I936" s="1641"/>
      <c r="J936" s="1641"/>
      <c r="K936" s="1641"/>
      <c r="L936" s="1641"/>
      <c r="M936" s="1641"/>
      <c r="N936" s="1641"/>
      <c r="O936" s="1641"/>
      <c r="P936" s="1641"/>
      <c r="Q936" s="1641"/>
      <c r="R936" s="1641"/>
      <c r="S936" s="1641"/>
      <c r="T936" s="1642"/>
      <c r="U936" s="1634" t="s">
        <v>600</v>
      </c>
      <c r="V936" s="1417"/>
      <c r="W936" s="1417"/>
      <c r="X936" s="1417"/>
      <c r="Y936" s="1417"/>
      <c r="Z936" s="1418"/>
      <c r="AA936" s="1635"/>
      <c r="AB936" s="1541"/>
      <c r="AC936" s="1541"/>
      <c r="AD936" s="1541"/>
      <c r="AE936" s="1541"/>
      <c r="AF936" s="163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37" t="s">
        <v>2561</v>
      </c>
      <c r="G937" s="1638"/>
      <c r="H937" s="1638"/>
      <c r="I937" s="1638"/>
      <c r="J937" s="1638"/>
      <c r="K937" s="1638"/>
      <c r="L937" s="1638"/>
      <c r="M937" s="1638"/>
      <c r="N937" s="1638"/>
      <c r="O937" s="1638"/>
      <c r="P937" s="1638"/>
      <c r="Q937" s="1638"/>
      <c r="R937" s="1638"/>
      <c r="S937" s="1638"/>
      <c r="T937" s="1639"/>
      <c r="U937" s="1634" t="s">
        <v>600</v>
      </c>
      <c r="V937" s="1417"/>
      <c r="W937" s="1417"/>
      <c r="X937" s="1417"/>
      <c r="Y937" s="1417"/>
      <c r="Z937" s="1418"/>
      <c r="AA937" s="1635"/>
      <c r="AB937" s="1541"/>
      <c r="AC937" s="1541"/>
      <c r="AD937" s="1541"/>
      <c r="AE937" s="1541"/>
      <c r="AF937" s="163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37" t="s">
        <v>2562</v>
      </c>
      <c r="G938" s="1638"/>
      <c r="H938" s="1638"/>
      <c r="I938" s="1638"/>
      <c r="J938" s="1638"/>
      <c r="K938" s="1638"/>
      <c r="L938" s="1638"/>
      <c r="M938" s="1638"/>
      <c r="N938" s="1638"/>
      <c r="O938" s="1638"/>
      <c r="P938" s="1638"/>
      <c r="Q938" s="1638"/>
      <c r="R938" s="1638"/>
      <c r="S938" s="1638"/>
      <c r="T938" s="1639"/>
      <c r="U938" s="1634" t="s">
        <v>600</v>
      </c>
      <c r="V938" s="1417"/>
      <c r="W938" s="1417"/>
      <c r="X938" s="1417"/>
      <c r="Y938" s="1417"/>
      <c r="Z938" s="1418"/>
      <c r="AA938" s="1635"/>
      <c r="AB938" s="1541"/>
      <c r="AC938" s="1541"/>
      <c r="AD938" s="1541"/>
      <c r="AE938" s="1541"/>
      <c r="AF938" s="163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37" t="s">
        <v>2563</v>
      </c>
      <c r="G939" s="1638"/>
      <c r="H939" s="1638"/>
      <c r="I939" s="1638"/>
      <c r="J939" s="1638"/>
      <c r="K939" s="1638"/>
      <c r="L939" s="1638"/>
      <c r="M939" s="1638"/>
      <c r="N939" s="1638"/>
      <c r="O939" s="1638"/>
      <c r="P939" s="1638"/>
      <c r="Q939" s="1638"/>
      <c r="R939" s="1638"/>
      <c r="S939" s="1638"/>
      <c r="T939" s="1639"/>
      <c r="U939" s="1634" t="s">
        <v>600</v>
      </c>
      <c r="V939" s="1417"/>
      <c r="W939" s="1417"/>
      <c r="X939" s="1417"/>
      <c r="Y939" s="1417"/>
      <c r="Z939" s="1418"/>
      <c r="AA939" s="1635"/>
      <c r="AB939" s="1541"/>
      <c r="AC939" s="1541"/>
      <c r="AD939" s="1541"/>
      <c r="AE939" s="1541"/>
      <c r="AF939" s="163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1371</v>
      </c>
      <c r="G940" s="5"/>
      <c r="H940" s="5"/>
      <c r="I940" s="5"/>
      <c r="J940" s="5"/>
      <c r="K940" s="5"/>
      <c r="L940" s="5"/>
      <c r="M940" s="5"/>
      <c r="N940" s="5"/>
      <c r="O940" s="5"/>
      <c r="P940" s="5"/>
      <c r="Q940" s="5"/>
      <c r="R940" s="5"/>
      <c r="S940" s="5"/>
      <c r="T940" s="46"/>
      <c r="U940" s="1634" t="s">
        <v>600</v>
      </c>
      <c r="V940" s="1417"/>
      <c r="W940" s="1417"/>
      <c r="X940" s="1417"/>
      <c r="Y940" s="1417"/>
      <c r="Z940" s="1418"/>
      <c r="AA940" s="1635"/>
      <c r="AB940" s="1541"/>
      <c r="AC940" s="1541"/>
      <c r="AD940" s="1541"/>
      <c r="AE940" s="1541"/>
      <c r="AF940" s="163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40" t="s">
        <v>2566</v>
      </c>
      <c r="G941" s="1641"/>
      <c r="H941" s="1641"/>
      <c r="I941" s="1641"/>
      <c r="J941" s="1641"/>
      <c r="K941" s="1641"/>
      <c r="L941" s="1641"/>
      <c r="M941" s="1641"/>
      <c r="N941" s="1641"/>
      <c r="O941" s="1641"/>
      <c r="P941" s="1641"/>
      <c r="Q941" s="1641"/>
      <c r="R941" s="1641"/>
      <c r="S941" s="1641"/>
      <c r="T941" s="1642"/>
      <c r="U941" s="1634" t="s">
        <v>600</v>
      </c>
      <c r="V941" s="1417"/>
      <c r="W941" s="1417"/>
      <c r="X941" s="1417"/>
      <c r="Y941" s="1417"/>
      <c r="Z941" s="1418"/>
      <c r="AA941" s="1635"/>
      <c r="AB941" s="1541"/>
      <c r="AC941" s="1541"/>
      <c r="AD941" s="1541"/>
      <c r="AE941" s="1541"/>
      <c r="AF941" s="163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1372</v>
      </c>
      <c r="G942" s="5"/>
      <c r="H942" s="5"/>
      <c r="I942" s="5"/>
      <c r="J942" s="5"/>
      <c r="K942" s="5"/>
      <c r="L942" s="5"/>
      <c r="M942" s="5"/>
      <c r="N942" s="5"/>
      <c r="O942" s="5"/>
      <c r="P942" s="5"/>
      <c r="Q942" s="5"/>
      <c r="R942" s="5"/>
      <c r="S942" s="5"/>
      <c r="T942" s="46"/>
      <c r="U942" s="1634" t="s">
        <v>600</v>
      </c>
      <c r="V942" s="1417"/>
      <c r="W942" s="1417"/>
      <c r="X942" s="1417"/>
      <c r="Y942" s="1417"/>
      <c r="Z942" s="1418"/>
      <c r="AA942" s="1635"/>
      <c r="AB942" s="1541"/>
      <c r="AC942" s="1541"/>
      <c r="AD942" s="1541"/>
      <c r="AE942" s="1541"/>
      <c r="AF942" s="163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40" t="s">
        <v>2567</v>
      </c>
      <c r="G943" s="1641"/>
      <c r="H943" s="1641"/>
      <c r="I943" s="1641"/>
      <c r="J943" s="1641"/>
      <c r="K943" s="1641"/>
      <c r="L943" s="1641"/>
      <c r="M943" s="1641"/>
      <c r="N943" s="1641"/>
      <c r="O943" s="1641"/>
      <c r="P943" s="1641"/>
      <c r="Q943" s="1641"/>
      <c r="R943" s="1641"/>
      <c r="S943" s="1641"/>
      <c r="T943" s="1642"/>
      <c r="U943" s="1634" t="s">
        <v>600</v>
      </c>
      <c r="V943" s="1417"/>
      <c r="W943" s="1417"/>
      <c r="X943" s="1417"/>
      <c r="Y943" s="1417"/>
      <c r="Z943" s="1418"/>
      <c r="AA943" s="1635"/>
      <c r="AB943" s="1541"/>
      <c r="AC943" s="1541"/>
      <c r="AD943" s="1541"/>
      <c r="AE943" s="1541"/>
      <c r="AF943" s="163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816</v>
      </c>
      <c r="G944" s="5"/>
      <c r="H944" s="5"/>
      <c r="I944" s="5"/>
      <c r="J944" s="5"/>
      <c r="K944" s="5"/>
      <c r="L944" s="5"/>
      <c r="M944" s="5"/>
      <c r="N944" s="5"/>
      <c r="O944" s="5"/>
      <c r="P944" s="1634" t="s">
        <v>678</v>
      </c>
      <c r="Q944" s="1417"/>
      <c r="R944" s="1417"/>
      <c r="S944" s="1417"/>
      <c r="T944" s="1418"/>
      <c r="U944" s="1634" t="s">
        <v>600</v>
      </c>
      <c r="V944" s="1417"/>
      <c r="W944" s="1417"/>
      <c r="X944" s="1417"/>
      <c r="Y944" s="1417"/>
      <c r="Z944" s="1418"/>
      <c r="AA944" s="1635"/>
      <c r="AB944" s="1541"/>
      <c r="AC944" s="1541"/>
      <c r="AD944" s="1541"/>
      <c r="AE944" s="1541"/>
      <c r="AF944" s="163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37" t="s">
        <v>2554</v>
      </c>
      <c r="G945" s="1638"/>
      <c r="H945" s="1639"/>
      <c r="I945" s="1607" t="s">
        <v>335</v>
      </c>
      <c r="J945" s="1608"/>
      <c r="K945" s="1608"/>
      <c r="L945" s="1608"/>
      <c r="M945" s="1608"/>
      <c r="N945" s="1608"/>
      <c r="O945" s="1608"/>
      <c r="P945" s="1608"/>
      <c r="Q945" s="1608"/>
      <c r="R945" s="1608"/>
      <c r="S945" s="1608"/>
      <c r="T945" s="1609"/>
      <c r="U945" s="1634" t="s">
        <v>600</v>
      </c>
      <c r="V945" s="1417"/>
      <c r="W945" s="1417"/>
      <c r="X945" s="1417"/>
      <c r="Y945" s="1417"/>
      <c r="Z945" s="1418"/>
      <c r="AA945" s="1635"/>
      <c r="AB945" s="1541"/>
      <c r="AC945" s="1541"/>
      <c r="AD945" s="1541"/>
      <c r="AE945" s="1541"/>
      <c r="AF945" s="163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07" t="s">
        <v>335</v>
      </c>
      <c r="J946" s="1608"/>
      <c r="K946" s="1608"/>
      <c r="L946" s="1608"/>
      <c r="M946" s="1608"/>
      <c r="N946" s="1608"/>
      <c r="O946" s="1608"/>
      <c r="P946" s="1608"/>
      <c r="Q946" s="1608"/>
      <c r="R946" s="1608"/>
      <c r="S946" s="1608"/>
      <c r="T946" s="1609"/>
      <c r="U946" s="1634" t="s">
        <v>600</v>
      </c>
      <c r="V946" s="1417"/>
      <c r="W946" s="1417"/>
      <c r="X946" s="1417"/>
      <c r="Y946" s="1417"/>
      <c r="Z946" s="1418"/>
      <c r="AA946" s="1635"/>
      <c r="AB946" s="1541"/>
      <c r="AC946" s="1541"/>
      <c r="AD946" s="1541"/>
      <c r="AE946" s="1541"/>
      <c r="AF946" s="163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825" t="s">
        <v>335</v>
      </c>
      <c r="J947" s="1658"/>
      <c r="K947" s="1658"/>
      <c r="L947" s="1658"/>
      <c r="M947" s="1658"/>
      <c r="N947" s="1658"/>
      <c r="O947" s="1658"/>
      <c r="P947" s="1658"/>
      <c r="Q947" s="1658"/>
      <c r="R947" s="1658"/>
      <c r="S947" s="1658"/>
      <c r="T947" s="1659"/>
      <c r="U947" s="1634" t="s">
        <v>600</v>
      </c>
      <c r="V947" s="1417"/>
      <c r="W947" s="1417"/>
      <c r="X947" s="1417"/>
      <c r="Y947" s="1417"/>
      <c r="Z947" s="1418"/>
      <c r="AA947" s="1635"/>
      <c r="AB947" s="1541"/>
      <c r="AC947" s="1541"/>
      <c r="AD947" s="1541"/>
      <c r="AE947" s="1541"/>
      <c r="AF947" s="163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607" t="s">
        <v>2721</v>
      </c>
      <c r="J948" s="1658"/>
      <c r="K948" s="1658"/>
      <c r="L948" s="1658"/>
      <c r="M948" s="1658"/>
      <c r="N948" s="1658"/>
      <c r="O948" s="1658"/>
      <c r="P948" s="1658"/>
      <c r="Q948" s="1658"/>
      <c r="R948" s="1658"/>
      <c r="S948" s="1658"/>
      <c r="T948" s="1659"/>
      <c r="U948" s="1634" t="s">
        <v>554</v>
      </c>
      <c r="V948" s="1417"/>
      <c r="W948" s="1417"/>
      <c r="X948" s="1417"/>
      <c r="Y948" s="1417"/>
      <c r="Z948" s="1418"/>
      <c r="AA948" s="1635">
        <f>AM555</f>
        <v>4568996</v>
      </c>
      <c r="AB948" s="1541"/>
      <c r="AC948" s="1541"/>
      <c r="AD948" s="1541"/>
      <c r="AE948" s="1541"/>
      <c r="AF948" s="163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825"/>
      <c r="J949" s="1658"/>
      <c r="K949" s="1658"/>
      <c r="L949" s="1658"/>
      <c r="M949" s="1658"/>
      <c r="N949" s="1658"/>
      <c r="O949" s="1658"/>
      <c r="P949" s="1658"/>
      <c r="Q949" s="1658"/>
      <c r="R949" s="1658"/>
      <c r="S949" s="1658"/>
      <c r="T949" s="1659"/>
      <c r="U949" s="1634" t="s">
        <v>600</v>
      </c>
      <c r="V949" s="1417"/>
      <c r="W949" s="1417"/>
      <c r="X949" s="1417"/>
      <c r="Y949" s="1417"/>
      <c r="Z949" s="1418"/>
      <c r="AA949" s="1635"/>
      <c r="AB949" s="1541"/>
      <c r="AC949" s="1541"/>
      <c r="AD949" s="1541"/>
      <c r="AE949" s="1541"/>
      <c r="AF949" s="163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60"/>
      <c r="N954" s="1612"/>
      <c r="O954" s="1612"/>
      <c r="P954" s="1612"/>
      <c r="Q954" s="1612"/>
      <c r="R954" s="1612"/>
      <c r="S954" s="1613"/>
      <c r="U954" s="66" t="s">
        <v>11</v>
      </c>
      <c r="V954" s="5"/>
      <c r="W954" s="5"/>
      <c r="X954" s="5"/>
      <c r="Y954" s="5"/>
      <c r="Z954" s="5"/>
      <c r="AA954" s="5"/>
      <c r="AB954" s="5"/>
      <c r="AC954" s="5"/>
      <c r="AD954" s="46"/>
      <c r="AE954" s="1660"/>
      <c r="AF954" s="1612"/>
      <c r="AG954" s="1612"/>
      <c r="AH954" s="1612"/>
      <c r="AI954" s="1612"/>
      <c r="AJ954" s="1612"/>
      <c r="AK954" s="1613"/>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730"/>
      <c r="N955" s="1488"/>
      <c r="O955" s="1488"/>
      <c r="P955" s="1488"/>
      <c r="Q955" s="1488"/>
      <c r="R955" s="1488"/>
      <c r="S955" s="1731"/>
      <c r="U955" s="66" t="s">
        <v>12</v>
      </c>
      <c r="V955" s="5"/>
      <c r="W955" s="5"/>
      <c r="X955" s="5"/>
      <c r="Y955" s="5"/>
      <c r="Z955" s="5"/>
      <c r="AA955" s="5"/>
      <c r="AB955" s="5"/>
      <c r="AC955" s="5"/>
      <c r="AD955" s="46"/>
      <c r="AE955" s="1730"/>
      <c r="AF955" s="1488"/>
      <c r="AG955" s="1488"/>
      <c r="AH955" s="1488"/>
      <c r="AI955" s="1488"/>
      <c r="AJ955" s="1488"/>
      <c r="AK955" s="1731"/>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893</v>
      </c>
      <c r="D956" s="5"/>
      <c r="E956" s="5"/>
      <c r="J956" s="1645" t="s">
        <v>308</v>
      </c>
      <c r="K956" s="1646"/>
      <c r="L956" s="1646"/>
      <c r="M956" s="1646"/>
      <c r="N956" s="1646"/>
      <c r="O956" s="1646"/>
      <c r="P956" s="1646"/>
      <c r="Q956" s="1646"/>
      <c r="R956" s="1646"/>
      <c r="S956" s="1647"/>
      <c r="U956" s="66" t="s">
        <v>893</v>
      </c>
      <c r="V956" s="5"/>
      <c r="W956" s="5"/>
      <c r="AB956" s="1645" t="s">
        <v>308</v>
      </c>
      <c r="AC956" s="1646"/>
      <c r="AD956" s="1646"/>
      <c r="AE956" s="1646"/>
      <c r="AF956" s="1646"/>
      <c r="AG956" s="1646"/>
      <c r="AH956" s="1646"/>
      <c r="AI956" s="1646"/>
      <c r="AJ956" s="1646"/>
      <c r="AK956" s="164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655"/>
      <c r="N957" s="1656"/>
      <c r="O957" s="1656"/>
      <c r="P957" s="1656"/>
      <c r="Q957" s="1656"/>
      <c r="R957" s="1656"/>
      <c r="S957" s="1657"/>
      <c r="U957" s="66" t="s">
        <v>13</v>
      </c>
      <c r="V957" s="5"/>
      <c r="W957" s="5"/>
      <c r="X957" s="5"/>
      <c r="Y957" s="5"/>
      <c r="Z957" s="5"/>
      <c r="AA957" s="5"/>
      <c r="AB957" s="5"/>
      <c r="AC957" s="5"/>
      <c r="AD957" s="46"/>
      <c r="AE957" s="1729"/>
      <c r="AF957" s="1656"/>
      <c r="AG957" s="1656"/>
      <c r="AH957" s="1656"/>
      <c r="AI957" s="1656"/>
      <c r="AJ957" s="1656"/>
      <c r="AK957" s="165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739"/>
      <c r="N958" s="1597"/>
      <c r="O958" s="1597"/>
      <c r="P958" s="1597"/>
      <c r="Q958" s="1597"/>
      <c r="R958" s="1597"/>
      <c r="S958" s="1598"/>
      <c r="U958" s="66" t="s">
        <v>14</v>
      </c>
      <c r="V958" s="5"/>
      <c r="W958" s="5"/>
      <c r="X958" s="5"/>
      <c r="Y958" s="5"/>
      <c r="Z958" s="5"/>
      <c r="AA958" s="5"/>
      <c r="AB958" s="5"/>
      <c r="AC958" s="5"/>
      <c r="AD958" s="46"/>
      <c r="AE958" s="1739"/>
      <c r="AF958" s="1597"/>
      <c r="AG958" s="1597"/>
      <c r="AH958" s="1597"/>
      <c r="AI958" s="1597"/>
      <c r="AJ958" s="1597"/>
      <c r="AK958" s="159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35"/>
      <c r="N959" s="1541"/>
      <c r="O959" s="1541"/>
      <c r="P959" s="1541"/>
      <c r="Q959" s="1541"/>
      <c r="R959" s="1541"/>
      <c r="S959" s="1636"/>
      <c r="U959" s="66" t="s">
        <v>15</v>
      </c>
      <c r="V959" s="5"/>
      <c r="W959" s="5"/>
      <c r="X959" s="5"/>
      <c r="Y959" s="5"/>
      <c r="Z959" s="5"/>
      <c r="AA959" s="5"/>
      <c r="AB959" s="5"/>
      <c r="AC959" s="5"/>
      <c r="AD959" s="46"/>
      <c r="AE959" s="1635"/>
      <c r="AF959" s="1541"/>
      <c r="AG959" s="1541"/>
      <c r="AH959" s="1541"/>
      <c r="AI959" s="1541"/>
      <c r="AJ959" s="1541"/>
      <c r="AK959" s="163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35"/>
      <c r="N960" s="1541"/>
      <c r="O960" s="1541"/>
      <c r="P960" s="1541"/>
      <c r="Q960" s="1541"/>
      <c r="R960" s="1541"/>
      <c r="S960" s="1636"/>
      <c r="U960" s="66" t="s">
        <v>16</v>
      </c>
      <c r="V960" s="5"/>
      <c r="W960" s="5"/>
      <c r="X960" s="5"/>
      <c r="Y960" s="5"/>
      <c r="Z960" s="5"/>
      <c r="AA960" s="5"/>
      <c r="AB960" s="5"/>
      <c r="AC960" s="5"/>
      <c r="AD960" s="46"/>
      <c r="AE960" s="1635"/>
      <c r="AF960" s="1541"/>
      <c r="AG960" s="1541"/>
      <c r="AH960" s="1541"/>
      <c r="AI960" s="1541"/>
      <c r="AJ960" s="1541"/>
      <c r="AK960" s="163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1775</v>
      </c>
      <c r="D961" s="5"/>
      <c r="E961" s="5"/>
      <c r="F961" s="5"/>
      <c r="G961" s="5"/>
      <c r="H961" s="5"/>
      <c r="I961" s="5"/>
      <c r="J961" s="5"/>
      <c r="K961" s="5"/>
      <c r="L961" s="46"/>
      <c r="M961" s="1665"/>
      <c r="N961" s="1666"/>
      <c r="O961" s="1666"/>
      <c r="P961" s="1666"/>
      <c r="Q961" s="1666"/>
      <c r="R961" s="1666"/>
      <c r="S961" s="1667"/>
      <c r="U961" s="121" t="s">
        <v>1775</v>
      </c>
      <c r="V961" s="5"/>
      <c r="W961" s="5"/>
      <c r="X961" s="5"/>
      <c r="Y961" s="5"/>
      <c r="Z961" s="5"/>
      <c r="AA961" s="5"/>
      <c r="AB961" s="5"/>
      <c r="AC961" s="5"/>
      <c r="AD961" s="46"/>
      <c r="AE961" s="1665"/>
      <c r="AF961" s="1666"/>
      <c r="AG961" s="1666"/>
      <c r="AH961" s="1666"/>
      <c r="AI961" s="1666"/>
      <c r="AJ961" s="1666"/>
      <c r="AK961" s="166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580</v>
      </c>
      <c r="G966" s="5"/>
      <c r="H966" s="5"/>
      <c r="I966" s="5"/>
      <c r="J966" s="5"/>
      <c r="K966" s="5"/>
      <c r="L966" s="46"/>
      <c r="M966" s="1648"/>
      <c r="N966" s="1649"/>
      <c r="O966" s="1649"/>
      <c r="P966" s="1649"/>
      <c r="Q966" s="1649"/>
      <c r="R966" s="1649"/>
      <c r="S966" s="1650"/>
      <c r="T966" s="66" t="s">
        <v>800</v>
      </c>
      <c r="U966" s="5"/>
      <c r="V966" s="5"/>
      <c r="W966" s="5"/>
      <c r="X966" s="5"/>
      <c r="Y966" s="5"/>
      <c r="Z966" s="46"/>
      <c r="AA966" s="1648"/>
      <c r="AB966" s="1649"/>
      <c r="AC966" s="1649"/>
      <c r="AD966" s="1649"/>
      <c r="AE966" s="1649"/>
      <c r="AF966" s="1649"/>
      <c r="AG966" s="165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581</v>
      </c>
      <c r="G967" s="5"/>
      <c r="H967" s="5"/>
      <c r="I967" s="5"/>
      <c r="J967" s="5"/>
      <c r="K967" s="5"/>
      <c r="L967" s="46"/>
      <c r="M967" s="1648"/>
      <c r="N967" s="1649"/>
      <c r="O967" s="1649"/>
      <c r="P967" s="1649"/>
      <c r="Q967" s="1649"/>
      <c r="R967" s="1649"/>
      <c r="S967" s="1650"/>
      <c r="T967" s="66" t="s">
        <v>799</v>
      </c>
      <c r="U967" s="5"/>
      <c r="V967" s="5"/>
      <c r="W967" s="5"/>
      <c r="X967" s="5"/>
      <c r="Y967" s="5"/>
      <c r="Z967" s="46"/>
      <c r="AA967" s="1648"/>
      <c r="AB967" s="1649"/>
      <c r="AC967" s="1649"/>
      <c r="AD967" s="1649"/>
      <c r="AE967" s="1649"/>
      <c r="AF967" s="1649"/>
      <c r="AG967" s="165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917</v>
      </c>
      <c r="G968" s="5"/>
      <c r="H968" s="5"/>
      <c r="I968" s="5"/>
      <c r="J968" s="5"/>
      <c r="K968" s="5"/>
      <c r="L968" s="46"/>
      <c r="M968" s="1661" t="s">
        <v>600</v>
      </c>
      <c r="N968" s="1662"/>
      <c r="O968" s="1662"/>
      <c r="P968" s="1662"/>
      <c r="Q968" s="1662"/>
      <c r="R968" s="1662"/>
      <c r="S968" s="1663"/>
      <c r="T968" s="45" t="s">
        <v>338</v>
      </c>
      <c r="U968" s="5"/>
      <c r="V968" s="5"/>
      <c r="W968" s="5"/>
      <c r="X968" s="5"/>
      <c r="Y968" s="5"/>
      <c r="Z968" s="46"/>
      <c r="AA968" s="1648"/>
      <c r="AB968" s="1649"/>
      <c r="AC968" s="1649"/>
      <c r="AD968" s="1649"/>
      <c r="AE968" s="1649"/>
      <c r="AF968" s="1649"/>
      <c r="AG968" s="165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582</v>
      </c>
      <c r="G969" s="5"/>
      <c r="H969" s="5"/>
      <c r="I969" s="5"/>
      <c r="J969" s="5"/>
      <c r="K969" s="5"/>
      <c r="L969" s="46"/>
      <c r="M969" s="1648"/>
      <c r="N969" s="1649"/>
      <c r="O969" s="1649"/>
      <c r="P969" s="1649"/>
      <c r="Q969" s="1649"/>
      <c r="R969" s="1649"/>
      <c r="S969" s="1650"/>
      <c r="T969" s="45" t="s">
        <v>339</v>
      </c>
      <c r="U969" s="5"/>
      <c r="V969" s="5"/>
      <c r="W969" s="5"/>
      <c r="X969" s="5"/>
      <c r="Y969" s="5"/>
      <c r="Z969" s="46"/>
      <c r="AA969" s="1648"/>
      <c r="AB969" s="1649"/>
      <c r="AC969" s="1649"/>
      <c r="AD969" s="1649"/>
      <c r="AE969" s="1649"/>
      <c r="AF969" s="1649"/>
      <c r="AG969" s="165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473</v>
      </c>
      <c r="G970" s="5"/>
      <c r="H970" s="5"/>
      <c r="I970" s="5"/>
      <c r="J970" s="5"/>
      <c r="K970" s="5"/>
      <c r="L970" s="46"/>
      <c r="M970" s="1648"/>
      <c r="N970" s="1649"/>
      <c r="O970" s="1649"/>
      <c r="P970" s="1649"/>
      <c r="Q970" s="1649"/>
      <c r="R970" s="1649"/>
      <c r="S970" s="1650"/>
      <c r="T970" s="45" t="s">
        <v>377</v>
      </c>
      <c r="U970" s="5"/>
      <c r="V970" s="5"/>
      <c r="W970" s="5"/>
      <c r="X970" s="5"/>
      <c r="Y970" s="5"/>
      <c r="Z970" s="46"/>
      <c r="AA970" s="1648"/>
      <c r="AB970" s="1649"/>
      <c r="AC970" s="1649"/>
      <c r="AD970" s="1649"/>
      <c r="AE970" s="1649"/>
      <c r="AF970" s="1649"/>
      <c r="AG970" s="165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893</v>
      </c>
      <c r="G971" s="42"/>
      <c r="H971" s="42"/>
      <c r="I971" s="42"/>
      <c r="J971" s="42"/>
      <c r="K971" s="42"/>
      <c r="L971" s="58"/>
      <c r="M971" s="1645" t="s">
        <v>308</v>
      </c>
      <c r="N971" s="1646"/>
      <c r="O971" s="1646"/>
      <c r="P971" s="1646"/>
      <c r="Q971" s="1646"/>
      <c r="R971" s="1646"/>
      <c r="S971" s="1647"/>
      <c r="T971" s="1651"/>
      <c r="U971" s="1652"/>
      <c r="V971" s="1652"/>
      <c r="W971" s="1652"/>
      <c r="X971" s="1652"/>
      <c r="Y971" s="1652"/>
      <c r="Z971" s="1653"/>
      <c r="AA971" s="1648"/>
      <c r="AB971" s="1649"/>
      <c r="AC971" s="1649"/>
      <c r="AD971" s="1649"/>
      <c r="AE971" s="1649"/>
      <c r="AF971" s="1649"/>
      <c r="AG971" s="165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474</v>
      </c>
      <c r="G972" s="42"/>
      <c r="H972" s="42"/>
      <c r="I972" s="42"/>
      <c r="J972" s="42"/>
      <c r="K972" s="42"/>
      <c r="L972" s="58"/>
      <c r="M972" s="1648"/>
      <c r="N972" s="1649"/>
      <c r="O972" s="1649"/>
      <c r="P972" s="1649"/>
      <c r="Q972" s="1649"/>
      <c r="R972" s="1649"/>
      <c r="S972" s="1650"/>
      <c r="T972" s="1651"/>
      <c r="U972" s="1652"/>
      <c r="V972" s="1652"/>
      <c r="W972" s="1652"/>
      <c r="X972" s="1652"/>
      <c r="Y972" s="1652"/>
      <c r="Z972" s="1653"/>
      <c r="AA972" s="1648"/>
      <c r="AB972" s="1649"/>
      <c r="AC972" s="1649"/>
      <c r="AD972" s="1649"/>
      <c r="AE972" s="1649"/>
      <c r="AF972" s="1649"/>
      <c r="AG972" s="165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437" t="s">
        <v>678</v>
      </c>
      <c r="P973" s="1439"/>
      <c r="Q973" s="92"/>
      <c r="R973" s="92"/>
      <c r="S973" s="93"/>
      <c r="T973" s="41" t="s">
        <v>170</v>
      </c>
      <c r="U973" s="42"/>
      <c r="V973" s="42"/>
      <c r="W973" s="1740" t="s">
        <v>335</v>
      </c>
      <c r="X973" s="1741"/>
      <c r="Y973" s="1741"/>
      <c r="Z973" s="1741"/>
      <c r="AA973" s="1741"/>
      <c r="AB973" s="1741"/>
      <c r="AC973" s="1741"/>
      <c r="AD973" s="1741"/>
      <c r="AE973" s="1741"/>
      <c r="AF973" s="1741"/>
      <c r="AG973" s="174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604" t="s">
        <v>33</v>
      </c>
      <c r="G974" s="1382"/>
      <c r="H974" s="1382"/>
      <c r="I974" s="1382"/>
      <c r="J974" s="1382"/>
      <c r="K974" s="1382"/>
      <c r="L974" s="1382"/>
      <c r="M974" s="1648"/>
      <c r="N974" s="1649"/>
      <c r="O974" s="1649"/>
      <c r="P974" s="1649"/>
      <c r="Q974" s="1649"/>
      <c r="R974" s="1649"/>
      <c r="S974" s="1650"/>
      <c r="T974" s="47"/>
      <c r="U974" s="48"/>
      <c r="V974" s="48"/>
      <c r="W974" s="48"/>
      <c r="X974" s="48"/>
      <c r="Y974" s="48"/>
      <c r="Z974" s="124" t="s">
        <v>134</v>
      </c>
      <c r="AA974" s="1781"/>
      <c r="AB974" s="1782"/>
      <c r="AC974" s="1782"/>
      <c r="AD974" s="1782"/>
      <c r="AE974" s="1782"/>
      <c r="AF974" s="1782"/>
      <c r="AG974" s="178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18"/>
      <c r="BH975" s="1618"/>
      <c r="BI975" s="1618"/>
      <c r="BJ975" s="1618"/>
      <c r="BK975" s="1618"/>
      <c r="BL975" s="161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654" t="s">
        <v>557</v>
      </c>
      <c r="B978" s="1654"/>
      <c r="C978" s="1654"/>
      <c r="D978" s="1654"/>
      <c r="E978" s="1654"/>
      <c r="F978" s="1654"/>
      <c r="G978" s="1654"/>
      <c r="H978" s="1654"/>
      <c r="I978" s="1654"/>
      <c r="J978" s="1654"/>
      <c r="K978" s="1654"/>
      <c r="L978" s="1654"/>
      <c r="M978" s="1654"/>
      <c r="N978" s="1654"/>
      <c r="O978" s="1654"/>
      <c r="P978" s="1654"/>
      <c r="Q978" s="1654"/>
      <c r="R978" s="1654"/>
      <c r="S978" s="1654"/>
      <c r="T978" s="1654"/>
      <c r="U978" s="1654"/>
      <c r="V978" s="1654"/>
      <c r="W978" s="1654"/>
      <c r="X978" s="1654"/>
      <c r="Y978" s="1654"/>
      <c r="Z978" s="1654"/>
      <c r="AA978" s="1654"/>
      <c r="AB978" s="1654"/>
      <c r="AC978" s="1654"/>
      <c r="AD978" s="1654"/>
      <c r="AE978" s="1654"/>
      <c r="AF978" s="1654"/>
      <c r="AG978" s="1654"/>
      <c r="AH978" s="1654"/>
      <c r="AI978" s="1654"/>
      <c r="AJ978" s="1654"/>
      <c r="AK978" s="1654"/>
      <c r="AL978" s="1654"/>
      <c r="AM978" s="1654"/>
      <c r="AN978" s="1654"/>
      <c r="AO978" s="1654"/>
      <c r="AP978" s="1654"/>
      <c r="AQ978" s="1654"/>
      <c r="AR978" s="1654"/>
      <c r="AS978" s="1654"/>
      <c r="AT978" s="1654"/>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654"/>
      <c r="B979" s="1654"/>
      <c r="C979" s="1654"/>
      <c r="D979" s="1654"/>
      <c r="E979" s="1654"/>
      <c r="F979" s="1654"/>
      <c r="G979" s="1654"/>
      <c r="H979" s="1654"/>
      <c r="I979" s="1654"/>
      <c r="J979" s="1654"/>
      <c r="K979" s="1654"/>
      <c r="L979" s="1654"/>
      <c r="M979" s="1654"/>
      <c r="N979" s="1654"/>
      <c r="O979" s="1654"/>
      <c r="P979" s="1654"/>
      <c r="Q979" s="1654"/>
      <c r="R979" s="1654"/>
      <c r="S979" s="1654"/>
      <c r="T979" s="1654"/>
      <c r="U979" s="1654"/>
      <c r="V979" s="1654"/>
      <c r="W979" s="1654"/>
      <c r="X979" s="1654"/>
      <c r="Y979" s="1654"/>
      <c r="Z979" s="1654"/>
      <c r="AA979" s="1654"/>
      <c r="AB979" s="1654"/>
      <c r="AC979" s="1654"/>
      <c r="AD979" s="1654"/>
      <c r="AE979" s="1654"/>
      <c r="AF979" s="1654"/>
      <c r="AG979" s="1654"/>
      <c r="AH979" s="1654"/>
      <c r="AI979" s="1654"/>
      <c r="AJ979" s="1654"/>
      <c r="AK979" s="1654"/>
      <c r="AL979" s="1654"/>
      <c r="AM979" s="1654"/>
      <c r="AN979" s="1654"/>
      <c r="AO979" s="1654"/>
      <c r="AP979" s="1654"/>
      <c r="AQ979" s="1654"/>
      <c r="AR979" s="1654"/>
      <c r="AS979" s="1654"/>
      <c r="AT979" s="1654"/>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654"/>
      <c r="B980" s="1654"/>
      <c r="C980" s="1654"/>
      <c r="D980" s="1654"/>
      <c r="E980" s="1654"/>
      <c r="F980" s="1654"/>
      <c r="G980" s="1654"/>
      <c r="H980" s="1654"/>
      <c r="I980" s="1654"/>
      <c r="J980" s="1654"/>
      <c r="K980" s="1654"/>
      <c r="L980" s="1654"/>
      <c r="M980" s="1654"/>
      <c r="N980" s="1654"/>
      <c r="O980" s="1654"/>
      <c r="P980" s="1654"/>
      <c r="Q980" s="1654"/>
      <c r="R980" s="1654"/>
      <c r="S980" s="1654"/>
      <c r="T980" s="1654"/>
      <c r="U980" s="1654"/>
      <c r="V980" s="1654"/>
      <c r="W980" s="1654"/>
      <c r="X980" s="1654"/>
      <c r="Y980" s="1654"/>
      <c r="Z980" s="1654"/>
      <c r="AA980" s="1654"/>
      <c r="AB980" s="1654"/>
      <c r="AC980" s="1654"/>
      <c r="AD980" s="1654"/>
      <c r="AE980" s="1654"/>
      <c r="AF980" s="1654"/>
      <c r="AG980" s="1654"/>
      <c r="AH980" s="1654"/>
      <c r="AI980" s="1654"/>
      <c r="AJ980" s="1654"/>
      <c r="AK980" s="1654"/>
      <c r="AL980" s="1654"/>
      <c r="AM980" s="1654"/>
      <c r="AN980" s="1654"/>
      <c r="AO980" s="1654"/>
      <c r="AP980" s="1654"/>
      <c r="AQ980" s="1654"/>
      <c r="AR980" s="1654"/>
      <c r="AS980" s="1654"/>
      <c r="AT980" s="1654"/>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830" t="s">
        <v>647</v>
      </c>
      <c r="E984" s="1831"/>
      <c r="F984" s="1831"/>
      <c r="G984" s="1831"/>
      <c r="H984" s="1831"/>
      <c r="I984" s="1831"/>
      <c r="J984" s="1831"/>
      <c r="K984" s="1831"/>
      <c r="L984" s="1831"/>
      <c r="M984" s="1831"/>
      <c r="N984" s="1831"/>
      <c r="O984" s="1831"/>
      <c r="P984" s="1831"/>
      <c r="Q984" s="1832"/>
      <c r="R984" s="1830" t="s">
        <v>648</v>
      </c>
      <c r="S984" s="1831"/>
      <c r="T984" s="1831"/>
      <c r="U984" s="1831"/>
      <c r="V984" s="1831"/>
      <c r="W984" s="1831"/>
      <c r="X984" s="1831"/>
      <c r="Y984" s="1831"/>
      <c r="Z984" s="1831"/>
      <c r="AA984" s="1832"/>
      <c r="AB984" s="1830" t="s">
        <v>649</v>
      </c>
      <c r="AC984" s="1831"/>
      <c r="AD984" s="1831"/>
      <c r="AE984" s="1831"/>
      <c r="AF984" s="1831"/>
      <c r="AG984" s="1831"/>
      <c r="AH984" s="1831"/>
      <c r="AI984" s="1832"/>
      <c r="AJ984" s="1830" t="s">
        <v>650</v>
      </c>
      <c r="AK984" s="1831"/>
      <c r="AL984" s="1831"/>
      <c r="AM984" s="1831"/>
      <c r="AN984" s="1831"/>
      <c r="AO984" s="1831"/>
      <c r="AP984" s="1831"/>
      <c r="AQ984" s="183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24" t="s">
        <v>642</v>
      </c>
      <c r="E985" s="1525"/>
      <c r="F985" s="1525"/>
      <c r="G985" s="1525"/>
      <c r="H985" s="1525"/>
      <c r="I985" s="1525"/>
      <c r="J985" s="1525"/>
      <c r="K985" s="1525"/>
      <c r="L985" s="1525"/>
      <c r="M985" s="1525"/>
      <c r="N985" s="1525"/>
      <c r="O985" s="1525"/>
      <c r="P985" s="1525"/>
      <c r="Q985" s="1526"/>
      <c r="R985" s="1732">
        <f>IF(ISNA(IF($BN$796="4%",(INDEX($BP$806:$BT$863,MATCH($CB$796,$BO$806:$BO$863,0),MATCH(D985,$BP$805:$BT$805,0))),(INDEX($BW$806:$CA$863,MATCH($CB$796,$BV$806:$BV$863,0),MATCH(D985,$BW$805:$CA$805,0))))),0,IF($BN$796="4%",(INDEX($BP$806:$BT$863,MATCH($CB$796,$BO$806:$BO$863,0),MATCH(D985,$BP$805:$BT$805,0))),(INDEX($BW$806:$CA$863,MATCH($CB$796,$BV$806:$BV$863,0),MATCH(D985,$BW$805:$CA$805,0)))))</f>
        <v>473390</v>
      </c>
      <c r="S985" s="1732"/>
      <c r="T985" s="1732"/>
      <c r="U985" s="1732"/>
      <c r="V985" s="1732"/>
      <c r="W985" s="1732"/>
      <c r="X985" s="1732"/>
      <c r="Y985" s="1732"/>
      <c r="Z985" s="1732"/>
      <c r="AA985" s="1732"/>
      <c r="AB985" s="1819">
        <f>BN660</f>
        <v>44</v>
      </c>
      <c r="AC985" s="1820"/>
      <c r="AD985" s="1820"/>
      <c r="AE985" s="1820"/>
      <c r="AF985" s="1820"/>
      <c r="AG985" s="1820"/>
      <c r="AH985" s="1820"/>
      <c r="AI985" s="1821"/>
      <c r="AJ985" s="1733">
        <f>IF(ISERROR((R985*AB985)),0,(R985*AB985))</f>
        <v>20829160</v>
      </c>
      <c r="AK985" s="1734"/>
      <c r="AL985" s="1734"/>
      <c r="AM985" s="1734"/>
      <c r="AN985" s="1734"/>
      <c r="AO985" s="1734"/>
      <c r="AP985" s="1734"/>
      <c r="AQ985" s="173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24" t="s">
        <v>326</v>
      </c>
      <c r="E986" s="1525"/>
      <c r="F986" s="1525"/>
      <c r="G986" s="1525"/>
      <c r="H986" s="1525"/>
      <c r="I986" s="1525"/>
      <c r="J986" s="1525"/>
      <c r="K986" s="1525"/>
      <c r="L986" s="1525"/>
      <c r="M986" s="1525"/>
      <c r="N986" s="1525"/>
      <c r="O986" s="1525"/>
      <c r="P986" s="1525"/>
      <c r="Q986" s="1526"/>
      <c r="R986" s="1732">
        <f>IF(ISNA(IF($BN$796="4%",(INDEX($BP$806:$BT$863,MATCH($CB$796,$BO$806:$BO$863,0),MATCH(D986,$BP$805:$BT$805,0))),(INDEX($BW$806:$CA$863,MATCH($CB$796,$BV$806:$BV$863,0),MATCH(D986,$BW$805:$CA$805,0))))),0,IF($BN$796="4%",(INDEX($BP$806:$BT$863,MATCH($CB$796,$BO$806:$BO$863,0),MATCH(D986,$BP$805:$BT$805,0))),(INDEX($BW$806:$CA$863,MATCH($CB$796,$BV$806:$BV$863,0),MATCH(D986,$BW$805:$CA$805,0)))))</f>
        <v>545814</v>
      </c>
      <c r="S986" s="1732"/>
      <c r="T986" s="1732"/>
      <c r="U986" s="1732"/>
      <c r="V986" s="1732"/>
      <c r="W986" s="1732"/>
      <c r="X986" s="1732"/>
      <c r="Y986" s="1732"/>
      <c r="Z986" s="1732"/>
      <c r="AA986" s="1732"/>
      <c r="AB986" s="1819">
        <f>BS660</f>
        <v>24</v>
      </c>
      <c r="AC986" s="1820"/>
      <c r="AD986" s="1820"/>
      <c r="AE986" s="1820"/>
      <c r="AF986" s="1820"/>
      <c r="AG986" s="1820"/>
      <c r="AH986" s="1820"/>
      <c r="AI986" s="1821"/>
      <c r="AJ986" s="1733">
        <f>IF(ISERROR((R986*AB986)),0,(R986*AB986))</f>
        <v>13099536</v>
      </c>
      <c r="AK986" s="1734"/>
      <c r="AL986" s="1734"/>
      <c r="AM986" s="1734"/>
      <c r="AN986" s="1734"/>
      <c r="AO986" s="1734"/>
      <c r="AP986" s="1734"/>
      <c r="AQ986" s="173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24" t="s">
        <v>163</v>
      </c>
      <c r="E987" s="1525"/>
      <c r="F987" s="1525"/>
      <c r="G987" s="1525"/>
      <c r="H987" s="1525"/>
      <c r="I987" s="1525"/>
      <c r="J987" s="1525"/>
      <c r="K987" s="1525"/>
      <c r="L987" s="1525"/>
      <c r="M987" s="1525"/>
      <c r="N987" s="1525"/>
      <c r="O987" s="1525"/>
      <c r="P987" s="1525"/>
      <c r="Q987" s="1526"/>
      <c r="R987" s="1732">
        <f>IF(ISNA(IF($BN$796="4%",(INDEX($BP$806:$BT$863,MATCH($CB$796,$BO$806:$BO$863,0),MATCH(D987,$BP$805:$BT$805,0))),(INDEX($BW$806:$CA$863,MATCH($CB$796,$BV$806:$BV$863,0),MATCH(D987,$BW$805:$CA$805,0))))),0,IF($BN$796="4%",(INDEX($BP$806:$BT$863,MATCH($CB$796,$BO$806:$BO$863,0),MATCH(D987,$BP$805:$BT$805,0))),(INDEX($BW$806:$CA$863,MATCH($CB$796,$BV$806:$BV$863,0),MATCH(D987,$BW$805:$CA$805,0)))))</f>
        <v>658400</v>
      </c>
      <c r="S987" s="1732"/>
      <c r="T987" s="1732"/>
      <c r="U987" s="1732"/>
      <c r="V987" s="1732"/>
      <c r="W987" s="1732"/>
      <c r="X987" s="1732"/>
      <c r="Y987" s="1732"/>
      <c r="Z987" s="1732"/>
      <c r="AA987" s="1732"/>
      <c r="AB987" s="1819">
        <f>BX660</f>
        <v>12</v>
      </c>
      <c r="AC987" s="1820"/>
      <c r="AD987" s="1820"/>
      <c r="AE987" s="1820"/>
      <c r="AF987" s="1820"/>
      <c r="AG987" s="1820"/>
      <c r="AH987" s="1820"/>
      <c r="AI987" s="1821"/>
      <c r="AJ987" s="1733">
        <f>IF(ISERROR((R987*AB987)),0,(R987*AB987))</f>
        <v>7900800</v>
      </c>
      <c r="AK987" s="1734"/>
      <c r="AL987" s="1734"/>
      <c r="AM987" s="1734"/>
      <c r="AN987" s="1734"/>
      <c r="AO987" s="1734"/>
      <c r="AP987" s="1734"/>
      <c r="AQ987" s="173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24" t="s">
        <v>164</v>
      </c>
      <c r="E988" s="1525"/>
      <c r="F988" s="1525"/>
      <c r="G988" s="1525"/>
      <c r="H988" s="1525"/>
      <c r="I988" s="1525"/>
      <c r="J988" s="1525"/>
      <c r="K988" s="1525"/>
      <c r="L988" s="1525"/>
      <c r="M988" s="1525"/>
      <c r="N988" s="1525"/>
      <c r="O988" s="1525"/>
      <c r="P988" s="1525"/>
      <c r="Q988" s="1526"/>
      <c r="R988" s="1732">
        <f>IF(ISNA(IF($BN$796="4%",(INDEX($BP$806:$BT$863,MATCH($CB$796,$BO$806:$BO$863,0),MATCH(D988,$BP$805:$BT$805,0))),(INDEX($BW$806:$CA$863,MATCH($CB$796,$BV$806:$BV$863,0),MATCH(D988,$BW$805:$CA$805,0))))),0,IF($BN$796="4%",(INDEX($BP$806:$BT$863,MATCH($CB$796,$BO$806:$BO$863,0),MATCH(D988,$BP$805:$BT$805,0))),(INDEX($BW$806:$CA$863,MATCH($CB$796,$BV$806:$BV$863,0),MATCH(D988,$BW$805:$CA$805,0)))))</f>
        <v>842752</v>
      </c>
      <c r="S988" s="1732"/>
      <c r="T988" s="1732"/>
      <c r="U988" s="1732"/>
      <c r="V988" s="1732"/>
      <c r="W988" s="1732"/>
      <c r="X988" s="1732"/>
      <c r="Y988" s="1732"/>
      <c r="Z988" s="1732"/>
      <c r="AA988" s="1732"/>
      <c r="AB988" s="1819">
        <f>CC660</f>
        <v>0</v>
      </c>
      <c r="AC988" s="1820"/>
      <c r="AD988" s="1820"/>
      <c r="AE988" s="1820"/>
      <c r="AF988" s="1820"/>
      <c r="AG988" s="1820"/>
      <c r="AH988" s="1820"/>
      <c r="AI988" s="1821"/>
      <c r="AJ988" s="1733">
        <f>IF(ISERROR((R988*AB988)),0,(R988*AB988))</f>
        <v>0</v>
      </c>
      <c r="AK988" s="1734"/>
      <c r="AL988" s="1734"/>
      <c r="AM988" s="1734"/>
      <c r="AN988" s="1734"/>
      <c r="AO988" s="1734"/>
      <c r="AP988" s="1734"/>
      <c r="AQ988" s="173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24" t="s">
        <v>469</v>
      </c>
      <c r="E989" s="1525"/>
      <c r="F989" s="1525"/>
      <c r="G989" s="1525"/>
      <c r="H989" s="1525"/>
      <c r="I989" s="1525"/>
      <c r="J989" s="1525"/>
      <c r="K989" s="1525"/>
      <c r="L989" s="1525"/>
      <c r="M989" s="1525"/>
      <c r="N989" s="1525"/>
      <c r="O989" s="1525"/>
      <c r="P989" s="1525"/>
      <c r="Q989" s="1526"/>
      <c r="R989" s="1732">
        <f>IF(ISNA(IF($BN$796="4%",(INDEX($BP$806:$BT$863,MATCH($CB$796,$BO$806:$BO$863,0),MATCH(D989,$BP$805:$BT$805,0))),(INDEX($BW$806:$CA$863,MATCH($CB$796,$BV$806:$BV$863,0),MATCH(D989,$BW$805:$CA$805,0))))),0,IF($BN$796="4%",(INDEX($BP$806:$BT$863,MATCH($CB$796,$BO$806:$BO$863,0),MATCH(D989,$BP$805:$BT$805,0))),(INDEX($BW$806:$CA$863,MATCH($CB$796,$BV$806:$BV$863,0),MATCH(D989,$BW$805:$CA$805,0)))))</f>
        <v>938878</v>
      </c>
      <c r="S989" s="1732"/>
      <c r="T989" s="1732"/>
      <c r="U989" s="1732"/>
      <c r="V989" s="1732"/>
      <c r="W989" s="1732"/>
      <c r="X989" s="1732"/>
      <c r="Y989" s="1732"/>
      <c r="Z989" s="1732"/>
      <c r="AA989" s="1732"/>
      <c r="AB989" s="1819">
        <f>CM660+CH660</f>
        <v>0</v>
      </c>
      <c r="AC989" s="1820"/>
      <c r="AD989" s="1820"/>
      <c r="AE989" s="1820"/>
      <c r="AF989" s="1820"/>
      <c r="AG989" s="1820"/>
      <c r="AH989" s="1820"/>
      <c r="AI989" s="1821"/>
      <c r="AJ989" s="1733">
        <f>IF(ISERROR((R989*AB989)),0,(R989*AB989))</f>
        <v>0</v>
      </c>
      <c r="AK989" s="1734"/>
      <c r="AL989" s="1734"/>
      <c r="AM989" s="1734"/>
      <c r="AN989" s="1734"/>
      <c r="AO989" s="1734"/>
      <c r="AP989" s="1734"/>
      <c r="AQ989" s="173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801" t="s">
        <v>801</v>
      </c>
      <c r="C990" s="1802"/>
      <c r="D990" s="1802"/>
      <c r="E990" s="1802"/>
      <c r="F990" s="1802"/>
      <c r="G990" s="1802"/>
      <c r="H990" s="1802"/>
      <c r="I990" s="1802"/>
      <c r="J990" s="1802"/>
      <c r="K990" s="1802"/>
      <c r="L990" s="1802"/>
      <c r="M990" s="1802"/>
      <c r="N990" s="1802"/>
      <c r="O990" s="1802"/>
      <c r="P990" s="1802"/>
      <c r="Q990" s="1802"/>
      <c r="R990" s="1802"/>
      <c r="S990" s="1802"/>
      <c r="T990" s="1802"/>
      <c r="U990" s="1802"/>
      <c r="V990" s="1802"/>
      <c r="W990" s="1802"/>
      <c r="X990" s="1802"/>
      <c r="Y990" s="1802"/>
      <c r="Z990" s="1802"/>
      <c r="AA990" s="1803"/>
      <c r="AB990" s="1819">
        <f>SUM(AB985:AI989)</f>
        <v>80</v>
      </c>
      <c r="AC990" s="1820"/>
      <c r="AD990" s="1820"/>
      <c r="AE990" s="1820"/>
      <c r="AF990" s="1820"/>
      <c r="AG990" s="1820"/>
      <c r="AH990" s="1820"/>
      <c r="AI990" s="1821"/>
      <c r="AJ990" s="1733"/>
      <c r="AK990" s="1734"/>
      <c r="AL990" s="1734"/>
      <c r="AM990" s="1734"/>
      <c r="AN990" s="1734"/>
      <c r="AO990" s="1734"/>
      <c r="AP990" s="1734"/>
      <c r="AQ990" s="173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27" t="s">
        <v>521</v>
      </c>
      <c r="C991" s="1828"/>
      <c r="D991" s="1828"/>
      <c r="E991" s="1828"/>
      <c r="F991" s="1828"/>
      <c r="G991" s="1828"/>
      <c r="H991" s="1828"/>
      <c r="I991" s="1828"/>
      <c r="J991" s="1828"/>
      <c r="K991" s="1828"/>
      <c r="L991" s="1828"/>
      <c r="M991" s="1828"/>
      <c r="N991" s="1828"/>
      <c r="O991" s="1828"/>
      <c r="P991" s="1828"/>
      <c r="Q991" s="1828"/>
      <c r="R991" s="1828"/>
      <c r="S991" s="1828"/>
      <c r="T991" s="1828"/>
      <c r="U991" s="1828"/>
      <c r="V991" s="1828"/>
      <c r="W991" s="1828"/>
      <c r="X991" s="1828"/>
      <c r="Y991" s="1828"/>
      <c r="Z991" s="1828"/>
      <c r="AA991" s="1828"/>
      <c r="AB991" s="1828"/>
      <c r="AC991" s="1828"/>
      <c r="AD991" s="1828"/>
      <c r="AE991" s="1828"/>
      <c r="AF991" s="1828"/>
      <c r="AG991" s="1828"/>
      <c r="AH991" s="1828"/>
      <c r="AI991" s="1829"/>
      <c r="AJ991" s="1733">
        <f>SUM(AJ985:AQ989)</f>
        <v>41829496</v>
      </c>
      <c r="AK991" s="1734"/>
      <c r="AL991" s="1734"/>
      <c r="AM991" s="1734"/>
      <c r="AN991" s="1734"/>
      <c r="AO991" s="1734"/>
      <c r="AP991" s="1734"/>
      <c r="AQ991" s="173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793"/>
      <c r="C992" s="1794"/>
      <c r="D992" s="1794"/>
      <c r="E992" s="1794"/>
      <c r="F992" s="1794"/>
      <c r="G992" s="1794"/>
      <c r="H992" s="1794"/>
      <c r="I992" s="1794"/>
      <c r="J992" s="1794"/>
      <c r="K992" s="1794"/>
      <c r="L992" s="1794"/>
      <c r="M992" s="1794"/>
      <c r="N992" s="1794"/>
      <c r="O992" s="1794"/>
      <c r="P992" s="1794"/>
      <c r="Q992" s="1794"/>
      <c r="R992" s="1794"/>
      <c r="S992" s="1794"/>
      <c r="T992" s="1794"/>
      <c r="U992" s="1794"/>
      <c r="V992" s="1794"/>
      <c r="W992" s="1794"/>
      <c r="X992" s="1794"/>
      <c r="Y992" s="1794"/>
      <c r="Z992" s="1794"/>
      <c r="AA992" s="1794"/>
      <c r="AB992" s="1794"/>
      <c r="AC992" s="1794"/>
      <c r="AD992" s="1794"/>
      <c r="AE992" s="1795"/>
      <c r="AF992" s="1836" t="s">
        <v>675</v>
      </c>
      <c r="AG992" s="1837"/>
      <c r="AH992" s="1837"/>
      <c r="AI992" s="1838"/>
      <c r="AJ992" s="1793"/>
      <c r="AK992" s="1794"/>
      <c r="AL992" s="1794"/>
      <c r="AM992" s="1794"/>
      <c r="AN992" s="1794"/>
      <c r="AO992" s="1794"/>
      <c r="AP992" s="1794"/>
      <c r="AQ992" s="1795"/>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677</v>
      </c>
      <c r="D993" s="1796" t="s">
        <v>1327</v>
      </c>
      <c r="E993" s="1797"/>
      <c r="F993" s="1797"/>
      <c r="G993" s="1797"/>
      <c r="H993" s="1797"/>
      <c r="I993" s="1797"/>
      <c r="J993" s="1797"/>
      <c r="K993" s="1797"/>
      <c r="L993" s="1797"/>
      <c r="M993" s="1797"/>
      <c r="N993" s="1797"/>
      <c r="O993" s="1797"/>
      <c r="P993" s="1797"/>
      <c r="Q993" s="1797"/>
      <c r="R993" s="1797"/>
      <c r="S993" s="1797"/>
      <c r="T993" s="1797"/>
      <c r="U993" s="1797"/>
      <c r="V993" s="1797"/>
      <c r="W993" s="1797"/>
      <c r="X993" s="1797"/>
      <c r="Y993" s="1797"/>
      <c r="Z993" s="1797"/>
      <c r="AA993" s="1797"/>
      <c r="AB993" s="1797"/>
      <c r="AC993" s="1797"/>
      <c r="AD993" s="1797"/>
      <c r="AE993" s="1798"/>
      <c r="AF993" s="79"/>
      <c r="AG993" s="1839" t="s">
        <v>678</v>
      </c>
      <c r="AH993" s="1840"/>
      <c r="AI993" s="87"/>
      <c r="AJ993" s="1755">
        <f>ROUND(IF(AND(AG993="yes",D999&gt;0),AJ991*0.2,0),0)</f>
        <v>0</v>
      </c>
      <c r="AK993" s="1756"/>
      <c r="AL993" s="1756"/>
      <c r="AM993" s="1756"/>
      <c r="AN993" s="1756"/>
      <c r="AO993" s="1756"/>
      <c r="AP993" s="1756"/>
      <c r="AQ993" s="175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784" t="s">
        <v>2568</v>
      </c>
      <c r="E994" s="1785"/>
      <c r="F994" s="1785"/>
      <c r="G994" s="1785"/>
      <c r="H994" s="1785"/>
      <c r="I994" s="1785"/>
      <c r="J994" s="1785"/>
      <c r="K994" s="1785"/>
      <c r="L994" s="1785"/>
      <c r="M994" s="1785"/>
      <c r="N994" s="1785"/>
      <c r="O994" s="1785"/>
      <c r="P994" s="1785"/>
      <c r="Q994" s="1785"/>
      <c r="R994" s="1785"/>
      <c r="S994" s="1785"/>
      <c r="T994" s="1785"/>
      <c r="U994" s="1785"/>
      <c r="V994" s="1785"/>
      <c r="W994" s="1785"/>
      <c r="X994" s="1785"/>
      <c r="Y994" s="1785"/>
      <c r="Z994" s="1785"/>
      <c r="AA994" s="1785"/>
      <c r="AB994" s="1785"/>
      <c r="AC994" s="1785"/>
      <c r="AD994" s="1785"/>
      <c r="AE994" s="1786"/>
      <c r="AF994" s="73"/>
      <c r="AG994" s="14"/>
      <c r="AH994" s="14"/>
      <c r="AI994" s="83"/>
      <c r="AJ994" s="1758"/>
      <c r="AK994" s="1759"/>
      <c r="AL994" s="1759"/>
      <c r="AM994" s="1759"/>
      <c r="AN994" s="1759"/>
      <c r="AO994" s="1759"/>
      <c r="AP994" s="1759"/>
      <c r="AQ994" s="176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784"/>
      <c r="E995" s="1785"/>
      <c r="F995" s="1785"/>
      <c r="G995" s="1785"/>
      <c r="H995" s="1785"/>
      <c r="I995" s="1785"/>
      <c r="J995" s="1785"/>
      <c r="K995" s="1785"/>
      <c r="L995" s="1785"/>
      <c r="M995" s="1785"/>
      <c r="N995" s="1785"/>
      <c r="O995" s="1785"/>
      <c r="P995" s="1785"/>
      <c r="Q995" s="1785"/>
      <c r="R995" s="1785"/>
      <c r="S995" s="1785"/>
      <c r="T995" s="1785"/>
      <c r="U995" s="1785"/>
      <c r="V995" s="1785"/>
      <c r="W995" s="1785"/>
      <c r="X995" s="1785"/>
      <c r="Y995" s="1785"/>
      <c r="Z995" s="1785"/>
      <c r="AA995" s="1785"/>
      <c r="AB995" s="1785"/>
      <c r="AC995" s="1785"/>
      <c r="AD995" s="1785"/>
      <c r="AE995" s="1786"/>
      <c r="AF995" s="73"/>
      <c r="AG995" s="14"/>
      <c r="AH995" s="14"/>
      <c r="AI995" s="83"/>
      <c r="AJ995" s="1758"/>
      <c r="AK995" s="1759"/>
      <c r="AL995" s="1759"/>
      <c r="AM995" s="1759"/>
      <c r="AN995" s="1759"/>
      <c r="AO995" s="1759"/>
      <c r="AP995" s="1759"/>
      <c r="AQ995" s="176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784"/>
      <c r="E996" s="1785"/>
      <c r="F996" s="1785"/>
      <c r="G996" s="1785"/>
      <c r="H996" s="1785"/>
      <c r="I996" s="1785"/>
      <c r="J996" s="1785"/>
      <c r="K996" s="1785"/>
      <c r="L996" s="1785"/>
      <c r="M996" s="1785"/>
      <c r="N996" s="1785"/>
      <c r="O996" s="1785"/>
      <c r="P996" s="1785"/>
      <c r="Q996" s="1785"/>
      <c r="R996" s="1785"/>
      <c r="S996" s="1785"/>
      <c r="T996" s="1785"/>
      <c r="U996" s="1785"/>
      <c r="V996" s="1785"/>
      <c r="W996" s="1785"/>
      <c r="X996" s="1785"/>
      <c r="Y996" s="1785"/>
      <c r="Z996" s="1785"/>
      <c r="AA996" s="1785"/>
      <c r="AB996" s="1785"/>
      <c r="AC996" s="1785"/>
      <c r="AD996" s="1785"/>
      <c r="AE996" s="1786"/>
      <c r="AF996" s="73"/>
      <c r="AG996" s="14"/>
      <c r="AH996" s="14"/>
      <c r="AI996" s="83"/>
      <c r="AJ996" s="1758"/>
      <c r="AK996" s="1759"/>
      <c r="AL996" s="1759"/>
      <c r="AM996" s="1759"/>
      <c r="AN996" s="1759"/>
      <c r="AO996" s="1759"/>
      <c r="AP996" s="1759"/>
      <c r="AQ996" s="176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784"/>
      <c r="E997" s="1785"/>
      <c r="F997" s="1785"/>
      <c r="G997" s="1785"/>
      <c r="H997" s="1785"/>
      <c r="I997" s="1785"/>
      <c r="J997" s="1785"/>
      <c r="K997" s="1785"/>
      <c r="L997" s="1785"/>
      <c r="M997" s="1785"/>
      <c r="N997" s="1785"/>
      <c r="O997" s="1785"/>
      <c r="P997" s="1785"/>
      <c r="Q997" s="1785"/>
      <c r="R997" s="1785"/>
      <c r="S997" s="1785"/>
      <c r="T997" s="1785"/>
      <c r="U997" s="1785"/>
      <c r="V997" s="1785"/>
      <c r="W997" s="1785"/>
      <c r="X997" s="1785"/>
      <c r="Y997" s="1785"/>
      <c r="Z997" s="1785"/>
      <c r="AA997" s="1785"/>
      <c r="AB997" s="1785"/>
      <c r="AC997" s="1785"/>
      <c r="AD997" s="1785"/>
      <c r="AE997" s="1786"/>
      <c r="AF997" s="73"/>
      <c r="AG997" s="14"/>
      <c r="AH997" s="14"/>
      <c r="AI997" s="83"/>
      <c r="AJ997" s="1758"/>
      <c r="AK997" s="1759"/>
      <c r="AL997" s="1759"/>
      <c r="AM997" s="1759"/>
      <c r="AN997" s="1759"/>
      <c r="AO997" s="1759"/>
      <c r="AP997" s="1759"/>
      <c r="AQ997" s="176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787" t="s">
        <v>2569</v>
      </c>
      <c r="E998" s="1788"/>
      <c r="F998" s="1788"/>
      <c r="G998" s="1788"/>
      <c r="H998" s="1788"/>
      <c r="I998" s="1788"/>
      <c r="J998" s="1788"/>
      <c r="K998" s="1788"/>
      <c r="L998" s="1788"/>
      <c r="M998" s="1788"/>
      <c r="N998" s="1788"/>
      <c r="O998" s="1788"/>
      <c r="P998" s="1788"/>
      <c r="Q998" s="1788"/>
      <c r="R998" s="1788"/>
      <c r="S998" s="1788"/>
      <c r="T998" s="1788"/>
      <c r="U998" s="1788"/>
      <c r="V998" s="1788"/>
      <c r="W998" s="1788"/>
      <c r="X998" s="1788"/>
      <c r="Y998" s="1788"/>
      <c r="Z998" s="1788"/>
      <c r="AA998" s="1788"/>
      <c r="AB998" s="1788"/>
      <c r="AC998" s="1788"/>
      <c r="AD998" s="1788"/>
      <c r="AE998" s="1789"/>
      <c r="AF998" s="73"/>
      <c r="AG998" s="14"/>
      <c r="AH998" s="14"/>
      <c r="AI998" s="83"/>
      <c r="AJ998" s="1758"/>
      <c r="AK998" s="1759"/>
      <c r="AL998" s="1759"/>
      <c r="AM998" s="1759"/>
      <c r="AN998" s="1759"/>
      <c r="AO998" s="1759"/>
      <c r="AP998" s="1759"/>
      <c r="AQ998" s="176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804"/>
      <c r="E999" s="1805"/>
      <c r="F999" s="1805"/>
      <c r="G999" s="1805"/>
      <c r="H999" s="1805"/>
      <c r="I999" s="1805"/>
      <c r="J999" s="1805"/>
      <c r="K999" s="1805"/>
      <c r="L999" s="1805"/>
      <c r="M999" s="1805"/>
      <c r="N999" s="1805"/>
      <c r="O999" s="1805"/>
      <c r="P999" s="1805"/>
      <c r="Q999" s="1805"/>
      <c r="R999" s="1805"/>
      <c r="S999" s="1805"/>
      <c r="T999" s="1805"/>
      <c r="U999" s="1805"/>
      <c r="V999" s="1805"/>
      <c r="W999" s="1805"/>
      <c r="X999" s="1805"/>
      <c r="Y999" s="1805"/>
      <c r="Z999" s="1805"/>
      <c r="AA999" s="1805"/>
      <c r="AB999" s="1805"/>
      <c r="AC999" s="1805"/>
      <c r="AD999" s="1805"/>
      <c r="AE999" s="1806"/>
      <c r="AF999" s="77"/>
      <c r="AG999" s="7"/>
      <c r="AH999" s="7"/>
      <c r="AI999" s="78"/>
      <c r="AJ999" s="1770"/>
      <c r="AK999" s="1771"/>
      <c r="AL999" s="1771"/>
      <c r="AM999" s="1771"/>
      <c r="AN999" s="1771"/>
      <c r="AO999" s="1771"/>
      <c r="AP999" s="1771"/>
      <c r="AQ999" s="177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761" t="s">
        <v>1396</v>
      </c>
      <c r="E1000" s="1762"/>
      <c r="F1000" s="1762"/>
      <c r="G1000" s="1762"/>
      <c r="H1000" s="1762"/>
      <c r="I1000" s="1762"/>
      <c r="J1000" s="1762"/>
      <c r="K1000" s="1762"/>
      <c r="L1000" s="1762"/>
      <c r="M1000" s="1762"/>
      <c r="N1000" s="1762"/>
      <c r="O1000" s="1762"/>
      <c r="P1000" s="1762"/>
      <c r="Q1000" s="1762"/>
      <c r="R1000" s="1762"/>
      <c r="S1000" s="1762"/>
      <c r="T1000" s="1762"/>
      <c r="U1000" s="1762"/>
      <c r="V1000" s="1762"/>
      <c r="W1000" s="1762"/>
      <c r="X1000" s="1762"/>
      <c r="Y1000" s="1762"/>
      <c r="Z1000" s="1762"/>
      <c r="AA1000" s="1762"/>
      <c r="AB1000" s="1762"/>
      <c r="AC1000" s="1762"/>
      <c r="AD1000" s="1762"/>
      <c r="AE1000" s="1763"/>
      <c r="AF1000" s="79"/>
      <c r="AG1000" s="1748" t="s">
        <v>678</v>
      </c>
      <c r="AH1000" s="1749"/>
      <c r="AI1000" s="87"/>
      <c r="AJ1000" s="1755">
        <f>ROUND(IF(AG1000="yes",AJ991*0.05,0),0)</f>
        <v>0</v>
      </c>
      <c r="AK1000" s="1756"/>
      <c r="AL1000" s="1756"/>
      <c r="AM1000" s="1756"/>
      <c r="AN1000" s="1756"/>
      <c r="AO1000" s="1756"/>
      <c r="AP1000" s="1756"/>
      <c r="AQ1000" s="175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784" t="s">
        <v>1394</v>
      </c>
      <c r="E1001" s="1785"/>
      <c r="F1001" s="1785"/>
      <c r="G1001" s="1785"/>
      <c r="H1001" s="1785"/>
      <c r="I1001" s="1785"/>
      <c r="J1001" s="1785"/>
      <c r="K1001" s="1785"/>
      <c r="L1001" s="1785"/>
      <c r="M1001" s="1785"/>
      <c r="N1001" s="1785"/>
      <c r="O1001" s="1785"/>
      <c r="P1001" s="1785"/>
      <c r="Q1001" s="1785"/>
      <c r="R1001" s="1785"/>
      <c r="S1001" s="1785"/>
      <c r="T1001" s="1785"/>
      <c r="U1001" s="1785"/>
      <c r="V1001" s="1785"/>
      <c r="W1001" s="1785"/>
      <c r="X1001" s="1785"/>
      <c r="Y1001" s="1785"/>
      <c r="Z1001" s="1785"/>
      <c r="AA1001" s="1785"/>
      <c r="AB1001" s="1785"/>
      <c r="AC1001" s="1785"/>
      <c r="AD1001" s="1785"/>
      <c r="AE1001" s="1786"/>
      <c r="AF1001" s="73"/>
      <c r="AG1001" s="14"/>
      <c r="AH1001" s="14"/>
      <c r="AI1001" s="83"/>
      <c r="AJ1001" s="1758"/>
      <c r="AK1001" s="1759"/>
      <c r="AL1001" s="1759"/>
      <c r="AM1001" s="1759"/>
      <c r="AN1001" s="1759"/>
      <c r="AO1001" s="1759"/>
      <c r="AP1001" s="1759"/>
      <c r="AQ1001" s="176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784"/>
      <c r="E1002" s="1785"/>
      <c r="F1002" s="1785"/>
      <c r="G1002" s="1785"/>
      <c r="H1002" s="1785"/>
      <c r="I1002" s="1785"/>
      <c r="J1002" s="1785"/>
      <c r="K1002" s="1785"/>
      <c r="L1002" s="1785"/>
      <c r="M1002" s="1785"/>
      <c r="N1002" s="1785"/>
      <c r="O1002" s="1785"/>
      <c r="P1002" s="1785"/>
      <c r="Q1002" s="1785"/>
      <c r="R1002" s="1785"/>
      <c r="S1002" s="1785"/>
      <c r="T1002" s="1785"/>
      <c r="U1002" s="1785"/>
      <c r="V1002" s="1785"/>
      <c r="W1002" s="1785"/>
      <c r="X1002" s="1785"/>
      <c r="Y1002" s="1785"/>
      <c r="Z1002" s="1785"/>
      <c r="AA1002" s="1785"/>
      <c r="AB1002" s="1785"/>
      <c r="AC1002" s="1785"/>
      <c r="AD1002" s="1785"/>
      <c r="AE1002" s="1786"/>
      <c r="AF1002" s="73"/>
      <c r="AG1002" s="14"/>
      <c r="AH1002" s="14"/>
      <c r="AI1002" s="83"/>
      <c r="AJ1002" s="1758"/>
      <c r="AK1002" s="1759"/>
      <c r="AL1002" s="1759"/>
      <c r="AM1002" s="1759"/>
      <c r="AN1002" s="1759"/>
      <c r="AO1002" s="1759"/>
      <c r="AP1002" s="1759"/>
      <c r="AQ1002" s="1760"/>
      <c r="AR1002" s="68"/>
      <c r="AS1002" s="68"/>
      <c r="AT1002" s="68"/>
      <c r="AU1002" s="68"/>
      <c r="AV1002" s="68"/>
      <c r="AW1002" s="68"/>
      <c r="AX1002" s="68"/>
      <c r="AY1002" s="949">
        <f>G753+O797</f>
        <v>79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784"/>
      <c r="E1003" s="1785"/>
      <c r="F1003" s="1785"/>
      <c r="G1003" s="1785"/>
      <c r="H1003" s="1785"/>
      <c r="I1003" s="1785"/>
      <c r="J1003" s="1785"/>
      <c r="K1003" s="1785"/>
      <c r="L1003" s="1785"/>
      <c r="M1003" s="1785"/>
      <c r="N1003" s="1785"/>
      <c r="O1003" s="1785"/>
      <c r="P1003" s="1785"/>
      <c r="Q1003" s="1785"/>
      <c r="R1003" s="1785"/>
      <c r="S1003" s="1785"/>
      <c r="T1003" s="1785"/>
      <c r="U1003" s="1785"/>
      <c r="V1003" s="1785"/>
      <c r="W1003" s="1785"/>
      <c r="X1003" s="1785"/>
      <c r="Y1003" s="1785"/>
      <c r="Z1003" s="1785"/>
      <c r="AA1003" s="1785"/>
      <c r="AB1003" s="1785"/>
      <c r="AC1003" s="1785"/>
      <c r="AD1003" s="1785"/>
      <c r="AE1003" s="1786"/>
      <c r="AF1003" s="73"/>
      <c r="AG1003" s="14"/>
      <c r="AH1003" s="14"/>
      <c r="AI1003" s="83"/>
      <c r="AJ1003" s="1758"/>
      <c r="AK1003" s="1759"/>
      <c r="AL1003" s="1759"/>
      <c r="AM1003" s="1759"/>
      <c r="AN1003" s="1759"/>
      <c r="AO1003" s="1759"/>
      <c r="AP1003" s="1759"/>
      <c r="AQ1003" s="176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784"/>
      <c r="E1004" s="1785"/>
      <c r="F1004" s="1785"/>
      <c r="G1004" s="1785"/>
      <c r="H1004" s="1785"/>
      <c r="I1004" s="1785"/>
      <c r="J1004" s="1785"/>
      <c r="K1004" s="1785"/>
      <c r="L1004" s="1785"/>
      <c r="M1004" s="1785"/>
      <c r="N1004" s="1785"/>
      <c r="O1004" s="1785"/>
      <c r="P1004" s="1785"/>
      <c r="Q1004" s="1785"/>
      <c r="R1004" s="1785"/>
      <c r="S1004" s="1785"/>
      <c r="T1004" s="1785"/>
      <c r="U1004" s="1785"/>
      <c r="V1004" s="1785"/>
      <c r="W1004" s="1785"/>
      <c r="X1004" s="1785"/>
      <c r="Y1004" s="1785"/>
      <c r="Z1004" s="1785"/>
      <c r="AA1004" s="1785"/>
      <c r="AB1004" s="1785"/>
      <c r="AC1004" s="1785"/>
      <c r="AD1004" s="1785"/>
      <c r="AE1004" s="1786"/>
      <c r="AF1004" s="73"/>
      <c r="AG1004" s="14"/>
      <c r="AH1004" s="14"/>
      <c r="AI1004" s="83"/>
      <c r="AJ1004" s="1758"/>
      <c r="AK1004" s="1759"/>
      <c r="AL1004" s="1759"/>
      <c r="AM1004" s="1759"/>
      <c r="AN1004" s="1759"/>
      <c r="AO1004" s="1759"/>
      <c r="AP1004" s="1759"/>
      <c r="AQ1004" s="1760"/>
      <c r="AR1004" s="68"/>
      <c r="AS1004" s="68"/>
      <c r="AT1004" s="68"/>
      <c r="AU1004" s="68"/>
      <c r="AV1004" s="68"/>
      <c r="AW1004" s="68"/>
      <c r="AX1004" s="68"/>
      <c r="AY1004" s="948">
        <f>ROUNDDOWN(X1047/I1047,2)</f>
        <v>0.28999999999999998</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787"/>
      <c r="E1005" s="1788"/>
      <c r="F1005" s="1788"/>
      <c r="G1005" s="1788"/>
      <c r="H1005" s="1788"/>
      <c r="I1005" s="1788"/>
      <c r="J1005" s="1788"/>
      <c r="K1005" s="1788"/>
      <c r="L1005" s="1788"/>
      <c r="M1005" s="1788"/>
      <c r="N1005" s="1788"/>
      <c r="O1005" s="1788"/>
      <c r="P1005" s="1788"/>
      <c r="Q1005" s="1788"/>
      <c r="R1005" s="1788"/>
      <c r="S1005" s="1788"/>
      <c r="T1005" s="1788"/>
      <c r="U1005" s="1788"/>
      <c r="V1005" s="1788"/>
      <c r="W1005" s="1788"/>
      <c r="X1005" s="1788"/>
      <c r="Y1005" s="1788"/>
      <c r="Z1005" s="1788"/>
      <c r="AA1005" s="1788"/>
      <c r="AB1005" s="1788"/>
      <c r="AC1005" s="1788"/>
      <c r="AD1005" s="1788"/>
      <c r="AE1005" s="1789"/>
      <c r="AF1005" s="77"/>
      <c r="AG1005" s="7"/>
      <c r="AH1005" s="7"/>
      <c r="AI1005" s="78"/>
      <c r="AJ1005" s="1770"/>
      <c r="AK1005" s="1771"/>
      <c r="AL1005" s="1771"/>
      <c r="AM1005" s="1771"/>
      <c r="AN1005" s="1771"/>
      <c r="AO1005" s="1771"/>
      <c r="AP1005" s="1771"/>
      <c r="AQ1005" s="1772"/>
      <c r="AR1005" s="68"/>
      <c r="AS1005" s="68"/>
      <c r="AT1005" s="68"/>
      <c r="AU1005" s="68"/>
      <c r="AV1005" s="68"/>
      <c r="AW1005" s="68"/>
      <c r="AX1005" s="68"/>
      <c r="AY1005" s="948">
        <f>ROUNDDOWN(X1051/I1051,2)</f>
        <v>0.11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681</v>
      </c>
      <c r="D1006" s="1761" t="s">
        <v>1873</v>
      </c>
      <c r="E1006" s="1762"/>
      <c r="F1006" s="1762"/>
      <c r="G1006" s="1762"/>
      <c r="H1006" s="1762"/>
      <c r="I1006" s="1762"/>
      <c r="J1006" s="1762"/>
      <c r="K1006" s="1762"/>
      <c r="L1006" s="1762"/>
      <c r="M1006" s="1762"/>
      <c r="N1006" s="1762"/>
      <c r="O1006" s="1762"/>
      <c r="P1006" s="1762"/>
      <c r="Q1006" s="1762"/>
      <c r="R1006" s="1762"/>
      <c r="S1006" s="1762"/>
      <c r="T1006" s="1762"/>
      <c r="U1006" s="1762"/>
      <c r="V1006" s="1762"/>
      <c r="W1006" s="1762"/>
      <c r="X1006" s="1762"/>
      <c r="Y1006" s="1762"/>
      <c r="Z1006" s="1762"/>
      <c r="AA1006" s="1762"/>
      <c r="AB1006" s="1762"/>
      <c r="AC1006" s="1762"/>
      <c r="AD1006" s="1762"/>
      <c r="AE1006" s="1763"/>
      <c r="AF1006" s="86"/>
      <c r="AG1006" s="1748" t="s">
        <v>554</v>
      </c>
      <c r="AH1006" s="1749"/>
      <c r="AI1006" s="87"/>
      <c r="AJ1006" s="1755">
        <f>ROUND(IF(AG1006="yes",AJ991*0.1,0),0)</f>
        <v>4182950</v>
      </c>
      <c r="AK1006" s="1756"/>
      <c r="AL1006" s="1756"/>
      <c r="AM1006" s="1756"/>
      <c r="AN1006" s="1756"/>
      <c r="AO1006" s="1756"/>
      <c r="AP1006" s="1756"/>
      <c r="AQ1006" s="1757"/>
      <c r="AR1006" s="68"/>
      <c r="AS1006" s="68"/>
      <c r="AT1006" s="68"/>
      <c r="AU1006" s="68"/>
      <c r="AV1006" s="68"/>
      <c r="AW1006" s="68"/>
      <c r="AX1006" s="68"/>
      <c r="BB1006" s="34"/>
      <c r="BD1006" s="34"/>
      <c r="BE1006" s="34"/>
      <c r="BF1006" s="34"/>
    </row>
    <row r="1007" spans="1:157" ht="13" customHeight="1">
      <c r="A1007" s="14"/>
      <c r="B1007" s="73"/>
      <c r="C1007" s="74"/>
      <c r="D1007" s="1764" t="s">
        <v>1395</v>
      </c>
      <c r="E1007" s="1765"/>
      <c r="F1007" s="1765"/>
      <c r="G1007" s="1765"/>
      <c r="H1007" s="1765"/>
      <c r="I1007" s="1765"/>
      <c r="J1007" s="1765"/>
      <c r="K1007" s="1765"/>
      <c r="L1007" s="1765"/>
      <c r="M1007" s="1765"/>
      <c r="N1007" s="1765"/>
      <c r="O1007" s="1765"/>
      <c r="P1007" s="1765"/>
      <c r="Q1007" s="1765"/>
      <c r="R1007" s="1765"/>
      <c r="S1007" s="1765"/>
      <c r="T1007" s="1765"/>
      <c r="U1007" s="1765"/>
      <c r="V1007" s="1765"/>
      <c r="W1007" s="1765"/>
      <c r="X1007" s="1765"/>
      <c r="Y1007" s="1765"/>
      <c r="Z1007" s="1765"/>
      <c r="AA1007" s="1765"/>
      <c r="AB1007" s="1765"/>
      <c r="AC1007" s="1765"/>
      <c r="AD1007" s="1765"/>
      <c r="AE1007" s="1766"/>
      <c r="AF1007" s="73"/>
      <c r="AI1007" s="83"/>
      <c r="AJ1007" s="1758"/>
      <c r="AK1007" s="1759"/>
      <c r="AL1007" s="1759"/>
      <c r="AM1007" s="1759"/>
      <c r="AN1007" s="1759"/>
      <c r="AO1007" s="1759"/>
      <c r="AP1007" s="1759"/>
      <c r="AQ1007" s="1760"/>
      <c r="AR1007" s="68"/>
      <c r="AS1007" s="68"/>
      <c r="AT1007" s="68"/>
      <c r="AU1007" s="68"/>
      <c r="AV1007" s="68"/>
      <c r="AW1007" s="68"/>
      <c r="AX1007" s="68"/>
    </row>
    <row r="1008" spans="1:157" ht="13" customHeight="1">
      <c r="A1008" s="14"/>
      <c r="B1008" s="73"/>
      <c r="C1008" s="74"/>
      <c r="D1008" s="1764"/>
      <c r="E1008" s="1765"/>
      <c r="F1008" s="1765"/>
      <c r="G1008" s="1765"/>
      <c r="H1008" s="1765"/>
      <c r="I1008" s="1765"/>
      <c r="J1008" s="1765"/>
      <c r="K1008" s="1765"/>
      <c r="L1008" s="1765"/>
      <c r="M1008" s="1765"/>
      <c r="N1008" s="1765"/>
      <c r="O1008" s="1765"/>
      <c r="P1008" s="1765"/>
      <c r="Q1008" s="1765"/>
      <c r="R1008" s="1765"/>
      <c r="S1008" s="1765"/>
      <c r="T1008" s="1765"/>
      <c r="U1008" s="1765"/>
      <c r="V1008" s="1765"/>
      <c r="W1008" s="1765"/>
      <c r="X1008" s="1765"/>
      <c r="Y1008" s="1765"/>
      <c r="Z1008" s="1765"/>
      <c r="AA1008" s="1765"/>
      <c r="AB1008" s="1765"/>
      <c r="AC1008" s="1765"/>
      <c r="AD1008" s="1765"/>
      <c r="AE1008" s="1766"/>
      <c r="AF1008" s="73"/>
      <c r="AG1008" s="14"/>
      <c r="AH1008" s="14"/>
      <c r="AI1008" s="83"/>
      <c r="AJ1008" s="1758"/>
      <c r="AK1008" s="1759"/>
      <c r="AL1008" s="1759"/>
      <c r="AM1008" s="1759"/>
      <c r="AN1008" s="1759"/>
      <c r="AO1008" s="1759"/>
      <c r="AP1008" s="1759"/>
      <c r="AQ1008" s="1760"/>
      <c r="AR1008" s="68"/>
      <c r="AS1008" s="68"/>
      <c r="AT1008" s="68"/>
      <c r="AU1008" s="68"/>
      <c r="AV1008" s="68"/>
      <c r="AW1008" s="68"/>
      <c r="AX1008" s="68"/>
    </row>
    <row r="1009" spans="1:51" ht="13" customHeight="1">
      <c r="A1009" s="14"/>
      <c r="B1009" s="85"/>
      <c r="C1009" s="76"/>
      <c r="D1009" s="1767"/>
      <c r="E1009" s="1768"/>
      <c r="F1009" s="1768"/>
      <c r="G1009" s="1768"/>
      <c r="H1009" s="1768"/>
      <c r="I1009" s="1768"/>
      <c r="J1009" s="1768"/>
      <c r="K1009" s="1768"/>
      <c r="L1009" s="1768"/>
      <c r="M1009" s="1768"/>
      <c r="N1009" s="1768"/>
      <c r="O1009" s="1768"/>
      <c r="P1009" s="1768"/>
      <c r="Q1009" s="1768"/>
      <c r="R1009" s="1768"/>
      <c r="S1009" s="1768"/>
      <c r="T1009" s="1768"/>
      <c r="U1009" s="1768"/>
      <c r="V1009" s="1768"/>
      <c r="W1009" s="1768"/>
      <c r="X1009" s="1768"/>
      <c r="Y1009" s="1768"/>
      <c r="Z1009" s="1768"/>
      <c r="AA1009" s="1768"/>
      <c r="AB1009" s="1768"/>
      <c r="AC1009" s="1768"/>
      <c r="AD1009" s="1768"/>
      <c r="AE1009" s="1769"/>
      <c r="AF1009" s="77"/>
      <c r="AG1009" s="7"/>
      <c r="AH1009" s="7"/>
      <c r="AI1009" s="78"/>
      <c r="AJ1009" s="1770"/>
      <c r="AK1009" s="1771"/>
      <c r="AL1009" s="1771"/>
      <c r="AM1009" s="1771"/>
      <c r="AN1009" s="1771"/>
      <c r="AO1009" s="1771"/>
      <c r="AP1009" s="1771"/>
      <c r="AQ1009" s="1772"/>
      <c r="AR1009" s="68"/>
      <c r="AS1009" s="68"/>
      <c r="AT1009" s="68"/>
      <c r="AU1009" s="68"/>
      <c r="AV1009" s="68"/>
      <c r="AW1009" s="68"/>
      <c r="AX1009" s="68"/>
    </row>
    <row r="1010" spans="1:51" ht="13" customHeight="1">
      <c r="A1010" s="14"/>
      <c r="B1010" s="79"/>
      <c r="C1010" s="80" t="s">
        <v>213</v>
      </c>
      <c r="D1010" s="1761" t="s">
        <v>1397</v>
      </c>
      <c r="E1010" s="1762"/>
      <c r="F1010" s="1762"/>
      <c r="G1010" s="1762"/>
      <c r="H1010" s="1762"/>
      <c r="I1010" s="1762"/>
      <c r="J1010" s="1762"/>
      <c r="K1010" s="1762"/>
      <c r="L1010" s="1762"/>
      <c r="M1010" s="1762"/>
      <c r="N1010" s="1762"/>
      <c r="O1010" s="1762"/>
      <c r="P1010" s="1762"/>
      <c r="Q1010" s="1762"/>
      <c r="R1010" s="1762"/>
      <c r="S1010" s="1762"/>
      <c r="T1010" s="1762"/>
      <c r="U1010" s="1762"/>
      <c r="V1010" s="1762"/>
      <c r="W1010" s="1762"/>
      <c r="X1010" s="1762"/>
      <c r="Y1010" s="1762"/>
      <c r="Z1010" s="1762"/>
      <c r="AA1010" s="1762"/>
      <c r="AB1010" s="1762"/>
      <c r="AC1010" s="1762"/>
      <c r="AD1010" s="1762"/>
      <c r="AE1010" s="1763"/>
      <c r="AF1010" s="79"/>
      <c r="AG1010" s="1748" t="s">
        <v>678</v>
      </c>
      <c r="AH1010" s="1749"/>
      <c r="AI1010" s="87"/>
      <c r="AJ1010" s="1755">
        <f>ROUND(IF(AG1010="yes",AJ991*0.02,0),0)</f>
        <v>0</v>
      </c>
      <c r="AK1010" s="1756"/>
      <c r="AL1010" s="1756"/>
      <c r="AM1010" s="1756"/>
      <c r="AN1010" s="1756"/>
      <c r="AO1010" s="1756"/>
      <c r="AP1010" s="1756"/>
      <c r="AQ1010" s="1757"/>
      <c r="AR1010" s="68"/>
      <c r="AS1010" s="68"/>
      <c r="AT1010" s="68"/>
      <c r="AU1010" s="68"/>
      <c r="AV1010" s="68"/>
      <c r="AW1010" s="68"/>
      <c r="AX1010" s="68"/>
      <c r="AY1010" s="215">
        <f>IF(SUM(AY1012:AY1020)&lt;=0.1,SUM(AY1012:AY1020),0.1)</f>
        <v>0</v>
      </c>
    </row>
    <row r="1011" spans="1:51" ht="14.25" customHeight="1">
      <c r="A1011" s="14"/>
      <c r="B1011" s="73"/>
      <c r="C1011" s="74"/>
      <c r="D1011" s="1767" t="s">
        <v>1398</v>
      </c>
      <c r="E1011" s="1768"/>
      <c r="F1011" s="1768"/>
      <c r="G1011" s="1768"/>
      <c r="H1011" s="1768"/>
      <c r="I1011" s="1768"/>
      <c r="J1011" s="1768"/>
      <c r="K1011" s="1768"/>
      <c r="L1011" s="1768"/>
      <c r="M1011" s="1768"/>
      <c r="N1011" s="1768"/>
      <c r="O1011" s="1768"/>
      <c r="P1011" s="1768"/>
      <c r="Q1011" s="1768"/>
      <c r="R1011" s="1768"/>
      <c r="S1011" s="1768"/>
      <c r="T1011" s="1768"/>
      <c r="U1011" s="1768"/>
      <c r="V1011" s="1768"/>
      <c r="W1011" s="1768"/>
      <c r="X1011" s="1768"/>
      <c r="Y1011" s="1768"/>
      <c r="Z1011" s="1768"/>
      <c r="AA1011" s="1768"/>
      <c r="AB1011" s="1768"/>
      <c r="AC1011" s="1768"/>
      <c r="AD1011" s="1768"/>
      <c r="AE1011" s="1769"/>
      <c r="AF1011" s="77"/>
      <c r="AG1011" s="7"/>
      <c r="AH1011" s="7"/>
      <c r="AI1011" s="78"/>
      <c r="AJ1011" s="1770"/>
      <c r="AK1011" s="1771"/>
      <c r="AL1011" s="1771"/>
      <c r="AM1011" s="1771"/>
      <c r="AN1011" s="1771"/>
      <c r="AO1011" s="1771"/>
      <c r="AP1011" s="1771"/>
      <c r="AQ1011" s="1772"/>
      <c r="AR1011" s="68"/>
      <c r="AS1011" s="68"/>
      <c r="AT1011" s="68"/>
      <c r="AU1011" s="68"/>
      <c r="AV1011" s="68"/>
      <c r="AW1011" s="68"/>
      <c r="AX1011" s="68"/>
    </row>
    <row r="1012" spans="1:51" ht="13" customHeight="1">
      <c r="A1012" s="14"/>
      <c r="B1012" s="79"/>
      <c r="C1012" s="80" t="s">
        <v>216</v>
      </c>
      <c r="D1012" s="1761" t="s">
        <v>1399</v>
      </c>
      <c r="E1012" s="1762"/>
      <c r="F1012" s="1762"/>
      <c r="G1012" s="1762"/>
      <c r="H1012" s="1762"/>
      <c r="I1012" s="1762"/>
      <c r="J1012" s="1762"/>
      <c r="K1012" s="1762"/>
      <c r="L1012" s="1762"/>
      <c r="M1012" s="1762"/>
      <c r="N1012" s="1762"/>
      <c r="O1012" s="1762"/>
      <c r="P1012" s="1762"/>
      <c r="Q1012" s="1762"/>
      <c r="R1012" s="1762"/>
      <c r="S1012" s="1762"/>
      <c r="T1012" s="1762"/>
      <c r="U1012" s="1762"/>
      <c r="V1012" s="1762"/>
      <c r="W1012" s="1762"/>
      <c r="X1012" s="1762"/>
      <c r="Y1012" s="1762"/>
      <c r="Z1012" s="1762"/>
      <c r="AA1012" s="1762"/>
      <c r="AB1012" s="1762"/>
      <c r="AC1012" s="1762"/>
      <c r="AD1012" s="1762"/>
      <c r="AE1012" s="1763"/>
      <c r="AF1012" s="79"/>
      <c r="AG1012" s="1748" t="s">
        <v>678</v>
      </c>
      <c r="AH1012" s="1749"/>
      <c r="AI1012" s="79"/>
      <c r="AJ1012" s="1755">
        <f>ROUND(IF(AG1012="yes",AJ991*0.02,0),0)</f>
        <v>0</v>
      </c>
      <c r="AK1012" s="1756"/>
      <c r="AL1012" s="1756"/>
      <c r="AM1012" s="1756"/>
      <c r="AN1012" s="1756"/>
      <c r="AO1012" s="1756"/>
      <c r="AP1012" s="1756"/>
      <c r="AQ1012" s="1757"/>
      <c r="AR1012" s="68"/>
      <c r="AS1012" s="68"/>
      <c r="AT1012" s="68"/>
      <c r="AU1012" s="68"/>
      <c r="AV1012" s="68"/>
      <c r="AW1012" s="68"/>
      <c r="AX1012" s="68"/>
      <c r="AY1012" s="213">
        <f>IF(A1064="Yes",0.05,0)</f>
        <v>0</v>
      </c>
    </row>
    <row r="1013" spans="1:51" ht="13" customHeight="1">
      <c r="A1013" s="14"/>
      <c r="B1013" s="73"/>
      <c r="C1013" s="74"/>
      <c r="D1013" s="1764" t="s">
        <v>1400</v>
      </c>
      <c r="E1013" s="1765"/>
      <c r="F1013" s="1765"/>
      <c r="G1013" s="1765"/>
      <c r="H1013" s="1765"/>
      <c r="I1013" s="1765"/>
      <c r="J1013" s="1765"/>
      <c r="K1013" s="1765"/>
      <c r="L1013" s="1765"/>
      <c r="M1013" s="1765"/>
      <c r="N1013" s="1765"/>
      <c r="O1013" s="1765"/>
      <c r="P1013" s="1765"/>
      <c r="Q1013" s="1765"/>
      <c r="R1013" s="1765"/>
      <c r="S1013" s="1765"/>
      <c r="T1013" s="1765"/>
      <c r="U1013" s="1765"/>
      <c r="V1013" s="1765"/>
      <c r="W1013" s="1765"/>
      <c r="X1013" s="1765"/>
      <c r="Y1013" s="1765"/>
      <c r="Z1013" s="1765"/>
      <c r="AA1013" s="1765"/>
      <c r="AB1013" s="1765"/>
      <c r="AC1013" s="1765"/>
      <c r="AD1013" s="1765"/>
      <c r="AE1013" s="1766"/>
      <c r="AF1013" s="1862" t="str">
        <f>IF(AND(AG1012="yes",AB212&lt;&gt;1),"The project may not be eligible for this boost","")</f>
        <v/>
      </c>
      <c r="AG1013" s="1863"/>
      <c r="AH1013" s="1863"/>
      <c r="AI1013" s="1864"/>
      <c r="AJ1013" s="1758"/>
      <c r="AK1013" s="1759"/>
      <c r="AL1013" s="1759"/>
      <c r="AM1013" s="1759"/>
      <c r="AN1013" s="1759"/>
      <c r="AO1013" s="1759"/>
      <c r="AP1013" s="1759"/>
      <c r="AQ1013" s="1760"/>
      <c r="AR1013" s="68"/>
      <c r="AS1013" s="68"/>
      <c r="AT1013" s="68"/>
      <c r="AU1013" s="68"/>
      <c r="AV1013" s="68"/>
      <c r="AW1013" s="68"/>
      <c r="AX1013" s="68"/>
      <c r="AY1013" s="213">
        <f>IF(A1070="Yes",0.02,0)</f>
        <v>0</v>
      </c>
    </row>
    <row r="1014" spans="1:51" ht="13" customHeight="1">
      <c r="A1014" s="14"/>
      <c r="B1014" s="75"/>
      <c r="C1014" s="76"/>
      <c r="D1014" s="1767"/>
      <c r="E1014" s="1768"/>
      <c r="F1014" s="1768"/>
      <c r="G1014" s="1768"/>
      <c r="H1014" s="1768"/>
      <c r="I1014" s="1768"/>
      <c r="J1014" s="1768"/>
      <c r="K1014" s="1768"/>
      <c r="L1014" s="1768"/>
      <c r="M1014" s="1768"/>
      <c r="N1014" s="1768"/>
      <c r="O1014" s="1768"/>
      <c r="P1014" s="1768"/>
      <c r="Q1014" s="1768"/>
      <c r="R1014" s="1768"/>
      <c r="S1014" s="1768"/>
      <c r="T1014" s="1768"/>
      <c r="U1014" s="1768"/>
      <c r="V1014" s="1768"/>
      <c r="W1014" s="1768"/>
      <c r="X1014" s="1768"/>
      <c r="Y1014" s="1768"/>
      <c r="Z1014" s="1768"/>
      <c r="AA1014" s="1768"/>
      <c r="AB1014" s="1768"/>
      <c r="AC1014" s="1768"/>
      <c r="AD1014" s="1768"/>
      <c r="AE1014" s="1769"/>
      <c r="AF1014" s="1865"/>
      <c r="AG1014" s="1866"/>
      <c r="AH1014" s="1866"/>
      <c r="AI1014" s="1867"/>
      <c r="AJ1014" s="1770"/>
      <c r="AK1014" s="1771"/>
      <c r="AL1014" s="1771"/>
      <c r="AM1014" s="1771"/>
      <c r="AN1014" s="1771"/>
      <c r="AO1014" s="1771"/>
      <c r="AP1014" s="1771"/>
      <c r="AQ1014" s="1772"/>
      <c r="AR1014" s="68"/>
      <c r="AS1014" s="68"/>
      <c r="AT1014" s="68"/>
      <c r="AU1014" s="68"/>
      <c r="AV1014" s="68"/>
      <c r="AW1014" s="68"/>
      <c r="AX1014" s="68"/>
      <c r="AY1014" s="213">
        <f>IF(A1076="Yes",0.04,0)</f>
        <v>0</v>
      </c>
    </row>
    <row r="1015" spans="1:51" ht="13" customHeight="1">
      <c r="A1015" s="14"/>
      <c r="B1015" s="79"/>
      <c r="C1015" s="80" t="s">
        <v>219</v>
      </c>
      <c r="D1015" s="1796" t="s">
        <v>1401</v>
      </c>
      <c r="E1015" s="1797"/>
      <c r="F1015" s="1797"/>
      <c r="G1015" s="1797"/>
      <c r="H1015" s="1797"/>
      <c r="I1015" s="1797"/>
      <c r="J1015" s="1797"/>
      <c r="K1015" s="1797"/>
      <c r="L1015" s="1797"/>
      <c r="M1015" s="1797"/>
      <c r="N1015" s="1797"/>
      <c r="O1015" s="1797"/>
      <c r="P1015" s="1797"/>
      <c r="Q1015" s="1797"/>
      <c r="R1015" s="1797"/>
      <c r="S1015" s="1797"/>
      <c r="T1015" s="1797"/>
      <c r="U1015" s="1797"/>
      <c r="V1015" s="1797"/>
      <c r="W1015" s="1797"/>
      <c r="X1015" s="1797"/>
      <c r="Y1015" s="1797"/>
      <c r="Z1015" s="1797"/>
      <c r="AA1015" s="1797"/>
      <c r="AB1015" s="1797"/>
      <c r="AC1015" s="1797"/>
      <c r="AD1015" s="1797"/>
      <c r="AE1015" s="1798"/>
      <c r="AF1015" s="79"/>
      <c r="AG1015" s="1748" t="s">
        <v>678</v>
      </c>
      <c r="AH1015" s="1749"/>
      <c r="AI1015" s="87"/>
      <c r="AJ1015" s="1755">
        <f>IF(AG1015="yes",AJ991*AY1010,0)</f>
        <v>0</v>
      </c>
      <c r="AK1015" s="1756"/>
      <c r="AL1015" s="1756"/>
      <c r="AM1015" s="1756"/>
      <c r="AN1015" s="1756"/>
      <c r="AO1015" s="1756"/>
      <c r="AP1015" s="1756"/>
      <c r="AQ1015" s="1757"/>
      <c r="AR1015" s="68"/>
      <c r="AS1015" s="68"/>
      <c r="AT1015" s="68"/>
      <c r="AU1015" s="68"/>
      <c r="AV1015" s="68"/>
      <c r="AW1015" s="68"/>
      <c r="AX1015" s="68"/>
      <c r="AY1015" s="213">
        <f>IF(A1083="Yes",0.04,0)</f>
        <v>0</v>
      </c>
    </row>
    <row r="1016" spans="1:51" ht="13" customHeight="1">
      <c r="A1016" s="14"/>
      <c r="B1016" s="73"/>
      <c r="C1016" s="74"/>
      <c r="D1016" s="1764" t="s">
        <v>1402</v>
      </c>
      <c r="E1016" s="1765"/>
      <c r="F1016" s="1765"/>
      <c r="G1016" s="1765"/>
      <c r="H1016" s="1765"/>
      <c r="I1016" s="1765"/>
      <c r="J1016" s="1765"/>
      <c r="K1016" s="1765"/>
      <c r="L1016" s="1765"/>
      <c r="M1016" s="1765"/>
      <c r="N1016" s="1765"/>
      <c r="O1016" s="1765"/>
      <c r="P1016" s="1765"/>
      <c r="Q1016" s="1765"/>
      <c r="R1016" s="1765"/>
      <c r="S1016" s="1765"/>
      <c r="T1016" s="1765"/>
      <c r="U1016" s="1765"/>
      <c r="V1016" s="1765"/>
      <c r="W1016" s="1765"/>
      <c r="X1016" s="1765"/>
      <c r="Y1016" s="1765"/>
      <c r="Z1016" s="1765"/>
      <c r="AA1016" s="1765"/>
      <c r="AB1016" s="1765"/>
      <c r="AC1016" s="1765"/>
      <c r="AD1016" s="1765"/>
      <c r="AE1016" s="1766"/>
      <c r="AF1016" s="1856" t="str">
        <f>IF(AND(AG1015="Yes",AY1010=0),AY1022,"")</f>
        <v/>
      </c>
      <c r="AG1016" s="1857"/>
      <c r="AH1016" s="1857"/>
      <c r="AI1016" s="1858"/>
      <c r="AJ1016" s="1758"/>
      <c r="AK1016" s="1759"/>
      <c r="AL1016" s="1759"/>
      <c r="AM1016" s="1759"/>
      <c r="AN1016" s="1759"/>
      <c r="AO1016" s="1759"/>
      <c r="AP1016" s="1759"/>
      <c r="AQ1016" s="1760"/>
      <c r="AR1016" s="68"/>
      <c r="AS1016" s="68"/>
      <c r="AT1016" s="68"/>
      <c r="AU1016" s="68"/>
      <c r="AV1016" s="68"/>
      <c r="AW1016" s="68"/>
      <c r="AX1016" s="68"/>
      <c r="AY1016" s="213">
        <f>IF(A1086="Yes",0.01,0)</f>
        <v>0</v>
      </c>
    </row>
    <row r="1017" spans="1:51" ht="13" customHeight="1">
      <c r="A1017" s="14"/>
      <c r="B1017" s="73"/>
      <c r="C1017" s="74"/>
      <c r="D1017" s="1764"/>
      <c r="E1017" s="1765"/>
      <c r="F1017" s="1765"/>
      <c r="G1017" s="1765"/>
      <c r="H1017" s="1765"/>
      <c r="I1017" s="1765"/>
      <c r="J1017" s="1765"/>
      <c r="K1017" s="1765"/>
      <c r="L1017" s="1765"/>
      <c r="M1017" s="1765"/>
      <c r="N1017" s="1765"/>
      <c r="O1017" s="1765"/>
      <c r="P1017" s="1765"/>
      <c r="Q1017" s="1765"/>
      <c r="R1017" s="1765"/>
      <c r="S1017" s="1765"/>
      <c r="T1017" s="1765"/>
      <c r="U1017" s="1765"/>
      <c r="V1017" s="1765"/>
      <c r="W1017" s="1765"/>
      <c r="X1017" s="1765"/>
      <c r="Y1017" s="1765"/>
      <c r="Z1017" s="1765"/>
      <c r="AA1017" s="1765"/>
      <c r="AB1017" s="1765"/>
      <c r="AC1017" s="1765"/>
      <c r="AD1017" s="1765"/>
      <c r="AE1017" s="1766"/>
      <c r="AF1017" s="1856"/>
      <c r="AG1017" s="1857"/>
      <c r="AH1017" s="1857"/>
      <c r="AI1017" s="1858"/>
      <c r="AJ1017" s="1758"/>
      <c r="AK1017" s="1759"/>
      <c r="AL1017" s="1759"/>
      <c r="AM1017" s="1759"/>
      <c r="AN1017" s="1759"/>
      <c r="AO1017" s="1759"/>
      <c r="AP1017" s="1759"/>
      <c r="AQ1017" s="1760"/>
      <c r="AR1017" s="68"/>
      <c r="AS1017" s="68"/>
      <c r="AT1017" s="68"/>
      <c r="AU1017" s="68"/>
      <c r="AV1017" s="68"/>
      <c r="AW1017" s="68"/>
      <c r="AX1017" s="68"/>
      <c r="AY1017" s="213">
        <f>IF(A1091="Yes",0.01,0)</f>
        <v>0</v>
      </c>
    </row>
    <row r="1018" spans="1:51" ht="13" customHeight="1">
      <c r="A1018" s="14"/>
      <c r="B1018" s="81"/>
      <c r="C1018" s="82"/>
      <c r="D1018" s="1767"/>
      <c r="E1018" s="1768"/>
      <c r="F1018" s="1768"/>
      <c r="G1018" s="1768"/>
      <c r="H1018" s="1768"/>
      <c r="I1018" s="1768"/>
      <c r="J1018" s="1768"/>
      <c r="K1018" s="1768"/>
      <c r="L1018" s="1768"/>
      <c r="M1018" s="1768"/>
      <c r="N1018" s="1768"/>
      <c r="O1018" s="1768"/>
      <c r="P1018" s="1768"/>
      <c r="Q1018" s="1768"/>
      <c r="R1018" s="1768"/>
      <c r="S1018" s="1768"/>
      <c r="T1018" s="1768"/>
      <c r="U1018" s="1768"/>
      <c r="V1018" s="1768"/>
      <c r="W1018" s="1768"/>
      <c r="X1018" s="1768"/>
      <c r="Y1018" s="1768"/>
      <c r="Z1018" s="1768"/>
      <c r="AA1018" s="1768"/>
      <c r="AB1018" s="1768"/>
      <c r="AC1018" s="1768"/>
      <c r="AD1018" s="1768"/>
      <c r="AE1018" s="1769"/>
      <c r="AF1018" s="1859"/>
      <c r="AG1018" s="1860"/>
      <c r="AH1018" s="1860"/>
      <c r="AI1018" s="1861"/>
      <c r="AJ1018" s="1770"/>
      <c r="AK1018" s="1771"/>
      <c r="AL1018" s="1771"/>
      <c r="AM1018" s="1771"/>
      <c r="AN1018" s="1771"/>
      <c r="AO1018" s="1771"/>
      <c r="AP1018" s="1771"/>
      <c r="AQ1018" s="1772"/>
      <c r="AR1018" s="68"/>
      <c r="AS1018" s="68"/>
      <c r="AT1018" s="68"/>
      <c r="AU1018" s="68"/>
      <c r="AV1018" s="68"/>
      <c r="AW1018" s="68"/>
      <c r="AX1018" s="68"/>
      <c r="AY1018" s="213">
        <f>IF(A1094="Yes",0.01,0)</f>
        <v>0</v>
      </c>
    </row>
    <row r="1019" spans="1:51" ht="13" customHeight="1">
      <c r="A1019" s="14"/>
      <c r="B1019" s="79"/>
      <c r="C1019" s="80" t="s">
        <v>224</v>
      </c>
      <c r="D1019" s="1813" t="s">
        <v>1403</v>
      </c>
      <c r="E1019" s="1814"/>
      <c r="F1019" s="1814"/>
      <c r="G1019" s="1814"/>
      <c r="H1019" s="1814"/>
      <c r="I1019" s="1814"/>
      <c r="J1019" s="1814"/>
      <c r="K1019" s="1814"/>
      <c r="L1019" s="1814"/>
      <c r="M1019" s="1814"/>
      <c r="N1019" s="1814"/>
      <c r="O1019" s="1814"/>
      <c r="P1019" s="1814"/>
      <c r="Q1019" s="1814"/>
      <c r="R1019" s="1814"/>
      <c r="S1019" s="1814"/>
      <c r="T1019" s="1814"/>
      <c r="U1019" s="1814"/>
      <c r="V1019" s="1814"/>
      <c r="W1019" s="1814"/>
      <c r="X1019" s="1814"/>
      <c r="Y1019" s="1814"/>
      <c r="Z1019" s="1814"/>
      <c r="AA1019" s="1814"/>
      <c r="AB1019" s="1814"/>
      <c r="AC1019" s="1814"/>
      <c r="AD1019" s="1814"/>
      <c r="AE1019" s="1815"/>
      <c r="AF1019" s="79"/>
      <c r="AG1019" s="1748" t="s">
        <v>678</v>
      </c>
      <c r="AH1019" s="1749"/>
      <c r="AI1019" s="87"/>
      <c r="AJ1019" s="1755">
        <f>ROUND(IF(AND(AG1019="Yes",J1023&lt;&gt;"N/A",AF1022&lt;&gt;""),MIN(AF1022,(0.15*AJ991)),0),0)</f>
        <v>0</v>
      </c>
      <c r="AK1019" s="1756"/>
      <c r="AL1019" s="1756"/>
      <c r="AM1019" s="1756"/>
      <c r="AN1019" s="1756"/>
      <c r="AO1019" s="1756"/>
      <c r="AP1019" s="1756"/>
      <c r="AQ1019" s="1757"/>
      <c r="AR1019" s="68"/>
      <c r="AS1019" s="68"/>
      <c r="AT1019" s="68"/>
      <c r="AU1019" s="68"/>
      <c r="AV1019" s="68"/>
      <c r="AW1019" s="68"/>
      <c r="AX1019" s="68"/>
      <c r="AY1019" s="213">
        <f>IF(A1098="Yes",0.02,0)</f>
        <v>0</v>
      </c>
    </row>
    <row r="1020" spans="1:51" ht="13" customHeight="1">
      <c r="A1020" s="14"/>
      <c r="B1020" s="81"/>
      <c r="C1020" s="84"/>
      <c r="D1020" s="1816"/>
      <c r="E1020" s="1817"/>
      <c r="F1020" s="1817"/>
      <c r="G1020" s="1817"/>
      <c r="H1020" s="1817"/>
      <c r="I1020" s="1817"/>
      <c r="J1020" s="1817"/>
      <c r="K1020" s="1817"/>
      <c r="L1020" s="1817"/>
      <c r="M1020" s="1817"/>
      <c r="N1020" s="1817"/>
      <c r="O1020" s="1817"/>
      <c r="P1020" s="1817"/>
      <c r="Q1020" s="1817"/>
      <c r="R1020" s="1817"/>
      <c r="S1020" s="1817"/>
      <c r="T1020" s="1817"/>
      <c r="U1020" s="1817"/>
      <c r="V1020" s="1817"/>
      <c r="W1020" s="1817"/>
      <c r="X1020" s="1817"/>
      <c r="Y1020" s="1817"/>
      <c r="Z1020" s="1817"/>
      <c r="AA1020" s="1817"/>
      <c r="AB1020" s="1817"/>
      <c r="AC1020" s="1817"/>
      <c r="AD1020" s="1817"/>
      <c r="AE1020" s="1818"/>
      <c r="AF1020" s="1841" t="str">
        <f>IF(AG1019="yes","Please Select Type and Enter Amount:","")</f>
        <v/>
      </c>
      <c r="AG1020" s="1842"/>
      <c r="AH1020" s="1842"/>
      <c r="AI1020" s="1843"/>
      <c r="AJ1020" s="1758"/>
      <c r="AK1020" s="1759"/>
      <c r="AL1020" s="1759"/>
      <c r="AM1020" s="1759"/>
      <c r="AN1020" s="1759"/>
      <c r="AO1020" s="1759"/>
      <c r="AP1020" s="1759"/>
      <c r="AQ1020" s="1760"/>
      <c r="AR1020" s="68"/>
      <c r="AS1020" s="68"/>
      <c r="AT1020" s="68"/>
      <c r="AU1020" s="68"/>
      <c r="AV1020" s="68"/>
      <c r="AW1020" s="68"/>
      <c r="AX1020" s="68"/>
      <c r="AY1020" s="214">
        <f>IF(A1103="Yes",0.02,0)</f>
        <v>0</v>
      </c>
    </row>
    <row r="1021" spans="1:51" ht="13" customHeight="1">
      <c r="A1021" s="14"/>
      <c r="B1021" s="81"/>
      <c r="C1021" s="84"/>
      <c r="D1021" s="1764" t="s">
        <v>1404</v>
      </c>
      <c r="E1021" s="1765"/>
      <c r="F1021" s="1765"/>
      <c r="G1021" s="1765"/>
      <c r="H1021" s="1765"/>
      <c r="I1021" s="1765"/>
      <c r="J1021" s="1765"/>
      <c r="K1021" s="1765"/>
      <c r="L1021" s="1765"/>
      <c r="M1021" s="1765"/>
      <c r="N1021" s="1765"/>
      <c r="O1021" s="1765"/>
      <c r="P1021" s="1765"/>
      <c r="Q1021" s="1765"/>
      <c r="R1021" s="1765"/>
      <c r="S1021" s="1765"/>
      <c r="T1021" s="1765"/>
      <c r="U1021" s="1765"/>
      <c r="V1021" s="1765"/>
      <c r="W1021" s="1765"/>
      <c r="X1021" s="1765"/>
      <c r="Y1021" s="1765"/>
      <c r="Z1021" s="1765"/>
      <c r="AA1021" s="1765"/>
      <c r="AB1021" s="1765"/>
      <c r="AC1021" s="1765"/>
      <c r="AD1021" s="1765"/>
      <c r="AE1021" s="1766"/>
      <c r="AF1021" s="1841"/>
      <c r="AG1021" s="1842"/>
      <c r="AH1021" s="1842"/>
      <c r="AI1021" s="1843"/>
      <c r="AJ1021" s="1758"/>
      <c r="AK1021" s="1759"/>
      <c r="AL1021" s="1759"/>
      <c r="AM1021" s="1759"/>
      <c r="AN1021" s="1759"/>
      <c r="AO1021" s="1759"/>
      <c r="AP1021" s="1759"/>
      <c r="AQ1021" s="1760"/>
      <c r="AR1021" s="68"/>
      <c r="AS1021" s="68"/>
      <c r="AT1021" s="68"/>
      <c r="AU1021" s="68"/>
      <c r="AV1021" s="68"/>
      <c r="AW1021" s="68"/>
      <c r="AX1021" s="68"/>
      <c r="AY1021" s="68"/>
    </row>
    <row r="1022" spans="1:51" ht="13" customHeight="1">
      <c r="A1022" s="14"/>
      <c r="B1022" s="81"/>
      <c r="C1022" s="84"/>
      <c r="D1022" s="1764"/>
      <c r="E1022" s="1765"/>
      <c r="F1022" s="1765"/>
      <c r="G1022" s="1765"/>
      <c r="H1022" s="1765"/>
      <c r="I1022" s="1765"/>
      <c r="J1022" s="1765"/>
      <c r="K1022" s="1765"/>
      <c r="L1022" s="1765"/>
      <c r="M1022" s="1765"/>
      <c r="N1022" s="1765"/>
      <c r="O1022" s="1765"/>
      <c r="P1022" s="1765"/>
      <c r="Q1022" s="1765"/>
      <c r="R1022" s="1765"/>
      <c r="S1022" s="1765"/>
      <c r="T1022" s="1765"/>
      <c r="U1022" s="1765"/>
      <c r="V1022" s="1765"/>
      <c r="W1022" s="1765"/>
      <c r="X1022" s="1765"/>
      <c r="Y1022" s="1765"/>
      <c r="Z1022" s="1765"/>
      <c r="AA1022" s="1765"/>
      <c r="AB1022" s="1765"/>
      <c r="AC1022" s="1765"/>
      <c r="AD1022" s="1765"/>
      <c r="AE1022" s="1766"/>
      <c r="AF1022" s="1790"/>
      <c r="AG1022" s="1790"/>
      <c r="AH1022" s="1790"/>
      <c r="AI1022" s="1790"/>
      <c r="AJ1022" s="1758"/>
      <c r="AK1022" s="1759"/>
      <c r="AL1022" s="1759"/>
      <c r="AM1022" s="1759"/>
      <c r="AN1022" s="1759"/>
      <c r="AO1022" s="1759"/>
      <c r="AP1022" s="1759"/>
      <c r="AQ1022" s="1760"/>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833" t="s">
        <v>600</v>
      </c>
      <c r="K1023" s="1834"/>
      <c r="L1023" s="1834"/>
      <c r="M1023" s="1834"/>
      <c r="N1023" s="1834"/>
      <c r="O1023" s="1834"/>
      <c r="P1023" s="1834"/>
      <c r="Q1023" s="1834"/>
      <c r="R1023" s="1834"/>
      <c r="S1023" s="1834"/>
      <c r="T1023" s="1834"/>
      <c r="U1023" s="1834"/>
      <c r="V1023" s="1834"/>
      <c r="W1023" s="1834"/>
      <c r="X1023" s="1834"/>
      <c r="Y1023" s="1834"/>
      <c r="Z1023" s="1834"/>
      <c r="AA1023" s="1834"/>
      <c r="AB1023" s="1834"/>
      <c r="AC1023" s="1834"/>
      <c r="AD1023" s="1834"/>
      <c r="AE1023" s="1835"/>
      <c r="AF1023" s="1790"/>
      <c r="AG1023" s="1790"/>
      <c r="AH1023" s="1790"/>
      <c r="AI1023" s="1790"/>
      <c r="AJ1023" s="1770"/>
      <c r="AK1023" s="1771"/>
      <c r="AL1023" s="1771"/>
      <c r="AM1023" s="1771"/>
      <c r="AN1023" s="1771"/>
      <c r="AO1023" s="1771"/>
      <c r="AP1023" s="1771"/>
      <c r="AQ1023" s="1772"/>
      <c r="AR1023" s="68"/>
      <c r="AS1023" s="68"/>
      <c r="AT1023" s="68"/>
      <c r="AU1023" s="68"/>
      <c r="AV1023" s="68"/>
      <c r="AW1023" s="68"/>
      <c r="AX1023" s="68"/>
      <c r="AY1023" s="68"/>
    </row>
    <row r="1024" spans="1:51" ht="13" customHeight="1">
      <c r="A1024" s="14"/>
      <c r="B1024" s="79"/>
      <c r="C1024" s="80" t="s">
        <v>230</v>
      </c>
      <c r="D1024" s="1761" t="s">
        <v>1405</v>
      </c>
      <c r="E1024" s="1762"/>
      <c r="F1024" s="1762"/>
      <c r="G1024" s="1762"/>
      <c r="H1024" s="1762"/>
      <c r="I1024" s="1762"/>
      <c r="J1024" s="1762"/>
      <c r="K1024" s="1762"/>
      <c r="L1024" s="1762"/>
      <c r="M1024" s="1762"/>
      <c r="N1024" s="1762"/>
      <c r="O1024" s="1762"/>
      <c r="P1024" s="1762"/>
      <c r="Q1024" s="1762"/>
      <c r="R1024" s="1762"/>
      <c r="S1024" s="1762"/>
      <c r="T1024" s="1762"/>
      <c r="U1024" s="1762"/>
      <c r="V1024" s="1762"/>
      <c r="W1024" s="1762"/>
      <c r="X1024" s="1762"/>
      <c r="Y1024" s="1762"/>
      <c r="Z1024" s="1762"/>
      <c r="AA1024" s="1762"/>
      <c r="AB1024" s="1762"/>
      <c r="AC1024" s="1762"/>
      <c r="AD1024" s="1762"/>
      <c r="AE1024" s="1763"/>
      <c r="AF1024" s="79"/>
      <c r="AG1024" s="1748" t="s">
        <v>678</v>
      </c>
      <c r="AH1024" s="1749"/>
      <c r="AI1024" s="87"/>
      <c r="AJ1024" s="1755">
        <f>ROUND(IF(AG1024="Yes",AF1026,0),0)</f>
        <v>0</v>
      </c>
      <c r="AK1024" s="1756"/>
      <c r="AL1024" s="1756"/>
      <c r="AM1024" s="1756"/>
      <c r="AN1024" s="1756"/>
      <c r="AO1024" s="1756"/>
      <c r="AP1024" s="1756"/>
      <c r="AQ1024" s="1757"/>
      <c r="AR1024" s="68"/>
      <c r="AS1024" s="68"/>
      <c r="AT1024" s="68"/>
      <c r="AU1024" s="68"/>
      <c r="AV1024" s="68"/>
      <c r="AW1024" s="68"/>
      <c r="AX1024" s="68"/>
      <c r="AY1024" s="68"/>
    </row>
    <row r="1025" spans="1:51" ht="13" customHeight="1">
      <c r="A1025" s="14"/>
      <c r="B1025" s="73"/>
      <c r="C1025" s="74"/>
      <c r="D1025" s="1764" t="s">
        <v>1880</v>
      </c>
      <c r="E1025" s="1765"/>
      <c r="F1025" s="1765"/>
      <c r="G1025" s="1765"/>
      <c r="H1025" s="1765"/>
      <c r="I1025" s="1765"/>
      <c r="J1025" s="1765"/>
      <c r="K1025" s="1765"/>
      <c r="L1025" s="1765"/>
      <c r="M1025" s="1765"/>
      <c r="N1025" s="1765"/>
      <c r="O1025" s="1765"/>
      <c r="P1025" s="1765"/>
      <c r="Q1025" s="1765"/>
      <c r="R1025" s="1765"/>
      <c r="S1025" s="1765"/>
      <c r="T1025" s="1765"/>
      <c r="U1025" s="1765"/>
      <c r="V1025" s="1765"/>
      <c r="W1025" s="1765"/>
      <c r="X1025" s="1765"/>
      <c r="Y1025" s="1765"/>
      <c r="Z1025" s="1765"/>
      <c r="AA1025" s="1765"/>
      <c r="AB1025" s="1765"/>
      <c r="AC1025" s="1765"/>
      <c r="AD1025" s="1765"/>
      <c r="AE1025" s="1766"/>
      <c r="AF1025" s="1822" t="str">
        <f>IF(AG1024="yes","Enter Amount:","")</f>
        <v/>
      </c>
      <c r="AG1025" s="1823"/>
      <c r="AH1025" s="1823"/>
      <c r="AI1025" s="1824"/>
      <c r="AJ1025" s="1758"/>
      <c r="AK1025" s="1759"/>
      <c r="AL1025" s="1759"/>
      <c r="AM1025" s="1759"/>
      <c r="AN1025" s="1759"/>
      <c r="AO1025" s="1759"/>
      <c r="AP1025" s="1759"/>
      <c r="AQ1025" s="1760"/>
      <c r="AR1025" s="68"/>
      <c r="AS1025" s="68"/>
      <c r="AT1025" s="68"/>
      <c r="AU1025" s="68"/>
      <c r="AV1025" s="68"/>
      <c r="AW1025" s="68"/>
      <c r="AX1025" s="68"/>
      <c r="AY1025" s="68"/>
    </row>
    <row r="1026" spans="1:51" ht="13" customHeight="1">
      <c r="A1026" s="14"/>
      <c r="B1026" s="73"/>
      <c r="C1026" s="74"/>
      <c r="D1026" s="1764"/>
      <c r="E1026" s="1765"/>
      <c r="F1026" s="1765"/>
      <c r="G1026" s="1765"/>
      <c r="H1026" s="1765"/>
      <c r="I1026" s="1765"/>
      <c r="J1026" s="1765"/>
      <c r="K1026" s="1765"/>
      <c r="L1026" s="1765"/>
      <c r="M1026" s="1765"/>
      <c r="N1026" s="1765"/>
      <c r="O1026" s="1765"/>
      <c r="P1026" s="1765"/>
      <c r="Q1026" s="1765"/>
      <c r="R1026" s="1765"/>
      <c r="S1026" s="1765"/>
      <c r="T1026" s="1765"/>
      <c r="U1026" s="1765"/>
      <c r="V1026" s="1765"/>
      <c r="W1026" s="1765"/>
      <c r="X1026" s="1765"/>
      <c r="Y1026" s="1765"/>
      <c r="Z1026" s="1765"/>
      <c r="AA1026" s="1765"/>
      <c r="AB1026" s="1765"/>
      <c r="AC1026" s="1765"/>
      <c r="AD1026" s="1765"/>
      <c r="AE1026" s="1766"/>
      <c r="AF1026" s="1790"/>
      <c r="AG1026" s="1790"/>
      <c r="AH1026" s="1790"/>
      <c r="AI1026" s="1790"/>
      <c r="AJ1026" s="1758"/>
      <c r="AK1026" s="1759"/>
      <c r="AL1026" s="1759"/>
      <c r="AM1026" s="1759"/>
      <c r="AN1026" s="1759"/>
      <c r="AO1026" s="1759"/>
      <c r="AP1026" s="1759"/>
      <c r="AQ1026" s="1760"/>
      <c r="AR1026" s="68"/>
      <c r="AS1026" s="68"/>
      <c r="AT1026" s="68"/>
      <c r="AU1026" s="68"/>
      <c r="AV1026" s="68"/>
      <c r="AW1026" s="68"/>
      <c r="AX1026" s="68"/>
      <c r="AY1026" s="68"/>
    </row>
    <row r="1027" spans="1:51" ht="13" customHeight="1">
      <c r="A1027" s="14"/>
      <c r="B1027" s="85"/>
      <c r="C1027" s="84"/>
      <c r="D1027" s="1767"/>
      <c r="E1027" s="1768"/>
      <c r="F1027" s="1768"/>
      <c r="G1027" s="1768"/>
      <c r="H1027" s="1768"/>
      <c r="I1027" s="1768"/>
      <c r="J1027" s="1768"/>
      <c r="K1027" s="1768"/>
      <c r="L1027" s="1768"/>
      <c r="M1027" s="1768"/>
      <c r="N1027" s="1768"/>
      <c r="O1027" s="1768"/>
      <c r="P1027" s="1768"/>
      <c r="Q1027" s="1768"/>
      <c r="R1027" s="1768"/>
      <c r="S1027" s="1768"/>
      <c r="T1027" s="1768"/>
      <c r="U1027" s="1768"/>
      <c r="V1027" s="1768"/>
      <c r="W1027" s="1768"/>
      <c r="X1027" s="1768"/>
      <c r="Y1027" s="1768"/>
      <c r="Z1027" s="1768"/>
      <c r="AA1027" s="1768"/>
      <c r="AB1027" s="1768"/>
      <c r="AC1027" s="1768"/>
      <c r="AD1027" s="1768"/>
      <c r="AE1027" s="1769"/>
      <c r="AF1027" s="1790"/>
      <c r="AG1027" s="1790"/>
      <c r="AH1027" s="1790"/>
      <c r="AI1027" s="1790"/>
      <c r="AJ1027" s="1770"/>
      <c r="AK1027" s="1771"/>
      <c r="AL1027" s="1771"/>
      <c r="AM1027" s="1771"/>
      <c r="AN1027" s="1771"/>
      <c r="AO1027" s="1771"/>
      <c r="AP1027" s="1771"/>
      <c r="AQ1027" s="1772"/>
      <c r="AR1027" s="68"/>
      <c r="AS1027" s="68"/>
      <c r="AT1027" s="68"/>
      <c r="AU1027" s="68"/>
      <c r="AV1027" s="68"/>
      <c r="AW1027" s="68"/>
      <c r="AX1027" s="68"/>
      <c r="AY1027" s="68"/>
    </row>
    <row r="1028" spans="1:51" ht="13" customHeight="1">
      <c r="A1028" s="14"/>
      <c r="B1028" s="79"/>
      <c r="C1028" s="80" t="s">
        <v>235</v>
      </c>
      <c r="D1028" s="1796" t="s">
        <v>1406</v>
      </c>
      <c r="E1028" s="1797"/>
      <c r="F1028" s="1797"/>
      <c r="G1028" s="1797"/>
      <c r="H1028" s="1797"/>
      <c r="I1028" s="1797"/>
      <c r="J1028" s="1797"/>
      <c r="K1028" s="1797"/>
      <c r="L1028" s="1797"/>
      <c r="M1028" s="1797"/>
      <c r="N1028" s="1797"/>
      <c r="O1028" s="1797"/>
      <c r="P1028" s="1797"/>
      <c r="Q1028" s="1797"/>
      <c r="R1028" s="1797"/>
      <c r="S1028" s="1797"/>
      <c r="T1028" s="1797"/>
      <c r="U1028" s="1797"/>
      <c r="V1028" s="1797"/>
      <c r="W1028" s="1797"/>
      <c r="X1028" s="1797"/>
      <c r="Y1028" s="1797"/>
      <c r="Z1028" s="1797"/>
      <c r="AA1028" s="1797"/>
      <c r="AB1028" s="1797"/>
      <c r="AC1028" s="1797"/>
      <c r="AD1028" s="1797"/>
      <c r="AE1028" s="1798"/>
      <c r="AF1028" s="79"/>
      <c r="AG1028" s="1748" t="s">
        <v>554</v>
      </c>
      <c r="AH1028" s="1749"/>
      <c r="AI1028" s="87"/>
      <c r="AJ1028" s="1755">
        <f>ROUND(IF(AG1028="yes",(AJ991*0.1),0),0)</f>
        <v>4182950</v>
      </c>
      <c r="AK1028" s="1756"/>
      <c r="AL1028" s="1756"/>
      <c r="AM1028" s="1756"/>
      <c r="AN1028" s="1756"/>
      <c r="AO1028" s="1756"/>
      <c r="AP1028" s="1756"/>
      <c r="AQ1028" s="1757"/>
      <c r="AR1028" s="68"/>
      <c r="AS1028" s="68"/>
      <c r="AT1028" s="68"/>
      <c r="AU1028" s="68"/>
      <c r="AV1028" s="68"/>
      <c r="AW1028" s="68"/>
      <c r="AX1028" s="68"/>
      <c r="AY1028" s="68"/>
    </row>
    <row r="1029" spans="1:51" ht="13" customHeight="1">
      <c r="A1029" s="14"/>
      <c r="B1029" s="73"/>
      <c r="C1029" s="74"/>
      <c r="D1029" s="1764" t="s">
        <v>1407</v>
      </c>
      <c r="E1029" s="1765"/>
      <c r="F1029" s="1765"/>
      <c r="G1029" s="1765"/>
      <c r="H1029" s="1765"/>
      <c r="I1029" s="1765"/>
      <c r="J1029" s="1765"/>
      <c r="K1029" s="1765"/>
      <c r="L1029" s="1765"/>
      <c r="M1029" s="1765"/>
      <c r="N1029" s="1765"/>
      <c r="O1029" s="1765"/>
      <c r="P1029" s="1765"/>
      <c r="Q1029" s="1765"/>
      <c r="R1029" s="1765"/>
      <c r="S1029" s="1765"/>
      <c r="T1029" s="1765"/>
      <c r="U1029" s="1765"/>
      <c r="V1029" s="1765"/>
      <c r="W1029" s="1765"/>
      <c r="X1029" s="1765"/>
      <c r="Y1029" s="1765"/>
      <c r="Z1029" s="1765"/>
      <c r="AA1029" s="1765"/>
      <c r="AB1029" s="1765"/>
      <c r="AC1029" s="1765"/>
      <c r="AD1029" s="1765"/>
      <c r="AE1029" s="1766"/>
      <c r="AF1029" s="73"/>
      <c r="AG1029" s="14"/>
      <c r="AH1029" s="14"/>
      <c r="AI1029" s="83"/>
      <c r="AJ1029" s="1758"/>
      <c r="AK1029" s="1759"/>
      <c r="AL1029" s="1759"/>
      <c r="AM1029" s="1759"/>
      <c r="AN1029" s="1759"/>
      <c r="AO1029" s="1759"/>
      <c r="AP1029" s="1759"/>
      <c r="AQ1029" s="1760"/>
      <c r="AR1029" s="68"/>
      <c r="AS1029" s="68"/>
      <c r="AT1029" s="68"/>
      <c r="AU1029" s="68"/>
      <c r="AV1029" s="68"/>
      <c r="AW1029" s="68"/>
      <c r="AX1029" s="68"/>
      <c r="AY1029" s="68"/>
    </row>
    <row r="1030" spans="1:51" ht="13" customHeight="1">
      <c r="A1030" s="14"/>
      <c r="B1030" s="77"/>
      <c r="C1030" s="74"/>
      <c r="D1030" s="1767"/>
      <c r="E1030" s="1768"/>
      <c r="F1030" s="1768"/>
      <c r="G1030" s="1768"/>
      <c r="H1030" s="1768"/>
      <c r="I1030" s="1768"/>
      <c r="J1030" s="1768"/>
      <c r="K1030" s="1768"/>
      <c r="L1030" s="1768"/>
      <c r="M1030" s="1768"/>
      <c r="N1030" s="1768"/>
      <c r="O1030" s="1768"/>
      <c r="P1030" s="1768"/>
      <c r="Q1030" s="1768"/>
      <c r="R1030" s="1768"/>
      <c r="S1030" s="1768"/>
      <c r="T1030" s="1768"/>
      <c r="U1030" s="1768"/>
      <c r="V1030" s="1768"/>
      <c r="W1030" s="1768"/>
      <c r="X1030" s="1768"/>
      <c r="Y1030" s="1768"/>
      <c r="Z1030" s="1768"/>
      <c r="AA1030" s="1768"/>
      <c r="AB1030" s="1768"/>
      <c r="AC1030" s="1768"/>
      <c r="AD1030" s="1768"/>
      <c r="AE1030" s="1769"/>
      <c r="AF1030" s="73"/>
      <c r="AG1030" s="14"/>
      <c r="AH1030" s="14"/>
      <c r="AI1030" s="83"/>
      <c r="AJ1030" s="1770"/>
      <c r="AK1030" s="1771"/>
      <c r="AL1030" s="1771"/>
      <c r="AM1030" s="1771"/>
      <c r="AN1030" s="1771"/>
      <c r="AO1030" s="1771"/>
      <c r="AP1030" s="1771"/>
      <c r="AQ1030" s="1772"/>
      <c r="AR1030" s="68"/>
      <c r="AS1030" s="68"/>
      <c r="AT1030" s="68"/>
      <c r="AU1030" s="68"/>
      <c r="AV1030" s="68"/>
      <c r="AW1030" s="68"/>
      <c r="AX1030" s="68"/>
      <c r="AY1030" s="68"/>
    </row>
    <row r="1031" spans="1:51" ht="13" customHeight="1">
      <c r="A1031" s="14"/>
      <c r="B1031" s="73"/>
      <c r="C1031" s="367" t="s">
        <v>697</v>
      </c>
      <c r="D1031" s="1761" t="s">
        <v>1876</v>
      </c>
      <c r="E1031" s="1762"/>
      <c r="F1031" s="1762"/>
      <c r="G1031" s="1762"/>
      <c r="H1031" s="1762"/>
      <c r="I1031" s="1762"/>
      <c r="J1031" s="1762"/>
      <c r="K1031" s="1762"/>
      <c r="L1031" s="1762"/>
      <c r="M1031" s="1762"/>
      <c r="N1031" s="1762"/>
      <c r="O1031" s="1762"/>
      <c r="P1031" s="1762"/>
      <c r="Q1031" s="1762"/>
      <c r="R1031" s="1762"/>
      <c r="S1031" s="1762"/>
      <c r="T1031" s="1762"/>
      <c r="U1031" s="1762"/>
      <c r="V1031" s="1762"/>
      <c r="W1031" s="1762"/>
      <c r="X1031" s="1762"/>
      <c r="Y1031" s="1762"/>
      <c r="Z1031" s="1762"/>
      <c r="AA1031" s="1762"/>
      <c r="AB1031" s="1762"/>
      <c r="AC1031" s="1762"/>
      <c r="AD1031" s="1762"/>
      <c r="AE1031" s="1763"/>
      <c r="AF1031" s="79"/>
      <c r="AG1031" s="1748" t="s">
        <v>678</v>
      </c>
      <c r="AH1031" s="1749"/>
      <c r="AI1031" s="87"/>
      <c r="AJ1031" s="1755">
        <f>ROUND(IF(AG1031="yes",(AJ991*0.15),0),0)</f>
        <v>0</v>
      </c>
      <c r="AK1031" s="1756"/>
      <c r="AL1031" s="1756"/>
      <c r="AM1031" s="1756"/>
      <c r="AN1031" s="1756"/>
      <c r="AO1031" s="1756"/>
      <c r="AP1031" s="1756"/>
      <c r="AQ1031" s="1757"/>
      <c r="AR1031" s="68"/>
      <c r="AS1031" s="68"/>
      <c r="AT1031" s="68"/>
      <c r="AU1031" s="68"/>
      <c r="AV1031" s="68"/>
      <c r="AW1031" s="68"/>
      <c r="AX1031" s="68"/>
      <c r="AY1031" s="68"/>
    </row>
    <row r="1032" spans="1:51" ht="13" customHeight="1">
      <c r="A1032" s="14"/>
      <c r="B1032" s="73"/>
      <c r="C1032" s="74"/>
      <c r="D1032" s="1750" t="s">
        <v>1877</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51"/>
      <c r="AF1032" s="950"/>
      <c r="AG1032" s="951"/>
      <c r="AH1032" s="951"/>
      <c r="AI1032" s="952"/>
      <c r="AJ1032" s="1758"/>
      <c r="AK1032" s="1759"/>
      <c r="AL1032" s="1759"/>
      <c r="AM1032" s="1759"/>
      <c r="AN1032" s="1759"/>
      <c r="AO1032" s="1759"/>
      <c r="AP1032" s="1759"/>
      <c r="AQ1032" s="1760"/>
      <c r="AR1032" s="68"/>
      <c r="AS1032" s="68"/>
      <c r="AT1032" s="68"/>
      <c r="AU1032" s="68"/>
      <c r="AV1032" s="68"/>
      <c r="AW1032" s="68"/>
      <c r="AX1032" s="68"/>
      <c r="AY1032" s="68"/>
    </row>
    <row r="1033" spans="1:51" ht="13" customHeight="1">
      <c r="A1033" s="14"/>
      <c r="B1033" s="73"/>
      <c r="C1033" s="74"/>
      <c r="D1033" s="1750"/>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51"/>
      <c r="AF1033" s="950"/>
      <c r="AG1033" s="951"/>
      <c r="AH1033" s="951"/>
      <c r="AI1033" s="952"/>
      <c r="AJ1033" s="1758"/>
      <c r="AK1033" s="1759"/>
      <c r="AL1033" s="1759"/>
      <c r="AM1033" s="1759"/>
      <c r="AN1033" s="1759"/>
      <c r="AO1033" s="1759"/>
      <c r="AP1033" s="1759"/>
      <c r="AQ1033" s="1760"/>
      <c r="AR1033" s="68"/>
      <c r="AS1033" s="68"/>
      <c r="AT1033" s="68"/>
      <c r="AU1033" s="68"/>
      <c r="AV1033" s="68"/>
      <c r="AW1033" s="68"/>
      <c r="AX1033" s="68"/>
      <c r="AY1033" s="68"/>
    </row>
    <row r="1034" spans="1:51" ht="13" customHeight="1">
      <c r="A1034" s="14"/>
      <c r="B1034" s="73"/>
      <c r="C1034" s="74"/>
      <c r="D1034" s="1752"/>
      <c r="E1034" s="1753"/>
      <c r="F1034" s="1753"/>
      <c r="G1034" s="1753"/>
      <c r="H1034" s="1753"/>
      <c r="I1034" s="1753"/>
      <c r="J1034" s="1753"/>
      <c r="K1034" s="1753"/>
      <c r="L1034" s="1753"/>
      <c r="M1034" s="1753"/>
      <c r="N1034" s="1753"/>
      <c r="O1034" s="1753"/>
      <c r="P1034" s="1753"/>
      <c r="Q1034" s="1753"/>
      <c r="R1034" s="1753"/>
      <c r="S1034" s="1753"/>
      <c r="T1034" s="1753"/>
      <c r="U1034" s="1753"/>
      <c r="V1034" s="1753"/>
      <c r="W1034" s="1753"/>
      <c r="X1034" s="1753"/>
      <c r="Y1034" s="1753"/>
      <c r="Z1034" s="1753"/>
      <c r="AA1034" s="1753"/>
      <c r="AB1034" s="1753"/>
      <c r="AC1034" s="1753"/>
      <c r="AD1034" s="1753"/>
      <c r="AE1034" s="1754"/>
      <c r="AF1034" s="953"/>
      <c r="AG1034" s="954"/>
      <c r="AH1034" s="954"/>
      <c r="AI1034" s="955"/>
      <c r="AJ1034" s="1770"/>
      <c r="AK1034" s="1771"/>
      <c r="AL1034" s="1771"/>
      <c r="AM1034" s="1771"/>
      <c r="AN1034" s="1771"/>
      <c r="AO1034" s="1771"/>
      <c r="AP1034" s="1771"/>
      <c r="AQ1034" s="1772"/>
      <c r="AR1034" s="68"/>
      <c r="AS1034" s="68"/>
      <c r="AT1034" s="68"/>
      <c r="AU1034" s="68"/>
      <c r="AV1034" s="68"/>
      <c r="AW1034" s="68"/>
      <c r="AX1034" s="68"/>
      <c r="AY1034" s="68"/>
    </row>
    <row r="1035" spans="1:51" ht="13" customHeight="1">
      <c r="A1035" s="14"/>
      <c r="B1035" s="73"/>
      <c r="C1035" s="367" t="s">
        <v>697</v>
      </c>
      <c r="D1035" s="1796" t="s">
        <v>1878</v>
      </c>
      <c r="E1035" s="1797"/>
      <c r="F1035" s="1797"/>
      <c r="G1035" s="1797"/>
      <c r="H1035" s="1797"/>
      <c r="I1035" s="1797"/>
      <c r="J1035" s="1797"/>
      <c r="K1035" s="1797"/>
      <c r="L1035" s="1797"/>
      <c r="M1035" s="1797"/>
      <c r="N1035" s="1797"/>
      <c r="O1035" s="1797"/>
      <c r="P1035" s="1797"/>
      <c r="Q1035" s="1797"/>
      <c r="R1035" s="1797"/>
      <c r="S1035" s="1797"/>
      <c r="T1035" s="1797"/>
      <c r="U1035" s="1797"/>
      <c r="V1035" s="1797"/>
      <c r="W1035" s="1797"/>
      <c r="X1035" s="1797"/>
      <c r="Y1035" s="1797"/>
      <c r="Z1035" s="1797"/>
      <c r="AA1035" s="1797"/>
      <c r="AB1035" s="1797"/>
      <c r="AC1035" s="1797"/>
      <c r="AD1035" s="1797"/>
      <c r="AE1035" s="1798"/>
      <c r="AF1035" s="73"/>
      <c r="AG1035" s="1775" t="s">
        <v>554</v>
      </c>
      <c r="AH1035" s="1776"/>
      <c r="AI1035" s="83"/>
      <c r="AJ1035" s="1755">
        <f>ROUND(IF(AND(AG1035="yes",AJ1031=0),(AJ991*0.1),0),0)</f>
        <v>4182950</v>
      </c>
      <c r="AK1035" s="1756"/>
      <c r="AL1035" s="1756"/>
      <c r="AM1035" s="1756"/>
      <c r="AN1035" s="1756"/>
      <c r="AO1035" s="1756"/>
      <c r="AP1035" s="1756"/>
      <c r="AQ1035" s="1757"/>
      <c r="AR1035" s="68"/>
      <c r="AS1035" s="68"/>
      <c r="AT1035" s="68"/>
      <c r="AU1035" s="68"/>
      <c r="AV1035" s="68"/>
      <c r="AW1035" s="68"/>
      <c r="AX1035" s="68"/>
      <c r="AY1035" s="68"/>
    </row>
    <row r="1036" spans="1:51" ht="13" customHeight="1">
      <c r="A1036" s="14"/>
      <c r="B1036" s="73"/>
      <c r="C1036" s="74"/>
      <c r="D1036" s="1750" t="s">
        <v>1879</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51"/>
      <c r="AF1036" s="73"/>
      <c r="AG1036" s="14"/>
      <c r="AH1036" s="14"/>
      <c r="AI1036" s="83"/>
      <c r="AJ1036" s="1758"/>
      <c r="AK1036" s="1759"/>
      <c r="AL1036" s="1759"/>
      <c r="AM1036" s="1759"/>
      <c r="AN1036" s="1759"/>
      <c r="AO1036" s="1759"/>
      <c r="AP1036" s="1759"/>
      <c r="AQ1036" s="1760"/>
      <c r="AR1036" s="68"/>
      <c r="AS1036" s="68"/>
      <c r="AT1036" s="68"/>
      <c r="AU1036" s="68"/>
      <c r="AV1036" s="68"/>
      <c r="AW1036" s="68"/>
      <c r="AX1036" s="68"/>
      <c r="AY1036" s="68"/>
    </row>
    <row r="1037" spans="1:51" ht="13" customHeight="1">
      <c r="A1037" s="14"/>
      <c r="B1037" s="73"/>
      <c r="C1037" s="74"/>
      <c r="D1037" s="1750"/>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51"/>
      <c r="AF1037" s="73"/>
      <c r="AG1037" s="14"/>
      <c r="AH1037" s="14"/>
      <c r="AI1037" s="83"/>
      <c r="AJ1037" s="1758"/>
      <c r="AK1037" s="1759"/>
      <c r="AL1037" s="1759"/>
      <c r="AM1037" s="1759"/>
      <c r="AN1037" s="1759"/>
      <c r="AO1037" s="1759"/>
      <c r="AP1037" s="1759"/>
      <c r="AQ1037" s="1760"/>
      <c r="AR1037" s="68"/>
      <c r="AS1037" s="68"/>
      <c r="AT1037" s="68"/>
      <c r="AU1037" s="68"/>
      <c r="AV1037" s="68"/>
      <c r="AW1037" s="68"/>
      <c r="AX1037" s="68"/>
      <c r="AY1037" s="68"/>
    </row>
    <row r="1038" spans="1:51" ht="13" customHeight="1">
      <c r="A1038" s="14"/>
      <c r="B1038" s="73"/>
      <c r="C1038" s="74"/>
      <c r="D1038" s="1750"/>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51"/>
      <c r="AF1038" s="73"/>
      <c r="AG1038" s="14"/>
      <c r="AH1038" s="14"/>
      <c r="AI1038" s="83"/>
      <c r="AJ1038" s="1758"/>
      <c r="AK1038" s="1759"/>
      <c r="AL1038" s="1759"/>
      <c r="AM1038" s="1759"/>
      <c r="AN1038" s="1759"/>
      <c r="AO1038" s="1759"/>
      <c r="AP1038" s="1759"/>
      <c r="AQ1038" s="1760"/>
      <c r="AR1038" s="68"/>
      <c r="AS1038" s="68"/>
      <c r="AT1038" s="68"/>
      <c r="AU1038" s="68"/>
      <c r="AV1038" s="68"/>
      <c r="AW1038" s="68"/>
      <c r="AX1038" s="68"/>
      <c r="AY1038" s="68"/>
    </row>
    <row r="1039" spans="1:51" ht="13" customHeight="1">
      <c r="A1039" s="14"/>
      <c r="B1039" s="73"/>
      <c r="C1039" s="74"/>
      <c r="D1039" s="1752"/>
      <c r="E1039" s="1753"/>
      <c r="F1039" s="1753"/>
      <c r="G1039" s="1753"/>
      <c r="H1039" s="1753"/>
      <c r="I1039" s="1753"/>
      <c r="J1039" s="1753"/>
      <c r="K1039" s="1753"/>
      <c r="L1039" s="1753"/>
      <c r="M1039" s="1753"/>
      <c r="N1039" s="1753"/>
      <c r="O1039" s="1753"/>
      <c r="P1039" s="1753"/>
      <c r="Q1039" s="1753"/>
      <c r="R1039" s="1753"/>
      <c r="S1039" s="1753"/>
      <c r="T1039" s="1753"/>
      <c r="U1039" s="1753"/>
      <c r="V1039" s="1753"/>
      <c r="W1039" s="1753"/>
      <c r="X1039" s="1753"/>
      <c r="Y1039" s="1753"/>
      <c r="Z1039" s="1753"/>
      <c r="AA1039" s="1753"/>
      <c r="AB1039" s="1753"/>
      <c r="AC1039" s="1753"/>
      <c r="AD1039" s="1753"/>
      <c r="AE1039" s="1754"/>
      <c r="AF1039" s="73"/>
      <c r="AG1039" s="14"/>
      <c r="AH1039" s="14"/>
      <c r="AI1039" s="83"/>
      <c r="AJ1039" s="1758"/>
      <c r="AK1039" s="1759"/>
      <c r="AL1039" s="1759"/>
      <c r="AM1039" s="1759"/>
      <c r="AN1039" s="1759"/>
      <c r="AO1039" s="1759"/>
      <c r="AP1039" s="1759"/>
      <c r="AQ1039" s="1760"/>
      <c r="AR1039" s="68"/>
      <c r="AS1039" s="68"/>
      <c r="AT1039" s="68"/>
      <c r="AU1039" s="68"/>
      <c r="AV1039" s="68"/>
      <c r="AW1039" s="68"/>
      <c r="AX1039" s="68"/>
      <c r="AY1039" s="68"/>
    </row>
    <row r="1040" spans="1:51" ht="13" customHeight="1">
      <c r="A1040" s="14"/>
      <c r="B1040" s="79"/>
      <c r="C1040" s="131" t="s">
        <v>1035</v>
      </c>
      <c r="D1040" s="1761" t="s">
        <v>1408</v>
      </c>
      <c r="E1040" s="1762"/>
      <c r="F1040" s="1762"/>
      <c r="G1040" s="1762"/>
      <c r="H1040" s="1762"/>
      <c r="I1040" s="1762"/>
      <c r="J1040" s="1762"/>
      <c r="K1040" s="1762"/>
      <c r="L1040" s="1762"/>
      <c r="M1040" s="1762"/>
      <c r="N1040" s="1762"/>
      <c r="O1040" s="1762"/>
      <c r="P1040" s="1762"/>
      <c r="Q1040" s="1762"/>
      <c r="R1040" s="1762"/>
      <c r="S1040" s="1762"/>
      <c r="T1040" s="1762"/>
      <c r="U1040" s="1762"/>
      <c r="V1040" s="1762"/>
      <c r="W1040" s="1762"/>
      <c r="X1040" s="1762"/>
      <c r="Y1040" s="1762"/>
      <c r="Z1040" s="1762"/>
      <c r="AA1040" s="1762"/>
      <c r="AB1040" s="1762"/>
      <c r="AC1040" s="1762"/>
      <c r="AD1040" s="1762"/>
      <c r="AE1040" s="1763"/>
      <c r="AF1040" s="79"/>
      <c r="AG1040" s="1748" t="s">
        <v>678</v>
      </c>
      <c r="AH1040" s="1749"/>
      <c r="AI1040" s="87"/>
      <c r="AJ1040" s="1755">
        <f>ROUND(IF(AG1040="yes",(AJ991*0.1),0),0)</f>
        <v>0</v>
      </c>
      <c r="AK1040" s="1756"/>
      <c r="AL1040" s="1756"/>
      <c r="AM1040" s="1756"/>
      <c r="AN1040" s="1756"/>
      <c r="AO1040" s="1756"/>
      <c r="AP1040" s="1756"/>
      <c r="AQ1040" s="1757"/>
      <c r="AR1040" s="68"/>
      <c r="AS1040" s="68"/>
      <c r="AT1040" s="68"/>
      <c r="AU1040" s="68"/>
      <c r="AV1040" s="68"/>
      <c r="AW1040" s="68"/>
      <c r="AX1040" s="68"/>
      <c r="AY1040" s="68"/>
    </row>
    <row r="1041" spans="1:51" ht="13" customHeight="1">
      <c r="A1041" s="14"/>
      <c r="B1041" s="73"/>
      <c r="C1041" s="74"/>
      <c r="D1041" s="1764" t="s">
        <v>2504</v>
      </c>
      <c r="E1041" s="1765"/>
      <c r="F1041" s="1765"/>
      <c r="G1041" s="1765"/>
      <c r="H1041" s="1765"/>
      <c r="I1041" s="1765"/>
      <c r="J1041" s="1765"/>
      <c r="K1041" s="1765"/>
      <c r="L1041" s="1765"/>
      <c r="M1041" s="1765"/>
      <c r="N1041" s="1765"/>
      <c r="O1041" s="1765"/>
      <c r="P1041" s="1765"/>
      <c r="Q1041" s="1765"/>
      <c r="R1041" s="1765"/>
      <c r="S1041" s="1765"/>
      <c r="T1041" s="1765"/>
      <c r="U1041" s="1765"/>
      <c r="V1041" s="1765"/>
      <c r="W1041" s="1765"/>
      <c r="X1041" s="1765"/>
      <c r="Y1041" s="1765"/>
      <c r="Z1041" s="1765"/>
      <c r="AA1041" s="1765"/>
      <c r="AB1041" s="1765"/>
      <c r="AC1041" s="1765"/>
      <c r="AD1041" s="1765"/>
      <c r="AE1041" s="1766"/>
      <c r="AF1041" s="73"/>
      <c r="AG1041" s="14"/>
      <c r="AH1041" s="14"/>
      <c r="AI1041" s="83"/>
      <c r="AJ1041" s="1758"/>
      <c r="AK1041" s="1759"/>
      <c r="AL1041" s="1759"/>
      <c r="AM1041" s="1759"/>
      <c r="AN1041" s="1759"/>
      <c r="AO1041" s="1759"/>
      <c r="AP1041" s="1759"/>
      <c r="AQ1041" s="1760"/>
      <c r="AR1041" s="68"/>
      <c r="AS1041" s="68"/>
      <c r="AT1041" s="68"/>
      <c r="AU1041" s="68"/>
      <c r="AV1041" s="68"/>
      <c r="AW1041" s="68"/>
      <c r="AX1041" s="68"/>
      <c r="AY1041" s="68"/>
    </row>
    <row r="1042" spans="1:51" ht="13" customHeight="1">
      <c r="A1042" s="14"/>
      <c r="B1042" s="73"/>
      <c r="C1042" s="74"/>
      <c r="D1042" s="1764"/>
      <c r="E1042" s="1765"/>
      <c r="F1042" s="1765"/>
      <c r="G1042" s="1765"/>
      <c r="H1042" s="1765"/>
      <c r="I1042" s="1765"/>
      <c r="J1042" s="1765"/>
      <c r="K1042" s="1765"/>
      <c r="L1042" s="1765"/>
      <c r="M1042" s="1765"/>
      <c r="N1042" s="1765"/>
      <c r="O1042" s="1765"/>
      <c r="P1042" s="1765"/>
      <c r="Q1042" s="1765"/>
      <c r="R1042" s="1765"/>
      <c r="S1042" s="1765"/>
      <c r="T1042" s="1765"/>
      <c r="U1042" s="1765"/>
      <c r="V1042" s="1765"/>
      <c r="W1042" s="1765"/>
      <c r="X1042" s="1765"/>
      <c r="Y1042" s="1765"/>
      <c r="Z1042" s="1765"/>
      <c r="AA1042" s="1765"/>
      <c r="AB1042" s="1765"/>
      <c r="AC1042" s="1765"/>
      <c r="AD1042" s="1765"/>
      <c r="AE1042" s="1766"/>
      <c r="AF1042" s="73"/>
      <c r="AG1042" s="14"/>
      <c r="AH1042" s="14"/>
      <c r="AI1042" s="83"/>
      <c r="AJ1042" s="1758"/>
      <c r="AK1042" s="1759"/>
      <c r="AL1042" s="1759"/>
      <c r="AM1042" s="1759"/>
      <c r="AN1042" s="1759"/>
      <c r="AO1042" s="1759"/>
      <c r="AP1042" s="1759"/>
      <c r="AQ1042" s="1760"/>
      <c r="AR1042" s="68"/>
      <c r="AS1042" s="68"/>
      <c r="AT1042" s="68"/>
      <c r="AU1042" s="68"/>
      <c r="AV1042" s="68"/>
      <c r="AW1042" s="68"/>
      <c r="AX1042" s="68"/>
      <c r="AY1042" s="68"/>
    </row>
    <row r="1043" spans="1:51" ht="13" customHeight="1">
      <c r="A1043" s="14"/>
      <c r="B1043" s="73"/>
      <c r="C1043" s="74"/>
      <c r="D1043" s="1767"/>
      <c r="E1043" s="1768"/>
      <c r="F1043" s="1768"/>
      <c r="G1043" s="1768"/>
      <c r="H1043" s="1768"/>
      <c r="I1043" s="1768"/>
      <c r="J1043" s="1768"/>
      <c r="K1043" s="1768"/>
      <c r="L1043" s="1768"/>
      <c r="M1043" s="1768"/>
      <c r="N1043" s="1768"/>
      <c r="O1043" s="1768"/>
      <c r="P1043" s="1768"/>
      <c r="Q1043" s="1768"/>
      <c r="R1043" s="1768"/>
      <c r="S1043" s="1768"/>
      <c r="T1043" s="1768"/>
      <c r="U1043" s="1768"/>
      <c r="V1043" s="1768"/>
      <c r="W1043" s="1768"/>
      <c r="X1043" s="1768"/>
      <c r="Y1043" s="1768"/>
      <c r="Z1043" s="1768"/>
      <c r="AA1043" s="1768"/>
      <c r="AB1043" s="1768"/>
      <c r="AC1043" s="1768"/>
      <c r="AD1043" s="1768"/>
      <c r="AE1043" s="1769"/>
      <c r="AF1043" s="73"/>
      <c r="AG1043" s="14"/>
      <c r="AH1043" s="14"/>
      <c r="AI1043" s="83"/>
      <c r="AJ1043" s="1770"/>
      <c r="AK1043" s="1771"/>
      <c r="AL1043" s="1771"/>
      <c r="AM1043" s="1771"/>
      <c r="AN1043" s="1771"/>
      <c r="AO1043" s="1771"/>
      <c r="AP1043" s="1771"/>
      <c r="AQ1043" s="1772"/>
      <c r="AR1043" s="68"/>
      <c r="AS1043" s="68"/>
      <c r="AT1043" s="68"/>
      <c r="AU1043" s="68"/>
      <c r="AV1043" s="68"/>
      <c r="AW1043" s="68"/>
      <c r="AX1043" s="68"/>
      <c r="AY1043" s="68"/>
    </row>
    <row r="1044" spans="1:51" ht="13" customHeight="1">
      <c r="A1044" s="14"/>
      <c r="B1044" s="79"/>
      <c r="C1044" s="131" t="s">
        <v>1874</v>
      </c>
      <c r="D1044" s="1796" t="s">
        <v>2056</v>
      </c>
      <c r="E1044" s="1797"/>
      <c r="F1044" s="1797"/>
      <c r="G1044" s="1797"/>
      <c r="H1044" s="1797"/>
      <c r="I1044" s="1797"/>
      <c r="J1044" s="1797"/>
      <c r="K1044" s="1797"/>
      <c r="L1044" s="1797"/>
      <c r="M1044" s="1797"/>
      <c r="N1044" s="1797"/>
      <c r="O1044" s="1797"/>
      <c r="P1044" s="1797"/>
      <c r="Q1044" s="1797"/>
      <c r="R1044" s="1797"/>
      <c r="S1044" s="1797"/>
      <c r="T1044" s="1797"/>
      <c r="U1044" s="1797"/>
      <c r="V1044" s="1797"/>
      <c r="W1044" s="1797"/>
      <c r="X1044" s="1797"/>
      <c r="Y1044" s="1797"/>
      <c r="Z1044" s="1797"/>
      <c r="AA1044" s="1797"/>
      <c r="AB1044" s="1797"/>
      <c r="AC1044" s="1797"/>
      <c r="AD1044" s="1797"/>
      <c r="AE1044" s="1798"/>
      <c r="AF1044" s="79"/>
      <c r="AG1044" s="1799" t="str">
        <f>IF(X1047&gt;0,"Yes","No")</f>
        <v>Yes</v>
      </c>
      <c r="AH1044" s="1800"/>
      <c r="AI1044" s="87"/>
      <c r="AJ1044" s="1755">
        <f>IF((X1047=0),0,AY1004*AJ991)</f>
        <v>12130553.84</v>
      </c>
      <c r="AK1044" s="1756"/>
      <c r="AL1044" s="1756"/>
      <c r="AM1044" s="1756"/>
      <c r="AN1044" s="1756"/>
      <c r="AO1044" s="1756"/>
      <c r="AP1044" s="1756"/>
      <c r="AQ1044" s="1757"/>
      <c r="AR1044" s="68"/>
      <c r="AS1044" s="68"/>
      <c r="AT1044" s="68"/>
      <c r="AU1044" s="68"/>
      <c r="AV1044" s="68"/>
      <c r="AW1044" s="68"/>
      <c r="AX1044" s="68"/>
      <c r="AY1044" s="68"/>
    </row>
    <row r="1045" spans="1:51" ht="13" customHeight="1">
      <c r="A1045" s="14"/>
      <c r="B1045" s="73"/>
      <c r="C1045" s="476"/>
      <c r="D1045" s="1764" t="s">
        <v>1410</v>
      </c>
      <c r="E1045" s="1765"/>
      <c r="F1045" s="1765"/>
      <c r="G1045" s="1765"/>
      <c r="H1045" s="1765"/>
      <c r="I1045" s="1765"/>
      <c r="J1045" s="1765"/>
      <c r="K1045" s="1765"/>
      <c r="L1045" s="1765"/>
      <c r="M1045" s="1765"/>
      <c r="N1045" s="1765"/>
      <c r="O1045" s="1765"/>
      <c r="P1045" s="1765"/>
      <c r="Q1045" s="1765"/>
      <c r="R1045" s="1765"/>
      <c r="S1045" s="1765"/>
      <c r="T1045" s="1765"/>
      <c r="U1045" s="1765"/>
      <c r="V1045" s="1765"/>
      <c r="W1045" s="1765"/>
      <c r="X1045" s="1765"/>
      <c r="Y1045" s="1765"/>
      <c r="Z1045" s="1765"/>
      <c r="AA1045" s="1765"/>
      <c r="AB1045" s="1765"/>
      <c r="AC1045" s="1765"/>
      <c r="AD1045" s="1765"/>
      <c r="AE1045" s="1766"/>
      <c r="AF1045" s="73"/>
      <c r="AG1045" s="477"/>
      <c r="AH1045" s="477"/>
      <c r="AI1045" s="83"/>
      <c r="AJ1045" s="1758"/>
      <c r="AK1045" s="1759"/>
      <c r="AL1045" s="1759"/>
      <c r="AM1045" s="1759"/>
      <c r="AN1045" s="1759"/>
      <c r="AO1045" s="1759"/>
      <c r="AP1045" s="1759"/>
      <c r="AQ1045" s="1760"/>
      <c r="AR1045" s="68"/>
      <c r="AS1045" s="68"/>
      <c r="AT1045" s="68"/>
      <c r="AU1045" s="13"/>
      <c r="AV1045" s="68"/>
      <c r="AW1045" s="68"/>
      <c r="AX1045" s="68"/>
      <c r="AY1045" s="68"/>
    </row>
    <row r="1046" spans="1:51" ht="13" customHeight="1">
      <c r="A1046" s="14"/>
      <c r="B1046" s="73"/>
      <c r="C1046" s="476"/>
      <c r="D1046" s="1764"/>
      <c r="E1046" s="1765"/>
      <c r="F1046" s="1765"/>
      <c r="G1046" s="1765"/>
      <c r="H1046" s="1765"/>
      <c r="I1046" s="1765"/>
      <c r="J1046" s="1765"/>
      <c r="K1046" s="1765"/>
      <c r="L1046" s="1765"/>
      <c r="M1046" s="1765"/>
      <c r="N1046" s="1765"/>
      <c r="O1046" s="1765"/>
      <c r="P1046" s="1765"/>
      <c r="Q1046" s="1765"/>
      <c r="R1046" s="1765"/>
      <c r="S1046" s="1765"/>
      <c r="T1046" s="1765"/>
      <c r="U1046" s="1765"/>
      <c r="V1046" s="1765"/>
      <c r="W1046" s="1765"/>
      <c r="X1046" s="1765"/>
      <c r="Y1046" s="1765"/>
      <c r="Z1046" s="1765"/>
      <c r="AA1046" s="1765"/>
      <c r="AB1046" s="1765"/>
      <c r="AC1046" s="1765"/>
      <c r="AD1046" s="1765"/>
      <c r="AE1046" s="1766"/>
      <c r="AF1046" s="73"/>
      <c r="AG1046" s="477"/>
      <c r="AH1046" s="477"/>
      <c r="AI1046" s="83"/>
      <c r="AJ1046" s="1758"/>
      <c r="AK1046" s="1759"/>
      <c r="AL1046" s="1759"/>
      <c r="AM1046" s="1759"/>
      <c r="AN1046" s="1759"/>
      <c r="AO1046" s="1759"/>
      <c r="AP1046" s="1759"/>
      <c r="AQ1046" s="1760"/>
      <c r="AR1046" s="68"/>
      <c r="AS1046" s="68"/>
      <c r="AT1046" s="68"/>
      <c r="AU1046" s="13"/>
      <c r="AV1046" s="68"/>
      <c r="AW1046" s="68"/>
      <c r="AX1046" s="68"/>
      <c r="AY1046" s="68"/>
    </row>
    <row r="1047" spans="1:51" ht="13" customHeight="1">
      <c r="A1047" s="14"/>
      <c r="B1047" s="77"/>
      <c r="C1047" s="78"/>
      <c r="D1047" s="132" t="s">
        <v>992</v>
      </c>
      <c r="E1047" s="133"/>
      <c r="F1047" s="133"/>
      <c r="G1047" s="133"/>
      <c r="H1047" s="133"/>
      <c r="I1047" s="1811">
        <f>AY1002</f>
        <v>79</v>
      </c>
      <c r="J1047" s="1812"/>
      <c r="K1047" s="7"/>
      <c r="L1047" s="133"/>
      <c r="M1047" s="133"/>
      <c r="N1047" s="133"/>
      <c r="O1047" s="133"/>
      <c r="P1047" s="133"/>
      <c r="Q1047" s="133"/>
      <c r="R1047" s="133"/>
      <c r="S1047" s="133"/>
      <c r="T1047" s="133"/>
      <c r="U1047" s="133"/>
      <c r="V1047" s="134" t="s">
        <v>993</v>
      </c>
      <c r="W1047" s="48"/>
      <c r="X1047" s="1809">
        <f>BG632</f>
        <v>23</v>
      </c>
      <c r="Y1047" s="1810"/>
      <c r="Z1047" s="48"/>
      <c r="AA1047" s="48"/>
      <c r="AB1047" s="48"/>
      <c r="AC1047" s="48"/>
      <c r="AD1047" s="48"/>
      <c r="AE1047" s="49"/>
      <c r="AF1047" s="959"/>
      <c r="AG1047" s="960"/>
      <c r="AH1047" s="960"/>
      <c r="AI1047" s="961"/>
      <c r="AJ1047" s="1770"/>
      <c r="AK1047" s="1771"/>
      <c r="AL1047" s="1771"/>
      <c r="AM1047" s="1771"/>
      <c r="AN1047" s="1771"/>
      <c r="AO1047" s="1771"/>
      <c r="AP1047" s="1771"/>
      <c r="AQ1047" s="1772"/>
      <c r="AR1047" s="68"/>
      <c r="AS1047" s="68"/>
      <c r="AT1047" s="68"/>
      <c r="AU1047" s="14"/>
      <c r="AV1047" s="68"/>
      <c r="AW1047" s="68"/>
      <c r="AX1047" s="68"/>
      <c r="AY1047" s="68"/>
    </row>
    <row r="1048" spans="1:51" ht="13" customHeight="1">
      <c r="A1048" s="14"/>
      <c r="B1048" s="79"/>
      <c r="C1048" s="131" t="s">
        <v>1875</v>
      </c>
      <c r="D1048" s="1761" t="s">
        <v>2533</v>
      </c>
      <c r="E1048" s="1762"/>
      <c r="F1048" s="1762"/>
      <c r="G1048" s="1762"/>
      <c r="H1048" s="1762"/>
      <c r="I1048" s="1762"/>
      <c r="J1048" s="1762"/>
      <c r="K1048" s="1762"/>
      <c r="L1048" s="1762"/>
      <c r="M1048" s="1762"/>
      <c r="N1048" s="1762"/>
      <c r="O1048" s="1762"/>
      <c r="P1048" s="1762"/>
      <c r="Q1048" s="1762"/>
      <c r="R1048" s="1762"/>
      <c r="S1048" s="1762"/>
      <c r="T1048" s="1762"/>
      <c r="U1048" s="1762"/>
      <c r="V1048" s="1762"/>
      <c r="W1048" s="1762"/>
      <c r="X1048" s="1762"/>
      <c r="Y1048" s="1762"/>
      <c r="Z1048" s="1762"/>
      <c r="AA1048" s="1762"/>
      <c r="AB1048" s="1762"/>
      <c r="AC1048" s="1762"/>
      <c r="AD1048" s="1762"/>
      <c r="AE1048" s="1763"/>
      <c r="AF1048" s="73"/>
      <c r="AG1048" s="1799" t="str">
        <f>IF(X1051&gt;0,"Yes","No")</f>
        <v>Yes</v>
      </c>
      <c r="AH1048" s="1800"/>
      <c r="AI1048" s="83"/>
      <c r="AJ1048" s="1755">
        <f>IF((X1051=0),0,(2*AY1005)*AJ991)</f>
        <v>9202489.1199999992</v>
      </c>
      <c r="AK1048" s="1756"/>
      <c r="AL1048" s="1756"/>
      <c r="AM1048" s="1756"/>
      <c r="AN1048" s="1756"/>
      <c r="AO1048" s="1756"/>
      <c r="AP1048" s="1756"/>
      <c r="AQ1048" s="1757"/>
      <c r="AR1048" s="68"/>
      <c r="AS1048" s="68"/>
      <c r="AT1048" s="68"/>
      <c r="AU1048" s="14"/>
      <c r="AV1048" s="68"/>
      <c r="AW1048" s="68"/>
      <c r="AX1048" s="68"/>
      <c r="AY1048" s="68"/>
    </row>
    <row r="1049" spans="1:51" ht="13" customHeight="1">
      <c r="A1049" s="14"/>
      <c r="B1049" s="73"/>
      <c r="C1049" s="476"/>
      <c r="D1049" s="1764" t="s">
        <v>1409</v>
      </c>
      <c r="E1049" s="1765"/>
      <c r="F1049" s="1765"/>
      <c r="G1049" s="1765"/>
      <c r="H1049" s="1765"/>
      <c r="I1049" s="1765"/>
      <c r="J1049" s="1765"/>
      <c r="K1049" s="1765"/>
      <c r="L1049" s="1765"/>
      <c r="M1049" s="1765"/>
      <c r="N1049" s="1765"/>
      <c r="O1049" s="1765"/>
      <c r="P1049" s="1765"/>
      <c r="Q1049" s="1765"/>
      <c r="R1049" s="1765"/>
      <c r="S1049" s="1765"/>
      <c r="T1049" s="1765"/>
      <c r="U1049" s="1765"/>
      <c r="V1049" s="1765"/>
      <c r="W1049" s="1765"/>
      <c r="X1049" s="1765"/>
      <c r="Y1049" s="1765"/>
      <c r="Z1049" s="1765"/>
      <c r="AA1049" s="1765"/>
      <c r="AB1049" s="1765"/>
      <c r="AC1049" s="1765"/>
      <c r="AD1049" s="1765"/>
      <c r="AE1049" s="1766"/>
      <c r="AF1049" s="73"/>
      <c r="AG1049" s="477"/>
      <c r="AH1049" s="477"/>
      <c r="AI1049" s="83"/>
      <c r="AJ1049" s="1758"/>
      <c r="AK1049" s="1759"/>
      <c r="AL1049" s="1759"/>
      <c r="AM1049" s="1759"/>
      <c r="AN1049" s="1759"/>
      <c r="AO1049" s="1759"/>
      <c r="AP1049" s="1759"/>
      <c r="AQ1049" s="1760"/>
      <c r="AR1049" s="68"/>
      <c r="AS1049" s="68"/>
      <c r="AT1049" s="68"/>
      <c r="AU1049" s="68"/>
      <c r="AV1049" s="68"/>
      <c r="AW1049" s="68"/>
      <c r="AX1049" s="68"/>
      <c r="AY1049" s="68"/>
    </row>
    <row r="1050" spans="1:51" ht="13" customHeight="1">
      <c r="A1050" s="14"/>
      <c r="B1050" s="73"/>
      <c r="C1050" s="83"/>
      <c r="D1050" s="1764"/>
      <c r="E1050" s="1765"/>
      <c r="F1050" s="1765"/>
      <c r="G1050" s="1765"/>
      <c r="H1050" s="1765"/>
      <c r="I1050" s="1765"/>
      <c r="J1050" s="1765"/>
      <c r="K1050" s="1765"/>
      <c r="L1050" s="1765"/>
      <c r="M1050" s="1765"/>
      <c r="N1050" s="1765"/>
      <c r="O1050" s="1765"/>
      <c r="P1050" s="1765"/>
      <c r="Q1050" s="1765"/>
      <c r="R1050" s="1765"/>
      <c r="S1050" s="1765"/>
      <c r="T1050" s="1765"/>
      <c r="U1050" s="1765"/>
      <c r="V1050" s="1765"/>
      <c r="W1050" s="1765"/>
      <c r="X1050" s="1765"/>
      <c r="Y1050" s="1765"/>
      <c r="Z1050" s="1765"/>
      <c r="AA1050" s="1765"/>
      <c r="AB1050" s="1765"/>
      <c r="AC1050" s="1765"/>
      <c r="AD1050" s="1765"/>
      <c r="AE1050" s="1766"/>
      <c r="AF1050" s="956"/>
      <c r="AG1050" s="957"/>
      <c r="AH1050" s="957"/>
      <c r="AI1050" s="958"/>
      <c r="AJ1050" s="1758"/>
      <c r="AK1050" s="1759"/>
      <c r="AL1050" s="1759"/>
      <c r="AM1050" s="1759"/>
      <c r="AN1050" s="1759"/>
      <c r="AO1050" s="1759"/>
      <c r="AP1050" s="1759"/>
      <c r="AQ1050" s="1760"/>
      <c r="AR1050" s="68"/>
      <c r="AS1050" s="68"/>
      <c r="AT1050" s="68"/>
      <c r="AU1050" s="68"/>
      <c r="AV1050" s="68"/>
      <c r="AW1050" s="68"/>
      <c r="AX1050" s="68"/>
      <c r="AY1050" s="68"/>
    </row>
    <row r="1051" spans="1:51" ht="13" customHeight="1">
      <c r="A1051" s="14"/>
      <c r="B1051" s="77"/>
      <c r="C1051" s="78"/>
      <c r="D1051" s="132" t="s">
        <v>992</v>
      </c>
      <c r="E1051" s="133"/>
      <c r="F1051" s="133"/>
      <c r="G1051" s="133"/>
      <c r="H1051" s="133"/>
      <c r="I1051" s="1811">
        <f>AY1002</f>
        <v>79</v>
      </c>
      <c r="J1051" s="1812"/>
      <c r="K1051" s="14"/>
      <c r="L1051" s="133"/>
      <c r="M1051" s="133"/>
      <c r="N1051" s="133"/>
      <c r="O1051" s="133"/>
      <c r="P1051" s="133"/>
      <c r="Q1051" s="133"/>
      <c r="R1051" s="133"/>
      <c r="S1051" s="133"/>
      <c r="T1051" s="133"/>
      <c r="U1051" s="133"/>
      <c r="V1051" s="134" t="s">
        <v>994</v>
      </c>
      <c r="X1051" s="1809">
        <f>BK632</f>
        <v>9</v>
      </c>
      <c r="Y1051" s="1810"/>
      <c r="AF1051" s="959"/>
      <c r="AG1051" s="960"/>
      <c r="AH1051" s="960"/>
      <c r="AI1051" s="961"/>
      <c r="AJ1051" s="1770"/>
      <c r="AK1051" s="1771"/>
      <c r="AL1051" s="1771"/>
      <c r="AM1051" s="1771"/>
      <c r="AN1051" s="1771"/>
      <c r="AO1051" s="1771"/>
      <c r="AP1051" s="1771"/>
      <c r="AQ1051" s="1772"/>
      <c r="AR1051" s="68"/>
      <c r="AS1051" s="68"/>
      <c r="AT1051" s="68"/>
      <c r="AU1051" s="68"/>
      <c r="AV1051" s="68"/>
      <c r="AW1051" s="68"/>
      <c r="AX1051" s="68"/>
      <c r="AY1051" s="68"/>
    </row>
    <row r="1052" spans="1:51" ht="13" customHeight="1">
      <c r="A1052" s="14"/>
      <c r="B1052" s="102"/>
      <c r="C1052" s="103"/>
      <c r="D1052" s="1807" t="s">
        <v>522</v>
      </c>
      <c r="E1052" s="1807"/>
      <c r="F1052" s="1807"/>
      <c r="G1052" s="1807"/>
      <c r="H1052" s="1807"/>
      <c r="I1052" s="1807"/>
      <c r="J1052" s="1807"/>
      <c r="K1052" s="1807"/>
      <c r="L1052" s="1807"/>
      <c r="M1052" s="1807"/>
      <c r="N1052" s="1807"/>
      <c r="O1052" s="1807"/>
      <c r="P1052" s="1807"/>
      <c r="Q1052" s="1807"/>
      <c r="R1052" s="1807"/>
      <c r="S1052" s="1807"/>
      <c r="T1052" s="1807"/>
      <c r="U1052" s="1807"/>
      <c r="V1052" s="1807"/>
      <c r="W1052" s="1807"/>
      <c r="X1052" s="1807"/>
      <c r="Y1052" s="1807"/>
      <c r="Z1052" s="1807"/>
      <c r="AA1052" s="1807"/>
      <c r="AB1052" s="1807"/>
      <c r="AC1052" s="1807"/>
      <c r="AD1052" s="1807"/>
      <c r="AE1052" s="1807"/>
      <c r="AF1052" s="1807"/>
      <c r="AG1052" s="1807"/>
      <c r="AH1052" s="1807"/>
      <c r="AI1052" s="1808"/>
      <c r="AJ1052" s="1745">
        <f>SUM(AJ991:AQ1051)</f>
        <v>75711388.960000008</v>
      </c>
      <c r="AK1052" s="1746"/>
      <c r="AL1052" s="1746"/>
      <c r="AM1052" s="1746"/>
      <c r="AN1052" s="1746"/>
      <c r="AO1052" s="1746"/>
      <c r="AP1052" s="1746"/>
      <c r="AQ1052" s="1747"/>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69">
        <f>IF(ISNA(IF((AJ1019&gt;(AJ991*0.15)),"(f) cannot be greater than 15% of unadjusted eligible basis.",0)),"",(IF((AJ1019&gt;(AJ991*0.15)),"(f) cannot be greater than 15% of unadjusted eligible basis.",0)))</f>
        <v>0</v>
      </c>
      <c r="C1059" s="1869"/>
      <c r="D1059" s="1869"/>
      <c r="E1059" s="1869"/>
      <c r="F1059" s="1869"/>
      <c r="G1059" s="1869"/>
      <c r="H1059" s="1869"/>
      <c r="I1059" s="1869"/>
      <c r="J1059" s="1869"/>
      <c r="K1059" s="1869"/>
      <c r="L1059" s="1869"/>
      <c r="M1059" s="1869"/>
      <c r="N1059" s="1869"/>
      <c r="O1059" s="1869"/>
      <c r="P1059" s="1869"/>
      <c r="Q1059" s="1869"/>
      <c r="R1059" s="1869"/>
      <c r="S1059" s="1869"/>
      <c r="T1059" s="1869"/>
      <c r="U1059" s="1869"/>
      <c r="V1059" s="1869"/>
      <c r="W1059" s="1869"/>
      <c r="X1059" s="1869"/>
      <c r="Y1059" s="1869"/>
      <c r="Z1059" s="1869"/>
      <c r="AA1059" s="1869"/>
      <c r="AB1059" s="1869"/>
      <c r="AC1059" s="1869"/>
      <c r="AD1059" s="1869"/>
      <c r="AE1059" s="1869"/>
      <c r="AF1059" s="1869"/>
      <c r="AG1059" s="1869"/>
      <c r="AH1059" s="1869"/>
      <c r="AI1059" s="1869"/>
      <c r="AJ1059" s="1869"/>
      <c r="AK1059" s="1869"/>
      <c r="AL1059" s="1869"/>
      <c r="AM1059" s="1869"/>
      <c r="AN1059" s="1869"/>
      <c r="AO1059" s="1869"/>
      <c r="AP1059" s="1869"/>
      <c r="AQ1059" s="68"/>
      <c r="AR1059" s="68"/>
      <c r="AS1059" s="68"/>
      <c r="AT1059" s="68"/>
      <c r="AU1059" s="68"/>
      <c r="AV1059" s="68"/>
      <c r="AW1059" s="68"/>
      <c r="AX1059" s="68"/>
      <c r="AY1059" s="68"/>
    </row>
    <row r="1060" spans="1:51" ht="13"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383" t="s">
        <v>600</v>
      </c>
      <c r="B1064" s="1383"/>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3"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3"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3"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3"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3"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3" customHeight="1">
      <c r="A1070" s="1383" t="s">
        <v>600</v>
      </c>
      <c r="B1070" s="1383"/>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3"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3"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3"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3"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3"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3" customHeight="1">
      <c r="A1076" s="1383" t="s">
        <v>600</v>
      </c>
      <c r="B1076" s="1383"/>
      <c r="C1076" s="8">
        <v>3</v>
      </c>
      <c r="D1076" s="1264" t="s">
        <v>2458</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3"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3"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3"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3"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3"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3"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3" customHeight="1">
      <c r="A1083" s="1383" t="s">
        <v>600</v>
      </c>
      <c r="B1083" s="1383"/>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3"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3"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3" customHeight="1">
      <c r="A1086" s="1383" t="s">
        <v>600</v>
      </c>
      <c r="B1086" s="1383"/>
      <c r="C1086" s="8">
        <v>5</v>
      </c>
      <c r="D1086" s="1264" t="s">
        <v>2459</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3"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3"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3"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3"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3" customHeight="1">
      <c r="A1091" s="1383" t="s">
        <v>600</v>
      </c>
      <c r="B1091" s="1383"/>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3"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3"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3" customHeight="1">
      <c r="A1094" s="1383" t="s">
        <v>600</v>
      </c>
      <c r="B1094" s="1383"/>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3"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3"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3"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3" customHeight="1">
      <c r="A1098" s="1383" t="s">
        <v>600</v>
      </c>
      <c r="B1098" s="1383"/>
      <c r="C1098" s="212">
        <v>8</v>
      </c>
      <c r="D1098" s="1348" t="s">
        <v>1872</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3"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3"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83" t="s">
        <v>600</v>
      </c>
      <c r="B1103" s="1383"/>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49:S749"/>
    <mergeCell ref="T739:W739"/>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B1059:AP1059"/>
    <mergeCell ref="B746:F746"/>
    <mergeCell ref="B747:F747"/>
    <mergeCell ref="AB988:AI988"/>
    <mergeCell ref="AB989:AI989"/>
    <mergeCell ref="M961:S961"/>
    <mergeCell ref="T742:W742"/>
    <mergeCell ref="U827:X827"/>
    <mergeCell ref="Q825:T825"/>
    <mergeCell ref="B745:F745"/>
    <mergeCell ref="K740:N740"/>
    <mergeCell ref="AC739:AG739"/>
    <mergeCell ref="O776:S776"/>
    <mergeCell ref="O769:S772"/>
    <mergeCell ref="U823:X824"/>
    <mergeCell ref="T737:W737"/>
    <mergeCell ref="Z806:AE806"/>
    <mergeCell ref="A13:AT14"/>
    <mergeCell ref="C798:AN799"/>
    <mergeCell ref="T748:W748"/>
    <mergeCell ref="U924:Z924"/>
    <mergeCell ref="AA934:AF934"/>
    <mergeCell ref="AA917:AF917"/>
    <mergeCell ref="T749:W749"/>
    <mergeCell ref="K750:N750"/>
    <mergeCell ref="O750:S750"/>
    <mergeCell ref="M630:P630"/>
    <mergeCell ref="M631:P631"/>
    <mergeCell ref="M632:P632"/>
    <mergeCell ref="AA688:AK688"/>
    <mergeCell ref="B742:F742"/>
    <mergeCell ref="AC734:AG734"/>
    <mergeCell ref="AC735:AG735"/>
    <mergeCell ref="AC745:AG745"/>
    <mergeCell ref="AC746:AG746"/>
    <mergeCell ref="B751:F751"/>
    <mergeCell ref="T735:W735"/>
    <mergeCell ref="T750:W750"/>
    <mergeCell ref="K751:N751"/>
    <mergeCell ref="O751:S751"/>
    <mergeCell ref="T751:W751"/>
    <mergeCell ref="T744:W744"/>
    <mergeCell ref="K743:N743"/>
    <mergeCell ref="X751:AB751"/>
    <mergeCell ref="O743:S743"/>
    <mergeCell ref="T743:W743"/>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M26:Q26"/>
    <mergeCell ref="H16:AJ16"/>
    <mergeCell ref="A21:AL21"/>
    <mergeCell ref="M27:Q27"/>
    <mergeCell ref="O33:P33"/>
    <mergeCell ref="AK727:AO727"/>
    <mergeCell ref="X734:AB734"/>
    <mergeCell ref="X733:AB733"/>
    <mergeCell ref="AK720:AO720"/>
    <mergeCell ref="AK721:AO721"/>
    <mergeCell ref="G732:J732"/>
    <mergeCell ref="K728:N728"/>
    <mergeCell ref="K746:N746"/>
    <mergeCell ref="O746:S746"/>
    <mergeCell ref="T746:W746"/>
    <mergeCell ref="AK737:AO737"/>
    <mergeCell ref="O740:S740"/>
    <mergeCell ref="K741:N741"/>
    <mergeCell ref="AK730:AO730"/>
    <mergeCell ref="AH727:AJ727"/>
    <mergeCell ref="AC724:AG724"/>
    <mergeCell ref="AC730:AG730"/>
    <mergeCell ref="O725:S725"/>
    <mergeCell ref="O726:S726"/>
    <mergeCell ref="K727:N727"/>
    <mergeCell ref="AH729:AJ729"/>
    <mergeCell ref="AK738:AO738"/>
    <mergeCell ref="K735:N735"/>
    <mergeCell ref="K736:N736"/>
    <mergeCell ref="O734:S734"/>
    <mergeCell ref="K739:N739"/>
    <mergeCell ref="A83:AT84"/>
    <mergeCell ref="AG649:AH649"/>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W624:Y626"/>
    <mergeCell ref="G580:R580"/>
    <mergeCell ref="AI331:AK331"/>
    <mergeCell ref="P339:R339"/>
    <mergeCell ref="N363:O363"/>
    <mergeCell ref="G611:R611"/>
    <mergeCell ref="P421:R421"/>
    <mergeCell ref="G586:R586"/>
    <mergeCell ref="G603:R603"/>
    <mergeCell ref="N607:O607"/>
    <mergeCell ref="P597:R597"/>
    <mergeCell ref="T634:V634"/>
    <mergeCell ref="C636:L636"/>
    <mergeCell ref="AK731:AO731"/>
    <mergeCell ref="AH752:AJ752"/>
    <mergeCell ref="AH741:AJ741"/>
    <mergeCell ref="O747:S747"/>
    <mergeCell ref="T747:W747"/>
    <mergeCell ref="AC748:AG748"/>
    <mergeCell ref="AK736:AO736"/>
    <mergeCell ref="X732:AB732"/>
    <mergeCell ref="K734:N734"/>
    <mergeCell ref="AC733:AG733"/>
    <mergeCell ref="X739:AB739"/>
    <mergeCell ref="G740:J740"/>
    <mergeCell ref="T733:W733"/>
    <mergeCell ref="K744:N744"/>
    <mergeCell ref="O744:S744"/>
    <mergeCell ref="AC742:AG742"/>
    <mergeCell ref="AC743:AG743"/>
    <mergeCell ref="AC744:AG744"/>
    <mergeCell ref="T740:W740"/>
    <mergeCell ref="G741:J741"/>
    <mergeCell ref="T732:W732"/>
    <mergeCell ref="T731:W731"/>
    <mergeCell ref="AK746:AO746"/>
    <mergeCell ref="AK747:AO747"/>
    <mergeCell ref="AH742:AJ742"/>
    <mergeCell ref="O748:S748"/>
    <mergeCell ref="X740:AB740"/>
    <mergeCell ref="X745:AB745"/>
    <mergeCell ref="K749:N749"/>
    <mergeCell ref="O739:S739"/>
    <mergeCell ref="DX656:EB656"/>
    <mergeCell ref="EC656:EG656"/>
    <mergeCell ref="EH656:EL656"/>
    <mergeCell ref="EM656:EQ656"/>
    <mergeCell ref="G728:J728"/>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N665:O665"/>
    <mergeCell ref="H672:R672"/>
    <mergeCell ref="G676:R676"/>
    <mergeCell ref="Z660:AK660"/>
    <mergeCell ref="W706:AK706"/>
    <mergeCell ref="AH726:AJ726"/>
    <mergeCell ref="G719:J719"/>
    <mergeCell ref="O718:S718"/>
    <mergeCell ref="O720:S720"/>
    <mergeCell ref="G714:J717"/>
    <mergeCell ref="G668:R668"/>
    <mergeCell ref="P671:R671"/>
    <mergeCell ref="P687:R687"/>
    <mergeCell ref="CS647:CW647"/>
    <mergeCell ref="CX647:DB647"/>
    <mergeCell ref="DC647:DG647"/>
    <mergeCell ref="CX655:DB655"/>
    <mergeCell ref="DC655:DG655"/>
    <mergeCell ref="DR655:DV655"/>
    <mergeCell ref="CS652:CW652"/>
    <mergeCell ref="CX652:DB652"/>
    <mergeCell ref="DC652:DG652"/>
    <mergeCell ref="DC650:DG650"/>
    <mergeCell ref="AK732:AO732"/>
    <mergeCell ref="AK733:AO733"/>
    <mergeCell ref="AK734:AO734"/>
    <mergeCell ref="AK735:AO735"/>
    <mergeCell ref="DR654:DV654"/>
    <mergeCell ref="DR653:DV653"/>
    <mergeCell ref="DH651:DL651"/>
    <mergeCell ref="DM651:DQ651"/>
    <mergeCell ref="BN649:BR649"/>
    <mergeCell ref="BN648:BR648"/>
    <mergeCell ref="CC655:CG655"/>
    <mergeCell ref="CH655:CL655"/>
    <mergeCell ref="CM655:CQ655"/>
    <mergeCell ref="Z685:AK685"/>
    <mergeCell ref="CM660:CQ660"/>
    <mergeCell ref="CM649:CQ649"/>
    <mergeCell ref="DH649:DL649"/>
    <mergeCell ref="DM649:DQ649"/>
    <mergeCell ref="CS651:CW651"/>
    <mergeCell ref="AK723:AO723"/>
    <mergeCell ref="AK724:AO724"/>
    <mergeCell ref="AK725:AO725"/>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AI663:AK663"/>
    <mergeCell ref="Z661:AK661"/>
    <mergeCell ref="X720:AB720"/>
    <mergeCell ref="DR657:DV657"/>
    <mergeCell ref="CH660:CL660"/>
    <mergeCell ref="DH650:DL650"/>
    <mergeCell ref="BS652:BW652"/>
    <mergeCell ref="CH651:CL651"/>
    <mergeCell ref="AE698:AI698"/>
    <mergeCell ref="AC714:AG717"/>
    <mergeCell ref="AC720:AG720"/>
    <mergeCell ref="X719:AB719"/>
    <mergeCell ref="AG673:AH673"/>
    <mergeCell ref="AH720:AJ720"/>
    <mergeCell ref="X718:AB718"/>
    <mergeCell ref="AA680:AK680"/>
    <mergeCell ref="Z679:AE679"/>
    <mergeCell ref="Z670:AK670"/>
    <mergeCell ref="BS655:BW655"/>
    <mergeCell ref="BX655:CB655"/>
    <mergeCell ref="DH653:DL653"/>
    <mergeCell ref="CC649:CG649"/>
    <mergeCell ref="CC650:CG650"/>
    <mergeCell ref="CC652:CG652"/>
    <mergeCell ref="CC653:CG653"/>
    <mergeCell ref="CC654:CG654"/>
    <mergeCell ref="CH650:CL650"/>
    <mergeCell ref="BS650:BW650"/>
    <mergeCell ref="CH649:CL649"/>
    <mergeCell ref="BX653:CB653"/>
    <mergeCell ref="BX654:CB654"/>
    <mergeCell ref="CH652:CL652"/>
    <mergeCell ref="CH653:CL653"/>
    <mergeCell ref="CH654:CL654"/>
    <mergeCell ref="CM652:CQ652"/>
    <mergeCell ref="CM653:CQ653"/>
    <mergeCell ref="CM654:CQ654"/>
    <mergeCell ref="BS649:BW649"/>
    <mergeCell ref="BX652:CB652"/>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53:DQ653"/>
    <mergeCell ref="DH654:DL654"/>
    <mergeCell ref="DM654:DQ654"/>
    <mergeCell ref="DH655:DL655"/>
    <mergeCell ref="DM655:DQ655"/>
    <mergeCell ref="CX646:DB646"/>
    <mergeCell ref="DM617:DQ617"/>
    <mergeCell ref="CC630:CG630"/>
    <mergeCell ref="BX632:CB632"/>
    <mergeCell ref="CM645:CQ645"/>
    <mergeCell ref="CC617:CG617"/>
    <mergeCell ref="CC619:CG619"/>
    <mergeCell ref="DR651:DV651"/>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CC624:CG624"/>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BS648:BW648"/>
    <mergeCell ref="CM638:CQ638"/>
    <mergeCell ref="CS648:CW648"/>
    <mergeCell ref="BX648:CB648"/>
    <mergeCell ref="EH655:EL655"/>
    <mergeCell ref="EM655:EQ655"/>
    <mergeCell ref="EH647:EL647"/>
    <mergeCell ref="EM647:EQ647"/>
    <mergeCell ref="DX648:EB648"/>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R669:EV669"/>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AJ1044:AQ1047"/>
    <mergeCell ref="AJ1048:AQ1051"/>
    <mergeCell ref="U928:Z928"/>
    <mergeCell ref="AA928:AF928"/>
    <mergeCell ref="U929:Z929"/>
    <mergeCell ref="AA929:AF929"/>
    <mergeCell ref="U930:Z930"/>
    <mergeCell ref="U939:Z939"/>
    <mergeCell ref="F935:T935"/>
    <mergeCell ref="U935:Z935"/>
    <mergeCell ref="AA935:AF935"/>
    <mergeCell ref="U942:Z942"/>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AA942:AF942"/>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94:AE997"/>
    <mergeCell ref="D998:AE998"/>
    <mergeCell ref="D987:Q987"/>
    <mergeCell ref="D988:Q988"/>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D989:Q989"/>
    <mergeCell ref="B743:F743"/>
    <mergeCell ref="B744:F744"/>
    <mergeCell ref="B754:AH755"/>
    <mergeCell ref="X752:AB752"/>
    <mergeCell ref="AH750:AJ750"/>
    <mergeCell ref="AH751:AJ751"/>
    <mergeCell ref="B737:F737"/>
    <mergeCell ref="T734:W734"/>
    <mergeCell ref="T791:W791"/>
    <mergeCell ref="T787:W787"/>
    <mergeCell ref="T788:W788"/>
    <mergeCell ref="T789:W789"/>
    <mergeCell ref="X735:AB735"/>
    <mergeCell ref="X736:AB736"/>
    <mergeCell ref="C763:AR765"/>
    <mergeCell ref="C766:AR768"/>
    <mergeCell ref="O775:S775"/>
    <mergeCell ref="AK740:AO740"/>
    <mergeCell ref="AK741:AO741"/>
    <mergeCell ref="AK752:AO752"/>
    <mergeCell ref="AH737:AJ737"/>
    <mergeCell ref="AH738:AJ738"/>
    <mergeCell ref="B741:F741"/>
    <mergeCell ref="AC788:AG788"/>
    <mergeCell ref="K747:N747"/>
    <mergeCell ref="B748:F748"/>
    <mergeCell ref="B749:F749"/>
    <mergeCell ref="B750:F750"/>
    <mergeCell ref="AC747:AG747"/>
    <mergeCell ref="K748:N748"/>
    <mergeCell ref="AH736:AJ736"/>
    <mergeCell ref="AH735:AJ735"/>
    <mergeCell ref="C637:L637"/>
    <mergeCell ref="C638:L638"/>
    <mergeCell ref="P613:R613"/>
    <mergeCell ref="G577:R577"/>
    <mergeCell ref="G594:R594"/>
    <mergeCell ref="N615:O615"/>
    <mergeCell ref="AC633:AE633"/>
    <mergeCell ref="AC634:AE634"/>
    <mergeCell ref="AC635:AE635"/>
    <mergeCell ref="AA573:AK573"/>
    <mergeCell ref="Z594:AK594"/>
    <mergeCell ref="Q635:S635"/>
    <mergeCell ref="W557:Y557"/>
    <mergeCell ref="D469:V469"/>
    <mergeCell ref="M628:P628"/>
    <mergeCell ref="M629:P629"/>
    <mergeCell ref="D468:V468"/>
    <mergeCell ref="W558:Y558"/>
    <mergeCell ref="AE558:AH558"/>
    <mergeCell ref="C557:L557"/>
    <mergeCell ref="L508:AB508"/>
    <mergeCell ref="AH532:AK532"/>
    <mergeCell ref="AH515:AK515"/>
    <mergeCell ref="AC516:AF516"/>
    <mergeCell ref="T555:V555"/>
    <mergeCell ref="AH535:AK535"/>
    <mergeCell ref="W560:Y560"/>
    <mergeCell ref="AC528:AF528"/>
    <mergeCell ref="AH534:AK534"/>
    <mergeCell ref="AC531:AF531"/>
    <mergeCell ref="AC510:AF510"/>
    <mergeCell ref="AH510:AK510"/>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O730:S730"/>
    <mergeCell ref="B740:F740"/>
    <mergeCell ref="K752:N752"/>
    <mergeCell ref="O736:S736"/>
    <mergeCell ref="K738:N738"/>
    <mergeCell ref="D1103:AK1105"/>
    <mergeCell ref="D1064:AK1069"/>
    <mergeCell ref="R985:AA985"/>
    <mergeCell ref="M958:S958"/>
    <mergeCell ref="AE958:AK958"/>
    <mergeCell ref="W973:AG973"/>
    <mergeCell ref="M972:S972"/>
    <mergeCell ref="M971:S971"/>
    <mergeCell ref="M960:S960"/>
    <mergeCell ref="E885:AB885"/>
    <mergeCell ref="T794:W794"/>
    <mergeCell ref="T792:W792"/>
    <mergeCell ref="O777:S777"/>
    <mergeCell ref="X788:AB788"/>
    <mergeCell ref="AC823:AF824"/>
    <mergeCell ref="D1086:AK1090"/>
    <mergeCell ref="D1091:AK1093"/>
    <mergeCell ref="AJ1052:AQ1052"/>
    <mergeCell ref="AG1028:AH1028"/>
    <mergeCell ref="AJ989:AQ989"/>
    <mergeCell ref="D1036:AE1039"/>
    <mergeCell ref="AJ1035:AQ1039"/>
    <mergeCell ref="D1040:AE1040"/>
    <mergeCell ref="D1041:AE1043"/>
    <mergeCell ref="AJ1040:AQ1043"/>
    <mergeCell ref="D1029:AE1030"/>
    <mergeCell ref="M871:V871"/>
    <mergeCell ref="M878:V878"/>
    <mergeCell ref="O783:S786"/>
    <mergeCell ref="U826:X826"/>
    <mergeCell ref="W878:AC878"/>
    <mergeCell ref="C830:H830"/>
    <mergeCell ref="A1098:B1098"/>
    <mergeCell ref="G733:J733"/>
    <mergeCell ref="A1091:B1091"/>
    <mergeCell ref="K732:N732"/>
    <mergeCell ref="AJ990:AQ990"/>
    <mergeCell ref="W865:AC865"/>
    <mergeCell ref="W879:AC879"/>
    <mergeCell ref="O731:S731"/>
    <mergeCell ref="X737:AB737"/>
    <mergeCell ref="T736:W736"/>
    <mergeCell ref="O732:S732"/>
    <mergeCell ref="O741:S741"/>
    <mergeCell ref="G753:J753"/>
    <mergeCell ref="D1094:AK1097"/>
    <mergeCell ref="G729:J729"/>
    <mergeCell ref="G726:J726"/>
    <mergeCell ref="B726:F726"/>
    <mergeCell ref="D1083:AK1085"/>
    <mergeCell ref="D1070:AK1075"/>
    <mergeCell ref="K733:N733"/>
    <mergeCell ref="J774:N774"/>
    <mergeCell ref="O727:S727"/>
    <mergeCell ref="AG826:AJ826"/>
    <mergeCell ref="AG825:AJ825"/>
    <mergeCell ref="W842:AC842"/>
    <mergeCell ref="W847:AC847"/>
    <mergeCell ref="D1098:AK1102"/>
    <mergeCell ref="T727:W727"/>
    <mergeCell ref="K737:N737"/>
    <mergeCell ref="F831:L831"/>
    <mergeCell ref="AH739:AJ739"/>
    <mergeCell ref="AH740:AJ740"/>
    <mergeCell ref="AC883:AH883"/>
    <mergeCell ref="Z901:AE901"/>
    <mergeCell ref="W863:AC863"/>
    <mergeCell ref="AC891:AH891"/>
    <mergeCell ref="C893:AB893"/>
    <mergeCell ref="AG832:AJ832"/>
    <mergeCell ref="W844:AC844"/>
    <mergeCell ref="AC832:AF832"/>
    <mergeCell ref="O796:S796"/>
    <mergeCell ref="A1094:B1094"/>
    <mergeCell ref="AE959:AK959"/>
    <mergeCell ref="AE960:AK960"/>
    <mergeCell ref="AA947:AF947"/>
    <mergeCell ref="T730:W730"/>
    <mergeCell ref="M966:S966"/>
    <mergeCell ref="O792:S792"/>
    <mergeCell ref="T726:W726"/>
    <mergeCell ref="M831:P831"/>
    <mergeCell ref="C828:H828"/>
    <mergeCell ref="R987:AA987"/>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BS647:BW647"/>
    <mergeCell ref="AK739:AO739"/>
    <mergeCell ref="X726:AB726"/>
    <mergeCell ref="AH723:AJ723"/>
    <mergeCell ref="AC794:AG794"/>
    <mergeCell ref="AC795:AG795"/>
    <mergeCell ref="O793:S793"/>
    <mergeCell ref="J790:N790"/>
    <mergeCell ref="AC789:AG789"/>
    <mergeCell ref="BX660:CB660"/>
    <mergeCell ref="BN645:BR645"/>
    <mergeCell ref="A1103:B1103"/>
    <mergeCell ref="G725:J725"/>
    <mergeCell ref="B732:F732"/>
    <mergeCell ref="AH749:AJ749"/>
    <mergeCell ref="AD759:AF759"/>
    <mergeCell ref="T774:W774"/>
    <mergeCell ref="J779:K779"/>
    <mergeCell ref="J787:N787"/>
    <mergeCell ref="G738:J738"/>
    <mergeCell ref="G737:J737"/>
    <mergeCell ref="G735:J735"/>
    <mergeCell ref="T773:W773"/>
    <mergeCell ref="G736:J736"/>
    <mergeCell ref="C826:H826"/>
    <mergeCell ref="W852:AC852"/>
    <mergeCell ref="AA970:AG970"/>
    <mergeCell ref="AA924:AF924"/>
    <mergeCell ref="AE957:AK957"/>
    <mergeCell ref="T795:W795"/>
    <mergeCell ref="C832:L832"/>
    <mergeCell ref="AE955:AK955"/>
    <mergeCell ref="W874:AC874"/>
    <mergeCell ref="U825:X825"/>
    <mergeCell ref="M823:P824"/>
    <mergeCell ref="O791:S791"/>
    <mergeCell ref="Z817:AE817"/>
    <mergeCell ref="X795:AB795"/>
    <mergeCell ref="J783:N786"/>
    <mergeCell ref="Z818:AE818"/>
    <mergeCell ref="W857:AC857"/>
    <mergeCell ref="AC826:AF826"/>
    <mergeCell ref="AC827:AF827"/>
    <mergeCell ref="AC777:AG777"/>
    <mergeCell ref="Q823:T824"/>
    <mergeCell ref="Z809:AE809"/>
    <mergeCell ref="AC831:AF831"/>
    <mergeCell ref="H648:R648"/>
    <mergeCell ref="J773:N773"/>
    <mergeCell ref="O773:S773"/>
    <mergeCell ref="T752:W752"/>
    <mergeCell ref="J776:N776"/>
    <mergeCell ref="M874:V874"/>
    <mergeCell ref="O753:S753"/>
    <mergeCell ref="Z814:AE814"/>
    <mergeCell ref="Y831:AB831"/>
    <mergeCell ref="O752:S752"/>
    <mergeCell ref="AC828:AF828"/>
    <mergeCell ref="AG829:AJ829"/>
    <mergeCell ref="G686:R686"/>
    <mergeCell ref="N689:O689"/>
    <mergeCell ref="G734:J734"/>
    <mergeCell ref="K730:N730"/>
    <mergeCell ref="K731:N731"/>
    <mergeCell ref="BG975:BL975"/>
    <mergeCell ref="AA949:AF949"/>
    <mergeCell ref="BD906:BE906"/>
    <mergeCell ref="BD907:BE907"/>
    <mergeCell ref="U946:Z946"/>
    <mergeCell ref="U918:Z918"/>
    <mergeCell ref="U944:Z944"/>
    <mergeCell ref="AA933:AF933"/>
    <mergeCell ref="U920:Z920"/>
    <mergeCell ref="AA920:AF920"/>
    <mergeCell ref="DM619:DQ619"/>
    <mergeCell ref="W628:Y628"/>
    <mergeCell ref="W629:Y629"/>
    <mergeCell ref="W630:Y630"/>
    <mergeCell ref="W631:Y631"/>
    <mergeCell ref="AG615:AH615"/>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Y832:AB832"/>
    <mergeCell ref="CX609:DB609"/>
    <mergeCell ref="DC609:DG609"/>
    <mergeCell ref="DH609:DL609"/>
    <mergeCell ref="BS638:BW638"/>
    <mergeCell ref="BS654:BW654"/>
    <mergeCell ref="BS646:BW646"/>
    <mergeCell ref="X783:AB786"/>
    <mergeCell ref="X787:AB787"/>
    <mergeCell ref="X796:AB796"/>
    <mergeCell ref="Y829:AB829"/>
    <mergeCell ref="AC829:AF829"/>
    <mergeCell ref="U830:X830"/>
    <mergeCell ref="DC610:DG610"/>
    <mergeCell ref="DH610:DL610"/>
    <mergeCell ref="BK611:BL611"/>
    <mergeCell ref="CH612:CL612"/>
    <mergeCell ref="BI615:BJ615"/>
    <mergeCell ref="BE617:BF617"/>
    <mergeCell ref="BI618:BJ618"/>
    <mergeCell ref="BK618:BL618"/>
    <mergeCell ref="BE614:BF614"/>
    <mergeCell ref="BG616:BH616"/>
    <mergeCell ref="CH613:CL613"/>
    <mergeCell ref="DC645:DG645"/>
    <mergeCell ref="CS646:CW646"/>
    <mergeCell ref="CH639:CL639"/>
    <mergeCell ref="CH647:CL647"/>
    <mergeCell ref="CS650:CW650"/>
    <mergeCell ref="CX650:DB650"/>
    <mergeCell ref="AE695:AI695"/>
    <mergeCell ref="CH646:CL646"/>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O790:S790"/>
    <mergeCell ref="AK631:AN631"/>
    <mergeCell ref="AK632:AN632"/>
    <mergeCell ref="BN630:BR630"/>
    <mergeCell ref="BK630:BL630"/>
    <mergeCell ref="BI625:BJ625"/>
    <mergeCell ref="BK625:BL625"/>
    <mergeCell ref="CC625:CG625"/>
    <mergeCell ref="BS620:BW620"/>
    <mergeCell ref="AO632:AS632"/>
    <mergeCell ref="BX620:CB620"/>
    <mergeCell ref="BS630:BW630"/>
    <mergeCell ref="BI621:BJ621"/>
    <mergeCell ref="Z816:AE816"/>
    <mergeCell ref="AC773:AG773"/>
    <mergeCell ref="AC725:AG725"/>
    <mergeCell ref="AC726:AG726"/>
    <mergeCell ref="CC638:CG638"/>
    <mergeCell ref="AC769:AG772"/>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C536:AF536"/>
    <mergeCell ref="Q559:S559"/>
    <mergeCell ref="AI556:AL556"/>
    <mergeCell ref="B514:H516"/>
    <mergeCell ref="AH542:AK542"/>
    <mergeCell ref="AC542:AF542"/>
    <mergeCell ref="AI557:AL557"/>
    <mergeCell ref="AC533:AF533"/>
    <mergeCell ref="Z555:AD555"/>
    <mergeCell ref="AC509:AF509"/>
    <mergeCell ref="AC525:AF525"/>
    <mergeCell ref="AE556:AH556"/>
    <mergeCell ref="AH513:AK513"/>
    <mergeCell ref="AH516:AK516"/>
    <mergeCell ref="AH541:AK541"/>
    <mergeCell ref="M565:P565"/>
    <mergeCell ref="T563:V563"/>
    <mergeCell ref="Z565:AD565"/>
    <mergeCell ref="O520:AA520"/>
    <mergeCell ref="AH518:AK518"/>
    <mergeCell ref="AH514:AK514"/>
    <mergeCell ref="Q555:S555"/>
    <mergeCell ref="Z572:AE572"/>
    <mergeCell ref="AM562:AS562"/>
    <mergeCell ref="AM564:AS564"/>
    <mergeCell ref="Q557:S557"/>
    <mergeCell ref="Z557:AD557"/>
    <mergeCell ref="B551:L553"/>
    <mergeCell ref="M551:P553"/>
    <mergeCell ref="M555:P555"/>
    <mergeCell ref="C556:L556"/>
    <mergeCell ref="M556:P556"/>
    <mergeCell ref="AI562:AL562"/>
    <mergeCell ref="C554:L554"/>
    <mergeCell ref="C555:L555"/>
    <mergeCell ref="M554:P554"/>
    <mergeCell ref="AE565:AH565"/>
    <mergeCell ref="W563:Y563"/>
    <mergeCell ref="W564:Y564"/>
    <mergeCell ref="T560:V560"/>
    <mergeCell ref="G570:R570"/>
    <mergeCell ref="Z561:AD561"/>
    <mergeCell ref="M562:P562"/>
    <mergeCell ref="M558:P558"/>
    <mergeCell ref="C561:L561"/>
    <mergeCell ref="AE559:AH559"/>
    <mergeCell ref="AI554:AL554"/>
    <mergeCell ref="W559:Y559"/>
    <mergeCell ref="AI561:AL561"/>
    <mergeCell ref="AE560:AH560"/>
    <mergeCell ref="AM551:AS553"/>
    <mergeCell ref="AE551:AH553"/>
    <mergeCell ref="AI551:AL553"/>
    <mergeCell ref="AE555:AH555"/>
    <mergeCell ref="H606:R606"/>
    <mergeCell ref="CC609:CG609"/>
    <mergeCell ref="BK609:BL609"/>
    <mergeCell ref="BI608:BJ608"/>
    <mergeCell ref="A617:AT618"/>
    <mergeCell ref="BE609:BF609"/>
    <mergeCell ref="BE607:BF607"/>
    <mergeCell ref="Z605:AE605"/>
    <mergeCell ref="Z609:AK609"/>
    <mergeCell ref="G609:R609"/>
    <mergeCell ref="Z603:AK603"/>
    <mergeCell ref="AI605:AK605"/>
    <mergeCell ref="G597:L597"/>
    <mergeCell ref="AG591:AH591"/>
    <mergeCell ref="G612:R612"/>
    <mergeCell ref="Q564:S564"/>
    <mergeCell ref="P581:R581"/>
    <mergeCell ref="AI572:AK572"/>
    <mergeCell ref="Z604:AK604"/>
    <mergeCell ref="H573:R573"/>
    <mergeCell ref="B566:AL566"/>
    <mergeCell ref="Z577:AK577"/>
    <mergeCell ref="G601:R601"/>
    <mergeCell ref="H590:R590"/>
    <mergeCell ref="G587:R587"/>
    <mergeCell ref="G578:R578"/>
    <mergeCell ref="Z602:AK602"/>
    <mergeCell ref="N575:O575"/>
    <mergeCell ref="G569:R569"/>
    <mergeCell ref="H582:R582"/>
    <mergeCell ref="Z593:AK593"/>
    <mergeCell ref="T565:V565"/>
    <mergeCell ref="CM612:CQ612"/>
    <mergeCell ref="CM613:CQ613"/>
    <mergeCell ref="CM614:CQ614"/>
    <mergeCell ref="CM615:CQ615"/>
    <mergeCell ref="BG615:BH615"/>
    <mergeCell ref="CH610:CL610"/>
    <mergeCell ref="CH608:CL608"/>
    <mergeCell ref="BX616:CB616"/>
    <mergeCell ref="CH618:CL618"/>
    <mergeCell ref="BI619:BJ619"/>
    <mergeCell ref="CC631:CG631"/>
    <mergeCell ref="CC612:CG612"/>
    <mergeCell ref="BS614:BW614"/>
    <mergeCell ref="BX630:CB630"/>
    <mergeCell ref="BG630:BH630"/>
    <mergeCell ref="BN614:BR614"/>
    <mergeCell ref="CM611:CQ611"/>
    <mergeCell ref="BG617:BH617"/>
    <mergeCell ref="BS615:BW615"/>
    <mergeCell ref="CC611:CG611"/>
    <mergeCell ref="BS612:BW612"/>
    <mergeCell ref="BI627:BJ627"/>
    <mergeCell ref="CH616:CL616"/>
    <mergeCell ref="CH614:CL614"/>
    <mergeCell ref="CH615:CL615"/>
    <mergeCell ref="CC615:CG615"/>
    <mergeCell ref="BK619:BL619"/>
    <mergeCell ref="BK614:BL614"/>
    <mergeCell ref="BI613:BJ613"/>
    <mergeCell ref="BX613:CB613"/>
    <mergeCell ref="CC613:CG613"/>
    <mergeCell ref="BG614:BH614"/>
    <mergeCell ref="C633:L633"/>
    <mergeCell ref="C634:L634"/>
    <mergeCell ref="M624:P626"/>
    <mergeCell ref="M627:P627"/>
    <mergeCell ref="AF636:AJ636"/>
    <mergeCell ref="AF637:AJ637"/>
    <mergeCell ref="AF638:AJ638"/>
    <mergeCell ref="AK624:AN626"/>
    <mergeCell ref="AK627:AN627"/>
    <mergeCell ref="AC636:AE636"/>
    <mergeCell ref="BN611:BR611"/>
    <mergeCell ref="BG608:BH608"/>
    <mergeCell ref="BK605:BL605"/>
    <mergeCell ref="CH617:CL617"/>
    <mergeCell ref="BN638:BR638"/>
    <mergeCell ref="CH611:CL611"/>
    <mergeCell ref="BS611:BW611"/>
    <mergeCell ref="BG609:BH609"/>
    <mergeCell ref="BE630:BF630"/>
    <mergeCell ref="BS617:BW617"/>
    <mergeCell ref="AA614:AK614"/>
    <mergeCell ref="G613:L613"/>
    <mergeCell ref="P605:R605"/>
    <mergeCell ref="BG613:BH613"/>
    <mergeCell ref="BK615:BL615"/>
    <mergeCell ref="CC614:CG614"/>
    <mergeCell ref="BN615:BR615"/>
    <mergeCell ref="BK616:BL616"/>
    <mergeCell ref="BS616:BW616"/>
    <mergeCell ref="G610:R610"/>
    <mergeCell ref="Z612:AK612"/>
    <mergeCell ref="CC606:CG606"/>
    <mergeCell ref="AC637:AE637"/>
    <mergeCell ref="AC638:AE638"/>
    <mergeCell ref="W638:Y638"/>
    <mergeCell ref="AC624:AE626"/>
    <mergeCell ref="AK628:AN628"/>
    <mergeCell ref="AK637:AN637"/>
    <mergeCell ref="AK638:AN638"/>
    <mergeCell ref="AF633:AJ633"/>
    <mergeCell ref="AC629:AE629"/>
    <mergeCell ref="BG627:BH627"/>
    <mergeCell ref="G646:R646"/>
    <mergeCell ref="Z644:AK644"/>
    <mergeCell ref="T635:V635"/>
    <mergeCell ref="T636:V636"/>
    <mergeCell ref="T637:V637"/>
    <mergeCell ref="T638:V638"/>
    <mergeCell ref="Q624:S626"/>
    <mergeCell ref="C628:L628"/>
    <mergeCell ref="Z646:AK646"/>
    <mergeCell ref="T629:V629"/>
    <mergeCell ref="T630:V630"/>
    <mergeCell ref="T631:V631"/>
    <mergeCell ref="T632:V632"/>
    <mergeCell ref="T633:V633"/>
    <mergeCell ref="AK634:AN634"/>
    <mergeCell ref="AK635:AN635"/>
    <mergeCell ref="AK636:AN636"/>
    <mergeCell ref="AF631:AJ631"/>
    <mergeCell ref="AF632:AJ632"/>
    <mergeCell ref="W634:Y634"/>
    <mergeCell ref="B624:L626"/>
    <mergeCell ref="AK629:AN629"/>
    <mergeCell ref="BS641:BW641"/>
    <mergeCell ref="BS632:BW632"/>
    <mergeCell ref="BK631:BL631"/>
    <mergeCell ref="BN631:BR631"/>
    <mergeCell ref="AO639:AS639"/>
    <mergeCell ref="AO629:AS629"/>
    <mergeCell ref="AF630:AJ630"/>
    <mergeCell ref="M633:P633"/>
    <mergeCell ref="M634:P634"/>
    <mergeCell ref="AF634:AJ634"/>
    <mergeCell ref="AK630:AN630"/>
    <mergeCell ref="AO638:AS638"/>
    <mergeCell ref="AF627:AJ627"/>
    <mergeCell ref="BE631:BF631"/>
    <mergeCell ref="BG632:BH632"/>
    <mergeCell ref="BK632:BL632"/>
    <mergeCell ref="BN632:BR632"/>
    <mergeCell ref="M635:P635"/>
    <mergeCell ref="M636:P636"/>
    <mergeCell ref="M637:P637"/>
    <mergeCell ref="M638:P638"/>
    <mergeCell ref="BN639:BR639"/>
    <mergeCell ref="BN640:BR640"/>
    <mergeCell ref="AC630:AE630"/>
    <mergeCell ref="AC631:AE631"/>
    <mergeCell ref="AC632:AE632"/>
    <mergeCell ref="BS639:BW639"/>
    <mergeCell ref="BN641:BR641"/>
    <mergeCell ref="BN637:BR637"/>
    <mergeCell ref="BS631:BW631"/>
    <mergeCell ref="BS637:BW637"/>
    <mergeCell ref="AC627:AE627"/>
    <mergeCell ref="BI616:BJ616"/>
    <mergeCell ref="W636:Y636"/>
    <mergeCell ref="W637:Y637"/>
    <mergeCell ref="C627:L627"/>
    <mergeCell ref="C635:L635"/>
    <mergeCell ref="H614:R614"/>
    <mergeCell ref="Z632:AB632"/>
    <mergeCell ref="G651:R651"/>
    <mergeCell ref="G652:R652"/>
    <mergeCell ref="Z655:AE655"/>
    <mergeCell ref="AA656:AK656"/>
    <mergeCell ref="BE613:BF613"/>
    <mergeCell ref="G655:L655"/>
    <mergeCell ref="G647:L647"/>
    <mergeCell ref="G645:R645"/>
    <mergeCell ref="AI647:AK647"/>
    <mergeCell ref="AO624:AS626"/>
    <mergeCell ref="AF629:AJ629"/>
    <mergeCell ref="G654:R654"/>
    <mergeCell ref="BG621:BH621"/>
    <mergeCell ref="BE623:BF623"/>
    <mergeCell ref="Z635:AB635"/>
    <mergeCell ref="G643:R643"/>
    <mergeCell ref="BG623:BH623"/>
    <mergeCell ref="P655:R655"/>
    <mergeCell ref="BE622:BF622"/>
    <mergeCell ref="BG622:BH622"/>
    <mergeCell ref="BI622:BJ622"/>
    <mergeCell ref="AC628:AE628"/>
    <mergeCell ref="C629:L629"/>
    <mergeCell ref="C630:L630"/>
    <mergeCell ref="C631:L631"/>
    <mergeCell ref="BN618:BR618"/>
    <mergeCell ref="BK617:BL617"/>
    <mergeCell ref="BG631:BH631"/>
    <mergeCell ref="BI631:BJ631"/>
    <mergeCell ref="AO640:AS640"/>
    <mergeCell ref="BN626:BR626"/>
    <mergeCell ref="BE627:BF627"/>
    <mergeCell ref="W635:Y635"/>
    <mergeCell ref="AF624:AJ626"/>
    <mergeCell ref="B639:AN639"/>
    <mergeCell ref="B640:AN640"/>
    <mergeCell ref="B641:AN641"/>
    <mergeCell ref="W633:Y633"/>
    <mergeCell ref="BE620:BF620"/>
    <mergeCell ref="BG620:BH620"/>
    <mergeCell ref="BI620:BJ620"/>
    <mergeCell ref="BK620:BL620"/>
    <mergeCell ref="BE621:BF621"/>
    <mergeCell ref="Q638:S638"/>
    <mergeCell ref="Z634:AB634"/>
    <mergeCell ref="T628:V628"/>
    <mergeCell ref="BI623:BJ623"/>
    <mergeCell ref="BK627:BL627"/>
    <mergeCell ref="BE628:BF628"/>
    <mergeCell ref="AO641:AS641"/>
    <mergeCell ref="BE618:BF618"/>
    <mergeCell ref="BE619:BF619"/>
    <mergeCell ref="BK621:BL621"/>
    <mergeCell ref="BK622:BL622"/>
    <mergeCell ref="C632:L632"/>
    <mergeCell ref="Z628:AB628"/>
    <mergeCell ref="Z629:AB6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A966:AG966"/>
    <mergeCell ref="AA972:AG972"/>
    <mergeCell ref="AE961:AK961"/>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AA946:AF94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AA939:AF939"/>
    <mergeCell ref="BD905:BF905"/>
    <mergeCell ref="BD904:BF904"/>
    <mergeCell ref="U923:Z923"/>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C886:AH886"/>
    <mergeCell ref="W870:AC870"/>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U828:X828"/>
    <mergeCell ref="W859:AC859"/>
    <mergeCell ref="Q829:T829"/>
    <mergeCell ref="Q830:T830"/>
    <mergeCell ref="AG831:AJ831"/>
    <mergeCell ref="T783:W786"/>
    <mergeCell ref="X773:AB773"/>
    <mergeCell ref="O789:S789"/>
    <mergeCell ref="J775:N775"/>
    <mergeCell ref="AC776:AG776"/>
    <mergeCell ref="Z647:AE647"/>
    <mergeCell ref="Z652:AK652"/>
    <mergeCell ref="P647:R647"/>
    <mergeCell ref="X723:AB723"/>
    <mergeCell ref="T719:W719"/>
    <mergeCell ref="T725:W725"/>
    <mergeCell ref="G724:J724"/>
    <mergeCell ref="AG665:AH665"/>
    <mergeCell ref="T729:W729"/>
    <mergeCell ref="AH728:AJ728"/>
    <mergeCell ref="K720:N720"/>
    <mergeCell ref="G670:R670"/>
    <mergeCell ref="Z669:AK669"/>
    <mergeCell ref="E707:AK707"/>
    <mergeCell ref="B727:F727"/>
    <mergeCell ref="G653:R653"/>
    <mergeCell ref="AG681:AH681"/>
    <mergeCell ref="AI687:AK687"/>
    <mergeCell ref="AE696:AI696"/>
    <mergeCell ref="K724:N724"/>
    <mergeCell ref="B723:F723"/>
    <mergeCell ref="B718:F718"/>
    <mergeCell ref="B721:F721"/>
    <mergeCell ref="G721:J721"/>
    <mergeCell ref="G722:J722"/>
    <mergeCell ref="O714:S717"/>
    <mergeCell ref="Z654:AK654"/>
    <mergeCell ref="AC722:AG722"/>
    <mergeCell ref="N681:O681"/>
    <mergeCell ref="AK714:AO717"/>
    <mergeCell ref="AK718:AO718"/>
    <mergeCell ref="AK719:AO719"/>
    <mergeCell ref="Z813:AE813"/>
    <mergeCell ref="Y825:AB825"/>
    <mergeCell ref="AC825:AF825"/>
    <mergeCell ref="Y826:AB826"/>
    <mergeCell ref="O733:S733"/>
    <mergeCell ref="O735:S735"/>
    <mergeCell ref="AC736:AG736"/>
    <mergeCell ref="T738:W738"/>
    <mergeCell ref="AC797:AG797"/>
    <mergeCell ref="AG827:AJ827"/>
    <mergeCell ref="B735:F735"/>
    <mergeCell ref="B738:F738"/>
    <mergeCell ref="J792:N792"/>
    <mergeCell ref="X746:AB746"/>
    <mergeCell ref="G752:J752"/>
    <mergeCell ref="Y801:AC801"/>
    <mergeCell ref="Y800:AC800"/>
    <mergeCell ref="T741:W741"/>
    <mergeCell ref="C825:H825"/>
    <mergeCell ref="C827:H827"/>
    <mergeCell ref="X775:AB775"/>
    <mergeCell ref="X776:AB776"/>
    <mergeCell ref="AC775:AG775"/>
    <mergeCell ref="AC783:AG786"/>
    <mergeCell ref="J791:N791"/>
    <mergeCell ref="X792:AB792"/>
    <mergeCell ref="X793:AB793"/>
    <mergeCell ref="AC796:AG796"/>
    <mergeCell ref="T793:W793"/>
    <mergeCell ref="G739:J739"/>
    <mergeCell ref="T745:W745"/>
    <mergeCell ref="B739:F739"/>
    <mergeCell ref="M827:P827"/>
    <mergeCell ref="J797:N797"/>
    <mergeCell ref="J795:N795"/>
    <mergeCell ref="AC774:AG774"/>
    <mergeCell ref="X777:AB777"/>
    <mergeCell ref="O756:R756"/>
    <mergeCell ref="AG756:AJ756"/>
    <mergeCell ref="T776:W776"/>
    <mergeCell ref="X747:AB747"/>
    <mergeCell ref="X748:AB748"/>
    <mergeCell ref="X749:AB749"/>
    <mergeCell ref="X750:AB750"/>
    <mergeCell ref="AC749:AG749"/>
    <mergeCell ref="M825:P825"/>
    <mergeCell ref="J796:N796"/>
    <mergeCell ref="J777:N777"/>
    <mergeCell ref="J794:N794"/>
    <mergeCell ref="J789:N789"/>
    <mergeCell ref="T790:W790"/>
    <mergeCell ref="Q827:T827"/>
    <mergeCell ref="Z807:AE807"/>
    <mergeCell ref="O774:S774"/>
    <mergeCell ref="O794:S794"/>
    <mergeCell ref="X769:AB772"/>
    <mergeCell ref="T769:W772"/>
    <mergeCell ref="AC793:AG793"/>
    <mergeCell ref="J769:N772"/>
    <mergeCell ref="AG823:AJ824"/>
    <mergeCell ref="M826:P826"/>
    <mergeCell ref="X789:AB789"/>
    <mergeCell ref="X790:AB790"/>
    <mergeCell ref="X791:AB791"/>
    <mergeCell ref="U829:X829"/>
    <mergeCell ref="Q831:T831"/>
    <mergeCell ref="AC830:AF830"/>
    <mergeCell ref="Y828:AB828"/>
    <mergeCell ref="AC790:AG790"/>
    <mergeCell ref="U831:X831"/>
    <mergeCell ref="M828:P828"/>
    <mergeCell ref="T775:W775"/>
    <mergeCell ref="AG828:AJ828"/>
    <mergeCell ref="O797:S797"/>
    <mergeCell ref="C829:H829"/>
    <mergeCell ref="Q828:T828"/>
    <mergeCell ref="AC787:AG787"/>
    <mergeCell ref="M830:P830"/>
    <mergeCell ref="AE564:AH564"/>
    <mergeCell ref="AI655:AK655"/>
    <mergeCell ref="G662:R662"/>
    <mergeCell ref="AE699:AI699"/>
    <mergeCell ref="AA648:AK648"/>
    <mergeCell ref="G571:R571"/>
    <mergeCell ref="G585:R585"/>
    <mergeCell ref="AG575:AH575"/>
    <mergeCell ref="Z568:AK568"/>
    <mergeCell ref="Z571:AK571"/>
    <mergeCell ref="P589:R589"/>
    <mergeCell ref="AF628:AJ628"/>
    <mergeCell ref="Z580:AK580"/>
    <mergeCell ref="Z569:AK569"/>
    <mergeCell ref="AG657:AH657"/>
    <mergeCell ref="G661:R661"/>
    <mergeCell ref="Z630:AB630"/>
    <mergeCell ref="Z631:AB631"/>
    <mergeCell ref="Z651:AK651"/>
    <mergeCell ref="G644:R644"/>
    <mergeCell ref="Z645:AK645"/>
    <mergeCell ref="Z613:AE613"/>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A582:AK582"/>
    <mergeCell ref="AI613:AK613"/>
    <mergeCell ref="Z659:AK659"/>
    <mergeCell ref="N657:O657"/>
    <mergeCell ref="H656:R656"/>
    <mergeCell ref="Z653:AK653"/>
    <mergeCell ref="K726:N726"/>
    <mergeCell ref="H664:R664"/>
    <mergeCell ref="G679:L679"/>
    <mergeCell ref="K725:N725"/>
    <mergeCell ref="O722:S722"/>
    <mergeCell ref="X722:AB722"/>
    <mergeCell ref="AH722:AJ722"/>
    <mergeCell ref="G720:J720"/>
    <mergeCell ref="G723:J723"/>
    <mergeCell ref="AH724:AJ724"/>
    <mergeCell ref="T720:W720"/>
    <mergeCell ref="Z671:AE671"/>
    <mergeCell ref="Z668:AK668"/>
    <mergeCell ref="G687:L687"/>
    <mergeCell ref="T722:W722"/>
    <mergeCell ref="G683:R683"/>
    <mergeCell ref="AI671:AK671"/>
    <mergeCell ref="AI679:AK679"/>
    <mergeCell ref="G678:R678"/>
    <mergeCell ref="P679:R679"/>
    <mergeCell ref="K714:N717"/>
    <mergeCell ref="T724:W724"/>
    <mergeCell ref="W700:AK700"/>
    <mergeCell ref="Z683:AK683"/>
    <mergeCell ref="G677:R677"/>
    <mergeCell ref="Z678:AK678"/>
    <mergeCell ref="Z686:AK686"/>
    <mergeCell ref="Z676:AK676"/>
    <mergeCell ref="AE694:AF694"/>
    <mergeCell ref="J705:O705"/>
    <mergeCell ref="J704:X704"/>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T558:V558"/>
    <mergeCell ref="W561:Y561"/>
    <mergeCell ref="W562:Y562"/>
    <mergeCell ref="AC532:AF532"/>
    <mergeCell ref="O535:AA535"/>
    <mergeCell ref="AC535:AF535"/>
    <mergeCell ref="M563:P563"/>
    <mergeCell ref="AH519:AK519"/>
    <mergeCell ref="AH536:AK536"/>
    <mergeCell ref="AG448:AJ448"/>
    <mergeCell ref="AH528:AK528"/>
    <mergeCell ref="AH505:AK505"/>
    <mergeCell ref="AC540:AF540"/>
    <mergeCell ref="N370:Q370"/>
    <mergeCell ref="AC508:AF508"/>
    <mergeCell ref="J385:U385"/>
    <mergeCell ref="V381:W381"/>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AC347:AE347"/>
    <mergeCell ref="P343:AE343"/>
    <mergeCell ref="AA340:AF340"/>
    <mergeCell ref="H309:R309"/>
    <mergeCell ref="AA309:AK309"/>
    <mergeCell ref="AA307:AF307"/>
    <mergeCell ref="H313:R313"/>
    <mergeCell ref="H304:R304"/>
    <mergeCell ref="H303:R303"/>
    <mergeCell ref="AA308:AF308"/>
    <mergeCell ref="AA305:AK305"/>
    <mergeCell ref="AI315:AK315"/>
    <mergeCell ref="AA312:AK312"/>
    <mergeCell ref="AA324:AF324"/>
    <mergeCell ref="AI323:AK323"/>
    <mergeCell ref="M357:N357"/>
    <mergeCell ref="AA290:AK290"/>
    <mergeCell ref="W253:X253"/>
    <mergeCell ref="AH262:AK262"/>
    <mergeCell ref="M249:T249"/>
    <mergeCell ref="M244:AE244"/>
    <mergeCell ref="H330:R330"/>
    <mergeCell ref="AA321:AK321"/>
    <mergeCell ref="H325:R325"/>
    <mergeCell ref="H307:M307"/>
    <mergeCell ref="M263:R263"/>
    <mergeCell ref="M265:T265"/>
    <mergeCell ref="AA314:AK314"/>
    <mergeCell ref="AA313:AK313"/>
    <mergeCell ref="H319:R319"/>
    <mergeCell ref="AA316:AF316"/>
    <mergeCell ref="AA297:AK297"/>
    <mergeCell ref="H288:R288"/>
    <mergeCell ref="M254:AE254"/>
    <mergeCell ref="H311:R311"/>
    <mergeCell ref="H308:M308"/>
    <mergeCell ref="P307:R307"/>
    <mergeCell ref="H305:R305"/>
    <mergeCell ref="H289:R289"/>
    <mergeCell ref="L276:S276"/>
    <mergeCell ref="L278:Q278"/>
    <mergeCell ref="AA296:AK296"/>
    <mergeCell ref="AA289:AK289"/>
    <mergeCell ref="P323:R323"/>
    <mergeCell ref="AA315:AF315"/>
    <mergeCell ref="H298:R298"/>
    <mergeCell ref="H312:R312"/>
    <mergeCell ref="AI307:AK307"/>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AF251:AK251"/>
    <mergeCell ref="M247:R247"/>
    <mergeCell ref="M245:T245"/>
    <mergeCell ref="D208:M208"/>
    <mergeCell ref="M252:AE252"/>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AC245:AE245"/>
    <mergeCell ref="M246:AE246"/>
    <mergeCell ref="AA238:AK238"/>
    <mergeCell ref="M234:T234"/>
    <mergeCell ref="AH194:AI194"/>
    <mergeCell ref="W234:X234"/>
    <mergeCell ref="AB212:AC212"/>
    <mergeCell ref="AF243:AK243"/>
    <mergeCell ref="T196:U196"/>
    <mergeCell ref="D220:Z220"/>
    <mergeCell ref="T193:AI193"/>
    <mergeCell ref="M236:R236"/>
    <mergeCell ref="Z236:AE236"/>
    <mergeCell ref="AH246:AK246"/>
    <mergeCell ref="A86:AT87"/>
    <mergeCell ref="A89:AT90"/>
    <mergeCell ref="A92:AT98"/>
    <mergeCell ref="A100:AT103"/>
    <mergeCell ref="I184:AE184"/>
    <mergeCell ref="X176:Y176"/>
    <mergeCell ref="X180:Y180"/>
    <mergeCell ref="AP205:AQ205"/>
    <mergeCell ref="A75:AT77"/>
    <mergeCell ref="A79:AT81"/>
    <mergeCell ref="AB215:AL215"/>
    <mergeCell ref="T198:U198"/>
    <mergeCell ref="Y212:Z212"/>
    <mergeCell ref="D214:Z214"/>
    <mergeCell ref="AB216:AL216"/>
    <mergeCell ref="A105:AT106"/>
    <mergeCell ref="L113:O113"/>
    <mergeCell ref="Y117:AK117"/>
    <mergeCell ref="T190:AE190"/>
    <mergeCell ref="Y123:AK123"/>
    <mergeCell ref="Y120:AK120"/>
    <mergeCell ref="O160:T160"/>
    <mergeCell ref="AI178:AK178"/>
    <mergeCell ref="F150:T150"/>
    <mergeCell ref="AF178:AG178"/>
    <mergeCell ref="G113:H113"/>
    <mergeCell ref="C115:K115"/>
    <mergeCell ref="O161:AH161"/>
    <mergeCell ref="D164:AH164"/>
    <mergeCell ref="P204:U204"/>
    <mergeCell ref="AH195:AI195"/>
    <mergeCell ref="AH196:AI196"/>
    <mergeCell ref="U176:V176"/>
    <mergeCell ref="I190:N190"/>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AA257:AK257"/>
    <mergeCell ref="M260:AE260"/>
    <mergeCell ref="AA265:AK265"/>
    <mergeCell ref="H295:R295"/>
    <mergeCell ref="M261:T261"/>
    <mergeCell ref="Z263:AE263"/>
    <mergeCell ref="AA288:AK288"/>
    <mergeCell ref="H287:R287"/>
    <mergeCell ref="L274:AJ274"/>
    <mergeCell ref="H414:AE415"/>
    <mergeCell ref="AE425:AF425"/>
    <mergeCell ref="I392:N392"/>
    <mergeCell ref="AG395:AJ395"/>
    <mergeCell ref="D473:V473"/>
    <mergeCell ref="AC504:AF504"/>
    <mergeCell ref="S489:AK490"/>
    <mergeCell ref="AH500:AK500"/>
    <mergeCell ref="B501:H502"/>
    <mergeCell ref="AA291:AF291"/>
    <mergeCell ref="AI291:AK291"/>
    <mergeCell ref="AI299:AK299"/>
    <mergeCell ref="H297:R297"/>
    <mergeCell ref="AA298:AK298"/>
    <mergeCell ref="H317:R317"/>
    <mergeCell ref="K404:AJ404"/>
    <mergeCell ref="AC386:AJ386"/>
    <mergeCell ref="Q393:U393"/>
    <mergeCell ref="AG380:AH380"/>
    <mergeCell ref="W466:Y466"/>
    <mergeCell ref="W473:Y473"/>
    <mergeCell ref="Q487:AK487"/>
    <mergeCell ref="Q486:AK486"/>
    <mergeCell ref="AH502:AK502"/>
    <mergeCell ref="AC499:AK499"/>
    <mergeCell ref="W468:Y468"/>
    <mergeCell ref="H340:M340"/>
    <mergeCell ref="P291:R291"/>
    <mergeCell ref="H291:M291"/>
    <mergeCell ref="H299:M299"/>
    <mergeCell ref="H300:M300"/>
    <mergeCell ref="AA339:AF339"/>
    <mergeCell ref="L279:AD279"/>
    <mergeCell ref="H314:R314"/>
    <mergeCell ref="H316:M316"/>
    <mergeCell ref="AA322:AK322"/>
    <mergeCell ref="H292:M292"/>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G588:R588"/>
    <mergeCell ref="BE605:BF605"/>
    <mergeCell ref="BE603:BF603"/>
    <mergeCell ref="BE600:BF600"/>
    <mergeCell ref="BI599:BJ599"/>
    <mergeCell ref="G605:L605"/>
    <mergeCell ref="G602:R602"/>
    <mergeCell ref="N599:O599"/>
    <mergeCell ref="AA598:AK598"/>
    <mergeCell ref="Q563:S563"/>
    <mergeCell ref="AI565:AL565"/>
    <mergeCell ref="N583:O583"/>
    <mergeCell ref="AH537:AK537"/>
    <mergeCell ref="AC534:AF534"/>
    <mergeCell ref="Q556:S556"/>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35:AK335"/>
    <mergeCell ref="B503:H508"/>
    <mergeCell ref="D444:AF444"/>
    <mergeCell ref="AD412:AE412"/>
    <mergeCell ref="H338:R338"/>
    <mergeCell ref="AG393:AJ393"/>
    <mergeCell ref="AG391:AJ39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CC601:CG601"/>
    <mergeCell ref="CC602:CG602"/>
    <mergeCell ref="AA606:AK606"/>
    <mergeCell ref="BN600:BR600"/>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BK603:BL603"/>
    <mergeCell ref="BG596:BH596"/>
    <mergeCell ref="CH599:CL599"/>
    <mergeCell ref="BI604:BJ604"/>
    <mergeCell ref="BN602:BR602"/>
    <mergeCell ref="BS606:BW606"/>
    <mergeCell ref="BI603:BJ603"/>
    <mergeCell ref="BI606:BJ606"/>
    <mergeCell ref="BG605:BH605"/>
    <mergeCell ref="BN596:BR596"/>
    <mergeCell ref="BI602:BJ602"/>
    <mergeCell ref="CC597:CG597"/>
    <mergeCell ref="G604:R604"/>
    <mergeCell ref="BX596:CB596"/>
    <mergeCell ref="BG601:BH601"/>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BX599:CB599"/>
    <mergeCell ref="CC600:CG600"/>
    <mergeCell ref="BX602:CB602"/>
    <mergeCell ref="BX606:CB606"/>
    <mergeCell ref="BK607:BL607"/>
    <mergeCell ref="BN607:BR607"/>
    <mergeCell ref="BS607:BW607"/>
    <mergeCell ref="BN609:BR609"/>
    <mergeCell ref="BN610:BR610"/>
    <mergeCell ref="BE608:BF608"/>
    <mergeCell ref="BE610:BF610"/>
    <mergeCell ref="BN601:BR601"/>
    <mergeCell ref="BN597:BR597"/>
    <mergeCell ref="BG597:BH597"/>
    <mergeCell ref="BI597:BJ597"/>
    <mergeCell ref="BK596:BL596"/>
    <mergeCell ref="BX619:CB619"/>
    <mergeCell ref="BX618:CB618"/>
    <mergeCell ref="BI630:BJ630"/>
    <mergeCell ref="BX608:CB608"/>
    <mergeCell ref="BE612:BF612"/>
    <mergeCell ref="BX611:CB611"/>
    <mergeCell ref="BX614:CB614"/>
    <mergeCell ref="BS613:BW613"/>
    <mergeCell ref="BI611:BJ611"/>
    <mergeCell ref="BI598:BJ598"/>
    <mergeCell ref="BK599:BL599"/>
    <mergeCell ref="BN599:BR599"/>
    <mergeCell ref="BG600:BH600"/>
    <mergeCell ref="BK623:BL623"/>
    <mergeCell ref="BI617:BJ617"/>
    <mergeCell ref="BE616:BF616"/>
    <mergeCell ref="BE611:BF611"/>
    <mergeCell ref="BN613:BR613"/>
    <mergeCell ref="BK613:BL613"/>
    <mergeCell ref="BX624:CB624"/>
    <mergeCell ref="BI609:BJ609"/>
    <mergeCell ref="BN619:BR619"/>
    <mergeCell ref="BX612:CB612"/>
    <mergeCell ref="BX615:CB615"/>
    <mergeCell ref="BK610:BL610"/>
    <mergeCell ref="CC620:CG620"/>
    <mergeCell ref="BI612:BJ612"/>
    <mergeCell ref="BK612:BL612"/>
    <mergeCell ref="BG612:BH612"/>
    <mergeCell ref="BN612:BR612"/>
    <mergeCell ref="BI614:BJ614"/>
    <mergeCell ref="BS619:BW619"/>
    <mergeCell ref="BG618:BH618"/>
    <mergeCell ref="BN620:BR620"/>
    <mergeCell ref="CC610:CG610"/>
    <mergeCell ref="CC607:CG607"/>
    <mergeCell ref="BS608:BW608"/>
    <mergeCell ref="BN608:BR608"/>
    <mergeCell ref="BN616:BR616"/>
    <mergeCell ref="P663:R663"/>
    <mergeCell ref="G659:R659"/>
    <mergeCell ref="BN655:BR655"/>
    <mergeCell ref="BS640:BW640"/>
    <mergeCell ref="BN629:BR629"/>
    <mergeCell ref="BS629:BW629"/>
    <mergeCell ref="BX629:CB629"/>
    <mergeCell ref="BX639:CB639"/>
    <mergeCell ref="BX640:CB640"/>
    <mergeCell ref="Z633:AB633"/>
    <mergeCell ref="BX609:CB609"/>
    <mergeCell ref="Z663:AE663"/>
    <mergeCell ref="Z643:AK643"/>
    <mergeCell ref="CC640:CG640"/>
    <mergeCell ref="CC616:CG616"/>
    <mergeCell ref="CC618:CG618"/>
    <mergeCell ref="N649:O649"/>
    <mergeCell ref="G663:L663"/>
    <mergeCell ref="BG611:BH611"/>
    <mergeCell ref="Z662:AK662"/>
    <mergeCell ref="N673:O673"/>
    <mergeCell ref="K718:N718"/>
    <mergeCell ref="K719:N719"/>
    <mergeCell ref="G718:J718"/>
    <mergeCell ref="AH719:AJ719"/>
    <mergeCell ref="B517:H519"/>
    <mergeCell ref="O523:AA523"/>
    <mergeCell ref="AC519:AF519"/>
    <mergeCell ref="AC523:AF523"/>
    <mergeCell ref="AH524:AK524"/>
    <mergeCell ref="AH525:AK525"/>
    <mergeCell ref="AC538:AF538"/>
    <mergeCell ref="AH529:AK529"/>
    <mergeCell ref="W556:Y556"/>
    <mergeCell ref="AM555:AS555"/>
    <mergeCell ref="AG607:AH607"/>
    <mergeCell ref="BG603:BH603"/>
    <mergeCell ref="AM557:AS557"/>
    <mergeCell ref="AE557:AH557"/>
    <mergeCell ref="T557:V557"/>
    <mergeCell ref="AC529:AF529"/>
    <mergeCell ref="Z551:AD553"/>
    <mergeCell ref="AC522:AF522"/>
    <mergeCell ref="T554:V554"/>
    <mergeCell ref="AC524:AF524"/>
    <mergeCell ref="Q554:S554"/>
    <mergeCell ref="G568:R568"/>
    <mergeCell ref="M574:R574"/>
    <mergeCell ref="C558:L558"/>
    <mergeCell ref="M557:P557"/>
    <mergeCell ref="BE601:BF601"/>
    <mergeCell ref="BE598:BF598"/>
    <mergeCell ref="AC539:AF539"/>
    <mergeCell ref="AG583:AH583"/>
    <mergeCell ref="AI559:AL559"/>
    <mergeCell ref="AH520:AK520"/>
    <mergeCell ref="AC537:AF537"/>
    <mergeCell ref="AH539:AK539"/>
    <mergeCell ref="AF574:AK574"/>
    <mergeCell ref="Z585:AK585"/>
    <mergeCell ref="Z588:AK588"/>
    <mergeCell ref="Z578:AK578"/>
    <mergeCell ref="AM559:AS559"/>
    <mergeCell ref="T556:V556"/>
    <mergeCell ref="AC520:AF520"/>
    <mergeCell ref="AC527:AF527"/>
    <mergeCell ref="B520:H542"/>
    <mergeCell ref="Z564:AD564"/>
    <mergeCell ref="AI581:AK581"/>
    <mergeCell ref="Z601:AK601"/>
    <mergeCell ref="G593:R593"/>
    <mergeCell ref="G579:R579"/>
    <mergeCell ref="Z559:AD559"/>
    <mergeCell ref="Z560:AD560"/>
    <mergeCell ref="AE561:AH561"/>
    <mergeCell ref="M560:P560"/>
    <mergeCell ref="AM563:AS563"/>
    <mergeCell ref="AM561:AS561"/>
    <mergeCell ref="M561:P561"/>
    <mergeCell ref="AE562:AH562"/>
    <mergeCell ref="Q562:S562"/>
    <mergeCell ref="C560:L560"/>
    <mergeCell ref="J388:U388"/>
    <mergeCell ref="D467:V467"/>
    <mergeCell ref="AG441:AJ441"/>
    <mergeCell ref="AG438:AJ438"/>
    <mergeCell ref="AG394:AJ394"/>
    <mergeCell ref="E420:AJ420"/>
    <mergeCell ref="AC512:AF512"/>
    <mergeCell ref="AH512:AK512"/>
    <mergeCell ref="H336:R336"/>
    <mergeCell ref="AA327:AK327"/>
    <mergeCell ref="H332:M332"/>
    <mergeCell ref="AA336:AK336"/>
    <mergeCell ref="H333:R333"/>
    <mergeCell ref="S405:AJ405"/>
    <mergeCell ref="AC456:AF456"/>
    <mergeCell ref="M356:N356"/>
    <mergeCell ref="H335:R335"/>
    <mergeCell ref="AA329:AK329"/>
    <mergeCell ref="P331:R331"/>
    <mergeCell ref="H328:R328"/>
    <mergeCell ref="AI397:AJ397"/>
    <mergeCell ref="T399:AJ399"/>
    <mergeCell ref="T398:AJ398"/>
    <mergeCell ref="AG440:AJ440"/>
    <mergeCell ref="AC387:AJ387"/>
    <mergeCell ref="V388:AJ388"/>
    <mergeCell ref="AG442:AJ442"/>
    <mergeCell ref="D437:AF437"/>
    <mergeCell ref="D442:AF442"/>
    <mergeCell ref="S402:U402"/>
    <mergeCell ref="P425:Q425"/>
    <mergeCell ref="I410:AE410"/>
    <mergeCell ref="AA320:AK320"/>
    <mergeCell ref="AA337:AK337"/>
    <mergeCell ref="H327:R327"/>
    <mergeCell ref="H339:M339"/>
    <mergeCell ref="AA317:AK317"/>
    <mergeCell ref="L280:AD280"/>
    <mergeCell ref="L275:AD275"/>
    <mergeCell ref="H290:R290"/>
    <mergeCell ref="AA333:AK333"/>
    <mergeCell ref="AA311:AK311"/>
    <mergeCell ref="AA306:AK306"/>
    <mergeCell ref="AA303:AK303"/>
    <mergeCell ref="D270:H270"/>
    <mergeCell ref="X270:AC270"/>
    <mergeCell ref="AI392:AJ392"/>
    <mergeCell ref="R412:S412"/>
    <mergeCell ref="Q429:R429"/>
    <mergeCell ref="P349:AE349"/>
    <mergeCell ref="AC370:AF370"/>
    <mergeCell ref="P348:Z348"/>
    <mergeCell ref="N373:AF374"/>
    <mergeCell ref="AJ355:AK355"/>
    <mergeCell ref="AG377:AH377"/>
    <mergeCell ref="E418:G418"/>
    <mergeCell ref="AD411:AE411"/>
    <mergeCell ref="F427:AH428"/>
    <mergeCell ref="V377:W377"/>
    <mergeCell ref="S377:T377"/>
    <mergeCell ref="J387:U387"/>
    <mergeCell ref="AE424:AF424"/>
    <mergeCell ref="AE402:AJ402"/>
    <mergeCell ref="AC385:AJ385"/>
    <mergeCell ref="I418:K418"/>
    <mergeCell ref="S413:T413"/>
    <mergeCell ref="S401:U401"/>
    <mergeCell ref="D406:AJ407"/>
    <mergeCell ref="AC501:AF501"/>
    <mergeCell ref="AH526:AK526"/>
    <mergeCell ref="AC518:AF518"/>
    <mergeCell ref="Q551:S553"/>
    <mergeCell ref="T551:V553"/>
    <mergeCell ref="W551:Y553"/>
    <mergeCell ref="AH507:AK507"/>
    <mergeCell ref="AC526:AF526"/>
    <mergeCell ref="AH531:AK531"/>
    <mergeCell ref="AH540:AK540"/>
    <mergeCell ref="AC515:AF515"/>
    <mergeCell ref="AC530:AF530"/>
    <mergeCell ref="O526:AA526"/>
    <mergeCell ref="AC505:AF505"/>
    <mergeCell ref="AH503:AK503"/>
    <mergeCell ref="AC500:AF500"/>
    <mergeCell ref="AC503:AF503"/>
    <mergeCell ref="AH530:AK530"/>
    <mergeCell ref="AC521:AF521"/>
    <mergeCell ref="AH521:AK521"/>
    <mergeCell ref="AH523:AK523"/>
    <mergeCell ref="O532:AA532"/>
    <mergeCell ref="AH504:AK504"/>
    <mergeCell ref="AH517:AK517"/>
    <mergeCell ref="AC507:AF507"/>
    <mergeCell ref="AF430:AG430"/>
    <mergeCell ref="D448:AF448"/>
    <mergeCell ref="AG445:AJ445"/>
    <mergeCell ref="D449:AF449"/>
    <mergeCell ref="AC454:AF454"/>
    <mergeCell ref="W467:Y467"/>
    <mergeCell ref="Q485:AK485"/>
    <mergeCell ref="G474:V474"/>
    <mergeCell ref="W474:Y474"/>
    <mergeCell ref="W470:Y470"/>
    <mergeCell ref="D471:V471"/>
    <mergeCell ref="AG439:AJ439"/>
    <mergeCell ref="AG443:AJ443"/>
    <mergeCell ref="AG444:AJ444"/>
    <mergeCell ref="B489:P490"/>
    <mergeCell ref="Q489:R490"/>
    <mergeCell ref="Q488:AK488"/>
    <mergeCell ref="Q493:AK493"/>
    <mergeCell ref="M495:P495"/>
    <mergeCell ref="D450:AF450"/>
    <mergeCell ref="D451:AJ452"/>
    <mergeCell ref="D447:AF447"/>
    <mergeCell ref="D470:V470"/>
    <mergeCell ref="D472:V472"/>
    <mergeCell ref="W472:Y472"/>
    <mergeCell ref="CH625:CL625"/>
    <mergeCell ref="CM625:CQ625"/>
    <mergeCell ref="BS623:BW623"/>
    <mergeCell ref="BX623:CB623"/>
    <mergeCell ref="BN625:BR625"/>
    <mergeCell ref="BS625:BW625"/>
    <mergeCell ref="BX625:CB625"/>
    <mergeCell ref="CC623:CG623"/>
    <mergeCell ref="CC629:CG629"/>
    <mergeCell ref="CH629:CL629"/>
    <mergeCell ref="CM629:CQ629"/>
    <mergeCell ref="AH506:AK506"/>
    <mergeCell ref="AH508:AK508"/>
    <mergeCell ref="Q494:AK494"/>
    <mergeCell ref="BS605:BW605"/>
    <mergeCell ref="BX605:CB605"/>
    <mergeCell ref="BI601:BJ601"/>
    <mergeCell ref="BI600:BJ600"/>
    <mergeCell ref="BN603:BR603"/>
    <mergeCell ref="BN606:BR606"/>
    <mergeCell ref="BK606:BL606"/>
    <mergeCell ref="BI605:BJ605"/>
    <mergeCell ref="BX603:CB603"/>
    <mergeCell ref="AC514:AF514"/>
    <mergeCell ref="AH538:AK538"/>
    <mergeCell ref="AH522:AK522"/>
    <mergeCell ref="AC541:AF541"/>
    <mergeCell ref="AC506:AF506"/>
    <mergeCell ref="AC502:AF502"/>
    <mergeCell ref="AM554:AS554"/>
    <mergeCell ref="Q558:S558"/>
    <mergeCell ref="AI558:AL558"/>
    <mergeCell ref="W418:Y418"/>
    <mergeCell ref="AM560:AS560"/>
    <mergeCell ref="AG446:AJ446"/>
    <mergeCell ref="D440:AF440"/>
    <mergeCell ref="W703:AK703"/>
    <mergeCell ref="B719:F719"/>
    <mergeCell ref="AH730:AJ730"/>
    <mergeCell ref="AC723:AG723"/>
    <mergeCell ref="R705:T705"/>
    <mergeCell ref="AC721:AG721"/>
    <mergeCell ref="AH721:AJ721"/>
    <mergeCell ref="Z667:AK667"/>
    <mergeCell ref="B714:F717"/>
    <mergeCell ref="G675:R675"/>
    <mergeCell ref="AH509:AK509"/>
    <mergeCell ref="AC513:AF513"/>
    <mergeCell ref="AH527:AK527"/>
    <mergeCell ref="AC517:AF517"/>
    <mergeCell ref="AH501:AK501"/>
    <mergeCell ref="AG437:AJ437"/>
    <mergeCell ref="AG450:AJ450"/>
    <mergeCell ref="AC455:AF455"/>
    <mergeCell ref="F457:AB458"/>
    <mergeCell ref="D441:AF441"/>
    <mergeCell ref="D466:V466"/>
    <mergeCell ref="Q491:AK491"/>
    <mergeCell ref="AG447:AJ447"/>
    <mergeCell ref="AH495:AK495"/>
    <mergeCell ref="D465:V465"/>
    <mergeCell ref="Z432:AA432"/>
    <mergeCell ref="D443:AF443"/>
    <mergeCell ref="W471:Y471"/>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C629:EG629"/>
    <mergeCell ref="EH629:EL629"/>
    <mergeCell ref="EM629:EQ629"/>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W670:FA670"/>
    <mergeCell ref="ER668:EV668"/>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M670:EQ670"/>
    <mergeCell ref="AG689:AH689"/>
    <mergeCell ref="AC719:AG719"/>
    <mergeCell ref="O723:S723"/>
    <mergeCell ref="O724:S724"/>
    <mergeCell ref="AK748:AO748"/>
    <mergeCell ref="AK749:AO749"/>
    <mergeCell ref="AK750:AO750"/>
    <mergeCell ref="AK751:AO751"/>
    <mergeCell ref="AH745:AJ745"/>
    <mergeCell ref="AH746:AJ746"/>
    <mergeCell ref="AH747:AJ747"/>
    <mergeCell ref="AH748:AJ748"/>
    <mergeCell ref="B725:F725"/>
    <mergeCell ref="B724:F724"/>
    <mergeCell ref="B728:F728"/>
    <mergeCell ref="X728:AB728"/>
    <mergeCell ref="K745:N745"/>
    <mergeCell ref="O745:S745"/>
    <mergeCell ref="AH734:AJ734"/>
    <mergeCell ref="B734:F734"/>
    <mergeCell ref="AH733:AJ733"/>
    <mergeCell ref="AK728:AO728"/>
    <mergeCell ref="AK729:AO729"/>
    <mergeCell ref="AH732:AJ732"/>
    <mergeCell ref="G727:J727"/>
    <mergeCell ref="T728:W728"/>
    <mergeCell ref="AC740:AG740"/>
    <mergeCell ref="AC741:AG741"/>
    <mergeCell ref="AC737:AG737"/>
    <mergeCell ref="AC750:AG750"/>
    <mergeCell ref="AC751:AG751"/>
    <mergeCell ref="C837:AJ837"/>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K726:AO726"/>
    <mergeCell ref="AK722:AO722"/>
    <mergeCell ref="H680:R680"/>
    <mergeCell ref="G730:J730"/>
    <mergeCell ref="X730:AB730"/>
    <mergeCell ref="X731:AB731"/>
    <mergeCell ref="H688:R688"/>
    <mergeCell ref="Z675:AK675"/>
    <mergeCell ref="AE702:AF702"/>
    <mergeCell ref="AE693:AF693"/>
    <mergeCell ref="G685:R685"/>
    <mergeCell ref="AK742:AO742"/>
    <mergeCell ref="X742:AB74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abSelected="1" workbookViewId="0">
      <selection activeCell="I14" sqref="I14"/>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558</v>
      </c>
      <c r="B1" s="125"/>
      <c r="C1" s="125"/>
      <c r="D1" s="125"/>
      <c r="E1" s="126"/>
      <c r="F1" s="1876" t="s">
        <v>630</v>
      </c>
      <c r="G1" s="1877"/>
      <c r="H1" s="1877"/>
      <c r="I1" s="1877"/>
      <c r="J1" s="1877"/>
      <c r="K1" s="1877"/>
      <c r="L1" s="1877"/>
      <c r="M1" s="1877"/>
      <c r="N1" s="1877"/>
      <c r="O1" s="1877"/>
      <c r="P1" s="1877"/>
      <c r="Q1" s="1877"/>
      <c r="R1" s="1878"/>
      <c r="S1" s="112"/>
      <c r="T1" s="111"/>
      <c r="U1" s="113"/>
    </row>
    <row r="2" spans="1:21" s="138" customFormat="1" ht="71.25" customHeight="1">
      <c r="A2" s="137"/>
      <c r="B2" s="138" t="s">
        <v>23</v>
      </c>
      <c r="C2" s="138" t="s">
        <v>375</v>
      </c>
      <c r="D2" s="138" t="s">
        <v>374</v>
      </c>
      <c r="E2" s="138" t="s">
        <v>24</v>
      </c>
      <c r="F2" s="139" t="str">
        <f>Application!B627&amp;Application!C627</f>
        <v>1)GreyStone[GHI] - Tax Exempt</v>
      </c>
      <c r="G2" s="139" t="str">
        <f>Application!B628&amp;Application!C628</f>
        <v>2)GreyStone[GHII] - B-Bond</v>
      </c>
      <c r="H2" s="139" t="str">
        <f>Application!B629&amp;Application!C629</f>
        <v>3)Income from Operations</v>
      </c>
      <c r="I2" s="139" t="str">
        <f>Application!B630&amp;Application!C630</f>
        <v>4)Deferred Developer Fee</v>
      </c>
      <c r="J2" s="139" t="str">
        <f>Application!B631&amp;Application!C631</f>
        <v>5)Developer Equity</v>
      </c>
      <c r="K2" s="139" t="str">
        <f>Application!B632&amp;Application!C632</f>
        <v>6)Deferred Contractor Fee Loan - Private</v>
      </c>
      <c r="L2" s="139" t="str">
        <f>Application!B633&amp;Application!C633</f>
        <v>7)GP Equity</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4510000</v>
      </c>
      <c r="C4" s="147">
        <v>4510000</v>
      </c>
      <c r="D4" s="147"/>
      <c r="E4" s="147">
        <f>C4-SUM(F4:K4)</f>
        <v>4510000</v>
      </c>
      <c r="F4" s="147"/>
      <c r="G4" s="147"/>
      <c r="H4" s="147"/>
      <c r="I4" s="147"/>
      <c r="J4" s="147"/>
      <c r="K4" s="147"/>
      <c r="L4" s="147"/>
      <c r="M4" s="147"/>
      <c r="N4" s="147"/>
      <c r="O4" s="147"/>
      <c r="P4" s="147"/>
      <c r="Q4" s="147"/>
      <c r="R4" s="550">
        <f>SUM(E4:Q4)</f>
        <v>4510000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4510000</v>
      </c>
      <c r="C8" s="146">
        <f t="shared" ref="C8:Q8" si="0">SUM(C4:C7)</f>
        <v>4510000</v>
      </c>
      <c r="D8" s="146">
        <f t="shared" si="0"/>
        <v>0</v>
      </c>
      <c r="E8" s="146">
        <f t="shared" si="0"/>
        <v>4510000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4510000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4510000</v>
      </c>
      <c r="C12" s="146">
        <f t="shared" si="2"/>
        <v>4510000</v>
      </c>
      <c r="D12" s="146">
        <f t="shared" si="2"/>
        <v>0</v>
      </c>
      <c r="E12" s="146">
        <f t="shared" si="2"/>
        <v>4510000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4510000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3">
      <c r="A14" s="310" t="s">
        <v>1756</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1753</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718862</v>
      </c>
      <c r="C29" s="147">
        <v>718862</v>
      </c>
      <c r="D29" s="147"/>
      <c r="E29" s="147">
        <f>C29-SUM(F29:J29)</f>
        <v>718862</v>
      </c>
      <c r="F29" s="147"/>
      <c r="G29" s="147"/>
      <c r="H29" s="147"/>
      <c r="I29" s="147"/>
      <c r="J29" s="147"/>
      <c r="K29" s="147"/>
      <c r="L29" s="147"/>
      <c r="M29" s="147"/>
      <c r="N29" s="147"/>
      <c r="O29" s="147"/>
      <c r="P29" s="147"/>
      <c r="Q29" s="147"/>
      <c r="R29" s="550">
        <f t="shared" ref="R29:R37" si="7">SUM(E29:Q29)</f>
        <v>718862</v>
      </c>
      <c r="S29" s="147">
        <f>R29</f>
        <v>718862</v>
      </c>
      <c r="T29" s="147"/>
      <c r="U29" s="143"/>
    </row>
    <row r="30" spans="1:21" s="144" customFormat="1">
      <c r="A30" s="145" t="s">
        <v>608</v>
      </c>
      <c r="B30" s="146">
        <f t="shared" si="6"/>
        <v>29339562</v>
      </c>
      <c r="C30" s="147">
        <v>29339562</v>
      </c>
      <c r="D30" s="147"/>
      <c r="E30" s="147">
        <f>C30-SUM(F30:K30)</f>
        <v>5989355</v>
      </c>
      <c r="F30" s="147">
        <f>Application!AO627-F9</f>
        <v>11963000</v>
      </c>
      <c r="G30" s="147">
        <f>Application!AO628</f>
        <v>8750000</v>
      </c>
      <c r="H30" s="147"/>
      <c r="I30" s="147"/>
      <c r="J30" s="147"/>
      <c r="K30" s="147">
        <f>Application!AO632-K79-K80-K40-K41-K43</f>
        <v>2637207</v>
      </c>
      <c r="L30" s="147"/>
      <c r="M30" s="147"/>
      <c r="N30" s="147"/>
      <c r="O30" s="147"/>
      <c r="P30" s="147"/>
      <c r="Q30" s="147"/>
      <c r="R30" s="550">
        <f t="shared" si="7"/>
        <v>29339562</v>
      </c>
      <c r="S30" s="147">
        <f t="shared" ref="S30:S37" si="8">R30</f>
        <v>29339562</v>
      </c>
      <c r="T30" s="147"/>
      <c r="U30" s="143"/>
    </row>
    <row r="31" spans="1:21" s="144" customFormat="1">
      <c r="A31" s="145" t="s">
        <v>609</v>
      </c>
      <c r="B31" s="146">
        <f t="shared" si="6"/>
        <v>1098985</v>
      </c>
      <c r="C31" s="147">
        <v>1098985</v>
      </c>
      <c r="D31" s="147"/>
      <c r="E31" s="147">
        <f>C31-SUM(F31:J31)</f>
        <v>1098985</v>
      </c>
      <c r="F31" s="147"/>
      <c r="G31" s="147"/>
      <c r="H31" s="147"/>
      <c r="I31" s="147"/>
      <c r="J31" s="147"/>
      <c r="K31" s="147"/>
      <c r="L31" s="147"/>
      <c r="M31" s="147"/>
      <c r="N31" s="147"/>
      <c r="O31" s="147"/>
      <c r="P31" s="147"/>
      <c r="Q31" s="147"/>
      <c r="R31" s="550">
        <f t="shared" si="7"/>
        <v>1098985</v>
      </c>
      <c r="S31" s="147">
        <f t="shared" si="8"/>
        <v>1098985</v>
      </c>
      <c r="T31" s="147"/>
      <c r="U31" s="143"/>
    </row>
    <row r="32" spans="1:21" s="144" customFormat="1">
      <c r="A32" s="145" t="s">
        <v>137</v>
      </c>
      <c r="B32" s="146">
        <f t="shared" si="6"/>
        <v>1432010</v>
      </c>
      <c r="C32" s="147">
        <v>1432010</v>
      </c>
      <c r="D32" s="147"/>
      <c r="E32" s="147">
        <f>C32-SUM(F32:J32)</f>
        <v>1432010</v>
      </c>
      <c r="F32" s="147"/>
      <c r="G32" s="147"/>
      <c r="H32" s="147"/>
      <c r="I32" s="147"/>
      <c r="J32" s="147"/>
      <c r="K32" s="147"/>
      <c r="L32" s="147"/>
      <c r="M32" s="147"/>
      <c r="N32" s="147"/>
      <c r="O32" s="147"/>
      <c r="P32" s="147"/>
      <c r="Q32" s="147"/>
      <c r="R32" s="550">
        <f t="shared" si="7"/>
        <v>1432010</v>
      </c>
      <c r="S32" s="147">
        <f t="shared" si="8"/>
        <v>1432010</v>
      </c>
      <c r="T32" s="147"/>
      <c r="U32" s="143"/>
    </row>
    <row r="33" spans="1:21" s="144" customFormat="1">
      <c r="A33" s="145" t="s">
        <v>138</v>
      </c>
      <c r="B33" s="146">
        <f t="shared" si="6"/>
        <v>1432010</v>
      </c>
      <c r="C33" s="147">
        <v>1432010</v>
      </c>
      <c r="D33" s="147"/>
      <c r="E33" s="147">
        <f>C33-SUM(F33:J33)</f>
        <v>1432010</v>
      </c>
      <c r="F33" s="147"/>
      <c r="G33" s="147"/>
      <c r="H33" s="147"/>
      <c r="I33" s="147"/>
      <c r="J33" s="147"/>
      <c r="K33" s="147"/>
      <c r="L33" s="147"/>
      <c r="M33" s="147"/>
      <c r="N33" s="147"/>
      <c r="O33" s="147"/>
      <c r="P33" s="147"/>
      <c r="Q33" s="147"/>
      <c r="R33" s="550">
        <f t="shared" si="7"/>
        <v>1432010</v>
      </c>
      <c r="S33" s="147">
        <f t="shared" si="8"/>
        <v>1432010</v>
      </c>
      <c r="T33" s="147"/>
      <c r="U33" s="143"/>
    </row>
    <row r="34" spans="1:21" s="144" customFormat="1">
      <c r="A34" s="145" t="s">
        <v>139</v>
      </c>
      <c r="B34" s="146">
        <f t="shared" si="6"/>
        <v>0</v>
      </c>
      <c r="C34" s="147"/>
      <c r="D34" s="147"/>
      <c r="E34" s="147">
        <f>C34-SUM(F34:J34)</f>
        <v>0</v>
      </c>
      <c r="F34" s="147"/>
      <c r="G34" s="147"/>
      <c r="H34" s="147"/>
      <c r="I34" s="147"/>
      <c r="J34" s="147"/>
      <c r="K34" s="147"/>
      <c r="L34" s="147"/>
      <c r="M34" s="147"/>
      <c r="N34" s="147"/>
      <c r="O34" s="147"/>
      <c r="P34" s="147"/>
      <c r="Q34" s="147"/>
      <c r="R34" s="550">
        <f t="shared" si="7"/>
        <v>0</v>
      </c>
      <c r="S34" s="147">
        <f t="shared" si="8"/>
        <v>0</v>
      </c>
      <c r="T34" s="147"/>
      <c r="U34" s="143"/>
    </row>
    <row r="35" spans="1:21" s="144" customFormat="1">
      <c r="A35" s="145" t="s">
        <v>140</v>
      </c>
      <c r="B35" s="146">
        <f t="shared" si="6"/>
        <v>328451</v>
      </c>
      <c r="C35" s="147">
        <v>328451</v>
      </c>
      <c r="D35" s="147"/>
      <c r="E35" s="147">
        <f>C35-SUM(F35:J35)</f>
        <v>328451</v>
      </c>
      <c r="F35" s="147"/>
      <c r="G35" s="147"/>
      <c r="H35" s="147"/>
      <c r="I35" s="147"/>
      <c r="J35" s="147"/>
      <c r="K35" s="147"/>
      <c r="L35" s="147"/>
      <c r="M35" s="147"/>
      <c r="N35" s="147"/>
      <c r="O35" s="147"/>
      <c r="P35" s="147"/>
      <c r="Q35" s="147"/>
      <c r="R35" s="550">
        <f t="shared" si="7"/>
        <v>328451</v>
      </c>
      <c r="S35" s="147">
        <f t="shared" si="8"/>
        <v>328451</v>
      </c>
      <c r="T35" s="147"/>
      <c r="U35" s="143"/>
    </row>
    <row r="36" spans="1:21" s="144" customFormat="1">
      <c r="A36" s="304" t="s">
        <v>1753</v>
      </c>
      <c r="B36" s="146">
        <f t="shared" si="6"/>
        <v>0</v>
      </c>
      <c r="C36" s="147"/>
      <c r="D36" s="147"/>
      <c r="E36" s="147"/>
      <c r="F36" s="147"/>
      <c r="G36" s="147"/>
      <c r="H36" s="147"/>
      <c r="I36" s="147"/>
      <c r="J36" s="147"/>
      <c r="K36" s="147"/>
      <c r="L36" s="147"/>
      <c r="M36" s="147"/>
      <c r="N36" s="147"/>
      <c r="O36" s="147"/>
      <c r="P36" s="147"/>
      <c r="Q36" s="147"/>
      <c r="R36" s="550">
        <f t="shared" si="7"/>
        <v>0</v>
      </c>
      <c r="S36" s="147">
        <f t="shared" si="8"/>
        <v>0</v>
      </c>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f t="shared" si="8"/>
        <v>0</v>
      </c>
      <c r="T37" s="147"/>
      <c r="U37" s="143"/>
    </row>
    <row r="38" spans="1:21" s="144" customFormat="1">
      <c r="A38" s="149" t="s">
        <v>143</v>
      </c>
      <c r="B38" s="146">
        <f t="shared" si="6"/>
        <v>34349880</v>
      </c>
      <c r="C38" s="146">
        <f>SUM(C29:C37)</f>
        <v>34349880</v>
      </c>
      <c r="D38" s="146">
        <f t="shared" ref="D38:Q38" si="9">SUM(D29:D37)</f>
        <v>0</v>
      </c>
      <c r="E38" s="146">
        <f t="shared" si="9"/>
        <v>10999673</v>
      </c>
      <c r="F38" s="146">
        <f t="shared" si="9"/>
        <v>11963000</v>
      </c>
      <c r="G38" s="146">
        <f t="shared" si="9"/>
        <v>8750000</v>
      </c>
      <c r="H38" s="146">
        <f t="shared" si="9"/>
        <v>0</v>
      </c>
      <c r="I38" s="146">
        <f t="shared" si="9"/>
        <v>0</v>
      </c>
      <c r="J38" s="146">
        <f t="shared" si="9"/>
        <v>0</v>
      </c>
      <c r="K38" s="146">
        <f t="shared" si="9"/>
        <v>2637207</v>
      </c>
      <c r="L38" s="146">
        <f t="shared" si="9"/>
        <v>0</v>
      </c>
      <c r="M38" s="146">
        <f t="shared" si="9"/>
        <v>0</v>
      </c>
      <c r="N38" s="146">
        <f t="shared" si="9"/>
        <v>0</v>
      </c>
      <c r="O38" s="146">
        <f t="shared" si="9"/>
        <v>0</v>
      </c>
      <c r="P38" s="146">
        <f t="shared" si="9"/>
        <v>0</v>
      </c>
      <c r="Q38" s="146">
        <f t="shared" si="9"/>
        <v>0</v>
      </c>
      <c r="R38" s="370">
        <f>SUM(R29:R37)</f>
        <v>34349880</v>
      </c>
      <c r="S38" s="150">
        <f>SUM(S29:S37)</f>
        <v>34349880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354000</v>
      </c>
      <c r="C40" s="147">
        <v>354000</v>
      </c>
      <c r="D40" s="147"/>
      <c r="E40" s="147">
        <f>C40-K40</f>
        <v>88500</v>
      </c>
      <c r="F40" s="147"/>
      <c r="G40" s="147"/>
      <c r="H40" s="147"/>
      <c r="I40" s="147"/>
      <c r="J40" s="147"/>
      <c r="K40" s="147">
        <f>C40*75%</f>
        <v>265500</v>
      </c>
      <c r="L40" s="147"/>
      <c r="M40" s="147"/>
      <c r="N40" s="147"/>
      <c r="O40" s="147"/>
      <c r="P40" s="147"/>
      <c r="Q40" s="147"/>
      <c r="R40" s="550">
        <f>SUM(E40:Q40)</f>
        <v>354000</v>
      </c>
      <c r="S40" s="147">
        <f>R40</f>
        <v>354000</v>
      </c>
      <c r="T40" s="147"/>
      <c r="U40" s="143"/>
    </row>
    <row r="41" spans="1:21" s="144" customFormat="1">
      <c r="A41" s="145" t="s">
        <v>146</v>
      </c>
      <c r="B41" s="146">
        <f>SUM(C41+D41)</f>
        <v>188000</v>
      </c>
      <c r="C41" s="147">
        <v>188000</v>
      </c>
      <c r="D41" s="147"/>
      <c r="E41" s="147">
        <f>C41-K41</f>
        <v>47000</v>
      </c>
      <c r="F41" s="147"/>
      <c r="G41" s="147"/>
      <c r="H41" s="147"/>
      <c r="I41" s="147"/>
      <c r="J41" s="147"/>
      <c r="K41" s="147">
        <f>C41*75%</f>
        <v>141000</v>
      </c>
      <c r="L41" s="147"/>
      <c r="M41" s="147"/>
      <c r="N41" s="147"/>
      <c r="O41" s="147"/>
      <c r="P41" s="147"/>
      <c r="Q41" s="147"/>
      <c r="R41" s="550">
        <f>SUM(E41:Q41)</f>
        <v>188000</v>
      </c>
      <c r="S41" s="147">
        <f>R41</f>
        <v>188000</v>
      </c>
      <c r="T41" s="147"/>
      <c r="U41" s="143"/>
    </row>
    <row r="42" spans="1:21" s="144" customFormat="1">
      <c r="A42" s="149" t="s">
        <v>147</v>
      </c>
      <c r="B42" s="146">
        <f>SUM(C42:D42)</f>
        <v>542000</v>
      </c>
      <c r="C42" s="146">
        <f>SUM(C39:C41)</f>
        <v>542000</v>
      </c>
      <c r="D42" s="146">
        <f>SUM(D39:D41)</f>
        <v>0</v>
      </c>
      <c r="E42" s="146">
        <f t="shared" ref="E42:T42" si="10">SUM(E40:E41)</f>
        <v>135500</v>
      </c>
      <c r="F42" s="146">
        <f t="shared" si="10"/>
        <v>0</v>
      </c>
      <c r="G42" s="146">
        <f t="shared" si="10"/>
        <v>0</v>
      </c>
      <c r="H42" s="146">
        <f t="shared" si="10"/>
        <v>0</v>
      </c>
      <c r="I42" s="146">
        <f t="shared" si="10"/>
        <v>0</v>
      </c>
      <c r="J42" s="146">
        <f t="shared" si="10"/>
        <v>0</v>
      </c>
      <c r="K42" s="146">
        <f t="shared" si="10"/>
        <v>406500</v>
      </c>
      <c r="L42" s="146">
        <f t="shared" si="10"/>
        <v>0</v>
      </c>
      <c r="M42" s="146">
        <f t="shared" si="10"/>
        <v>0</v>
      </c>
      <c r="N42" s="146">
        <f t="shared" si="10"/>
        <v>0</v>
      </c>
      <c r="O42" s="146">
        <f t="shared" si="10"/>
        <v>0</v>
      </c>
      <c r="P42" s="146">
        <f t="shared" si="10"/>
        <v>0</v>
      </c>
      <c r="Q42" s="146">
        <f t="shared" si="10"/>
        <v>0</v>
      </c>
      <c r="R42" s="370">
        <f>SUM(R40:R41)</f>
        <v>542000</v>
      </c>
      <c r="S42" s="150">
        <f t="shared" si="10"/>
        <v>542000</v>
      </c>
      <c r="T42" s="150">
        <f t="shared" si="10"/>
        <v>0</v>
      </c>
      <c r="U42" s="143"/>
    </row>
    <row r="43" spans="1:21" s="144" customFormat="1">
      <c r="A43" s="149" t="s">
        <v>148</v>
      </c>
      <c r="B43" s="146">
        <f>SUM(C43:D43)</f>
        <v>262000</v>
      </c>
      <c r="C43" s="147">
        <v>262000</v>
      </c>
      <c r="D43" s="147"/>
      <c r="E43" s="147">
        <f>C43-K43</f>
        <v>65500</v>
      </c>
      <c r="F43" s="147"/>
      <c r="G43" s="147"/>
      <c r="H43" s="147"/>
      <c r="I43" s="147"/>
      <c r="J43" s="147"/>
      <c r="K43" s="147">
        <f>C43*75%</f>
        <v>196500</v>
      </c>
      <c r="L43" s="147"/>
      <c r="M43" s="147"/>
      <c r="N43" s="147"/>
      <c r="O43" s="147"/>
      <c r="P43" s="147"/>
      <c r="Q43" s="147"/>
      <c r="R43" s="550">
        <f>SUM(E43:Q43)</f>
        <v>262000</v>
      </c>
      <c r="S43" s="147">
        <f>R43</f>
        <v>262000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4835000</v>
      </c>
      <c r="C45" s="147">
        <v>4835000</v>
      </c>
      <c r="D45" s="147"/>
      <c r="E45" s="147">
        <f>B45-SUM(F45:M45)</f>
        <v>4835000</v>
      </c>
      <c r="F45" s="147"/>
      <c r="G45" s="147"/>
      <c r="H45" s="147"/>
      <c r="I45" s="147"/>
      <c r="J45" s="147"/>
      <c r="K45" s="147"/>
      <c r="L45" s="147"/>
      <c r="M45" s="147"/>
      <c r="N45" s="147"/>
      <c r="O45" s="147"/>
      <c r="P45" s="147"/>
      <c r="Q45" s="147"/>
      <c r="R45" s="550">
        <f t="shared" ref="R45:R53" si="12">SUM(E45:Q45)</f>
        <v>4835000</v>
      </c>
      <c r="S45" s="147">
        <f>R45</f>
        <v>4835000</v>
      </c>
      <c r="T45" s="147"/>
      <c r="U45" s="143"/>
    </row>
    <row r="46" spans="1:21" s="144" customFormat="1">
      <c r="A46" s="145" t="s">
        <v>151</v>
      </c>
      <c r="B46" s="146">
        <f t="shared" si="11"/>
        <v>234750</v>
      </c>
      <c r="C46" s="147">
        <v>234750</v>
      </c>
      <c r="D46" s="147"/>
      <c r="E46" s="147">
        <f>B46-SUM(F46:M46)</f>
        <v>234750</v>
      </c>
      <c r="F46" s="147"/>
      <c r="G46" s="147"/>
      <c r="H46" s="147"/>
      <c r="I46" s="147"/>
      <c r="J46" s="147"/>
      <c r="K46" s="147"/>
      <c r="L46" s="147"/>
      <c r="M46" s="147"/>
      <c r="N46" s="147"/>
      <c r="O46" s="147"/>
      <c r="P46" s="147"/>
      <c r="Q46" s="147"/>
      <c r="R46" s="550">
        <f t="shared" si="12"/>
        <v>234750</v>
      </c>
      <c r="S46" s="147">
        <f>R46</f>
        <v>234750</v>
      </c>
      <c r="T46" s="147"/>
      <c r="U46" s="143"/>
    </row>
    <row r="47" spans="1:21" s="144" customFormat="1">
      <c r="A47" s="198" t="s">
        <v>152</v>
      </c>
      <c r="B47" s="146">
        <f t="shared" si="11"/>
        <v>0</v>
      </c>
      <c r="C47" s="147"/>
      <c r="D47" s="147"/>
      <c r="E47" s="147">
        <f t="shared" ref="E47:E53" si="13">C47</f>
        <v>0</v>
      </c>
      <c r="F47" s="147"/>
      <c r="G47" s="147"/>
      <c r="H47" s="147"/>
      <c r="I47" s="147"/>
      <c r="J47" s="147"/>
      <c r="K47" s="147"/>
      <c r="L47" s="147"/>
      <c r="M47" s="147"/>
      <c r="N47" s="147"/>
      <c r="O47" s="147"/>
      <c r="P47" s="147"/>
      <c r="Q47" s="147"/>
      <c r="R47" s="550">
        <f t="shared" si="12"/>
        <v>0</v>
      </c>
      <c r="S47" s="147">
        <f t="shared" ref="S47:S53" si="14">R47</f>
        <v>0</v>
      </c>
      <c r="T47" s="147"/>
      <c r="U47" s="143"/>
    </row>
    <row r="48" spans="1:21" s="144" customFormat="1">
      <c r="A48" s="145" t="s">
        <v>153</v>
      </c>
      <c r="B48" s="146">
        <f t="shared" si="11"/>
        <v>0</v>
      </c>
      <c r="C48" s="147"/>
      <c r="D48" s="147"/>
      <c r="E48" s="147">
        <f t="shared" si="13"/>
        <v>0</v>
      </c>
      <c r="F48" s="147"/>
      <c r="G48" s="147"/>
      <c r="H48" s="147"/>
      <c r="I48" s="147"/>
      <c r="J48" s="147"/>
      <c r="K48" s="147"/>
      <c r="L48" s="147"/>
      <c r="M48" s="147"/>
      <c r="N48" s="147"/>
      <c r="O48" s="147"/>
      <c r="P48" s="147"/>
      <c r="Q48" s="147"/>
      <c r="R48" s="550">
        <f t="shared" si="12"/>
        <v>0</v>
      </c>
      <c r="S48" s="147">
        <f t="shared" si="14"/>
        <v>0</v>
      </c>
      <c r="T48" s="147"/>
      <c r="U48" s="143"/>
    </row>
    <row r="49" spans="1:21" s="144" customFormat="1">
      <c r="A49" s="145" t="s">
        <v>57</v>
      </c>
      <c r="B49" s="146">
        <f t="shared" si="11"/>
        <v>85000</v>
      </c>
      <c r="C49" s="147">
        <v>85000</v>
      </c>
      <c r="D49" s="147"/>
      <c r="E49" s="147">
        <f t="shared" si="13"/>
        <v>85000</v>
      </c>
      <c r="F49" s="147"/>
      <c r="G49" s="147"/>
      <c r="H49" s="147"/>
      <c r="I49" s="147"/>
      <c r="J49" s="147"/>
      <c r="K49" s="147"/>
      <c r="L49" s="147"/>
      <c r="M49" s="147"/>
      <c r="N49" s="147"/>
      <c r="O49" s="147"/>
      <c r="P49" s="147"/>
      <c r="Q49" s="147"/>
      <c r="R49" s="550">
        <f t="shared" si="12"/>
        <v>85000</v>
      </c>
      <c r="S49" s="147">
        <f t="shared" si="14"/>
        <v>85000</v>
      </c>
      <c r="T49" s="147"/>
      <c r="U49" s="143"/>
    </row>
    <row r="50" spans="1:21" s="144" customFormat="1">
      <c r="A50" s="145" t="s">
        <v>156</v>
      </c>
      <c r="B50" s="146">
        <f t="shared" si="11"/>
        <v>75000</v>
      </c>
      <c r="C50" s="147">
        <v>75000</v>
      </c>
      <c r="D50" s="147"/>
      <c r="E50" s="147">
        <f t="shared" si="13"/>
        <v>75000</v>
      </c>
      <c r="F50" s="147"/>
      <c r="G50" s="147"/>
      <c r="H50" s="147"/>
      <c r="I50" s="147"/>
      <c r="J50" s="147"/>
      <c r="K50" s="147"/>
      <c r="L50" s="147"/>
      <c r="M50" s="147"/>
      <c r="N50" s="147"/>
      <c r="O50" s="147"/>
      <c r="P50" s="147"/>
      <c r="Q50" s="147"/>
      <c r="R50" s="550">
        <f t="shared" si="12"/>
        <v>75000</v>
      </c>
      <c r="S50" s="147">
        <f t="shared" si="14"/>
        <v>75000</v>
      </c>
      <c r="T50" s="147"/>
      <c r="U50" s="143"/>
    </row>
    <row r="51" spans="1:21" s="144" customFormat="1">
      <c r="A51" s="304" t="s">
        <v>154</v>
      </c>
      <c r="B51" s="146">
        <f t="shared" si="11"/>
        <v>10000</v>
      </c>
      <c r="C51" s="147">
        <v>10000</v>
      </c>
      <c r="D51" s="147"/>
      <c r="E51" s="147">
        <f t="shared" si="13"/>
        <v>10000</v>
      </c>
      <c r="F51" s="147"/>
      <c r="G51" s="147"/>
      <c r="H51" s="147"/>
      <c r="I51" s="147"/>
      <c r="J51" s="147"/>
      <c r="K51" s="147"/>
      <c r="L51" s="147"/>
      <c r="M51" s="147"/>
      <c r="N51" s="147"/>
      <c r="O51" s="147"/>
      <c r="P51" s="147"/>
      <c r="Q51" s="147"/>
      <c r="R51" s="550">
        <f t="shared" si="12"/>
        <v>10000</v>
      </c>
      <c r="S51" s="147">
        <f t="shared" si="14"/>
        <v>10000</v>
      </c>
      <c r="T51" s="147"/>
      <c r="U51" s="143"/>
    </row>
    <row r="52" spans="1:21" s="144" customFormat="1">
      <c r="A52" s="145" t="s">
        <v>155</v>
      </c>
      <c r="B52" s="146">
        <f t="shared" si="11"/>
        <v>350000</v>
      </c>
      <c r="C52" s="147">
        <v>350000</v>
      </c>
      <c r="D52" s="147"/>
      <c r="E52" s="147">
        <f t="shared" si="13"/>
        <v>350000</v>
      </c>
      <c r="F52" s="147"/>
      <c r="G52" s="147"/>
      <c r="H52" s="147"/>
      <c r="I52" s="147"/>
      <c r="J52" s="147"/>
      <c r="K52" s="147"/>
      <c r="L52" s="147"/>
      <c r="M52" s="147"/>
      <c r="N52" s="147"/>
      <c r="O52" s="147"/>
      <c r="P52" s="147"/>
      <c r="Q52" s="147"/>
      <c r="R52" s="550">
        <f t="shared" si="12"/>
        <v>350000</v>
      </c>
      <c r="S52" s="147">
        <f t="shared" si="14"/>
        <v>350000</v>
      </c>
      <c r="T52" s="147"/>
      <c r="U52" s="143"/>
    </row>
    <row r="53" spans="1:21" s="144" customFormat="1">
      <c r="A53" s="1193" t="s">
        <v>34</v>
      </c>
      <c r="B53" s="146">
        <f t="shared" si="11"/>
        <v>0</v>
      </c>
      <c r="C53" s="147"/>
      <c r="D53" s="147"/>
      <c r="E53" s="147">
        <f t="shared" si="13"/>
        <v>0</v>
      </c>
      <c r="F53" s="147"/>
      <c r="G53" s="147"/>
      <c r="H53" s="147"/>
      <c r="I53" s="147"/>
      <c r="J53" s="147"/>
      <c r="K53" s="147"/>
      <c r="L53" s="147"/>
      <c r="M53" s="147"/>
      <c r="N53" s="147"/>
      <c r="O53" s="147"/>
      <c r="P53" s="147"/>
      <c r="Q53" s="147"/>
      <c r="R53" s="550">
        <f t="shared" si="12"/>
        <v>0</v>
      </c>
      <c r="S53" s="147">
        <f t="shared" si="14"/>
        <v>0</v>
      </c>
      <c r="T53" s="147"/>
      <c r="U53" s="143"/>
    </row>
    <row r="54" spans="1:21" s="153" customFormat="1">
      <c r="A54" s="149" t="s">
        <v>157</v>
      </c>
      <c r="B54" s="150">
        <f>SUM(C54:D54)</f>
        <v>5589750</v>
      </c>
      <c r="C54" s="150">
        <f t="shared" ref="C54:T54" si="15">SUM(C45:C53)</f>
        <v>5589750</v>
      </c>
      <c r="D54" s="150">
        <f t="shared" si="15"/>
        <v>0</v>
      </c>
      <c r="E54" s="150">
        <f t="shared" si="15"/>
        <v>5589750</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5589750</v>
      </c>
      <c r="S54" s="150">
        <f t="shared" si="15"/>
        <v>5589750</v>
      </c>
      <c r="T54" s="150">
        <f t="shared" si="15"/>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85000</v>
      </c>
      <c r="C56" s="147">
        <v>85000</v>
      </c>
      <c r="D56" s="147"/>
      <c r="E56" s="147">
        <f t="shared" ref="E56:E61" si="17">B56-SUM(F56:M56)</f>
        <v>85000</v>
      </c>
      <c r="F56" s="147"/>
      <c r="G56" s="147"/>
      <c r="H56" s="147"/>
      <c r="I56" s="147"/>
      <c r="J56" s="147"/>
      <c r="K56" s="147"/>
      <c r="L56" s="147"/>
      <c r="M56" s="147"/>
      <c r="N56" s="147"/>
      <c r="O56" s="147"/>
      <c r="P56" s="147"/>
      <c r="Q56" s="147"/>
      <c r="R56" s="550">
        <f t="shared" ref="R56:R61" si="18">SUM(E56:Q56)</f>
        <v>85000</v>
      </c>
      <c r="S56" s="148"/>
      <c r="T56" s="148"/>
      <c r="U56" s="143"/>
    </row>
    <row r="57" spans="1:21" s="204" customFormat="1">
      <c r="A57" s="198" t="s">
        <v>152</v>
      </c>
      <c r="B57" s="205">
        <f t="shared" si="16"/>
        <v>15000</v>
      </c>
      <c r="C57" s="202">
        <v>15000</v>
      </c>
      <c r="D57" s="202"/>
      <c r="E57" s="202">
        <f t="shared" si="17"/>
        <v>15000</v>
      </c>
      <c r="F57" s="202"/>
      <c r="G57" s="202"/>
      <c r="H57" s="202"/>
      <c r="I57" s="202"/>
      <c r="J57" s="202"/>
      <c r="K57" s="202"/>
      <c r="L57" s="202"/>
      <c r="M57" s="202"/>
      <c r="N57" s="202"/>
      <c r="O57" s="202"/>
      <c r="P57" s="202"/>
      <c r="Q57" s="202"/>
      <c r="R57" s="550">
        <f t="shared" si="18"/>
        <v>15000</v>
      </c>
      <c r="S57" s="206"/>
      <c r="T57" s="206"/>
      <c r="U57" s="203"/>
    </row>
    <row r="58" spans="1:21" s="144" customFormat="1">
      <c r="A58" s="145" t="s">
        <v>156</v>
      </c>
      <c r="B58" s="146">
        <f t="shared" si="16"/>
        <v>10000</v>
      </c>
      <c r="C58" s="147">
        <v>10000</v>
      </c>
      <c r="D58" s="147"/>
      <c r="E58" s="147">
        <f t="shared" si="17"/>
        <v>10000</v>
      </c>
      <c r="F58" s="147"/>
      <c r="G58" s="147"/>
      <c r="H58" s="147"/>
      <c r="I58" s="147"/>
      <c r="J58" s="147"/>
      <c r="K58" s="147"/>
      <c r="L58" s="147"/>
      <c r="M58" s="147"/>
      <c r="N58" s="147"/>
      <c r="O58" s="147"/>
      <c r="P58" s="147"/>
      <c r="Q58" s="147"/>
      <c r="R58" s="550">
        <f t="shared" si="18"/>
        <v>10000</v>
      </c>
      <c r="S58" s="148"/>
      <c r="T58" s="148"/>
      <c r="U58" s="143"/>
    </row>
    <row r="59" spans="1:21" s="144" customFormat="1">
      <c r="A59" s="304" t="s">
        <v>154</v>
      </c>
      <c r="B59" s="146">
        <f t="shared" si="16"/>
        <v>0</v>
      </c>
      <c r="C59" s="147"/>
      <c r="D59" s="147"/>
      <c r="E59" s="147">
        <f t="shared" si="17"/>
        <v>0</v>
      </c>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6"/>
        <v>0</v>
      </c>
      <c r="C60" s="147"/>
      <c r="D60" s="147"/>
      <c r="E60" s="147">
        <f t="shared" si="17"/>
        <v>0</v>
      </c>
      <c r="F60" s="147"/>
      <c r="G60" s="147"/>
      <c r="H60" s="147"/>
      <c r="I60" s="147"/>
      <c r="J60" s="147"/>
      <c r="K60" s="147"/>
      <c r="L60" s="147"/>
      <c r="M60" s="147"/>
      <c r="N60" s="147"/>
      <c r="O60" s="147"/>
      <c r="P60" s="147"/>
      <c r="Q60" s="147"/>
      <c r="R60" s="550">
        <f t="shared" si="18"/>
        <v>0</v>
      </c>
      <c r="S60" s="148"/>
      <c r="T60" s="148"/>
      <c r="U60" s="143"/>
    </row>
    <row r="61" spans="1:21" s="144" customFormat="1">
      <c r="A61" s="1193" t="s">
        <v>2722</v>
      </c>
      <c r="B61" s="146">
        <f t="shared" si="16"/>
        <v>22000</v>
      </c>
      <c r="C61" s="147">
        <v>22000</v>
      </c>
      <c r="D61" s="147"/>
      <c r="E61" s="147">
        <f t="shared" si="17"/>
        <v>22000</v>
      </c>
      <c r="F61" s="147"/>
      <c r="G61" s="147"/>
      <c r="H61" s="147"/>
      <c r="I61" s="147"/>
      <c r="J61" s="147"/>
      <c r="K61" s="147"/>
      <c r="L61" s="147"/>
      <c r="M61" s="147"/>
      <c r="N61" s="147"/>
      <c r="O61" s="147"/>
      <c r="P61" s="147"/>
      <c r="Q61" s="147"/>
      <c r="R61" s="550">
        <f t="shared" si="18"/>
        <v>22000</v>
      </c>
      <c r="S61" s="148"/>
      <c r="T61" s="148"/>
      <c r="U61" s="143"/>
    </row>
    <row r="62" spans="1:21" s="144" customFormat="1" ht="13.75" customHeight="1">
      <c r="A62" s="149" t="s">
        <v>302</v>
      </c>
      <c r="B62" s="146">
        <f>SUM(C62:D62)</f>
        <v>132000</v>
      </c>
      <c r="C62" s="146">
        <f t="shared" ref="C62:R62" si="19">SUM(C56:C61)</f>
        <v>132000</v>
      </c>
      <c r="D62" s="146">
        <f t="shared" si="19"/>
        <v>0</v>
      </c>
      <c r="E62" s="146">
        <f t="shared" si="19"/>
        <v>132000</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132000</v>
      </c>
      <c r="S62" s="148"/>
      <c r="T62" s="148"/>
      <c r="U62" s="143"/>
    </row>
    <row r="63" spans="1:21" s="144" customFormat="1">
      <c r="A63" s="154" t="s">
        <v>303</v>
      </c>
      <c r="B63" s="146">
        <f t="shared" ref="B63:R63" si="20">SUM(B8+B11+B13+B14+B15+B26+B27+B38+B42+B43+B54+B62)</f>
        <v>45385630</v>
      </c>
      <c r="C63" s="146">
        <f t="shared" si="20"/>
        <v>45385630</v>
      </c>
      <c r="D63" s="146">
        <f t="shared" si="20"/>
        <v>0</v>
      </c>
      <c r="E63" s="146">
        <f t="shared" si="20"/>
        <v>21432423</v>
      </c>
      <c r="F63" s="146">
        <f t="shared" si="20"/>
        <v>11963000</v>
      </c>
      <c r="G63" s="146">
        <f t="shared" si="20"/>
        <v>8750000</v>
      </c>
      <c r="H63" s="146">
        <f t="shared" si="20"/>
        <v>0</v>
      </c>
      <c r="I63" s="146">
        <f t="shared" si="20"/>
        <v>0</v>
      </c>
      <c r="J63" s="146">
        <f t="shared" si="20"/>
        <v>0</v>
      </c>
      <c r="K63" s="146">
        <f t="shared" si="20"/>
        <v>3240207</v>
      </c>
      <c r="L63" s="146">
        <f t="shared" si="20"/>
        <v>0</v>
      </c>
      <c r="M63" s="146">
        <f t="shared" si="20"/>
        <v>0</v>
      </c>
      <c r="N63" s="146">
        <f t="shared" si="20"/>
        <v>0</v>
      </c>
      <c r="O63" s="146">
        <f t="shared" si="20"/>
        <v>0</v>
      </c>
      <c r="P63" s="146">
        <f t="shared" si="20"/>
        <v>0</v>
      </c>
      <c r="Q63" s="146">
        <f t="shared" si="20"/>
        <v>0</v>
      </c>
      <c r="R63" s="370">
        <f t="shared" si="20"/>
        <v>45385630</v>
      </c>
      <c r="S63" s="146">
        <f>SUM(S10+S13+S14+S15+S26+S27+S38+S42+S43+S54)</f>
        <v>40743630</v>
      </c>
      <c r="T63" s="146">
        <f>SUM(T11+T13+T14+T15+T26+T27+T38+T42+T43+T54)</f>
        <v>0</v>
      </c>
      <c r="U63" s="143"/>
    </row>
    <row r="64" spans="1:21" s="144" customFormat="1" ht="24">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25000</v>
      </c>
      <c r="C65" s="147">
        <v>25000</v>
      </c>
      <c r="D65" s="147"/>
      <c r="E65" s="147">
        <f>C65</f>
        <v>25000</v>
      </c>
      <c r="F65" s="147"/>
      <c r="G65" s="147"/>
      <c r="H65" s="147"/>
      <c r="I65" s="147"/>
      <c r="J65" s="147"/>
      <c r="K65" s="147"/>
      <c r="L65" s="147"/>
      <c r="M65" s="147"/>
      <c r="N65" s="147"/>
      <c r="O65" s="147"/>
      <c r="P65" s="147"/>
      <c r="Q65" s="147"/>
      <c r="R65" s="550">
        <f>SUM(E65:Q65)</f>
        <v>25000</v>
      </c>
      <c r="S65" s="147">
        <f>R65</f>
        <v>25000</v>
      </c>
      <c r="T65" s="147"/>
      <c r="U65" s="143"/>
    </row>
    <row r="66" spans="1:21" s="144" customFormat="1" ht="24" customHeight="1">
      <c r="A66" s="304" t="s">
        <v>1754</v>
      </c>
      <c r="B66" s="146">
        <f>SUM(C66+D66)</f>
        <v>0</v>
      </c>
      <c r="C66" s="147"/>
      <c r="D66" s="147"/>
      <c r="E66" s="147"/>
      <c r="F66" s="147"/>
      <c r="G66" s="147"/>
      <c r="H66" s="147"/>
      <c r="I66" s="147"/>
      <c r="J66" s="147"/>
      <c r="K66" s="147"/>
      <c r="L66" s="147"/>
      <c r="M66" s="147"/>
      <c r="N66" s="147"/>
      <c r="O66" s="147"/>
      <c r="P66" s="147"/>
      <c r="Q66" s="147"/>
      <c r="R66" s="550">
        <f>SUM(E66:Q66)</f>
        <v>0</v>
      </c>
      <c r="S66" s="147">
        <f>R66</f>
        <v>0</v>
      </c>
      <c r="T66" s="147"/>
      <c r="U66" s="143"/>
    </row>
    <row r="67" spans="1:21" s="144" customFormat="1" ht="24" customHeight="1">
      <c r="A67" s="304" t="s">
        <v>1755</v>
      </c>
      <c r="B67" s="146">
        <f>SUM(C67+D67)</f>
        <v>0</v>
      </c>
      <c r="C67" s="147"/>
      <c r="D67" s="147"/>
      <c r="E67" s="147"/>
      <c r="F67" s="147"/>
      <c r="G67" s="147"/>
      <c r="H67" s="147"/>
      <c r="I67" s="147"/>
      <c r="J67" s="147"/>
      <c r="K67" s="147"/>
      <c r="L67" s="147"/>
      <c r="M67" s="147"/>
      <c r="N67" s="147"/>
      <c r="O67" s="147"/>
      <c r="P67" s="147"/>
      <c r="Q67" s="147"/>
      <c r="R67" s="550">
        <f>SUM(E67:Q67)</f>
        <v>0</v>
      </c>
      <c r="S67" s="147">
        <f>R67</f>
        <v>0</v>
      </c>
      <c r="T67" s="147"/>
      <c r="U67" s="143"/>
    </row>
    <row r="68" spans="1:21" s="144" customFormat="1" ht="12" customHeight="1">
      <c r="A68" s="304" t="s">
        <v>1761</v>
      </c>
      <c r="B68" s="146">
        <f>SUM(C68+D68)</f>
        <v>0</v>
      </c>
      <c r="C68" s="147"/>
      <c r="D68" s="147"/>
      <c r="E68" s="147"/>
      <c r="F68" s="147"/>
      <c r="G68" s="147"/>
      <c r="H68" s="147"/>
      <c r="I68" s="147"/>
      <c r="J68" s="147"/>
      <c r="K68" s="147"/>
      <c r="L68" s="147"/>
      <c r="M68" s="147"/>
      <c r="N68" s="147"/>
      <c r="O68" s="147"/>
      <c r="P68" s="147"/>
      <c r="Q68" s="147"/>
      <c r="R68" s="550">
        <f>SUM(E68:Q68)</f>
        <v>0</v>
      </c>
      <c r="S68" s="147">
        <f>R68</f>
        <v>0</v>
      </c>
      <c r="T68" s="147"/>
      <c r="U68" s="143"/>
    </row>
    <row r="69" spans="1:21" s="144" customFormat="1">
      <c r="A69" s="1193" t="s">
        <v>2723</v>
      </c>
      <c r="B69" s="146">
        <f>SUM(C69+D69)</f>
        <v>60000</v>
      </c>
      <c r="C69" s="147">
        <v>60000</v>
      </c>
      <c r="D69" s="147"/>
      <c r="E69" s="147">
        <f>B69-SUM(F69:M69)</f>
        <v>60000</v>
      </c>
      <c r="F69" s="147"/>
      <c r="G69" s="147"/>
      <c r="H69" s="147"/>
      <c r="I69" s="147"/>
      <c r="J69" s="147"/>
      <c r="K69" s="147"/>
      <c r="L69" s="147"/>
      <c r="M69" s="147"/>
      <c r="N69" s="147"/>
      <c r="O69" s="147"/>
      <c r="P69" s="147"/>
      <c r="Q69" s="147"/>
      <c r="R69" s="550">
        <f>SUM(E69:Q69)</f>
        <v>60000</v>
      </c>
      <c r="S69" s="147">
        <f>R69</f>
        <v>60000</v>
      </c>
      <c r="T69" s="147"/>
      <c r="U69" s="143"/>
    </row>
    <row r="70" spans="1:21" s="144" customFormat="1">
      <c r="A70" s="149" t="s">
        <v>1758</v>
      </c>
      <c r="B70" s="146">
        <f>SUM(C70:D70)</f>
        <v>85000</v>
      </c>
      <c r="C70" s="146">
        <f>SUM(C65:C69)</f>
        <v>85000</v>
      </c>
      <c r="D70" s="146">
        <f>SUM(D65:D69)</f>
        <v>0</v>
      </c>
      <c r="E70" s="146">
        <f t="shared" ref="E70:T70" si="21">SUM(E65:E69)</f>
        <v>85000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70">
        <f t="shared" si="21"/>
        <v>85000</v>
      </c>
      <c r="S70" s="150">
        <f t="shared" si="21"/>
        <v>85000</v>
      </c>
      <c r="T70" s="150">
        <f t="shared" si="21"/>
        <v>0</v>
      </c>
      <c r="U70" s="143"/>
    </row>
    <row r="71" spans="1:21" s="144" customFormat="1" ht="12">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v>0</v>
      </c>
      <c r="D74" s="147"/>
      <c r="E74" s="147">
        <f>B74-SUM(F74:M74)</f>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276630</v>
      </c>
      <c r="C75" s="147">
        <v>276630</v>
      </c>
      <c r="D75" s="147"/>
      <c r="E75" s="147">
        <f>B75-SUM(F75:M75)</f>
        <v>0</v>
      </c>
      <c r="F75" s="147"/>
      <c r="G75" s="147"/>
      <c r="H75" s="147">
        <v>276530</v>
      </c>
      <c r="I75" s="147"/>
      <c r="J75" s="147">
        <f>350000*0</f>
        <v>0</v>
      </c>
      <c r="K75" s="147"/>
      <c r="L75" s="147">
        <f>Application!AO633</f>
        <v>100</v>
      </c>
      <c r="M75" s="147"/>
      <c r="N75" s="147"/>
      <c r="O75" s="147"/>
      <c r="P75" s="147"/>
      <c r="Q75" s="147"/>
      <c r="R75" s="550">
        <f>SUM(E75:Q75)</f>
        <v>276630</v>
      </c>
      <c r="S75" s="148"/>
      <c r="T75" s="148"/>
      <c r="U75" s="143"/>
    </row>
    <row r="76" spans="1:21" s="144" customFormat="1">
      <c r="A76" s="1193"/>
      <c r="B76" s="146">
        <f>SUM(C76+D76)</f>
        <v>0</v>
      </c>
      <c r="C76" s="147">
        <v>0</v>
      </c>
      <c r="D76" s="147"/>
      <c r="E76" s="147">
        <f>B76-SUM(F76:M76)</f>
        <v>0</v>
      </c>
      <c r="F76" s="147"/>
      <c r="G76" s="147"/>
      <c r="H76" s="147"/>
      <c r="I76" s="147"/>
      <c r="J76" s="147">
        <f>Application!AO631-J99</f>
        <v>0</v>
      </c>
      <c r="K76" s="147"/>
      <c r="L76" s="147"/>
      <c r="M76" s="147"/>
      <c r="N76" s="147"/>
      <c r="O76" s="147"/>
      <c r="P76" s="147"/>
      <c r="Q76" s="147"/>
      <c r="R76" s="550">
        <f>SUM(E76:Q76)</f>
        <v>0</v>
      </c>
      <c r="S76" s="148"/>
      <c r="T76" s="148"/>
      <c r="U76" s="143"/>
    </row>
    <row r="77" spans="1:21" s="144" customFormat="1">
      <c r="A77" s="149" t="s">
        <v>615</v>
      </c>
      <c r="B77" s="146">
        <f>SUM(C77:D77)</f>
        <v>276630</v>
      </c>
      <c r="C77" s="146">
        <f>SUM(C72:C76)</f>
        <v>276630</v>
      </c>
      <c r="D77" s="146">
        <f>SUM(D72:D76)</f>
        <v>0</v>
      </c>
      <c r="E77" s="146">
        <f t="shared" ref="E77:Q77" si="22">SUM(E72:E76)</f>
        <v>0</v>
      </c>
      <c r="F77" s="146">
        <f t="shared" si="22"/>
        <v>0</v>
      </c>
      <c r="G77" s="146">
        <f t="shared" si="22"/>
        <v>0</v>
      </c>
      <c r="H77" s="146">
        <f t="shared" si="22"/>
        <v>276530</v>
      </c>
      <c r="I77" s="146">
        <f t="shared" si="22"/>
        <v>0</v>
      </c>
      <c r="J77" s="146">
        <f t="shared" si="22"/>
        <v>0</v>
      </c>
      <c r="K77" s="146">
        <f t="shared" si="22"/>
        <v>0</v>
      </c>
      <c r="L77" s="146">
        <f t="shared" si="22"/>
        <v>100</v>
      </c>
      <c r="M77" s="146">
        <f t="shared" si="22"/>
        <v>0</v>
      </c>
      <c r="N77" s="146">
        <f t="shared" si="22"/>
        <v>0</v>
      </c>
      <c r="O77" s="146">
        <f t="shared" si="22"/>
        <v>0</v>
      </c>
      <c r="P77" s="146">
        <f t="shared" si="22"/>
        <v>0</v>
      </c>
      <c r="Q77" s="146">
        <f t="shared" si="22"/>
        <v>0</v>
      </c>
      <c r="R77" s="370">
        <f>SUM(R72:R76)</f>
        <v>276630</v>
      </c>
      <c r="S77" s="148"/>
      <c r="T77" s="148"/>
      <c r="U77" s="143"/>
    </row>
    <row r="78" spans="1:21" s="144" customFormat="1" ht="12">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1897068</v>
      </c>
      <c r="C79" s="147">
        <v>1897068</v>
      </c>
      <c r="D79" s="147"/>
      <c r="E79" s="147">
        <f>C79-K79-H79</f>
        <v>350054</v>
      </c>
      <c r="F79" s="147"/>
      <c r="G79" s="147"/>
      <c r="H79" s="147">
        <f>H108-H75</f>
        <v>124213</v>
      </c>
      <c r="I79" s="147"/>
      <c r="J79" s="147"/>
      <c r="K79" s="147">
        <f>C79*75%</f>
        <v>1422801</v>
      </c>
      <c r="L79" s="147"/>
      <c r="M79" s="147">
        <f>M108-M75</f>
        <v>0</v>
      </c>
      <c r="N79" s="147"/>
      <c r="O79" s="147"/>
      <c r="P79" s="147"/>
      <c r="Q79" s="147"/>
      <c r="R79" s="550">
        <f>SUM(E79:Q79)</f>
        <v>1897068</v>
      </c>
      <c r="S79" s="147">
        <f>R79</f>
        <v>1897068</v>
      </c>
      <c r="T79" s="147"/>
      <c r="U79" s="143"/>
    </row>
    <row r="80" spans="1:21" s="144" customFormat="1">
      <c r="A80" s="304" t="s">
        <v>58</v>
      </c>
      <c r="B80" s="146">
        <f>SUM(C80:D80)</f>
        <v>240000</v>
      </c>
      <c r="C80" s="147">
        <v>240000</v>
      </c>
      <c r="D80" s="147"/>
      <c r="E80" s="147">
        <f>C80-K80</f>
        <v>60000</v>
      </c>
      <c r="F80" s="147"/>
      <c r="G80" s="147"/>
      <c r="H80" s="147"/>
      <c r="I80" s="147"/>
      <c r="J80" s="147"/>
      <c r="K80" s="147">
        <f>C80*75%</f>
        <v>180000</v>
      </c>
      <c r="L80" s="147"/>
      <c r="M80" s="147"/>
      <c r="N80" s="147"/>
      <c r="O80" s="147"/>
      <c r="P80" s="147"/>
      <c r="Q80" s="147"/>
      <c r="R80" s="550">
        <f>SUM(E80:Q80)</f>
        <v>240000</v>
      </c>
      <c r="S80" s="147">
        <f>R80</f>
        <v>240000</v>
      </c>
      <c r="T80" s="147"/>
      <c r="U80" s="143"/>
    </row>
    <row r="81" spans="1:21" s="144" customFormat="1">
      <c r="A81" s="149" t="s">
        <v>1316</v>
      </c>
      <c r="B81" s="146">
        <f>SUM(C81:D81)</f>
        <v>2137068</v>
      </c>
      <c r="C81" s="543">
        <f>SUM(C79:C80)</f>
        <v>2137068</v>
      </c>
      <c r="D81" s="543">
        <f t="shared" ref="D81:T81" si="23">SUM(D79:D80)</f>
        <v>0</v>
      </c>
      <c r="E81" s="543">
        <f t="shared" si="23"/>
        <v>410054</v>
      </c>
      <c r="F81" s="543">
        <f t="shared" si="23"/>
        <v>0</v>
      </c>
      <c r="G81" s="543">
        <f t="shared" si="23"/>
        <v>0</v>
      </c>
      <c r="H81" s="543">
        <f t="shared" si="23"/>
        <v>124213</v>
      </c>
      <c r="I81" s="543">
        <f t="shared" si="23"/>
        <v>0</v>
      </c>
      <c r="J81" s="543">
        <f t="shared" si="23"/>
        <v>0</v>
      </c>
      <c r="K81" s="543">
        <f t="shared" si="23"/>
        <v>1602801</v>
      </c>
      <c r="L81" s="543">
        <f t="shared" si="23"/>
        <v>0</v>
      </c>
      <c r="M81" s="543">
        <f t="shared" si="23"/>
        <v>0</v>
      </c>
      <c r="N81" s="543">
        <f t="shared" si="23"/>
        <v>0</v>
      </c>
      <c r="O81" s="543">
        <f t="shared" si="23"/>
        <v>0</v>
      </c>
      <c r="P81" s="543">
        <f t="shared" si="23"/>
        <v>0</v>
      </c>
      <c r="Q81" s="543">
        <f t="shared" si="23"/>
        <v>0</v>
      </c>
      <c r="R81" s="543">
        <f t="shared" si="23"/>
        <v>2137068</v>
      </c>
      <c r="S81" s="543">
        <f t="shared" si="23"/>
        <v>2137068</v>
      </c>
      <c r="T81" s="543">
        <f t="shared" si="23"/>
        <v>0</v>
      </c>
      <c r="U81" s="143"/>
    </row>
    <row r="82" spans="1:21" s="144" customFormat="1" ht="12">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2411</v>
      </c>
      <c r="B83" s="146">
        <f t="shared" ref="B83:B95" si="24">SUM(C83+D83)</f>
        <v>85000</v>
      </c>
      <c r="C83" s="147">
        <v>85000</v>
      </c>
      <c r="D83" s="147"/>
      <c r="E83" s="147">
        <f t="shared" ref="E83:E95" si="25">B83-SUM(F83:M83)</f>
        <v>85000</v>
      </c>
      <c r="F83" s="147"/>
      <c r="G83" s="147"/>
      <c r="H83" s="147"/>
      <c r="I83" s="147"/>
      <c r="J83" s="147"/>
      <c r="K83" s="147"/>
      <c r="L83" s="147"/>
      <c r="M83" s="147"/>
      <c r="N83" s="147"/>
      <c r="O83" s="147"/>
      <c r="P83" s="147"/>
      <c r="Q83" s="147"/>
      <c r="R83" s="550">
        <f t="shared" ref="R83:R95" si="26">SUM(E83:Q83)</f>
        <v>85000</v>
      </c>
      <c r="S83" s="148"/>
      <c r="T83" s="148"/>
      <c r="U83" s="143"/>
    </row>
    <row r="84" spans="1:21" s="144" customFormat="1">
      <c r="A84" s="145" t="s">
        <v>777</v>
      </c>
      <c r="B84" s="146">
        <f t="shared" si="24"/>
        <v>15000</v>
      </c>
      <c r="C84" s="147">
        <v>15000</v>
      </c>
      <c r="D84" s="147"/>
      <c r="E84" s="147">
        <f>C84</f>
        <v>15000</v>
      </c>
      <c r="F84" s="147"/>
      <c r="G84" s="147"/>
      <c r="H84" s="147"/>
      <c r="I84" s="147"/>
      <c r="J84" s="147"/>
      <c r="K84" s="147"/>
      <c r="L84" s="147"/>
      <c r="M84" s="147"/>
      <c r="N84" s="147"/>
      <c r="O84" s="147"/>
      <c r="P84" s="147"/>
      <c r="Q84" s="147"/>
      <c r="R84" s="550">
        <f t="shared" si="26"/>
        <v>15000</v>
      </c>
      <c r="S84" s="147">
        <f>R84</f>
        <v>15000</v>
      </c>
      <c r="T84" s="147"/>
      <c r="U84" s="143"/>
    </row>
    <row r="85" spans="1:21" s="144" customFormat="1">
      <c r="A85" s="145" t="s">
        <v>778</v>
      </c>
      <c r="B85" s="146">
        <f t="shared" si="24"/>
        <v>161920</v>
      </c>
      <c r="C85" s="147">
        <v>161920</v>
      </c>
      <c r="D85" s="147"/>
      <c r="E85" s="147">
        <f t="shared" si="25"/>
        <v>161920</v>
      </c>
      <c r="F85" s="147"/>
      <c r="G85" s="147"/>
      <c r="H85" s="147"/>
      <c r="I85" s="147"/>
      <c r="J85" s="147"/>
      <c r="K85" s="147"/>
      <c r="L85" s="147"/>
      <c r="M85" s="147"/>
      <c r="N85" s="147"/>
      <c r="O85" s="147"/>
      <c r="P85" s="147"/>
      <c r="Q85" s="147"/>
      <c r="R85" s="550">
        <f t="shared" si="26"/>
        <v>161920</v>
      </c>
      <c r="S85" s="147">
        <f>R85</f>
        <v>161920</v>
      </c>
      <c r="T85" s="147"/>
      <c r="U85" s="143"/>
    </row>
    <row r="86" spans="1:21" s="144" customFormat="1">
      <c r="A86" s="145" t="s">
        <v>779</v>
      </c>
      <c r="B86" s="146">
        <f t="shared" si="24"/>
        <v>239048</v>
      </c>
      <c r="C86" s="147">
        <f>235000+4048</f>
        <v>239048</v>
      </c>
      <c r="D86" s="147"/>
      <c r="E86" s="147">
        <f t="shared" si="25"/>
        <v>239048</v>
      </c>
      <c r="F86" s="147"/>
      <c r="G86" s="147"/>
      <c r="H86" s="147"/>
      <c r="I86" s="147"/>
      <c r="J86" s="147"/>
      <c r="K86" s="147"/>
      <c r="L86" s="147"/>
      <c r="M86" s="147"/>
      <c r="N86" s="147"/>
      <c r="O86" s="147"/>
      <c r="P86" s="147"/>
      <c r="Q86" s="147"/>
      <c r="R86" s="550">
        <f t="shared" si="26"/>
        <v>239048</v>
      </c>
      <c r="S86" s="147">
        <f>R86</f>
        <v>239048</v>
      </c>
      <c r="T86" s="147"/>
      <c r="U86" s="143"/>
    </row>
    <row r="87" spans="1:21" s="144" customFormat="1">
      <c r="A87" s="145" t="s">
        <v>780</v>
      </c>
      <c r="B87" s="146">
        <f t="shared" si="24"/>
        <v>0</v>
      </c>
      <c r="C87" s="147">
        <v>0</v>
      </c>
      <c r="D87" s="147"/>
      <c r="E87" s="147">
        <f t="shared" si="25"/>
        <v>0</v>
      </c>
      <c r="F87" s="147"/>
      <c r="G87" s="147"/>
      <c r="H87" s="147"/>
      <c r="I87" s="147"/>
      <c r="J87" s="147"/>
      <c r="K87" s="147"/>
      <c r="L87" s="147"/>
      <c r="M87" s="147"/>
      <c r="N87" s="147"/>
      <c r="O87" s="147"/>
      <c r="P87" s="147"/>
      <c r="Q87" s="147"/>
      <c r="R87" s="550">
        <f t="shared" si="26"/>
        <v>0</v>
      </c>
      <c r="S87" s="147">
        <f>R87</f>
        <v>0</v>
      </c>
      <c r="T87" s="147"/>
      <c r="U87" s="143"/>
    </row>
    <row r="88" spans="1:21" s="144" customFormat="1">
      <c r="A88" s="145" t="s">
        <v>781</v>
      </c>
      <c r="B88" s="146">
        <f t="shared" si="24"/>
        <v>0</v>
      </c>
      <c r="C88" s="147">
        <v>0</v>
      </c>
      <c r="D88" s="147"/>
      <c r="E88" s="147">
        <f t="shared" si="25"/>
        <v>0</v>
      </c>
      <c r="F88" s="147"/>
      <c r="G88" s="147"/>
      <c r="H88" s="147"/>
      <c r="I88" s="147"/>
      <c r="J88" s="147"/>
      <c r="K88" s="147"/>
      <c r="L88" s="147"/>
      <c r="M88" s="147"/>
      <c r="N88" s="147"/>
      <c r="O88" s="147"/>
      <c r="P88" s="147"/>
      <c r="Q88" s="147"/>
      <c r="R88" s="550">
        <f t="shared" si="26"/>
        <v>0</v>
      </c>
      <c r="S88" s="148"/>
      <c r="T88" s="148"/>
      <c r="U88" s="143"/>
    </row>
    <row r="89" spans="1:21" s="144" customFormat="1">
      <c r="A89" s="145" t="s">
        <v>782</v>
      </c>
      <c r="B89" s="146">
        <f t="shared" si="24"/>
        <v>30000</v>
      </c>
      <c r="C89" s="147">
        <v>30000</v>
      </c>
      <c r="D89" s="147"/>
      <c r="E89" s="147">
        <f t="shared" si="25"/>
        <v>30000</v>
      </c>
      <c r="F89" s="147"/>
      <c r="G89" s="147"/>
      <c r="H89" s="147"/>
      <c r="I89" s="147"/>
      <c r="J89" s="147"/>
      <c r="K89" s="147"/>
      <c r="L89" s="147"/>
      <c r="M89" s="147"/>
      <c r="N89" s="147"/>
      <c r="O89" s="147"/>
      <c r="P89" s="147"/>
      <c r="Q89" s="147"/>
      <c r="R89" s="550">
        <f t="shared" si="26"/>
        <v>30000</v>
      </c>
      <c r="S89" s="147">
        <f t="shared" ref="S89:S95" si="27">R89</f>
        <v>30000</v>
      </c>
      <c r="T89" s="147"/>
      <c r="U89" s="143"/>
    </row>
    <row r="90" spans="1:21" s="144" customFormat="1">
      <c r="A90" s="145" t="s">
        <v>783</v>
      </c>
      <c r="B90" s="146">
        <f t="shared" si="24"/>
        <v>5750</v>
      </c>
      <c r="C90" s="147">
        <v>5750</v>
      </c>
      <c r="D90" s="147"/>
      <c r="E90" s="147">
        <f t="shared" si="25"/>
        <v>5750</v>
      </c>
      <c r="F90" s="147"/>
      <c r="G90" s="147"/>
      <c r="H90" s="147"/>
      <c r="I90" s="147"/>
      <c r="J90" s="147"/>
      <c r="K90" s="147"/>
      <c r="L90" s="147"/>
      <c r="M90" s="147"/>
      <c r="N90" s="147"/>
      <c r="O90" s="147"/>
      <c r="P90" s="147"/>
      <c r="Q90" s="147"/>
      <c r="R90" s="550">
        <f t="shared" si="26"/>
        <v>5750</v>
      </c>
      <c r="S90" s="147">
        <f t="shared" si="27"/>
        <v>5750</v>
      </c>
      <c r="T90" s="147"/>
      <c r="U90" s="143"/>
    </row>
    <row r="91" spans="1:21" s="144" customFormat="1">
      <c r="A91" s="145" t="s">
        <v>373</v>
      </c>
      <c r="B91" s="146">
        <f t="shared" si="24"/>
        <v>0</v>
      </c>
      <c r="C91" s="147">
        <v>0</v>
      </c>
      <c r="D91" s="147"/>
      <c r="E91" s="147">
        <f t="shared" si="25"/>
        <v>0</v>
      </c>
      <c r="F91" s="147"/>
      <c r="G91" s="147"/>
      <c r="H91" s="147"/>
      <c r="I91" s="147"/>
      <c r="J91" s="147"/>
      <c r="K91" s="147"/>
      <c r="L91" s="147"/>
      <c r="M91" s="147"/>
      <c r="N91" s="147"/>
      <c r="O91" s="147"/>
      <c r="P91" s="147"/>
      <c r="Q91" s="147"/>
      <c r="R91" s="550">
        <f t="shared" si="26"/>
        <v>0</v>
      </c>
      <c r="S91" s="147">
        <f t="shared" si="27"/>
        <v>0</v>
      </c>
      <c r="T91" s="147"/>
      <c r="U91" s="143"/>
    </row>
    <row r="92" spans="1:21" s="144" customFormat="1">
      <c r="A92" s="304" t="s">
        <v>1318</v>
      </c>
      <c r="B92" s="146">
        <f t="shared" si="24"/>
        <v>6600</v>
      </c>
      <c r="C92" s="147">
        <v>6600</v>
      </c>
      <c r="D92" s="147"/>
      <c r="E92" s="147">
        <f t="shared" si="25"/>
        <v>6600</v>
      </c>
      <c r="F92" s="147"/>
      <c r="G92" s="147"/>
      <c r="H92" s="147"/>
      <c r="I92" s="147"/>
      <c r="J92" s="147"/>
      <c r="K92" s="147"/>
      <c r="L92" s="147"/>
      <c r="M92" s="147"/>
      <c r="N92" s="147"/>
      <c r="O92" s="147"/>
      <c r="P92" s="147"/>
      <c r="Q92" s="147"/>
      <c r="R92" s="550">
        <f t="shared" si="26"/>
        <v>6600</v>
      </c>
      <c r="S92" s="147">
        <f t="shared" si="27"/>
        <v>6600</v>
      </c>
      <c r="T92" s="147"/>
      <c r="U92" s="143"/>
    </row>
    <row r="93" spans="1:21" s="144" customFormat="1">
      <c r="A93" s="1193">
        <v>0</v>
      </c>
      <c r="B93" s="146">
        <f t="shared" si="24"/>
        <v>0</v>
      </c>
      <c r="C93" s="147">
        <v>0</v>
      </c>
      <c r="D93" s="147"/>
      <c r="E93" s="147">
        <f t="shared" si="25"/>
        <v>0</v>
      </c>
      <c r="F93" s="147"/>
      <c r="G93" s="147"/>
      <c r="H93" s="147"/>
      <c r="I93" s="147"/>
      <c r="J93" s="147"/>
      <c r="K93" s="147"/>
      <c r="L93" s="147"/>
      <c r="M93" s="147"/>
      <c r="N93" s="147"/>
      <c r="O93" s="147"/>
      <c r="P93" s="147"/>
      <c r="Q93" s="147"/>
      <c r="R93" s="550">
        <f t="shared" si="26"/>
        <v>0</v>
      </c>
      <c r="S93" s="147">
        <f t="shared" si="27"/>
        <v>0</v>
      </c>
      <c r="T93" s="147"/>
      <c r="U93" s="143"/>
    </row>
    <row r="94" spans="1:21" s="144" customFormat="1">
      <c r="A94" s="1193">
        <v>0</v>
      </c>
      <c r="B94" s="146">
        <f t="shared" si="24"/>
        <v>0</v>
      </c>
      <c r="C94" s="147">
        <v>0</v>
      </c>
      <c r="D94" s="147"/>
      <c r="E94" s="147">
        <f t="shared" si="25"/>
        <v>0</v>
      </c>
      <c r="F94" s="147"/>
      <c r="G94" s="147"/>
      <c r="H94" s="147"/>
      <c r="I94" s="147"/>
      <c r="J94" s="147"/>
      <c r="K94" s="147"/>
      <c r="L94" s="147"/>
      <c r="M94" s="147"/>
      <c r="N94" s="147"/>
      <c r="O94" s="147"/>
      <c r="P94" s="147"/>
      <c r="Q94" s="147"/>
      <c r="R94" s="550">
        <f t="shared" si="26"/>
        <v>0</v>
      </c>
      <c r="S94" s="147">
        <f t="shared" si="27"/>
        <v>0</v>
      </c>
      <c r="T94" s="147"/>
      <c r="U94" s="143"/>
    </row>
    <row r="95" spans="1:21" s="144" customFormat="1">
      <c r="A95" s="1193">
        <v>0</v>
      </c>
      <c r="B95" s="146">
        <f t="shared" si="24"/>
        <v>0</v>
      </c>
      <c r="C95" s="147">
        <v>0</v>
      </c>
      <c r="D95" s="147"/>
      <c r="E95" s="147">
        <f t="shared" si="25"/>
        <v>0</v>
      </c>
      <c r="F95" s="147"/>
      <c r="G95" s="147"/>
      <c r="H95" s="147"/>
      <c r="I95" s="147"/>
      <c r="J95" s="147"/>
      <c r="K95" s="147"/>
      <c r="L95" s="147"/>
      <c r="M95" s="147"/>
      <c r="N95" s="147"/>
      <c r="O95" s="147"/>
      <c r="P95" s="147"/>
      <c r="Q95" s="147"/>
      <c r="R95" s="550">
        <f t="shared" si="26"/>
        <v>0</v>
      </c>
      <c r="S95" s="147">
        <f t="shared" si="27"/>
        <v>0</v>
      </c>
      <c r="T95" s="147"/>
      <c r="U95" s="143"/>
    </row>
    <row r="96" spans="1:21" s="144" customFormat="1">
      <c r="A96" s="149" t="s">
        <v>784</v>
      </c>
      <c r="B96" s="146">
        <f>SUM(C96:D96)</f>
        <v>543318</v>
      </c>
      <c r="C96" s="146">
        <f t="shared" ref="C96:R96" si="28">SUM(C83:C95)</f>
        <v>543318</v>
      </c>
      <c r="D96" s="146">
        <f t="shared" si="28"/>
        <v>0</v>
      </c>
      <c r="E96" s="146">
        <f t="shared" si="28"/>
        <v>543318</v>
      </c>
      <c r="F96" s="146">
        <f t="shared" si="28"/>
        <v>0</v>
      </c>
      <c r="G96" s="146">
        <f t="shared" si="28"/>
        <v>0</v>
      </c>
      <c r="H96" s="146">
        <f t="shared" si="28"/>
        <v>0</v>
      </c>
      <c r="I96" s="146">
        <f t="shared" si="28"/>
        <v>0</v>
      </c>
      <c r="J96" s="146">
        <f t="shared" si="28"/>
        <v>0</v>
      </c>
      <c r="K96" s="146">
        <f t="shared" si="28"/>
        <v>0</v>
      </c>
      <c r="L96" s="146">
        <f t="shared" si="28"/>
        <v>0</v>
      </c>
      <c r="M96" s="146">
        <f t="shared" si="28"/>
        <v>0</v>
      </c>
      <c r="N96" s="146">
        <f t="shared" si="28"/>
        <v>0</v>
      </c>
      <c r="O96" s="146">
        <f t="shared" si="28"/>
        <v>0</v>
      </c>
      <c r="P96" s="146">
        <f t="shared" si="28"/>
        <v>0</v>
      </c>
      <c r="Q96" s="146">
        <f t="shared" si="28"/>
        <v>0</v>
      </c>
      <c r="R96" s="370">
        <f t="shared" si="28"/>
        <v>543318</v>
      </c>
      <c r="S96" s="150">
        <f>SUM(S84:S87,S89:S95)</f>
        <v>458318</v>
      </c>
      <c r="T96" s="146">
        <f>SUM(T84:T87,T89:T95)</f>
        <v>0</v>
      </c>
      <c r="U96" s="143"/>
    </row>
    <row r="97" spans="1:21" s="144" customFormat="1">
      <c r="A97" s="149" t="s">
        <v>785</v>
      </c>
      <c r="B97" s="146">
        <f>SUM(C97:D97)</f>
        <v>48427646</v>
      </c>
      <c r="C97" s="146">
        <f t="shared" ref="C97:R97" si="29">SUM(C63+C70+C77+C81+C96)</f>
        <v>48427646</v>
      </c>
      <c r="D97" s="146">
        <f t="shared" si="29"/>
        <v>0</v>
      </c>
      <c r="E97" s="146">
        <f t="shared" si="29"/>
        <v>22470795</v>
      </c>
      <c r="F97" s="146">
        <f t="shared" si="29"/>
        <v>11963000</v>
      </c>
      <c r="G97" s="146">
        <f t="shared" si="29"/>
        <v>8750000</v>
      </c>
      <c r="H97" s="146">
        <f t="shared" si="29"/>
        <v>400743</v>
      </c>
      <c r="I97" s="146">
        <f t="shared" si="29"/>
        <v>0</v>
      </c>
      <c r="J97" s="146">
        <f t="shared" si="29"/>
        <v>0</v>
      </c>
      <c r="K97" s="146">
        <f t="shared" si="29"/>
        <v>4843008</v>
      </c>
      <c r="L97" s="146">
        <f t="shared" si="29"/>
        <v>100</v>
      </c>
      <c r="M97" s="146">
        <f t="shared" si="29"/>
        <v>0</v>
      </c>
      <c r="N97" s="146">
        <f t="shared" si="29"/>
        <v>0</v>
      </c>
      <c r="O97" s="146">
        <f t="shared" si="29"/>
        <v>0</v>
      </c>
      <c r="P97" s="146">
        <f t="shared" si="29"/>
        <v>0</v>
      </c>
      <c r="Q97" s="146">
        <f t="shared" si="29"/>
        <v>0</v>
      </c>
      <c r="R97" s="146">
        <f t="shared" si="29"/>
        <v>48427646</v>
      </c>
      <c r="S97" s="146">
        <f>SUM(S63+S70+S81+S96)</f>
        <v>43424016</v>
      </c>
      <c r="T97" s="146">
        <f>SUM(T63+T70+T81+T96)</f>
        <v>0</v>
      </c>
      <c r="U97" s="143"/>
    </row>
    <row r="98" spans="1:21" s="144" customFormat="1" ht="12">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8684803</v>
      </c>
      <c r="C99" s="1014">
        <v>8684803</v>
      </c>
      <c r="D99" s="1014"/>
      <c r="E99" s="1014">
        <f>C99-I99-J99</f>
        <v>3000000</v>
      </c>
      <c r="F99" s="147"/>
      <c r="G99" s="147"/>
      <c r="H99" s="147"/>
      <c r="I99" s="147">
        <f>Application!AO630</f>
        <v>3256801</v>
      </c>
      <c r="J99" s="147">
        <f>J108</f>
        <v>2428002</v>
      </c>
      <c r="K99" s="147"/>
      <c r="L99" s="147"/>
      <c r="M99" s="147"/>
      <c r="N99" s="147"/>
      <c r="O99" s="147"/>
      <c r="P99" s="147"/>
      <c r="Q99" s="147"/>
      <c r="R99" s="550">
        <f>SUM(E99:Q99)</f>
        <v>8684803</v>
      </c>
      <c r="S99" s="147">
        <f>ROUND(S97*0.2,0)</f>
        <v>8684803</v>
      </c>
      <c r="T99" s="147">
        <f>CEILING(0.05*T97,1)</f>
        <v>0</v>
      </c>
      <c r="U99" s="143"/>
    </row>
    <row r="100" spans="1:21" s="144" customFormat="1">
      <c r="A100" s="304" t="s">
        <v>1759</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1760</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8684803</v>
      </c>
      <c r="C104" s="146">
        <f>SUM(C99:C103)</f>
        <v>8684803</v>
      </c>
      <c r="D104" s="146">
        <f t="shared" ref="D104:T104" si="30">SUM(D99:D103)</f>
        <v>0</v>
      </c>
      <c r="E104" s="146">
        <f t="shared" si="30"/>
        <v>3000000</v>
      </c>
      <c r="F104" s="146">
        <f t="shared" si="30"/>
        <v>0</v>
      </c>
      <c r="G104" s="146">
        <f t="shared" si="30"/>
        <v>0</v>
      </c>
      <c r="H104" s="146">
        <f t="shared" si="30"/>
        <v>0</v>
      </c>
      <c r="I104" s="146">
        <f t="shared" si="30"/>
        <v>3256801</v>
      </c>
      <c r="J104" s="146">
        <f t="shared" si="30"/>
        <v>2428002</v>
      </c>
      <c r="K104" s="146">
        <f t="shared" si="30"/>
        <v>0</v>
      </c>
      <c r="L104" s="146">
        <f t="shared" si="30"/>
        <v>0</v>
      </c>
      <c r="M104" s="146">
        <f t="shared" si="30"/>
        <v>0</v>
      </c>
      <c r="N104" s="146">
        <f t="shared" si="30"/>
        <v>0</v>
      </c>
      <c r="O104" s="146">
        <f t="shared" si="30"/>
        <v>0</v>
      </c>
      <c r="P104" s="146">
        <f t="shared" si="30"/>
        <v>0</v>
      </c>
      <c r="Q104" s="146">
        <f t="shared" si="30"/>
        <v>0</v>
      </c>
      <c r="R104" s="370">
        <f t="shared" si="30"/>
        <v>8684803</v>
      </c>
      <c r="S104" s="150">
        <f t="shared" si="30"/>
        <v>8684803</v>
      </c>
      <c r="T104" s="150">
        <f t="shared" si="30"/>
        <v>0</v>
      </c>
      <c r="U104" s="143"/>
    </row>
    <row r="105" spans="1:21" s="144" customFormat="1">
      <c r="A105" s="149" t="s">
        <v>790</v>
      </c>
      <c r="B105" s="150">
        <f>SUM(C105:D105)</f>
        <v>57112449</v>
      </c>
      <c r="C105" s="150">
        <f t="shared" ref="C105:R105" si="31">SUM(C97+C104)</f>
        <v>57112449</v>
      </c>
      <c r="D105" s="150">
        <f t="shared" si="31"/>
        <v>0</v>
      </c>
      <c r="E105" s="150">
        <f t="shared" si="31"/>
        <v>25470795</v>
      </c>
      <c r="F105" s="150">
        <f t="shared" si="31"/>
        <v>11963000</v>
      </c>
      <c r="G105" s="150">
        <f t="shared" si="31"/>
        <v>8750000</v>
      </c>
      <c r="H105" s="150">
        <f t="shared" si="31"/>
        <v>400743</v>
      </c>
      <c r="I105" s="150">
        <f t="shared" si="31"/>
        <v>3256801</v>
      </c>
      <c r="J105" s="150">
        <f t="shared" si="31"/>
        <v>2428002</v>
      </c>
      <c r="K105" s="150">
        <f t="shared" si="31"/>
        <v>4843008</v>
      </c>
      <c r="L105" s="150">
        <f t="shared" si="31"/>
        <v>100</v>
      </c>
      <c r="M105" s="150">
        <f t="shared" si="31"/>
        <v>0</v>
      </c>
      <c r="N105" s="150">
        <f t="shared" si="31"/>
        <v>0</v>
      </c>
      <c r="O105" s="150">
        <f t="shared" si="31"/>
        <v>0</v>
      </c>
      <c r="P105" s="150">
        <f t="shared" si="31"/>
        <v>0</v>
      </c>
      <c r="Q105" s="150">
        <f t="shared" si="31"/>
        <v>0</v>
      </c>
      <c r="R105" s="370">
        <f t="shared" si="31"/>
        <v>57112449</v>
      </c>
      <c r="S105" s="150">
        <f>S97+S104</f>
        <v>52108819</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52108819</v>
      </c>
      <c r="T107" s="150">
        <f>T105+T106</f>
        <v>0</v>
      </c>
    </row>
    <row r="108" spans="1:21" s="201" customFormat="1">
      <c r="A108" s="162" t="s">
        <v>892</v>
      </c>
      <c r="B108" s="157"/>
      <c r="C108" s="157"/>
      <c r="D108" s="157"/>
      <c r="E108" s="323">
        <f>Application!AO640</f>
        <v>25470795</v>
      </c>
      <c r="F108" s="323">
        <f>Application!AO627</f>
        <v>11963000</v>
      </c>
      <c r="G108" s="323">
        <f>Application!AO628</f>
        <v>8750000</v>
      </c>
      <c r="H108" s="323">
        <f>Application!AO629</f>
        <v>400743</v>
      </c>
      <c r="I108" s="323">
        <f>Application!AO630</f>
        <v>3256801</v>
      </c>
      <c r="J108" s="323">
        <f>Application!AO631</f>
        <v>2428002</v>
      </c>
      <c r="K108" s="323">
        <f>Application!AO632</f>
        <v>4843008</v>
      </c>
      <c r="L108" s="323">
        <f>Application!AO633</f>
        <v>100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2412</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5">
      <c r="A121" s="366" t="s">
        <v>1030</v>
      </c>
      <c r="B121" s="157"/>
      <c r="C121" s="157"/>
      <c r="D121" s="157"/>
    </row>
    <row r="122" spans="1:21">
      <c r="A122" s="353" t="s">
        <v>1014</v>
      </c>
      <c r="B122" s="352"/>
      <c r="C122" s="352"/>
      <c r="D122" s="1880" t="s">
        <v>1015</v>
      </c>
      <c r="E122" s="1880"/>
      <c r="F122" s="1880"/>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2" t="s">
        <v>1332</v>
      </c>
      <c r="E123" s="1547"/>
      <c r="F123" s="1547"/>
      <c r="G123" s="1547"/>
      <c r="H123" s="1547"/>
      <c r="I123" s="1547"/>
      <c r="J123" s="1547"/>
      <c r="K123" s="1547"/>
      <c r="L123" s="1547"/>
      <c r="M123" s="1547"/>
      <c r="N123" s="1547"/>
      <c r="O123" s="1547"/>
      <c r="P123" s="1547"/>
      <c r="Q123" s="1547"/>
      <c r="R123" s="1547"/>
      <c r="S123" s="1547"/>
      <c r="T123" s="352"/>
      <c r="U123" s="354"/>
    </row>
    <row r="124" spans="1:21" ht="12.5">
      <c r="A124" s="117" t="s">
        <v>1017</v>
      </c>
      <c r="B124" s="361"/>
      <c r="C124" s="117"/>
      <c r="D124" s="1547"/>
      <c r="E124" s="1547"/>
      <c r="F124" s="1547"/>
      <c r="G124" s="1547"/>
      <c r="H124" s="1547"/>
      <c r="I124" s="1547"/>
      <c r="J124" s="1547"/>
      <c r="K124" s="1547"/>
      <c r="L124" s="1547"/>
      <c r="M124" s="1547"/>
      <c r="N124" s="1547"/>
      <c r="O124" s="1547"/>
      <c r="P124" s="1547"/>
      <c r="Q124" s="1547"/>
      <c r="R124" s="1547"/>
      <c r="S124" s="1547"/>
      <c r="T124" s="352"/>
      <c r="U124" s="354"/>
    </row>
    <row r="125" spans="1:21" ht="12.5">
      <c r="A125" s="117" t="s">
        <v>1018</v>
      </c>
      <c r="B125" s="361"/>
      <c r="C125" s="117"/>
      <c r="D125" s="1547"/>
      <c r="E125" s="1547"/>
      <c r="F125" s="1547"/>
      <c r="G125" s="1547"/>
      <c r="H125" s="1547"/>
      <c r="I125" s="1547"/>
      <c r="J125" s="1547"/>
      <c r="K125" s="1547"/>
      <c r="L125" s="1547"/>
      <c r="M125" s="1547"/>
      <c r="N125" s="1547"/>
      <c r="O125" s="1547"/>
      <c r="P125" s="1547"/>
      <c r="Q125" s="1547"/>
      <c r="R125" s="1547"/>
      <c r="S125" s="1547"/>
      <c r="T125" s="352"/>
      <c r="U125" s="354"/>
    </row>
    <row r="126" spans="1:21" ht="12.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1021</v>
      </c>
      <c r="B128" s="361"/>
      <c r="C128" s="117"/>
      <c r="D128" s="1875"/>
      <c r="E128" s="1875"/>
      <c r="F128" s="1875"/>
      <c r="G128" s="1875"/>
      <c r="H128" s="1875"/>
      <c r="I128" s="117"/>
      <c r="J128" s="1871"/>
      <c r="K128" s="1871"/>
      <c r="L128" s="117"/>
      <c r="M128" s="117"/>
      <c r="N128" s="117"/>
      <c r="O128" s="117"/>
      <c r="P128" s="117"/>
      <c r="Q128" s="117"/>
      <c r="R128" s="117"/>
      <c r="S128" s="117"/>
      <c r="T128" s="352"/>
      <c r="U128" s="354"/>
    </row>
    <row r="129" spans="1:21" ht="12.5">
      <c r="A129" s="117" t="s">
        <v>301</v>
      </c>
      <c r="B129" s="361"/>
      <c r="C129" s="117"/>
      <c r="D129" s="1879" t="s">
        <v>1022</v>
      </c>
      <c r="E129" s="1879"/>
      <c r="F129" s="1879"/>
      <c r="G129" s="1879"/>
      <c r="H129" s="1879"/>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1024</v>
      </c>
      <c r="B131" s="362">
        <f>SUM(B123:B129)</f>
        <v>0</v>
      </c>
      <c r="C131" s="117"/>
      <c r="D131" s="1495"/>
      <c r="E131" s="1495"/>
      <c r="F131" s="1495"/>
      <c r="G131" s="1495"/>
      <c r="H131" s="1495"/>
      <c r="I131" s="117"/>
      <c r="J131" s="1495"/>
      <c r="K131" s="1495"/>
      <c r="L131" s="1495"/>
      <c r="M131" s="1495"/>
      <c r="N131" s="117"/>
      <c r="O131" s="117"/>
      <c r="P131" s="117"/>
      <c r="Q131" s="117"/>
      <c r="R131" s="117"/>
      <c r="S131" s="117"/>
      <c r="T131" s="352"/>
      <c r="U131" s="354"/>
    </row>
    <row r="132" spans="1:21" ht="12" customHeight="1">
      <c r="A132" s="364"/>
      <c r="B132" s="117"/>
      <c r="C132" s="117"/>
      <c r="D132" s="1873" t="s">
        <v>1025</v>
      </c>
      <c r="E132" s="1873"/>
      <c r="F132" s="1873"/>
      <c r="G132" s="1873"/>
      <c r="H132" s="1873"/>
      <c r="I132" s="117"/>
      <c r="J132" s="1873" t="s">
        <v>1026</v>
      </c>
      <c r="K132" s="1873"/>
      <c r="L132" s="1873"/>
      <c r="M132" s="1873"/>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4"/>
      <c r="B138" s="1875"/>
      <c r="C138" s="1875"/>
      <c r="D138" s="356"/>
      <c r="E138" s="1871"/>
      <c r="F138" s="1871"/>
      <c r="G138" s="117"/>
      <c r="H138" s="117"/>
      <c r="I138" s="117"/>
      <c r="J138" s="117"/>
      <c r="K138" s="117"/>
      <c r="L138" s="117"/>
      <c r="M138" s="117"/>
      <c r="N138" s="117"/>
      <c r="O138" s="117"/>
      <c r="P138" s="117"/>
      <c r="Q138" s="117"/>
      <c r="R138" s="117"/>
      <c r="S138" s="117"/>
      <c r="T138" s="358"/>
      <c r="U138" s="359"/>
    </row>
    <row r="139" spans="1:21" ht="13">
      <c r="A139" s="1870" t="s">
        <v>1029</v>
      </c>
      <c r="B139" s="1870"/>
      <c r="C139" s="1870"/>
      <c r="D139" s="356"/>
      <c r="E139" s="117" t="s">
        <v>1023</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92" workbookViewId="0">
      <selection activeCell="E105" sqref="E105"/>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83" t="s">
        <v>1335</v>
      </c>
      <c r="B1" s="1884"/>
      <c r="C1" s="1884"/>
      <c r="D1" s="1884"/>
      <c r="E1" s="1884"/>
      <c r="F1" s="1884"/>
      <c r="G1" s="1884"/>
      <c r="H1" s="1884"/>
      <c r="I1" s="1884"/>
      <c r="J1" s="1885"/>
      <c r="K1" s="386"/>
    </row>
    <row r="2" spans="1:11" s="432" customFormat="1" ht="69">
      <c r="A2" s="429"/>
      <c r="B2" s="430" t="s">
        <v>1052</v>
      </c>
      <c r="C2" s="430" t="s">
        <v>1337</v>
      </c>
      <c r="D2" s="430" t="s">
        <v>1338</v>
      </c>
      <c r="E2" s="430" t="s">
        <v>1263</v>
      </c>
      <c r="F2" s="430" t="s">
        <v>1339</v>
      </c>
      <c r="G2" s="430" t="s">
        <v>1340</v>
      </c>
      <c r="H2" s="430" t="s">
        <v>1053</v>
      </c>
      <c r="I2" s="430" t="s">
        <v>1341</v>
      </c>
      <c r="J2" s="430" t="s">
        <v>1342</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4510000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4510000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4510000</v>
      </c>
      <c r="C12" s="392">
        <f>SUM(C8+C11)</f>
        <v>0</v>
      </c>
      <c r="D12" s="392">
        <f>SUM(D8+D11)</f>
        <v>0</v>
      </c>
      <c r="E12" s="394"/>
      <c r="F12" s="394"/>
      <c r="G12" s="394"/>
      <c r="H12" s="394"/>
      <c r="I12" s="394"/>
      <c r="J12" s="394"/>
      <c r="K12" s="390"/>
    </row>
    <row r="13" spans="1:11" s="391" customFormat="1">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3">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1753</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607</v>
      </c>
      <c r="B29" s="392">
        <f>'Sources and Uses Budget'!C29</f>
        <v>718862</v>
      </c>
      <c r="C29" s="393"/>
      <c r="D29" s="393"/>
      <c r="E29" s="392">
        <f>'Sources and Uses Budget'!S29</f>
        <v>718862</v>
      </c>
      <c r="F29" s="393"/>
      <c r="G29" s="393"/>
      <c r="H29" s="392">
        <f>'Sources and Uses Budget'!T29</f>
        <v>0</v>
      </c>
      <c r="I29" s="393"/>
      <c r="J29" s="393"/>
      <c r="K29" s="390"/>
    </row>
    <row r="30" spans="1:11" s="391" customFormat="1">
      <c r="A30" s="145" t="s">
        <v>608</v>
      </c>
      <c r="B30" s="392">
        <f>'Sources and Uses Budget'!C30</f>
        <v>29339562</v>
      </c>
      <c r="C30" s="393"/>
      <c r="D30" s="393"/>
      <c r="E30" s="392">
        <f>'Sources and Uses Budget'!S30</f>
        <v>29339562</v>
      </c>
      <c r="F30" s="393"/>
      <c r="G30" s="393"/>
      <c r="H30" s="392">
        <f>'Sources and Uses Budget'!T30</f>
        <v>0</v>
      </c>
      <c r="I30" s="393"/>
      <c r="J30" s="393"/>
      <c r="K30" s="390"/>
    </row>
    <row r="31" spans="1:11" s="391" customFormat="1">
      <c r="A31" s="145" t="s">
        <v>609</v>
      </c>
      <c r="B31" s="392">
        <f>'Sources and Uses Budget'!C31</f>
        <v>1098985</v>
      </c>
      <c r="C31" s="393"/>
      <c r="D31" s="393"/>
      <c r="E31" s="392">
        <f>'Sources and Uses Budget'!S31</f>
        <v>1098985</v>
      </c>
      <c r="F31" s="393"/>
      <c r="G31" s="393"/>
      <c r="H31" s="392">
        <f>'Sources and Uses Budget'!T31</f>
        <v>0</v>
      </c>
      <c r="I31" s="393"/>
      <c r="J31" s="393"/>
      <c r="K31" s="390"/>
    </row>
    <row r="32" spans="1:11" s="391" customFormat="1">
      <c r="A32" s="145" t="s">
        <v>137</v>
      </c>
      <c r="B32" s="392">
        <f>'Sources and Uses Budget'!C32</f>
        <v>1432010</v>
      </c>
      <c r="C32" s="393"/>
      <c r="D32" s="393"/>
      <c r="E32" s="392">
        <f>'Sources and Uses Budget'!S32</f>
        <v>1432010</v>
      </c>
      <c r="F32" s="393"/>
      <c r="G32" s="393"/>
      <c r="H32" s="392">
        <f>'Sources and Uses Budget'!T32</f>
        <v>0</v>
      </c>
      <c r="I32" s="393"/>
      <c r="J32" s="393"/>
      <c r="K32" s="390"/>
    </row>
    <row r="33" spans="1:11" s="391" customFormat="1">
      <c r="A33" s="145" t="s">
        <v>138</v>
      </c>
      <c r="B33" s="392">
        <f>'Sources and Uses Budget'!C33</f>
        <v>1432010</v>
      </c>
      <c r="C33" s="393"/>
      <c r="D33" s="393"/>
      <c r="E33" s="392">
        <f>'Sources and Uses Budget'!S33</f>
        <v>1432010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328451</v>
      </c>
      <c r="C35" s="393"/>
      <c r="D35" s="393"/>
      <c r="E35" s="392">
        <f>'Sources and Uses Budget'!S35</f>
        <v>328451</v>
      </c>
      <c r="F35" s="393"/>
      <c r="G35" s="393"/>
      <c r="H35" s="392">
        <f>'Sources and Uses Budget'!T35</f>
        <v>0</v>
      </c>
      <c r="I35" s="393"/>
      <c r="J35" s="393"/>
      <c r="K35" s="390"/>
    </row>
    <row r="36" spans="1:11" s="391" customFormat="1">
      <c r="A36" s="542" t="s">
        <v>1753</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34349880</v>
      </c>
      <c r="C38" s="392">
        <f>SUM(C29:C37)</f>
        <v>0</v>
      </c>
      <c r="D38" s="392">
        <f>SUM(D29:D37)</f>
        <v>0</v>
      </c>
      <c r="E38" s="392">
        <f>'Sources and Uses Budget'!S38</f>
        <v>34349880</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354000</v>
      </c>
      <c r="C40" s="393"/>
      <c r="D40" s="393"/>
      <c r="E40" s="392">
        <f>'Sources and Uses Budget'!S40</f>
        <v>354000</v>
      </c>
      <c r="F40" s="393"/>
      <c r="G40" s="393"/>
      <c r="H40" s="392">
        <f>'Sources and Uses Budget'!T40</f>
        <v>0</v>
      </c>
      <c r="I40" s="393"/>
      <c r="J40" s="393"/>
      <c r="K40" s="390"/>
    </row>
    <row r="41" spans="1:11" s="391" customFormat="1">
      <c r="A41" s="395" t="s">
        <v>146</v>
      </c>
      <c r="B41" s="392">
        <f>'Sources and Uses Budget'!C41</f>
        <v>188000</v>
      </c>
      <c r="C41" s="393"/>
      <c r="D41" s="393"/>
      <c r="E41" s="392">
        <f>'Sources and Uses Budget'!S41</f>
        <v>188000</v>
      </c>
      <c r="F41" s="393"/>
      <c r="G41" s="393"/>
      <c r="H41" s="392">
        <f>'Sources and Uses Budget'!T41</f>
        <v>0</v>
      </c>
      <c r="I41" s="393"/>
      <c r="J41" s="393"/>
      <c r="K41" s="390"/>
    </row>
    <row r="42" spans="1:11" s="391" customFormat="1">
      <c r="A42" s="396" t="s">
        <v>147</v>
      </c>
      <c r="B42" s="392">
        <f>'Sources and Uses Budget'!C42</f>
        <v>542000</v>
      </c>
      <c r="C42" s="392">
        <f>SUM(C39:C41)</f>
        <v>0</v>
      </c>
      <c r="D42" s="392">
        <f>SUM(D39:D41)</f>
        <v>0</v>
      </c>
      <c r="E42" s="392">
        <f>'Sources and Uses Budget'!S42</f>
        <v>542000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262000</v>
      </c>
      <c r="C43" s="393"/>
      <c r="D43" s="393"/>
      <c r="E43" s="392">
        <f>'Sources and Uses Budget'!S43</f>
        <v>262000</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4835000</v>
      </c>
      <c r="C45" s="393"/>
      <c r="D45" s="393"/>
      <c r="E45" s="392">
        <f>'Sources and Uses Budget'!S45</f>
        <v>4835000</v>
      </c>
      <c r="F45" s="393"/>
      <c r="G45" s="393"/>
      <c r="H45" s="392">
        <f>'Sources and Uses Budget'!T45</f>
        <v>0</v>
      </c>
      <c r="I45" s="393"/>
      <c r="J45" s="393"/>
      <c r="K45" s="390"/>
    </row>
    <row r="46" spans="1:11" s="391" customFormat="1">
      <c r="A46" s="395" t="s">
        <v>151</v>
      </c>
      <c r="B46" s="392">
        <f>'Sources and Uses Budget'!C46</f>
        <v>234750</v>
      </c>
      <c r="C46" s="393"/>
      <c r="D46" s="393"/>
      <c r="E46" s="392">
        <f>'Sources and Uses Budget'!S46</f>
        <v>234750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85000</v>
      </c>
      <c r="C49" s="393"/>
      <c r="D49" s="393"/>
      <c r="E49" s="392">
        <f>'Sources and Uses Budget'!S49</f>
        <v>85000</v>
      </c>
      <c r="F49" s="393"/>
      <c r="G49" s="393"/>
      <c r="H49" s="392">
        <f>'Sources and Uses Budget'!T49</f>
        <v>0</v>
      </c>
      <c r="I49" s="393"/>
      <c r="J49" s="393"/>
      <c r="K49" s="390"/>
    </row>
    <row r="50" spans="1:11" s="391" customFormat="1">
      <c r="A50" s="395" t="s">
        <v>156</v>
      </c>
      <c r="B50" s="392">
        <f>'Sources and Uses Budget'!C50</f>
        <v>75000</v>
      </c>
      <c r="C50" s="393"/>
      <c r="D50" s="393"/>
      <c r="E50" s="392">
        <f>'Sources and Uses Budget'!S50</f>
        <v>75000</v>
      </c>
      <c r="F50" s="393"/>
      <c r="G50" s="393"/>
      <c r="H50" s="392">
        <f>'Sources and Uses Budget'!T50</f>
        <v>0</v>
      </c>
      <c r="I50" s="393"/>
      <c r="J50" s="393"/>
      <c r="K50" s="390"/>
    </row>
    <row r="51" spans="1:11" s="391" customFormat="1">
      <c r="A51" s="395" t="s">
        <v>154</v>
      </c>
      <c r="B51" s="392">
        <f>'Sources and Uses Budget'!C51</f>
        <v>10000</v>
      </c>
      <c r="C51" s="393"/>
      <c r="D51" s="393"/>
      <c r="E51" s="392">
        <f>'Sources and Uses Budget'!S51</f>
        <v>10000</v>
      </c>
      <c r="F51" s="393"/>
      <c r="G51" s="393"/>
      <c r="H51" s="392">
        <f>'Sources and Uses Budget'!T51</f>
        <v>0</v>
      </c>
      <c r="I51" s="393"/>
      <c r="J51" s="393"/>
      <c r="K51" s="390"/>
    </row>
    <row r="52" spans="1:11" s="391" customFormat="1">
      <c r="A52" s="395" t="s">
        <v>155</v>
      </c>
      <c r="B52" s="392">
        <f>'Sources and Uses Budget'!C52</f>
        <v>350000</v>
      </c>
      <c r="C52" s="393"/>
      <c r="D52" s="393"/>
      <c r="E52" s="392">
        <f>'Sources and Uses Budget'!S52</f>
        <v>350000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5589750</v>
      </c>
      <c r="C54" s="398">
        <f>SUM(C45:C53)</f>
        <v>0</v>
      </c>
      <c r="D54" s="398">
        <f>SUM(D45:D53)</f>
        <v>0</v>
      </c>
      <c r="E54" s="392">
        <f>'Sources and Uses Budget'!S54</f>
        <v>5589750</v>
      </c>
      <c r="F54" s="398">
        <f>SUM(F45:F53)</f>
        <v>0</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85000</v>
      </c>
      <c r="C56" s="393"/>
      <c r="D56" s="393"/>
      <c r="E56" s="394"/>
      <c r="F56" s="394"/>
      <c r="G56" s="394"/>
      <c r="H56" s="394"/>
      <c r="I56" s="394"/>
      <c r="J56" s="394"/>
      <c r="K56" s="390"/>
    </row>
    <row r="57" spans="1:11" s="391" customFormat="1" ht="12" customHeight="1">
      <c r="A57" s="395" t="s">
        <v>152</v>
      </c>
      <c r="B57" s="392">
        <f>'Sources and Uses Budget'!C57</f>
        <v>15000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Legal for Perm Loan</v>
      </c>
      <c r="B61" s="392">
        <f>'Sources and Uses Budget'!C61</f>
        <v>22000</v>
      </c>
      <c r="C61" s="393"/>
      <c r="D61" s="393"/>
      <c r="E61" s="394"/>
      <c r="F61" s="394"/>
      <c r="G61" s="394"/>
      <c r="H61" s="394"/>
      <c r="I61" s="394"/>
      <c r="J61" s="394"/>
      <c r="K61" s="390"/>
    </row>
    <row r="62" spans="1:11" s="391" customFormat="1" ht="13.75" customHeight="1">
      <c r="A62" s="396" t="s">
        <v>302</v>
      </c>
      <c r="B62" s="392">
        <f>'Sources and Uses Budget'!C62</f>
        <v>132000</v>
      </c>
      <c r="C62" s="392">
        <f>SUM(C56:C61)</f>
        <v>0</v>
      </c>
      <c r="D62" s="392">
        <f>SUM(D56:D61)</f>
        <v>0</v>
      </c>
      <c r="E62" s="394"/>
      <c r="F62" s="394"/>
      <c r="G62" s="394"/>
      <c r="H62" s="394"/>
      <c r="I62" s="394"/>
      <c r="J62" s="394"/>
      <c r="K62" s="390"/>
    </row>
    <row r="63" spans="1:11" s="391" customFormat="1">
      <c r="A63" s="401" t="s">
        <v>303</v>
      </c>
      <c r="B63" s="392">
        <f>'Sources and Uses Budget'!C63</f>
        <v>45385630</v>
      </c>
      <c r="C63" s="392">
        <f>SUM(C8+C11+C13+C14+C15+C26+C27+C38+C42+C43+C54+C62)</f>
        <v>0</v>
      </c>
      <c r="D63" s="392">
        <f>SUM(D8+D11+D13+D14+D15+D26+D27+D38+D42+D43+D54+D62)</f>
        <v>0</v>
      </c>
      <c r="E63" s="392">
        <f>'Sources and Uses Budget'!S63</f>
        <v>40743630</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1757</v>
      </c>
      <c r="B64" s="389"/>
      <c r="C64" s="389"/>
      <c r="D64" s="389"/>
      <c r="E64" s="389"/>
      <c r="F64" s="389"/>
      <c r="G64" s="389"/>
      <c r="H64" s="389"/>
      <c r="I64" s="389"/>
      <c r="J64" s="389"/>
      <c r="K64" s="390"/>
    </row>
    <row r="65" spans="1:11" s="391" customFormat="1">
      <c r="A65" s="145" t="s">
        <v>171</v>
      </c>
      <c r="B65" s="392">
        <f>'Sources and Uses Budget'!C65</f>
        <v>25000</v>
      </c>
      <c r="C65" s="393"/>
      <c r="D65" s="393"/>
      <c r="E65" s="392">
        <f>'Sources and Uses Budget'!S65</f>
        <v>25000</v>
      </c>
      <c r="F65" s="393"/>
      <c r="G65" s="393"/>
      <c r="H65" s="392">
        <f>'Sources and Uses Budget'!T65</f>
        <v>0</v>
      </c>
      <c r="I65" s="393"/>
      <c r="J65" s="393"/>
      <c r="K65" s="390"/>
    </row>
    <row r="66" spans="1:11" s="391" customFormat="1" ht="23">
      <c r="A66" s="304" t="s">
        <v>1754</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1755</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1761</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Owner Legal</v>
      </c>
      <c r="B69" s="392">
        <f>'Sources and Uses Budget'!C69</f>
        <v>60000</v>
      </c>
      <c r="C69" s="393"/>
      <c r="D69" s="393"/>
      <c r="E69" s="392">
        <f>'Sources and Uses Budget'!S69</f>
        <v>60000</v>
      </c>
      <c r="F69" s="393"/>
      <c r="G69" s="393"/>
      <c r="H69" s="392">
        <f>'Sources and Uses Budget'!T69</f>
        <v>0</v>
      </c>
      <c r="I69" s="393"/>
      <c r="J69" s="393"/>
      <c r="K69" s="390"/>
    </row>
    <row r="70" spans="1:11" s="391" customFormat="1">
      <c r="A70" s="396" t="s">
        <v>610</v>
      </c>
      <c r="B70" s="392">
        <f>'Sources and Uses Budget'!C70</f>
        <v>85000</v>
      </c>
      <c r="C70" s="392">
        <f>SUM(C64:C69)</f>
        <v>0</v>
      </c>
      <c r="D70" s="392">
        <f>SUM(D64:D69)</f>
        <v>0</v>
      </c>
      <c r="E70" s="392">
        <f>'Sources and Uses Budget'!S70</f>
        <v>85000</v>
      </c>
      <c r="F70" s="398">
        <f>SUM(F65:F69)</f>
        <v>0</v>
      </c>
      <c r="G70" s="398">
        <f>SUM(G65:G69)</f>
        <v>0</v>
      </c>
      <c r="H70" s="392">
        <f>'Sources and Uses Budget'!T70</f>
        <v>0</v>
      </c>
      <c r="I70" s="398">
        <f>SUM(I65:I69)</f>
        <v>0</v>
      </c>
      <c r="J70" s="398">
        <f>SUM(J65:J69)</f>
        <v>0</v>
      </c>
      <c r="K70" s="390"/>
    </row>
    <row r="71" spans="1:11" s="391" customFormat="1" ht="12">
      <c r="A71" s="388" t="s">
        <v>611</v>
      </c>
      <c r="B71" s="389"/>
      <c r="C71" s="389"/>
      <c r="D71" s="389"/>
      <c r="E71" s="389"/>
      <c r="F71" s="389"/>
      <c r="G71" s="389"/>
      <c r="H71" s="389"/>
      <c r="I71" s="389"/>
      <c r="J71" s="389"/>
      <c r="K71" s="390"/>
    </row>
    <row r="72" spans="1:11" s="391" customFormat="1">
      <c r="A72" s="395" t="s">
        <v>612</v>
      </c>
      <c r="B72" s="392">
        <f>'Sources and Uses Budget'!C72</f>
        <v>0</v>
      </c>
      <c r="C72" s="393">
        <f>B72</f>
        <v>0</v>
      </c>
      <c r="D72" s="393"/>
      <c r="E72" s="394"/>
      <c r="F72" s="394"/>
      <c r="G72" s="394"/>
      <c r="H72" s="394"/>
      <c r="I72" s="394"/>
      <c r="J72" s="394"/>
      <c r="K72" s="390"/>
    </row>
    <row r="73" spans="1:11" s="391" customFormat="1">
      <c r="A73" s="395" t="s">
        <v>613</v>
      </c>
      <c r="B73" s="392">
        <f>'Sources and Uses Budget'!C73</f>
        <v>0</v>
      </c>
      <c r="C73" s="393">
        <f>B73</f>
        <v>0</v>
      </c>
      <c r="D73" s="393"/>
      <c r="E73" s="394"/>
      <c r="F73" s="394"/>
      <c r="G73" s="394"/>
      <c r="H73" s="394"/>
      <c r="I73" s="394"/>
      <c r="J73" s="394"/>
      <c r="K73" s="390"/>
    </row>
    <row r="74" spans="1:11" s="391" customFormat="1">
      <c r="A74" s="397" t="s">
        <v>1008</v>
      </c>
      <c r="B74" s="392">
        <f>'Sources and Uses Budget'!C74</f>
        <v>0</v>
      </c>
      <c r="C74" s="393">
        <f>B74</f>
        <v>0</v>
      </c>
      <c r="D74" s="393"/>
      <c r="E74" s="394"/>
      <c r="F74" s="394"/>
      <c r="G74" s="394"/>
      <c r="H74" s="394"/>
      <c r="I74" s="394"/>
      <c r="J74" s="394"/>
      <c r="K74" s="390"/>
    </row>
    <row r="75" spans="1:11" s="391" customFormat="1">
      <c r="A75" s="395" t="s">
        <v>614</v>
      </c>
      <c r="B75" s="392">
        <f>'Sources and Uses Budget'!C75</f>
        <v>276630</v>
      </c>
      <c r="C75" s="393"/>
      <c r="D75" s="393"/>
      <c r="E75" s="394"/>
      <c r="F75" s="394"/>
      <c r="G75" s="394"/>
      <c r="H75" s="394"/>
      <c r="I75" s="394"/>
      <c r="J75" s="394"/>
      <c r="K75" s="390"/>
    </row>
    <row r="76" spans="1:11" s="391" customFormat="1">
      <c r="A76" s="395">
        <f>'Sources and Uses Budget'!$A76</f>
        <v>0</v>
      </c>
      <c r="B76" s="392">
        <f>'Sources and Uses Budget'!C76</f>
        <v>0</v>
      </c>
      <c r="C76" s="393">
        <f>B76</f>
        <v>0</v>
      </c>
      <c r="D76" s="393"/>
      <c r="E76" s="394"/>
      <c r="F76" s="394"/>
      <c r="G76" s="394"/>
      <c r="H76" s="394"/>
      <c r="I76" s="394"/>
      <c r="J76" s="394"/>
      <c r="K76" s="390"/>
    </row>
    <row r="77" spans="1:11" s="391" customFormat="1">
      <c r="A77" s="396" t="s">
        <v>615</v>
      </c>
      <c r="B77" s="392">
        <f>'Sources and Uses Budget'!C77</f>
        <v>276630</v>
      </c>
      <c r="C77" s="392">
        <f>SUM(C72:C76)</f>
        <v>0</v>
      </c>
      <c r="D77" s="392">
        <f>SUM(D72:D76)</f>
        <v>0</v>
      </c>
      <c r="E77" s="394"/>
      <c r="F77" s="394"/>
      <c r="G77" s="394"/>
      <c r="H77" s="394"/>
      <c r="I77" s="394"/>
      <c r="J77" s="394"/>
      <c r="K77" s="390"/>
    </row>
    <row r="78" spans="1:11" s="391" customFormat="1" ht="12">
      <c r="A78" s="388" t="s">
        <v>1317</v>
      </c>
      <c r="B78" s="389"/>
      <c r="C78" s="389"/>
      <c r="D78" s="389"/>
      <c r="E78" s="389"/>
      <c r="F78" s="389"/>
      <c r="G78" s="389"/>
      <c r="H78" s="389"/>
      <c r="I78" s="389"/>
      <c r="J78" s="389"/>
      <c r="K78" s="390"/>
    </row>
    <row r="79" spans="1:11" s="391" customFormat="1">
      <c r="A79" s="395" t="s">
        <v>1319</v>
      </c>
      <c r="B79" s="392">
        <f>'Sources and Uses Budget'!C79</f>
        <v>1897068</v>
      </c>
      <c r="C79" s="393"/>
      <c r="D79" s="393"/>
      <c r="E79" s="392">
        <f>'Sources and Uses Budget'!S79</f>
        <v>1897068</v>
      </c>
      <c r="F79" s="393"/>
      <c r="G79" s="393"/>
      <c r="H79" s="392">
        <f>'Sources and Uses Budget'!T79</f>
        <v>0</v>
      </c>
      <c r="I79" s="393"/>
      <c r="J79" s="393"/>
      <c r="K79" s="390"/>
    </row>
    <row r="80" spans="1:11" s="391" customFormat="1">
      <c r="A80" s="395" t="s">
        <v>58</v>
      </c>
      <c r="B80" s="392">
        <f>'Sources and Uses Budget'!C80</f>
        <v>240000</v>
      </c>
      <c r="C80" s="393"/>
      <c r="D80" s="393"/>
      <c r="E80" s="392">
        <f>'Sources and Uses Budget'!S80</f>
        <v>240000</v>
      </c>
      <c r="F80" s="393"/>
      <c r="G80" s="393"/>
      <c r="H80" s="392">
        <f>'Sources and Uses Budget'!T80</f>
        <v>0</v>
      </c>
      <c r="I80" s="393"/>
      <c r="J80" s="393"/>
      <c r="K80" s="390"/>
    </row>
    <row r="81" spans="1:11" s="391" customFormat="1">
      <c r="A81" s="396" t="s">
        <v>1316</v>
      </c>
      <c r="B81" s="392">
        <f>'Sources and Uses Budget'!C81</f>
        <v>2137068</v>
      </c>
      <c r="C81" s="392">
        <f>SUM(C79:C80)</f>
        <v>0</v>
      </c>
      <c r="D81" s="392">
        <f>SUM(D79:D80)</f>
        <v>0</v>
      </c>
      <c r="E81" s="392">
        <f>'Sources and Uses Budget'!S81</f>
        <v>2137068</v>
      </c>
      <c r="F81" s="392">
        <f>SUM(F79:F80)</f>
        <v>0</v>
      </c>
      <c r="G81" s="392">
        <f>SUM(G79:G80)</f>
        <v>0</v>
      </c>
      <c r="H81" s="392">
        <f>'Sources and Uses Budget'!T81</f>
        <v>0</v>
      </c>
      <c r="I81" s="392">
        <f>SUM(I79:I80)</f>
        <v>0</v>
      </c>
      <c r="J81" s="392">
        <f>SUM(J79:J80)</f>
        <v>0</v>
      </c>
      <c r="K81" s="390"/>
    </row>
    <row r="82" spans="1:11" s="391" customFormat="1" ht="12">
      <c r="A82" s="388" t="s">
        <v>775</v>
      </c>
      <c r="B82" s="389"/>
      <c r="C82" s="389"/>
      <c r="D82" s="389"/>
      <c r="E82" s="389"/>
      <c r="F82" s="389"/>
      <c r="G82" s="389"/>
      <c r="H82" s="389"/>
      <c r="I82" s="389"/>
      <c r="J82" s="389"/>
      <c r="K82" s="390"/>
    </row>
    <row r="83" spans="1:11" s="391" customFormat="1" ht="13.75" customHeight="1">
      <c r="A83" s="145" t="s">
        <v>2411</v>
      </c>
      <c r="B83" s="392">
        <f>'Sources and Uses Budget'!C83</f>
        <v>85000</v>
      </c>
      <c r="C83" s="393"/>
      <c r="D83" s="393"/>
      <c r="E83" s="394"/>
      <c r="F83" s="394"/>
      <c r="G83" s="394"/>
      <c r="H83" s="394"/>
      <c r="I83" s="394"/>
      <c r="J83" s="394"/>
      <c r="K83" s="390"/>
    </row>
    <row r="84" spans="1:11" s="391" customFormat="1">
      <c r="A84" s="145" t="s">
        <v>777</v>
      </c>
      <c r="B84" s="392">
        <f>'Sources and Uses Budget'!C84</f>
        <v>15000</v>
      </c>
      <c r="C84" s="393"/>
      <c r="D84" s="393"/>
      <c r="E84" s="392">
        <f>'Sources and Uses Budget'!S84</f>
        <v>15000</v>
      </c>
      <c r="F84" s="393"/>
      <c r="G84" s="393"/>
      <c r="H84" s="392">
        <f>'Sources and Uses Budget'!T84</f>
        <v>0</v>
      </c>
      <c r="I84" s="393"/>
      <c r="J84" s="393"/>
      <c r="K84" s="390"/>
    </row>
    <row r="85" spans="1:11" s="391" customFormat="1">
      <c r="A85" s="145" t="s">
        <v>778</v>
      </c>
      <c r="B85" s="392">
        <f>'Sources and Uses Budget'!C85</f>
        <v>161920</v>
      </c>
      <c r="C85" s="393"/>
      <c r="D85" s="393"/>
      <c r="E85" s="392">
        <f>'Sources and Uses Budget'!S85</f>
        <v>161920</v>
      </c>
      <c r="F85" s="393"/>
      <c r="G85" s="393"/>
      <c r="H85" s="392">
        <f>'Sources and Uses Budget'!T85</f>
        <v>0</v>
      </c>
      <c r="I85" s="393"/>
      <c r="J85" s="393"/>
      <c r="K85" s="390"/>
    </row>
    <row r="86" spans="1:11" s="391" customFormat="1">
      <c r="A86" s="145" t="s">
        <v>779</v>
      </c>
      <c r="B86" s="392">
        <f>'Sources and Uses Budget'!C86</f>
        <v>239048</v>
      </c>
      <c r="C86" s="393"/>
      <c r="D86" s="393"/>
      <c r="E86" s="392">
        <f>'Sources and Uses Budget'!S86</f>
        <v>239048</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0</v>
      </c>
      <c r="C88" s="393"/>
      <c r="D88" s="393"/>
      <c r="E88" s="394"/>
      <c r="F88" s="394"/>
      <c r="G88" s="394"/>
      <c r="H88" s="394"/>
      <c r="I88" s="394"/>
      <c r="J88" s="394"/>
      <c r="K88" s="390"/>
    </row>
    <row r="89" spans="1:11" s="391" customFormat="1">
      <c r="A89" s="145" t="s">
        <v>782</v>
      </c>
      <c r="B89" s="392">
        <f>'Sources and Uses Budget'!C89</f>
        <v>30000</v>
      </c>
      <c r="C89" s="393"/>
      <c r="D89" s="393"/>
      <c r="E89" s="392">
        <f>'Sources and Uses Budget'!S89</f>
        <v>30000</v>
      </c>
      <c r="F89" s="393"/>
      <c r="G89" s="393"/>
      <c r="H89" s="392">
        <f>'Sources and Uses Budget'!T89</f>
        <v>0</v>
      </c>
      <c r="I89" s="393"/>
      <c r="J89" s="393"/>
      <c r="K89" s="390"/>
    </row>
    <row r="90" spans="1:11" s="391" customFormat="1">
      <c r="A90" s="145" t="s">
        <v>783</v>
      </c>
      <c r="B90" s="392">
        <f>'Sources and Uses Budget'!C90</f>
        <v>5750</v>
      </c>
      <c r="C90" s="393"/>
      <c r="D90" s="393"/>
      <c r="E90" s="392">
        <f>'Sources and Uses Budget'!S90</f>
        <v>5750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6600</v>
      </c>
      <c r="C92" s="393"/>
      <c r="D92" s="393"/>
      <c r="E92" s="392">
        <f>'Sources and Uses Budget'!S92</f>
        <v>6600</v>
      </c>
      <c r="F92" s="393"/>
      <c r="G92" s="393"/>
      <c r="H92" s="392">
        <f>'Sources and Uses Budget'!T92</f>
        <v>0</v>
      </c>
      <c r="I92" s="393"/>
      <c r="J92" s="393"/>
      <c r="K92" s="390"/>
    </row>
    <row r="93" spans="1:11" s="391" customFormat="1">
      <c r="A93" s="395">
        <f>'Sources and Uses Budget'!$A93</f>
        <v>0</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f>'Sources and Uses Budget'!$A94</f>
        <v>0</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f>'Sources and Uses Budget'!$A95</f>
        <v>0</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543318</v>
      </c>
      <c r="C96" s="392">
        <f>SUM(C83:C95)</f>
        <v>0</v>
      </c>
      <c r="D96" s="392">
        <f>SUM(D83:D95)</f>
        <v>0</v>
      </c>
      <c r="E96" s="392">
        <f>'Sources and Uses Budget'!S96</f>
        <v>458318</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48427646</v>
      </c>
      <c r="C97" s="392">
        <f>SUM(C63+C70+C77+C81+C96)</f>
        <v>0</v>
      </c>
      <c r="D97" s="392">
        <f>SUM(D63+D70+D77+D81+D96)</f>
        <v>0</v>
      </c>
      <c r="E97" s="392">
        <f>'Sources and Uses Budget'!S97</f>
        <v>43424016</v>
      </c>
      <c r="F97" s="398">
        <f>SUM(+F63+F70+F81+F96)</f>
        <v>0</v>
      </c>
      <c r="G97" s="398">
        <f>SUM(+G63+G70+G81+G96)</f>
        <v>0</v>
      </c>
      <c r="H97" s="392">
        <f>'Sources and Uses Budget'!T97</f>
        <v>0</v>
      </c>
      <c r="I97" s="398">
        <f>SUM(I63+I70+I81+I96)</f>
        <v>0</v>
      </c>
      <c r="J97" s="398">
        <f>SUM(J63+J70+J81+J96)</f>
        <v>0</v>
      </c>
      <c r="K97" s="390"/>
    </row>
    <row r="98" spans="1:11" s="391" customFormat="1" ht="12">
      <c r="A98" s="388" t="s">
        <v>786</v>
      </c>
      <c r="B98" s="389"/>
      <c r="C98" s="389"/>
      <c r="D98" s="389"/>
      <c r="E98" s="389"/>
      <c r="F98" s="389"/>
      <c r="G98" s="389"/>
      <c r="H98" s="389"/>
      <c r="I98" s="389"/>
      <c r="J98" s="389"/>
      <c r="K98" s="390"/>
    </row>
    <row r="99" spans="1:11" s="391" customFormat="1">
      <c r="A99" s="145" t="s">
        <v>787</v>
      </c>
      <c r="B99" s="392">
        <f>'Sources and Uses Budget'!C99</f>
        <v>8684803</v>
      </c>
      <c r="C99" s="393"/>
      <c r="D99" s="393"/>
      <c r="E99" s="392">
        <f>'Sources and Uses Budget'!S99</f>
        <v>8684803</v>
      </c>
      <c r="F99" s="393"/>
      <c r="G99" s="393"/>
      <c r="H99" s="392">
        <f>'Sources and Uses Budget'!T99</f>
        <v>0</v>
      </c>
      <c r="I99" s="393"/>
      <c r="J99" s="393"/>
      <c r="K99" s="390"/>
    </row>
    <row r="100" spans="1:11" s="391" customFormat="1">
      <c r="A100" s="304" t="s">
        <v>1759</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1760</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8684803</v>
      </c>
      <c r="C104" s="392">
        <f>SUM(C99:C103)</f>
        <v>0</v>
      </c>
      <c r="D104" s="392">
        <f>SUM(D99:D103)</f>
        <v>0</v>
      </c>
      <c r="E104" s="392">
        <f>'Sources and Uses Budget'!S104</f>
        <v>8684803</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57112449</v>
      </c>
      <c r="C105" s="398">
        <f>SUM(C97+C104)</f>
        <v>0</v>
      </c>
      <c r="D105" s="398">
        <f>SUM(D97+D104)</f>
        <v>0</v>
      </c>
      <c r="E105" s="392">
        <f>'Sources and Uses Budget'!S105</f>
        <v>52108819</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52108819</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81"/>
      <c r="E124" s="1342"/>
      <c r="F124" s="1342"/>
      <c r="G124" s="1342"/>
      <c r="H124" s="1342"/>
      <c r="I124" s="1342"/>
      <c r="J124" s="407"/>
      <c r="K124" s="390"/>
    </row>
    <row r="125" spans="1:11" s="391" customFormat="1" ht="12.5">
      <c r="A125" s="416"/>
      <c r="B125" s="415"/>
      <c r="C125" s="416"/>
      <c r="D125" s="1342"/>
      <c r="E125" s="1342"/>
      <c r="F125" s="1342"/>
      <c r="G125" s="1342"/>
      <c r="H125" s="1342"/>
      <c r="I125" s="1342"/>
      <c r="J125" s="407"/>
      <c r="K125" s="390"/>
    </row>
    <row r="126" spans="1:11" s="391" customFormat="1" ht="12.5">
      <c r="A126" s="416"/>
      <c r="B126" s="415"/>
      <c r="C126" s="416"/>
      <c r="D126" s="1342"/>
      <c r="E126" s="1342"/>
      <c r="F126" s="1342"/>
      <c r="G126" s="1342"/>
      <c r="H126" s="1342"/>
      <c r="I126" s="1342"/>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82"/>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28" zoomScale="87" zoomScaleNormal="87" workbookViewId="0">
      <selection activeCell="O122" sqref="O122"/>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115" t="s">
        <v>1411</v>
      </c>
      <c r="B1" s="2115"/>
      <c r="C1" s="2115"/>
      <c r="D1" s="2115"/>
      <c r="E1" s="2115"/>
      <c r="F1" s="2115"/>
      <c r="G1" s="2115"/>
      <c r="H1" s="2115"/>
      <c r="I1" s="2115"/>
      <c r="J1" s="2115"/>
      <c r="K1" s="2115"/>
      <c r="L1" s="2115"/>
      <c r="M1" s="2115"/>
      <c r="N1" s="2115"/>
      <c r="O1" s="2115"/>
      <c r="P1" s="2115"/>
      <c r="Q1" s="2115"/>
      <c r="R1" s="2115"/>
      <c r="S1" s="2115"/>
      <c r="T1" s="2115"/>
      <c r="U1" s="2115"/>
      <c r="V1" s="2115"/>
      <c r="W1" s="2115"/>
      <c r="X1" s="2115"/>
      <c r="Y1" s="2115"/>
      <c r="Z1" s="2115"/>
      <c r="AA1" s="2115"/>
      <c r="AB1" s="2115"/>
      <c r="AC1" s="2115"/>
      <c r="AD1" s="2115"/>
      <c r="AE1" s="2115"/>
      <c r="AF1" s="2115"/>
      <c r="AG1" s="2115"/>
      <c r="AH1" s="2115"/>
      <c r="AI1" s="2115"/>
      <c r="AJ1" s="2115"/>
      <c r="AK1" s="2115"/>
      <c r="AL1" s="2115"/>
      <c r="AM1" s="2115"/>
    </row>
    <row r="2" spans="1:42" s="570" customFormat="1" ht="12.75" customHeight="1" thickBot="1">
      <c r="A2" s="2116"/>
      <c r="B2" s="2116"/>
      <c r="C2" s="2116"/>
      <c r="D2" s="2116"/>
      <c r="E2" s="2116"/>
      <c r="F2" s="2116"/>
      <c r="G2" s="2116"/>
      <c r="H2" s="2116"/>
      <c r="I2" s="2116"/>
      <c r="J2" s="2116"/>
      <c r="K2" s="2116"/>
      <c r="L2" s="2116"/>
      <c r="M2" s="2116"/>
      <c r="N2" s="2116"/>
      <c r="O2" s="2116"/>
      <c r="P2" s="2116"/>
      <c r="Q2" s="2116"/>
      <c r="R2" s="2116"/>
      <c r="S2" s="2116"/>
      <c r="T2" s="2116"/>
      <c r="U2" s="2116"/>
      <c r="V2" s="2116"/>
      <c r="W2" s="2116"/>
      <c r="X2" s="2116"/>
      <c r="Y2" s="2116"/>
      <c r="Z2" s="2116"/>
      <c r="AA2" s="2116"/>
      <c r="AB2" s="2116"/>
      <c r="AC2" s="2116"/>
      <c r="AD2" s="2116"/>
      <c r="AE2" s="2116"/>
      <c r="AF2" s="2116"/>
      <c r="AG2" s="2116"/>
      <c r="AH2" s="2116"/>
      <c r="AI2" s="2116"/>
      <c r="AJ2" s="2116"/>
      <c r="AK2" s="2116"/>
      <c r="AL2" s="2116"/>
      <c r="AM2" s="211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1412</v>
      </c>
      <c r="B4" s="573" t="s">
        <v>1413</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1414</v>
      </c>
      <c r="B7" s="573" t="s">
        <v>1415</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6" t="s">
        <v>1416</v>
      </c>
      <c r="AF7" s="1926"/>
      <c r="AG7" s="1926"/>
      <c r="AH7" s="1926"/>
      <c r="AI7" s="1926"/>
      <c r="AJ7" s="1926"/>
      <c r="AK7" s="1926"/>
      <c r="AL7" s="574"/>
      <c r="AM7" s="574"/>
      <c r="AN7" s="569"/>
    </row>
    <row r="8" spans="1:42" s="570" customFormat="1" ht="12.75" customHeight="1">
      <c r="A8" s="572"/>
      <c r="B8" s="573" t="s">
        <v>1919</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2324</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2318</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9" t="s">
        <v>600</v>
      </c>
      <c r="C13" s="2109"/>
      <c r="D13" s="581"/>
      <c r="E13" s="582" t="s">
        <v>1417</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7"/>
      <c r="AH13" s="2117"/>
      <c r="AI13" s="2117"/>
      <c r="AJ13" s="211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9" t="s">
        <v>600</v>
      </c>
      <c r="C16" s="2109"/>
      <c r="D16" s="581"/>
      <c r="E16" s="2101" t="s">
        <v>1418</v>
      </c>
      <c r="F16" s="2102"/>
      <c r="G16" s="2102"/>
      <c r="H16" s="2102"/>
      <c r="I16" s="2102"/>
      <c r="J16" s="2102"/>
      <c r="K16" s="2102"/>
      <c r="L16" s="2102"/>
      <c r="M16" s="2102"/>
      <c r="N16" s="2102"/>
      <c r="O16" s="2102"/>
      <c r="P16" s="2102"/>
      <c r="Q16" s="2102"/>
      <c r="R16" s="2102"/>
      <c r="S16" s="2102"/>
      <c r="T16" s="2102"/>
      <c r="U16" s="2102"/>
      <c r="V16" s="2102"/>
      <c r="W16" s="2102"/>
      <c r="X16" s="2102"/>
      <c r="Y16" s="2102"/>
      <c r="Z16" s="2102"/>
      <c r="AA16" s="2102"/>
      <c r="AB16" s="2102"/>
      <c r="AC16" s="2102"/>
      <c r="AD16" s="2102"/>
      <c r="AE16" s="2102"/>
      <c r="AF16" s="2102"/>
      <c r="AG16" s="2102"/>
      <c r="AH16" s="2102"/>
      <c r="AI16" s="2102"/>
      <c r="AJ16" s="2103"/>
      <c r="AK16" s="574"/>
      <c r="AL16" s="574"/>
      <c r="AM16" s="574"/>
      <c r="AN16" s="569"/>
      <c r="AO16" s="584">
        <f>IF($B25="yes",20,0)</f>
        <v>0</v>
      </c>
      <c r="AP16" s="14"/>
    </row>
    <row r="17" spans="1:42" s="570" customFormat="1" ht="12.75" customHeight="1">
      <c r="A17" s="574"/>
      <c r="B17" s="574"/>
      <c r="C17" s="574"/>
      <c r="D17" s="585"/>
      <c r="E17" s="2104"/>
      <c r="F17" s="2105"/>
      <c r="G17" s="2105"/>
      <c r="H17" s="2105"/>
      <c r="I17" s="2105"/>
      <c r="J17" s="2105"/>
      <c r="K17" s="2105"/>
      <c r="L17" s="2105"/>
      <c r="M17" s="2105"/>
      <c r="N17" s="2105"/>
      <c r="O17" s="2105"/>
      <c r="P17" s="2105"/>
      <c r="Q17" s="2105"/>
      <c r="R17" s="2105"/>
      <c r="S17" s="2105"/>
      <c r="T17" s="2105"/>
      <c r="U17" s="2105"/>
      <c r="V17" s="2105"/>
      <c r="W17" s="2105"/>
      <c r="X17" s="2105"/>
      <c r="Y17" s="2105"/>
      <c r="Z17" s="2105"/>
      <c r="AA17" s="2105"/>
      <c r="AB17" s="2105"/>
      <c r="AC17" s="2105"/>
      <c r="AD17" s="2105"/>
      <c r="AE17" s="2105"/>
      <c r="AF17" s="2105"/>
      <c r="AG17" s="2105"/>
      <c r="AH17" s="2105"/>
      <c r="AI17" s="2105"/>
      <c r="AJ17" s="2106"/>
      <c r="AK17" s="574"/>
      <c r="AL17" s="574"/>
      <c r="AM17" s="574"/>
      <c r="AN17" s="569"/>
      <c r="AO17" s="570">
        <f>IF(SUM(AO13:AO16)&gt;20,20,(SUM(AO13:AO16)))</f>
        <v>0</v>
      </c>
      <c r="AP17" s="570" t="s">
        <v>1419</v>
      </c>
    </row>
    <row r="18" spans="1:42" s="570" customFormat="1" ht="12.75" customHeight="1">
      <c r="A18" s="574"/>
      <c r="B18" s="574"/>
      <c r="C18" s="574"/>
      <c r="D18" s="585"/>
      <c r="E18" s="2104"/>
      <c r="F18" s="2105"/>
      <c r="G18" s="2105"/>
      <c r="H18" s="2105"/>
      <c r="I18" s="2105"/>
      <c r="J18" s="2105"/>
      <c r="K18" s="2105"/>
      <c r="L18" s="2105"/>
      <c r="M18" s="2105"/>
      <c r="N18" s="2105"/>
      <c r="O18" s="2105"/>
      <c r="P18" s="2105"/>
      <c r="Q18" s="2105"/>
      <c r="R18" s="2105"/>
      <c r="S18" s="2105"/>
      <c r="T18" s="2105"/>
      <c r="U18" s="2105"/>
      <c r="V18" s="2105"/>
      <c r="W18" s="2105"/>
      <c r="X18" s="2105"/>
      <c r="Y18" s="2105"/>
      <c r="Z18" s="2105"/>
      <c r="AA18" s="2105"/>
      <c r="AB18" s="2105"/>
      <c r="AC18" s="2105"/>
      <c r="AD18" s="2105"/>
      <c r="AE18" s="2105"/>
      <c r="AF18" s="2105"/>
      <c r="AG18" s="2105"/>
      <c r="AH18" s="2105"/>
      <c r="AI18" s="2105"/>
      <c r="AJ18" s="2106"/>
      <c r="AK18" s="574"/>
      <c r="AL18" s="574"/>
      <c r="AM18" s="574"/>
      <c r="AN18" s="569"/>
    </row>
    <row r="19" spans="1:42" s="570" customFormat="1" ht="12.75" customHeight="1">
      <c r="A19" s="574"/>
      <c r="B19" s="574"/>
      <c r="C19" s="574"/>
      <c r="D19" s="585"/>
      <c r="E19" s="586" t="s">
        <v>1420</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5"/>
      <c r="F20" s="2126"/>
      <c r="G20" s="2126"/>
      <c r="H20" s="2126"/>
      <c r="I20" s="2126"/>
      <c r="J20" s="2126"/>
      <c r="K20" s="2126"/>
      <c r="L20" s="2126"/>
      <c r="M20" s="2126"/>
      <c r="N20" s="2126"/>
      <c r="O20" s="2126"/>
      <c r="P20" s="2126"/>
      <c r="Q20" s="2126"/>
      <c r="R20" s="2126"/>
      <c r="S20" s="2126"/>
      <c r="T20" s="2126"/>
      <c r="U20" s="2126"/>
      <c r="V20" s="2126"/>
      <c r="W20" s="2126"/>
      <c r="X20" s="2126"/>
      <c r="Y20" s="2126"/>
      <c r="Z20" s="2126"/>
      <c r="AA20" s="2126"/>
      <c r="AB20" s="2126"/>
      <c r="AC20" s="2126"/>
      <c r="AD20" s="2126"/>
      <c r="AE20" s="2126"/>
      <c r="AF20" s="2126"/>
      <c r="AG20" s="2126"/>
      <c r="AH20" s="2126"/>
      <c r="AI20" s="2126"/>
      <c r="AJ20" s="2127"/>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9" t="s">
        <v>600</v>
      </c>
      <c r="C22" s="2109"/>
      <c r="D22" s="581"/>
      <c r="E22" s="2119" t="s">
        <v>1421</v>
      </c>
      <c r="F22" s="2120"/>
      <c r="G22" s="2120"/>
      <c r="H22" s="2120"/>
      <c r="I22" s="2120"/>
      <c r="J22" s="2120"/>
      <c r="K22" s="2120"/>
      <c r="L22" s="2120"/>
      <c r="M22" s="2120"/>
      <c r="N22" s="2120"/>
      <c r="O22" s="2120"/>
      <c r="P22" s="2120"/>
      <c r="Q22" s="2120"/>
      <c r="R22" s="2120"/>
      <c r="S22" s="2120"/>
      <c r="T22" s="2120"/>
      <c r="U22" s="2120"/>
      <c r="V22" s="2120"/>
      <c r="W22" s="2120"/>
      <c r="X22" s="2120"/>
      <c r="Y22" s="2120"/>
      <c r="Z22" s="2120"/>
      <c r="AA22" s="2120"/>
      <c r="AB22" s="2120"/>
      <c r="AC22" s="2120"/>
      <c r="AD22" s="2120"/>
      <c r="AE22" s="2120"/>
      <c r="AF22" s="2120"/>
      <c r="AG22" s="2120"/>
      <c r="AH22" s="2120"/>
      <c r="AI22" s="2120"/>
      <c r="AJ22" s="2121"/>
      <c r="AK22" s="574"/>
      <c r="AL22" s="574"/>
      <c r="AM22" s="574"/>
      <c r="AN22" s="569"/>
      <c r="AO22" s="570">
        <f>IF(SUM(AO20:AO21)&gt;14,14,SUM(AO20:AO21))</f>
        <v>0</v>
      </c>
      <c r="AP22" s="570" t="s">
        <v>1419</v>
      </c>
    </row>
    <row r="23" spans="1:42" s="570" customFormat="1" ht="12.75" customHeight="1">
      <c r="A23" s="574"/>
      <c r="B23" s="574"/>
      <c r="C23" s="574"/>
      <c r="D23" s="584"/>
      <c r="E23" s="2122"/>
      <c r="F23" s="2123"/>
      <c r="G23" s="2123"/>
      <c r="H23" s="2123"/>
      <c r="I23" s="2123"/>
      <c r="J23" s="2123"/>
      <c r="K23" s="2123"/>
      <c r="L23" s="2123"/>
      <c r="M23" s="2123"/>
      <c r="N23" s="2123"/>
      <c r="O23" s="2123"/>
      <c r="P23" s="2123"/>
      <c r="Q23" s="2123"/>
      <c r="R23" s="2123"/>
      <c r="S23" s="2123"/>
      <c r="T23" s="2123"/>
      <c r="U23" s="2123"/>
      <c r="V23" s="2123"/>
      <c r="W23" s="2123"/>
      <c r="X23" s="2123"/>
      <c r="Y23" s="2123"/>
      <c r="Z23" s="2123"/>
      <c r="AA23" s="2123"/>
      <c r="AB23" s="2123"/>
      <c r="AC23" s="2123"/>
      <c r="AD23" s="2123"/>
      <c r="AE23" s="2123"/>
      <c r="AF23" s="2123"/>
      <c r="AG23" s="2123"/>
      <c r="AH23" s="2123"/>
      <c r="AI23" s="2123"/>
      <c r="AJ23" s="2124"/>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9" t="s">
        <v>600</v>
      </c>
      <c r="C25" s="2109"/>
      <c r="D25" s="581"/>
      <c r="E25" s="2036" t="s">
        <v>2348</v>
      </c>
      <c r="F25" s="2037"/>
      <c r="G25" s="2037"/>
      <c r="H25" s="2037"/>
      <c r="I25" s="2037"/>
      <c r="J25" s="2037"/>
      <c r="K25" s="2037"/>
      <c r="L25" s="2037"/>
      <c r="M25" s="2037"/>
      <c r="N25" s="2037"/>
      <c r="O25" s="2037"/>
      <c r="P25" s="2037"/>
      <c r="Q25" s="2037"/>
      <c r="R25" s="2037"/>
      <c r="S25" s="2037"/>
      <c r="T25" s="2037"/>
      <c r="U25" s="2037"/>
      <c r="V25" s="2037"/>
      <c r="W25" s="2037"/>
      <c r="X25" s="2037"/>
      <c r="Y25" s="2037"/>
      <c r="Z25" s="2037"/>
      <c r="AA25" s="2037"/>
      <c r="AB25" s="2037"/>
      <c r="AC25" s="2037"/>
      <c r="AD25" s="2037"/>
      <c r="AE25" s="2037"/>
      <c r="AF25" s="2037"/>
      <c r="AG25" s="2037"/>
      <c r="AH25" s="2037"/>
      <c r="AI25" s="2037"/>
      <c r="AJ25" s="2038"/>
      <c r="AK25" s="574"/>
      <c r="AL25" s="574"/>
      <c r="AM25" s="574"/>
      <c r="AN25" s="569"/>
      <c r="AO25" s="570">
        <f>IF(AO24&gt;6,6,AO24)</f>
        <v>0</v>
      </c>
      <c r="AP25" s="570" t="s">
        <v>1419</v>
      </c>
    </row>
    <row r="26" spans="1:42" s="570" customFormat="1" ht="12.75" customHeight="1">
      <c r="A26" s="574"/>
      <c r="B26" s="574"/>
      <c r="C26" s="574"/>
      <c r="D26" s="584"/>
      <c r="E26" s="2061"/>
      <c r="F26" s="2062"/>
      <c r="G26" s="2062"/>
      <c r="H26" s="2062"/>
      <c r="I26" s="2062"/>
      <c r="J26" s="2062"/>
      <c r="K26" s="2062"/>
      <c r="L26" s="2062"/>
      <c r="M26" s="2062"/>
      <c r="N26" s="2062"/>
      <c r="O26" s="2062"/>
      <c r="P26" s="2062"/>
      <c r="Q26" s="2062"/>
      <c r="R26" s="2062"/>
      <c r="S26" s="2062"/>
      <c r="T26" s="2062"/>
      <c r="U26" s="2062"/>
      <c r="V26" s="2062"/>
      <c r="W26" s="2062"/>
      <c r="X26" s="2062"/>
      <c r="Y26" s="2062"/>
      <c r="Z26" s="2062"/>
      <c r="AA26" s="2062"/>
      <c r="AB26" s="2062"/>
      <c r="AC26" s="2062"/>
      <c r="AD26" s="2062"/>
      <c r="AE26" s="2062"/>
      <c r="AF26" s="2062"/>
      <c r="AG26" s="2062"/>
      <c r="AH26" s="2062"/>
      <c r="AI26" s="2062"/>
      <c r="AJ26" s="2063"/>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2319</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1419</v>
      </c>
    </row>
    <row r="30" spans="1:42" s="570" customFormat="1" ht="12.75" customHeight="1">
      <c r="A30" s="574"/>
      <c r="B30" s="2109" t="s">
        <v>600</v>
      </c>
      <c r="C30" s="2109"/>
      <c r="D30" s="581"/>
      <c r="E30" s="2119" t="s">
        <v>2320</v>
      </c>
      <c r="F30" s="2120"/>
      <c r="G30" s="2120"/>
      <c r="H30" s="2120"/>
      <c r="I30" s="2120"/>
      <c r="J30" s="2120"/>
      <c r="K30" s="2120"/>
      <c r="L30" s="2120"/>
      <c r="M30" s="2120"/>
      <c r="N30" s="2120"/>
      <c r="O30" s="2120"/>
      <c r="P30" s="2120"/>
      <c r="Q30" s="2120"/>
      <c r="R30" s="2120"/>
      <c r="S30" s="2120"/>
      <c r="T30" s="2120"/>
      <c r="U30" s="2120"/>
      <c r="V30" s="2120"/>
      <c r="W30" s="2120"/>
      <c r="X30" s="2120"/>
      <c r="Y30" s="2120"/>
      <c r="Z30" s="2120"/>
      <c r="AA30" s="2120"/>
      <c r="AB30" s="2120"/>
      <c r="AC30" s="2120"/>
      <c r="AD30" s="2120"/>
      <c r="AE30" s="2120"/>
      <c r="AF30" s="2120"/>
      <c r="AG30" s="2120"/>
      <c r="AH30" s="2120"/>
      <c r="AI30" s="2120"/>
      <c r="AJ30" s="2121"/>
      <c r="AK30" s="574"/>
      <c r="AL30" s="574"/>
      <c r="AM30" s="574"/>
      <c r="AN30" s="569"/>
      <c r="AO30" s="584"/>
    </row>
    <row r="31" spans="1:42" s="570" customFormat="1" ht="12.75" customHeight="1">
      <c r="A31" s="574"/>
      <c r="B31" s="574"/>
      <c r="C31" s="574"/>
      <c r="E31" s="2122"/>
      <c r="F31" s="2123"/>
      <c r="G31" s="2123"/>
      <c r="H31" s="2123"/>
      <c r="I31" s="2123"/>
      <c r="J31" s="2123"/>
      <c r="K31" s="2123"/>
      <c r="L31" s="2123"/>
      <c r="M31" s="2123"/>
      <c r="N31" s="2123"/>
      <c r="O31" s="2123"/>
      <c r="P31" s="2123"/>
      <c r="Q31" s="2123"/>
      <c r="R31" s="2123"/>
      <c r="S31" s="2123"/>
      <c r="T31" s="2123"/>
      <c r="U31" s="2123"/>
      <c r="V31" s="2123"/>
      <c r="W31" s="2123"/>
      <c r="X31" s="2123"/>
      <c r="Y31" s="2123"/>
      <c r="Z31" s="2123"/>
      <c r="AA31" s="2123"/>
      <c r="AB31" s="2123"/>
      <c r="AC31" s="2123"/>
      <c r="AD31" s="2123"/>
      <c r="AE31" s="2123"/>
      <c r="AF31" s="2123"/>
      <c r="AG31" s="2123"/>
      <c r="AH31" s="2123"/>
      <c r="AI31" s="2123"/>
      <c r="AJ31" s="2124"/>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9" t="s">
        <v>600</v>
      </c>
      <c r="C33" s="2109"/>
      <c r="D33" s="581"/>
      <c r="E33" s="2036" t="s">
        <v>2321</v>
      </c>
      <c r="F33" s="2037"/>
      <c r="G33" s="2037"/>
      <c r="H33" s="2037"/>
      <c r="I33" s="2037"/>
      <c r="J33" s="2037"/>
      <c r="K33" s="2037"/>
      <c r="L33" s="2037"/>
      <c r="M33" s="2037"/>
      <c r="N33" s="2037"/>
      <c r="O33" s="2037"/>
      <c r="P33" s="2037"/>
      <c r="Q33" s="2037"/>
      <c r="R33" s="2037"/>
      <c r="S33" s="2037"/>
      <c r="T33" s="2037"/>
      <c r="U33" s="2037"/>
      <c r="V33" s="2037"/>
      <c r="W33" s="2037"/>
      <c r="X33" s="2037"/>
      <c r="Y33" s="2037"/>
      <c r="Z33" s="2037"/>
      <c r="AA33" s="2037"/>
      <c r="AB33" s="2037"/>
      <c r="AC33" s="2037"/>
      <c r="AD33" s="2037"/>
      <c r="AE33" s="2037"/>
      <c r="AF33" s="2037"/>
      <c r="AG33" s="2037"/>
      <c r="AH33" s="2037"/>
      <c r="AI33" s="2037"/>
      <c r="AJ33" s="2038"/>
      <c r="AK33" s="574"/>
      <c r="AL33" s="574"/>
      <c r="AM33" s="574"/>
      <c r="AN33" s="569"/>
    </row>
    <row r="34" spans="1:41" s="570" customFormat="1" ht="12.75" customHeight="1">
      <c r="A34" s="574"/>
      <c r="B34" s="574"/>
      <c r="C34" s="574"/>
      <c r="E34" s="2039"/>
      <c r="F34" s="2040"/>
      <c r="G34" s="2040"/>
      <c r="H34" s="2040"/>
      <c r="I34" s="2040"/>
      <c r="J34" s="2040"/>
      <c r="K34" s="2040"/>
      <c r="L34" s="2040"/>
      <c r="M34" s="2040"/>
      <c r="N34" s="2040"/>
      <c r="O34" s="2040"/>
      <c r="P34" s="2040"/>
      <c r="Q34" s="2040"/>
      <c r="R34" s="2040"/>
      <c r="S34" s="2040"/>
      <c r="T34" s="2040"/>
      <c r="U34" s="2040"/>
      <c r="V34" s="2040"/>
      <c r="W34" s="2040"/>
      <c r="X34" s="2040"/>
      <c r="Y34" s="2040"/>
      <c r="Z34" s="2040"/>
      <c r="AA34" s="2040"/>
      <c r="AB34" s="2040"/>
      <c r="AC34" s="2040"/>
      <c r="AD34" s="2040"/>
      <c r="AE34" s="2040"/>
      <c r="AF34" s="2040"/>
      <c r="AG34" s="2040"/>
      <c r="AH34" s="2040"/>
      <c r="AI34" s="2040"/>
      <c r="AJ34" s="2041"/>
      <c r="AK34" s="574"/>
      <c r="AL34" s="574"/>
      <c r="AM34" s="574"/>
      <c r="AN34" s="569"/>
    </row>
    <row r="35" spans="1:41" s="570" customFormat="1" ht="12.75" customHeight="1">
      <c r="A35" s="574"/>
      <c r="B35" s="574"/>
      <c r="C35" s="574"/>
      <c r="E35" s="2061"/>
      <c r="F35" s="2062"/>
      <c r="G35" s="2062"/>
      <c r="H35" s="2062"/>
      <c r="I35" s="2062"/>
      <c r="J35" s="2062"/>
      <c r="K35" s="2062"/>
      <c r="L35" s="2062"/>
      <c r="M35" s="2062"/>
      <c r="N35" s="2062"/>
      <c r="O35" s="2062"/>
      <c r="P35" s="2062"/>
      <c r="Q35" s="2062"/>
      <c r="R35" s="2062"/>
      <c r="S35" s="2062"/>
      <c r="T35" s="2062"/>
      <c r="U35" s="2062"/>
      <c r="V35" s="2062"/>
      <c r="W35" s="2062"/>
      <c r="X35" s="2062"/>
      <c r="Y35" s="2062"/>
      <c r="Z35" s="2062"/>
      <c r="AA35" s="2062"/>
      <c r="AB35" s="2062"/>
      <c r="AC35" s="2062"/>
      <c r="AD35" s="2062"/>
      <c r="AE35" s="2062"/>
      <c r="AF35" s="2062"/>
      <c r="AG35" s="2062"/>
      <c r="AH35" s="2062"/>
      <c r="AI35" s="2062"/>
      <c r="AJ35" s="2063"/>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2323</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9" t="s">
        <v>600</v>
      </c>
      <c r="C39" s="2109"/>
      <c r="D39" s="1186"/>
      <c r="E39" s="2036" t="s">
        <v>2322</v>
      </c>
      <c r="F39" s="2037"/>
      <c r="G39" s="2037"/>
      <c r="H39" s="2037"/>
      <c r="I39" s="2037"/>
      <c r="J39" s="2037"/>
      <c r="K39" s="2037"/>
      <c r="L39" s="2037"/>
      <c r="M39" s="2037"/>
      <c r="N39" s="2037"/>
      <c r="O39" s="2037"/>
      <c r="P39" s="2037"/>
      <c r="Q39" s="2037"/>
      <c r="R39" s="2037"/>
      <c r="S39" s="2037"/>
      <c r="T39" s="2037"/>
      <c r="U39" s="2037"/>
      <c r="V39" s="2037"/>
      <c r="W39" s="2037"/>
      <c r="X39" s="2037"/>
      <c r="Y39" s="2037"/>
      <c r="Z39" s="2037"/>
      <c r="AA39" s="2037"/>
      <c r="AB39" s="2037"/>
      <c r="AC39" s="2037"/>
      <c r="AD39" s="2037"/>
      <c r="AE39" s="2037"/>
      <c r="AF39" s="2037"/>
      <c r="AG39" s="2037"/>
      <c r="AH39" s="2037"/>
      <c r="AI39" s="2037"/>
      <c r="AJ39" s="2038"/>
      <c r="AK39" s="1186"/>
      <c r="AL39" s="574"/>
      <c r="AM39" s="574"/>
      <c r="AN39" s="569"/>
    </row>
    <row r="40" spans="1:41" s="570" customFormat="1" ht="12.75" customHeight="1">
      <c r="A40" s="574"/>
      <c r="B40" s="574"/>
      <c r="C40" s="574"/>
      <c r="E40" s="2039"/>
      <c r="F40" s="2040"/>
      <c r="G40" s="2040"/>
      <c r="H40" s="2040"/>
      <c r="I40" s="2040"/>
      <c r="J40" s="2040"/>
      <c r="K40" s="2040"/>
      <c r="L40" s="2040"/>
      <c r="M40" s="2040"/>
      <c r="N40" s="2040"/>
      <c r="O40" s="2040"/>
      <c r="P40" s="2040"/>
      <c r="Q40" s="2040"/>
      <c r="R40" s="2040"/>
      <c r="S40" s="2040"/>
      <c r="T40" s="2040"/>
      <c r="U40" s="2040"/>
      <c r="V40" s="2040"/>
      <c r="W40" s="2040"/>
      <c r="X40" s="2040"/>
      <c r="Y40" s="2040"/>
      <c r="Z40" s="2040"/>
      <c r="AA40" s="2040"/>
      <c r="AB40" s="2040"/>
      <c r="AC40" s="2040"/>
      <c r="AD40" s="2040"/>
      <c r="AE40" s="2040"/>
      <c r="AF40" s="2040"/>
      <c r="AG40" s="2040"/>
      <c r="AH40" s="2040"/>
      <c r="AI40" s="2040"/>
      <c r="AJ40" s="2041"/>
      <c r="AK40" s="574"/>
      <c r="AL40" s="574"/>
      <c r="AM40" s="574"/>
      <c r="AN40" s="569"/>
    </row>
    <row r="41" spans="1:41" s="570" customFormat="1" ht="12.75" customHeight="1">
      <c r="A41" s="574"/>
      <c r="D41" s="581"/>
      <c r="E41" s="2061"/>
      <c r="F41" s="2062"/>
      <c r="G41" s="2062"/>
      <c r="H41" s="2062"/>
      <c r="I41" s="2062"/>
      <c r="J41" s="2062"/>
      <c r="K41" s="2062"/>
      <c r="L41" s="2062"/>
      <c r="M41" s="2062"/>
      <c r="N41" s="2062"/>
      <c r="O41" s="2062"/>
      <c r="P41" s="2062"/>
      <c r="Q41" s="2062"/>
      <c r="R41" s="2062"/>
      <c r="S41" s="2062"/>
      <c r="T41" s="2062"/>
      <c r="U41" s="2062"/>
      <c r="V41" s="2062"/>
      <c r="W41" s="2062"/>
      <c r="X41" s="2062"/>
      <c r="Y41" s="2062"/>
      <c r="Z41" s="2062"/>
      <c r="AA41" s="2062"/>
      <c r="AB41" s="2062"/>
      <c r="AC41" s="2062"/>
      <c r="AD41" s="2062"/>
      <c r="AE41" s="2062"/>
      <c r="AF41" s="2062"/>
      <c r="AG41" s="2062"/>
      <c r="AH41" s="2062"/>
      <c r="AI41" s="2062"/>
      <c r="AJ41" s="2063"/>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2325</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2326</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9" t="s">
        <v>600</v>
      </c>
      <c r="C46" s="2109"/>
      <c r="D46" s="574"/>
      <c r="E46" s="2036" t="s">
        <v>2327</v>
      </c>
      <c r="F46" s="2037"/>
      <c r="G46" s="2037"/>
      <c r="H46" s="2037"/>
      <c r="I46" s="2037"/>
      <c r="J46" s="2037"/>
      <c r="K46" s="2037"/>
      <c r="L46" s="2037"/>
      <c r="M46" s="2037"/>
      <c r="N46" s="2037"/>
      <c r="O46" s="2037"/>
      <c r="P46" s="2037"/>
      <c r="Q46" s="2037"/>
      <c r="R46" s="2037"/>
      <c r="S46" s="2037"/>
      <c r="T46" s="2037"/>
      <c r="U46" s="2037"/>
      <c r="V46" s="2037"/>
      <c r="W46" s="2037"/>
      <c r="X46" s="2037"/>
      <c r="Y46" s="2037"/>
      <c r="Z46" s="2037"/>
      <c r="AA46" s="2037"/>
      <c r="AB46" s="2037"/>
      <c r="AC46" s="2037"/>
      <c r="AD46" s="2037"/>
      <c r="AE46" s="2037"/>
      <c r="AF46" s="2037"/>
      <c r="AG46" s="2037"/>
      <c r="AH46" s="2037"/>
      <c r="AI46" s="2037"/>
      <c r="AJ46" s="2038"/>
      <c r="AK46" s="574"/>
      <c r="AL46" s="574"/>
      <c r="AM46" s="574"/>
      <c r="AN46" s="569"/>
      <c r="AO46" s="593"/>
    </row>
    <row r="47" spans="1:41" s="570" customFormat="1" ht="12.75" customHeight="1">
      <c r="A47" s="574"/>
      <c r="D47" s="581"/>
      <c r="E47" s="2039"/>
      <c r="F47" s="2040"/>
      <c r="G47" s="2040"/>
      <c r="H47" s="2040"/>
      <c r="I47" s="2040"/>
      <c r="J47" s="2040"/>
      <c r="K47" s="2040"/>
      <c r="L47" s="2040"/>
      <c r="M47" s="2040"/>
      <c r="N47" s="2040"/>
      <c r="O47" s="2040"/>
      <c r="P47" s="2040"/>
      <c r="Q47" s="2040"/>
      <c r="R47" s="2040"/>
      <c r="S47" s="2040"/>
      <c r="T47" s="2040"/>
      <c r="U47" s="2040"/>
      <c r="V47" s="2040"/>
      <c r="W47" s="2040"/>
      <c r="X47" s="2040"/>
      <c r="Y47" s="2040"/>
      <c r="Z47" s="2040"/>
      <c r="AA47" s="2040"/>
      <c r="AB47" s="2040"/>
      <c r="AC47" s="2040"/>
      <c r="AD47" s="2040"/>
      <c r="AE47" s="2040"/>
      <c r="AF47" s="2040"/>
      <c r="AG47" s="2040"/>
      <c r="AH47" s="2040"/>
      <c r="AI47" s="2040"/>
      <c r="AJ47" s="2041"/>
      <c r="AK47" s="574"/>
      <c r="AL47" s="574"/>
      <c r="AM47" s="574"/>
      <c r="AN47" s="569"/>
      <c r="AO47" s="593"/>
    </row>
    <row r="48" spans="1:41" s="570" customFormat="1" ht="12.75" customHeight="1">
      <c r="A48" s="574"/>
      <c r="D48" s="574"/>
      <c r="E48" s="2061"/>
      <c r="F48" s="2062"/>
      <c r="G48" s="2062"/>
      <c r="H48" s="2062"/>
      <c r="I48" s="2062"/>
      <c r="J48" s="2062"/>
      <c r="K48" s="2062"/>
      <c r="L48" s="2062"/>
      <c r="M48" s="2062"/>
      <c r="N48" s="2062"/>
      <c r="O48" s="2062"/>
      <c r="P48" s="2062"/>
      <c r="Q48" s="2062"/>
      <c r="R48" s="2062"/>
      <c r="S48" s="2062"/>
      <c r="T48" s="2062"/>
      <c r="U48" s="2062"/>
      <c r="V48" s="2062"/>
      <c r="W48" s="2062"/>
      <c r="X48" s="2062"/>
      <c r="Y48" s="2062"/>
      <c r="Z48" s="2062"/>
      <c r="AA48" s="2062"/>
      <c r="AB48" s="2062"/>
      <c r="AC48" s="2062"/>
      <c r="AD48" s="2062"/>
      <c r="AE48" s="2062"/>
      <c r="AF48" s="2062"/>
      <c r="AG48" s="2062"/>
      <c r="AH48" s="2062"/>
      <c r="AI48" s="2062"/>
      <c r="AJ48" s="2063"/>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9" t="s">
        <v>600</v>
      </c>
      <c r="C50" s="2109"/>
      <c r="D50" s="574"/>
      <c r="E50" s="2135" t="s">
        <v>2328</v>
      </c>
      <c r="F50" s="2136"/>
      <c r="G50" s="2136"/>
      <c r="H50" s="2136"/>
      <c r="I50" s="2136"/>
      <c r="J50" s="2136"/>
      <c r="K50" s="2136"/>
      <c r="L50" s="2136"/>
      <c r="M50" s="2136"/>
      <c r="N50" s="2136"/>
      <c r="O50" s="2136"/>
      <c r="P50" s="2136"/>
      <c r="Q50" s="2136"/>
      <c r="R50" s="2136"/>
      <c r="S50" s="2136"/>
      <c r="T50" s="2136"/>
      <c r="U50" s="2136"/>
      <c r="V50" s="2136"/>
      <c r="W50" s="2136"/>
      <c r="X50" s="2136"/>
      <c r="Y50" s="2136"/>
      <c r="Z50" s="2136"/>
      <c r="AA50" s="2136"/>
      <c r="AB50" s="2136"/>
      <c r="AC50" s="2136"/>
      <c r="AD50" s="2136"/>
      <c r="AE50" s="2136"/>
      <c r="AF50" s="2136"/>
      <c r="AG50" s="2136"/>
      <c r="AH50" s="2136"/>
      <c r="AI50" s="2136"/>
      <c r="AJ50" s="2137"/>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9" t="s">
        <v>600</v>
      </c>
      <c r="C52" s="2109"/>
      <c r="D52" s="574"/>
      <c r="E52" s="2036" t="s">
        <v>2329</v>
      </c>
      <c r="F52" s="2037"/>
      <c r="G52" s="2037"/>
      <c r="H52" s="2037"/>
      <c r="I52" s="2037"/>
      <c r="J52" s="2037"/>
      <c r="K52" s="2037"/>
      <c r="L52" s="2037"/>
      <c r="M52" s="2037"/>
      <c r="N52" s="2037"/>
      <c r="O52" s="2037"/>
      <c r="P52" s="2037"/>
      <c r="Q52" s="2037"/>
      <c r="R52" s="2037"/>
      <c r="S52" s="2037"/>
      <c r="T52" s="2037"/>
      <c r="U52" s="2037"/>
      <c r="V52" s="2037"/>
      <c r="W52" s="2037"/>
      <c r="X52" s="2037"/>
      <c r="Y52" s="2037"/>
      <c r="Z52" s="2037"/>
      <c r="AA52" s="2037"/>
      <c r="AB52" s="2037"/>
      <c r="AC52" s="2037"/>
      <c r="AD52" s="2037"/>
      <c r="AE52" s="2037"/>
      <c r="AF52" s="2037"/>
      <c r="AG52" s="2037"/>
      <c r="AH52" s="2037"/>
      <c r="AI52" s="2037"/>
      <c r="AJ52" s="2038"/>
      <c r="AK52" s="574"/>
      <c r="AL52" s="574"/>
      <c r="AM52" s="574"/>
      <c r="AN52" s="569"/>
    </row>
    <row r="53" spans="1:50" s="570" customFormat="1" ht="12.75" customHeight="1">
      <c r="A53" s="574"/>
      <c r="B53" s="581"/>
      <c r="C53" s="581"/>
      <c r="D53" s="581"/>
      <c r="E53" s="2061"/>
      <c r="F53" s="2062"/>
      <c r="G53" s="2062"/>
      <c r="H53" s="2062"/>
      <c r="I53" s="2062"/>
      <c r="J53" s="2062"/>
      <c r="K53" s="2062"/>
      <c r="L53" s="2062"/>
      <c r="M53" s="2062"/>
      <c r="N53" s="2062"/>
      <c r="O53" s="2062"/>
      <c r="P53" s="2062"/>
      <c r="Q53" s="2062"/>
      <c r="R53" s="2062"/>
      <c r="S53" s="2062"/>
      <c r="T53" s="2062"/>
      <c r="U53" s="2062"/>
      <c r="V53" s="2062"/>
      <c r="W53" s="2062"/>
      <c r="X53" s="2062"/>
      <c r="Y53" s="2062"/>
      <c r="Z53" s="2062"/>
      <c r="AA53" s="2062"/>
      <c r="AB53" s="2062"/>
      <c r="AC53" s="2062"/>
      <c r="AD53" s="2062"/>
      <c r="AE53" s="2062"/>
      <c r="AF53" s="2062"/>
      <c r="AG53" s="2062"/>
      <c r="AH53" s="2062"/>
      <c r="AI53" s="2062"/>
      <c r="AJ53" s="2063"/>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1422</v>
      </c>
      <c r="AK56" s="2082">
        <f>AO36</f>
        <v>0</v>
      </c>
      <c r="AL56" s="2083"/>
      <c r="AM56" s="2084"/>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1423</v>
      </c>
      <c r="B59" s="573" t="s">
        <v>1424</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6" t="s">
        <v>1425</v>
      </c>
      <c r="AF59" s="1926"/>
      <c r="AG59" s="1926"/>
      <c r="AH59" s="1926"/>
      <c r="AI59" s="1926"/>
      <c r="AJ59" s="1926"/>
      <c r="AK59" s="1926"/>
      <c r="AL59" s="574"/>
      <c r="AM59" s="574"/>
      <c r="AN59" s="569"/>
    </row>
    <row r="60" spans="1:50" s="570" customFormat="1" ht="12.75" customHeight="1">
      <c r="A60" s="572"/>
      <c r="B60" s="573" t="s">
        <v>1918</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9" t="s">
        <v>600</v>
      </c>
      <c r="C62" s="2109"/>
      <c r="D62" s="581" t="s">
        <v>1426</v>
      </c>
      <c r="E62" s="2101" t="s">
        <v>2330</v>
      </c>
      <c r="F62" s="2102"/>
      <c r="G62" s="2102"/>
      <c r="H62" s="2102"/>
      <c r="I62" s="2102"/>
      <c r="J62" s="2102"/>
      <c r="K62" s="2102"/>
      <c r="L62" s="2102"/>
      <c r="M62" s="2102"/>
      <c r="N62" s="2102"/>
      <c r="O62" s="2102"/>
      <c r="P62" s="2102"/>
      <c r="Q62" s="2102"/>
      <c r="R62" s="2102"/>
      <c r="S62" s="2102"/>
      <c r="T62" s="2102"/>
      <c r="U62" s="2102"/>
      <c r="V62" s="2102"/>
      <c r="W62" s="2102"/>
      <c r="X62" s="2102"/>
      <c r="Y62" s="2102"/>
      <c r="Z62" s="2102"/>
      <c r="AA62" s="2102"/>
      <c r="AB62" s="2102"/>
      <c r="AC62" s="2102"/>
      <c r="AD62" s="2102"/>
      <c r="AE62" s="2102"/>
      <c r="AF62" s="2102"/>
      <c r="AG62" s="2102"/>
      <c r="AH62" s="2102"/>
      <c r="AI62" s="2102"/>
      <c r="AJ62" s="2103"/>
      <c r="AK62" s="577"/>
      <c r="AL62" s="574"/>
      <c r="AM62" s="574"/>
      <c r="AN62" s="569"/>
      <c r="AO62" s="584">
        <f>IF($B62="yes",10,0)</f>
        <v>0</v>
      </c>
    </row>
    <row r="63" spans="1:50" s="570" customFormat="1" ht="12.75" customHeight="1">
      <c r="A63" s="572"/>
      <c r="B63" s="574"/>
      <c r="C63" s="574"/>
      <c r="D63" s="585"/>
      <c r="E63" s="2104"/>
      <c r="F63" s="2105"/>
      <c r="G63" s="2105"/>
      <c r="H63" s="2105"/>
      <c r="I63" s="2105"/>
      <c r="J63" s="2105"/>
      <c r="K63" s="2105"/>
      <c r="L63" s="2105"/>
      <c r="M63" s="2105"/>
      <c r="N63" s="2105"/>
      <c r="O63" s="2105"/>
      <c r="P63" s="2105"/>
      <c r="Q63" s="2105"/>
      <c r="R63" s="2105"/>
      <c r="S63" s="2105"/>
      <c r="T63" s="2105"/>
      <c r="U63" s="2105"/>
      <c r="V63" s="2105"/>
      <c r="W63" s="2105"/>
      <c r="X63" s="2105"/>
      <c r="Y63" s="2105"/>
      <c r="Z63" s="2105"/>
      <c r="AA63" s="2105"/>
      <c r="AB63" s="2105"/>
      <c r="AC63" s="2105"/>
      <c r="AD63" s="2105"/>
      <c r="AE63" s="2105"/>
      <c r="AF63" s="2105"/>
      <c r="AG63" s="2105"/>
      <c r="AH63" s="2105"/>
      <c r="AI63" s="2105"/>
      <c r="AJ63" s="2106"/>
      <c r="AK63" s="577"/>
      <c r="AL63" s="574"/>
      <c r="AM63" s="574"/>
      <c r="AN63" s="569"/>
      <c r="AO63" s="584">
        <f>IF($B68="yes",10,0)</f>
        <v>10</v>
      </c>
    </row>
    <row r="64" spans="1:50" s="570" customFormat="1" ht="12.75" customHeight="1">
      <c r="A64" s="572"/>
      <c r="B64" s="574"/>
      <c r="C64" s="574"/>
      <c r="D64" s="585"/>
      <c r="E64" s="2104"/>
      <c r="F64" s="2105"/>
      <c r="G64" s="2105"/>
      <c r="H64" s="2105"/>
      <c r="I64" s="2105"/>
      <c r="J64" s="2105"/>
      <c r="K64" s="2105"/>
      <c r="L64" s="2105"/>
      <c r="M64" s="2105"/>
      <c r="N64" s="2105"/>
      <c r="O64" s="2105"/>
      <c r="P64" s="2105"/>
      <c r="Q64" s="2105"/>
      <c r="R64" s="2105"/>
      <c r="S64" s="2105"/>
      <c r="T64" s="2105"/>
      <c r="U64" s="2105"/>
      <c r="V64" s="2105"/>
      <c r="W64" s="2105"/>
      <c r="X64" s="2105"/>
      <c r="Y64" s="2105"/>
      <c r="Z64" s="2105"/>
      <c r="AA64" s="2105"/>
      <c r="AB64" s="2105"/>
      <c r="AC64" s="2105"/>
      <c r="AD64" s="2105"/>
      <c r="AE64" s="2105"/>
      <c r="AF64" s="2105"/>
      <c r="AG64" s="2105"/>
      <c r="AH64" s="2105"/>
      <c r="AI64" s="2105"/>
      <c r="AJ64" s="2106"/>
      <c r="AK64" s="577"/>
      <c r="AL64" s="574"/>
      <c r="AM64" s="574"/>
      <c r="AN64" s="569"/>
      <c r="AO64" s="584">
        <f>IF($B75="yes",10,0)</f>
        <v>0</v>
      </c>
    </row>
    <row r="65" spans="1:42" s="570" customFormat="1" ht="12.75" customHeight="1">
      <c r="A65" s="572"/>
      <c r="B65" s="574"/>
      <c r="C65" s="574"/>
      <c r="D65" s="585"/>
      <c r="E65" s="2104"/>
      <c r="F65" s="2105"/>
      <c r="G65" s="2105"/>
      <c r="H65" s="2105"/>
      <c r="I65" s="2105"/>
      <c r="J65" s="2105"/>
      <c r="K65" s="2105"/>
      <c r="L65" s="2105"/>
      <c r="M65" s="2105"/>
      <c r="N65" s="2105"/>
      <c r="O65" s="2105"/>
      <c r="P65" s="2105"/>
      <c r="Q65" s="2105"/>
      <c r="R65" s="2105"/>
      <c r="S65" s="2105"/>
      <c r="T65" s="2105"/>
      <c r="U65" s="2105"/>
      <c r="V65" s="2105"/>
      <c r="W65" s="2105"/>
      <c r="X65" s="2105"/>
      <c r="Y65" s="2105"/>
      <c r="Z65" s="2105"/>
      <c r="AA65" s="2105"/>
      <c r="AB65" s="2105"/>
      <c r="AC65" s="2105"/>
      <c r="AD65" s="2105"/>
      <c r="AE65" s="2105"/>
      <c r="AF65" s="2105"/>
      <c r="AG65" s="2105"/>
      <c r="AH65" s="2105"/>
      <c r="AI65" s="2105"/>
      <c r="AJ65" s="2106"/>
      <c r="AK65" s="577"/>
      <c r="AL65" s="574"/>
      <c r="AM65" s="574"/>
      <c r="AN65" s="569"/>
      <c r="AO65" s="570">
        <f>IF(SUM(AO62:AO64)&gt;10,10,(SUM(AO62:AO64)))</f>
        <v>10</v>
      </c>
      <c r="AP65" s="608" t="s">
        <v>1427</v>
      </c>
    </row>
    <row r="66" spans="1:42" s="570" customFormat="1" ht="12.75" customHeight="1">
      <c r="A66" s="572"/>
      <c r="B66" s="574"/>
      <c r="C66" s="574"/>
      <c r="D66" s="585"/>
      <c r="E66" s="2131"/>
      <c r="F66" s="2132"/>
      <c r="G66" s="2132"/>
      <c r="H66" s="2132"/>
      <c r="I66" s="2132"/>
      <c r="J66" s="2132"/>
      <c r="K66" s="2132"/>
      <c r="L66" s="2132"/>
      <c r="M66" s="2132"/>
      <c r="N66" s="2132"/>
      <c r="O66" s="2132"/>
      <c r="P66" s="2132"/>
      <c r="Q66" s="2132"/>
      <c r="R66" s="2132"/>
      <c r="S66" s="2132"/>
      <c r="T66" s="2132"/>
      <c r="U66" s="2132"/>
      <c r="V66" s="2132"/>
      <c r="W66" s="2132"/>
      <c r="X66" s="2132"/>
      <c r="Y66" s="2132"/>
      <c r="Z66" s="2132"/>
      <c r="AA66" s="2132"/>
      <c r="AB66" s="2132"/>
      <c r="AC66" s="2132"/>
      <c r="AD66" s="2132"/>
      <c r="AE66" s="2132"/>
      <c r="AF66" s="2132"/>
      <c r="AG66" s="2132"/>
      <c r="AH66" s="2132"/>
      <c r="AI66" s="2132"/>
      <c r="AJ66" s="2133"/>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9" t="s">
        <v>554</v>
      </c>
      <c r="C68" s="2109"/>
      <c r="D68" s="581" t="s">
        <v>1428</v>
      </c>
      <c r="E68" s="1006" t="s">
        <v>1914</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4" t="s">
        <v>554</v>
      </c>
      <c r="F69" s="2109"/>
      <c r="G69" s="609"/>
      <c r="H69" s="592" t="s">
        <v>1429</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9" t="s">
        <v>600</v>
      </c>
      <c r="F70" s="2130"/>
      <c r="G70" s="609"/>
      <c r="H70" s="592" t="s">
        <v>1430</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9" t="s">
        <v>600</v>
      </c>
      <c r="F71" s="2130"/>
      <c r="G71" s="609"/>
      <c r="H71" s="592" t="s">
        <v>1929</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4" t="s">
        <v>600</v>
      </c>
      <c r="F73" s="2109"/>
      <c r="G73" s="941"/>
      <c r="H73" s="1011" t="s">
        <v>1928</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9" t="s">
        <v>600</v>
      </c>
      <c r="C75" s="2109"/>
      <c r="D75" s="581" t="s">
        <v>1431</v>
      </c>
      <c r="E75" s="2036" t="s">
        <v>1930</v>
      </c>
      <c r="F75" s="2037"/>
      <c r="G75" s="2037"/>
      <c r="H75" s="2037"/>
      <c r="I75" s="2037"/>
      <c r="J75" s="2037"/>
      <c r="K75" s="2037"/>
      <c r="L75" s="2037"/>
      <c r="M75" s="2037"/>
      <c r="N75" s="2037"/>
      <c r="O75" s="2037"/>
      <c r="P75" s="2037"/>
      <c r="Q75" s="2037"/>
      <c r="R75" s="2037"/>
      <c r="S75" s="2037"/>
      <c r="T75" s="2037"/>
      <c r="U75" s="2037"/>
      <c r="V75" s="2037"/>
      <c r="W75" s="2037"/>
      <c r="X75" s="2037"/>
      <c r="Y75" s="2037"/>
      <c r="Z75" s="2037"/>
      <c r="AA75" s="2037"/>
      <c r="AB75" s="2037"/>
      <c r="AC75" s="2037"/>
      <c r="AD75" s="2037"/>
      <c r="AE75" s="2037"/>
      <c r="AF75" s="2037"/>
      <c r="AG75" s="2037"/>
      <c r="AH75" s="2037"/>
      <c r="AI75" s="2037"/>
      <c r="AJ75" s="2038"/>
      <c r="AK75" s="577"/>
      <c r="AL75" s="574"/>
      <c r="AM75" s="574"/>
      <c r="AN75" s="569"/>
    </row>
    <row r="76" spans="1:42" s="570" customFormat="1" ht="12.75" customHeight="1">
      <c r="A76" s="572"/>
      <c r="B76" s="574"/>
      <c r="C76" s="574"/>
      <c r="D76" s="584"/>
      <c r="E76" s="2061"/>
      <c r="F76" s="2062"/>
      <c r="G76" s="2062"/>
      <c r="H76" s="2062"/>
      <c r="I76" s="2062"/>
      <c r="J76" s="2062"/>
      <c r="K76" s="2062"/>
      <c r="L76" s="2062"/>
      <c r="M76" s="2062"/>
      <c r="N76" s="2062"/>
      <c r="O76" s="2062"/>
      <c r="P76" s="2062"/>
      <c r="Q76" s="2062"/>
      <c r="R76" s="2062"/>
      <c r="S76" s="2062"/>
      <c r="T76" s="2062"/>
      <c r="U76" s="2062"/>
      <c r="V76" s="2062"/>
      <c r="W76" s="2062"/>
      <c r="X76" s="2062"/>
      <c r="Y76" s="2062"/>
      <c r="Z76" s="2062"/>
      <c r="AA76" s="2062"/>
      <c r="AB76" s="2062"/>
      <c r="AC76" s="2062"/>
      <c r="AD76" s="2062"/>
      <c r="AE76" s="2062"/>
      <c r="AF76" s="2062"/>
      <c r="AG76" s="2062"/>
      <c r="AH76" s="2062"/>
      <c r="AI76" s="2062"/>
      <c r="AJ76" s="2063"/>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1432</v>
      </c>
      <c r="AK78" s="2082">
        <f>IF(AK56&gt;0,0,AO65)</f>
        <v>10</v>
      </c>
      <c r="AL78" s="2083"/>
      <c r="AM78" s="2084"/>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1433</v>
      </c>
      <c r="B81" s="573" t="s">
        <v>1434</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6" t="s">
        <v>1416</v>
      </c>
      <c r="AF81" s="1926"/>
      <c r="AG81" s="1926"/>
      <c r="AH81" s="1926"/>
      <c r="AI81" s="1926"/>
      <c r="AJ81" s="1926"/>
      <c r="AK81" s="1926"/>
      <c r="AL81" s="574"/>
      <c r="AM81" s="574"/>
      <c r="AN81" s="569"/>
    </row>
    <row r="82" spans="1:43" s="570" customFormat="1" ht="12.75" customHeight="1">
      <c r="A82" s="572"/>
      <c r="B82" s="573" t="s">
        <v>1435</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9" t="s">
        <v>600</v>
      </c>
      <c r="C84" s="2109"/>
      <c r="D84" s="581" t="s">
        <v>1426</v>
      </c>
      <c r="E84" s="2101" t="s">
        <v>1436</v>
      </c>
      <c r="F84" s="2102"/>
      <c r="G84" s="2102"/>
      <c r="H84" s="2102"/>
      <c r="I84" s="2102"/>
      <c r="J84" s="2102"/>
      <c r="K84" s="2102"/>
      <c r="L84" s="2102"/>
      <c r="M84" s="2102"/>
      <c r="N84" s="2102"/>
      <c r="O84" s="2102"/>
      <c r="P84" s="2102"/>
      <c r="Q84" s="2102"/>
      <c r="R84" s="2102"/>
      <c r="S84" s="2102"/>
      <c r="T84" s="2102"/>
      <c r="U84" s="2102"/>
      <c r="V84" s="2102"/>
      <c r="W84" s="2102"/>
      <c r="X84" s="2102"/>
      <c r="Y84" s="2102"/>
      <c r="Z84" s="2102"/>
      <c r="AA84" s="2102"/>
      <c r="AB84" s="2102"/>
      <c r="AC84" s="2102"/>
      <c r="AD84" s="2102"/>
      <c r="AE84" s="2102"/>
      <c r="AF84" s="2102"/>
      <c r="AG84" s="2102"/>
      <c r="AH84" s="2102"/>
      <c r="AI84" s="2102"/>
      <c r="AJ84" s="2103"/>
      <c r="AK84" s="577"/>
      <c r="AL84" s="574"/>
      <c r="AM84" s="574"/>
      <c r="AN84" s="569"/>
    </row>
    <row r="85" spans="1:43" s="570" customFormat="1" ht="12.75" customHeight="1">
      <c r="A85" s="572"/>
      <c r="B85" s="573"/>
      <c r="C85" s="573"/>
      <c r="D85" s="573"/>
      <c r="E85" s="2104"/>
      <c r="F85" s="2105"/>
      <c r="G85" s="2105"/>
      <c r="H85" s="2105"/>
      <c r="I85" s="2105"/>
      <c r="J85" s="2105"/>
      <c r="K85" s="2105"/>
      <c r="L85" s="2105"/>
      <c r="M85" s="2105"/>
      <c r="N85" s="2105"/>
      <c r="O85" s="2105"/>
      <c r="P85" s="2105"/>
      <c r="Q85" s="2105"/>
      <c r="R85" s="2105"/>
      <c r="S85" s="2105"/>
      <c r="T85" s="2105"/>
      <c r="U85" s="2105"/>
      <c r="V85" s="2105"/>
      <c r="W85" s="2105"/>
      <c r="X85" s="2105"/>
      <c r="Y85" s="2105"/>
      <c r="Z85" s="2105"/>
      <c r="AA85" s="2105"/>
      <c r="AB85" s="2105"/>
      <c r="AC85" s="2105"/>
      <c r="AD85" s="2105"/>
      <c r="AE85" s="2105"/>
      <c r="AF85" s="2105"/>
      <c r="AG85" s="2105"/>
      <c r="AH85" s="2105"/>
      <c r="AI85" s="2105"/>
      <c r="AJ85" s="210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7">
        <f>Application!AC753</f>
        <v>0.59746835443037971</v>
      </c>
      <c r="F87" s="2098"/>
      <c r="G87" s="2098"/>
      <c r="H87" s="2098"/>
      <c r="I87" s="611"/>
      <c r="J87" s="614" t="s">
        <v>1437</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8">
        <f>0.6-ROUNDUP(E87,2)</f>
        <v>0</v>
      </c>
      <c r="F88" s="1900"/>
      <c r="G88" s="1900"/>
      <c r="H88" s="1900"/>
      <c r="I88" s="611"/>
      <c r="J88" s="614" t="s">
        <v>1438</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3">
        <f>IF(E88*200&gt;20,20,E88*200)</f>
        <v>0</v>
      </c>
      <c r="F89" s="2114"/>
      <c r="G89" s="2114"/>
      <c r="H89" s="2114"/>
      <c r="I89" s="611"/>
      <c r="J89" s="614" t="s">
        <v>1439</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1419</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9" t="s">
        <v>554</v>
      </c>
      <c r="C92" s="2109"/>
      <c r="D92" s="581" t="s">
        <v>1428</v>
      </c>
      <c r="E92" s="2101" t="s">
        <v>1915</v>
      </c>
      <c r="F92" s="2102"/>
      <c r="G92" s="2102"/>
      <c r="H92" s="2102"/>
      <c r="I92" s="2102"/>
      <c r="J92" s="2102"/>
      <c r="K92" s="2102"/>
      <c r="L92" s="2102"/>
      <c r="M92" s="2102"/>
      <c r="N92" s="2102"/>
      <c r="O92" s="2102"/>
      <c r="P92" s="2102"/>
      <c r="Q92" s="2102"/>
      <c r="R92" s="2102"/>
      <c r="S92" s="2102"/>
      <c r="T92" s="2102"/>
      <c r="U92" s="2102"/>
      <c r="V92" s="2102"/>
      <c r="W92" s="2102"/>
      <c r="X92" s="2102"/>
      <c r="Y92" s="2102"/>
      <c r="Z92" s="2102"/>
      <c r="AA92" s="2102"/>
      <c r="AB92" s="2102"/>
      <c r="AC92" s="2102"/>
      <c r="AD92" s="2102"/>
      <c r="AE92" s="2102"/>
      <c r="AF92" s="2102"/>
      <c r="AG92" s="2102"/>
      <c r="AH92" s="2102"/>
      <c r="AI92" s="2102"/>
      <c r="AJ92" s="2103"/>
      <c r="AK92" s="577"/>
      <c r="AL92" s="574"/>
      <c r="AM92" s="574"/>
      <c r="AN92" s="569"/>
    </row>
    <row r="93" spans="1:43" s="570" customFormat="1" ht="12.75" customHeight="1">
      <c r="A93" s="572"/>
      <c r="B93" s="573"/>
      <c r="C93" s="573"/>
      <c r="D93" s="573"/>
      <c r="E93" s="2104"/>
      <c r="F93" s="2105"/>
      <c r="G93" s="2105"/>
      <c r="H93" s="2105"/>
      <c r="I93" s="2105"/>
      <c r="J93" s="2105"/>
      <c r="K93" s="2105"/>
      <c r="L93" s="2105"/>
      <c r="M93" s="2105"/>
      <c r="N93" s="2105"/>
      <c r="O93" s="2105"/>
      <c r="P93" s="2105"/>
      <c r="Q93" s="2105"/>
      <c r="R93" s="2105"/>
      <c r="S93" s="2105"/>
      <c r="T93" s="2105"/>
      <c r="U93" s="2105"/>
      <c r="V93" s="2105"/>
      <c r="W93" s="2105"/>
      <c r="X93" s="2105"/>
      <c r="Y93" s="2105"/>
      <c r="Z93" s="2105"/>
      <c r="AA93" s="2105"/>
      <c r="AB93" s="2105"/>
      <c r="AC93" s="2105"/>
      <c r="AD93" s="2105"/>
      <c r="AE93" s="2105"/>
      <c r="AF93" s="2105"/>
      <c r="AG93" s="2105"/>
      <c r="AH93" s="2105"/>
      <c r="AI93" s="2105"/>
      <c r="AJ93" s="2106"/>
      <c r="AK93" s="577"/>
      <c r="AL93" s="574"/>
      <c r="AM93" s="574"/>
      <c r="AN93" s="569"/>
    </row>
    <row r="94" spans="1:43" s="570" customFormat="1" ht="12.75" customHeight="1">
      <c r="A94" s="572"/>
      <c r="B94" s="573"/>
      <c r="C94" s="573"/>
      <c r="D94" s="573"/>
      <c r="E94" s="2104"/>
      <c r="F94" s="2105"/>
      <c r="G94" s="2105"/>
      <c r="H94" s="2105"/>
      <c r="I94" s="2105"/>
      <c r="J94" s="2105"/>
      <c r="K94" s="2105"/>
      <c r="L94" s="2105"/>
      <c r="M94" s="2105"/>
      <c r="N94" s="2105"/>
      <c r="O94" s="2105"/>
      <c r="P94" s="2105"/>
      <c r="Q94" s="2105"/>
      <c r="R94" s="2105"/>
      <c r="S94" s="2105"/>
      <c r="T94" s="2105"/>
      <c r="U94" s="2105"/>
      <c r="V94" s="2105"/>
      <c r="W94" s="2105"/>
      <c r="X94" s="2105"/>
      <c r="Y94" s="2105"/>
      <c r="Z94" s="2105"/>
      <c r="AA94" s="2105"/>
      <c r="AB94" s="2105"/>
      <c r="AC94" s="2105"/>
      <c r="AD94" s="2105"/>
      <c r="AE94" s="2105"/>
      <c r="AF94" s="2105"/>
      <c r="AG94" s="2105"/>
      <c r="AH94" s="2105"/>
      <c r="AI94" s="2105"/>
      <c r="AJ94" s="2106"/>
      <c r="AK94" s="577"/>
      <c r="AL94" s="574"/>
      <c r="AM94" s="574"/>
      <c r="AN94" s="569"/>
    </row>
    <row r="95" spans="1:43" s="570" customFormat="1" ht="12.75" customHeight="1">
      <c r="A95" s="572"/>
      <c r="B95" s="573"/>
      <c r="C95" s="573"/>
      <c r="D95" s="573"/>
      <c r="E95" s="2104"/>
      <c r="F95" s="2105"/>
      <c r="G95" s="2105"/>
      <c r="H95" s="2105"/>
      <c r="I95" s="2105"/>
      <c r="J95" s="2105"/>
      <c r="K95" s="2105"/>
      <c r="L95" s="2105"/>
      <c r="M95" s="2105"/>
      <c r="N95" s="2105"/>
      <c r="O95" s="2105"/>
      <c r="P95" s="2105"/>
      <c r="Q95" s="2105"/>
      <c r="R95" s="2105"/>
      <c r="S95" s="2105"/>
      <c r="T95" s="2105"/>
      <c r="U95" s="2105"/>
      <c r="V95" s="2105"/>
      <c r="W95" s="2105"/>
      <c r="X95" s="2105"/>
      <c r="Y95" s="2105"/>
      <c r="Z95" s="2105"/>
      <c r="AA95" s="2105"/>
      <c r="AB95" s="2105"/>
      <c r="AC95" s="2105"/>
      <c r="AD95" s="2105"/>
      <c r="AE95" s="2105"/>
      <c r="AF95" s="2105"/>
      <c r="AG95" s="2105"/>
      <c r="AH95" s="2105"/>
      <c r="AI95" s="2105"/>
      <c r="AJ95" s="210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7">
        <f>Application!AC753</f>
        <v>0.59746835443037971</v>
      </c>
      <c r="F97" s="2098"/>
      <c r="G97" s="2098"/>
      <c r="H97" s="2098"/>
      <c r="I97" s="611"/>
      <c r="J97" s="614" t="s">
        <v>1437</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7">
        <f ca="1">SUMIF(Application!AC718:AG752,0.2,Application!G718:J752)/Application!G753+SUMIF(Application!AC718:AG752,0.25,Application!G718:J752)/Application!G753+SUMIF(Application!AC718:AG752,0.3,Application!G718:J752)/Application!G753</f>
        <v>0.11392405063291139</v>
      </c>
      <c r="F98" s="2098"/>
      <c r="G98" s="2098"/>
      <c r="H98" s="2098"/>
      <c r="I98" s="611"/>
      <c r="J98" s="614" t="s">
        <v>1440</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7">
        <f ca="1">SUMIF(Application!AC718:AG752,0.35,Application!G718:J752)/Application!G753+SUMIF(Application!AC718:AG752,0.4,Application!G718:J752)/Application!G753+SUMIF(Application!AC718:AG752,0.45,Application!G718:J752)/Application!G753+SUMIF(Application!AC718:AG752,0.5,Application!G718:J752)/Application!G753</f>
        <v>0.29113924050632911</v>
      </c>
      <c r="F99" s="2098"/>
      <c r="G99" s="2098"/>
      <c r="H99" s="2098"/>
      <c r="I99" s="611"/>
      <c r="J99" s="614" t="s">
        <v>1441</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5">
        <f ca="1">IF(AND(E97&lt;=0.6,E98&gt;=0.1,OR(E99&gt;=0.1,E98&gt;=0.2)),20,0)</f>
        <v>20</v>
      </c>
      <c r="F100" s="2096"/>
      <c r="G100" s="2096"/>
      <c r="H100" s="2096"/>
      <c r="I100" s="587"/>
      <c r="J100" s="621" t="s">
        <v>1439</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1419</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1442</v>
      </c>
      <c r="AK103" s="2082">
        <f ca="1">MAX(AP89,AP100)</f>
        <v>20</v>
      </c>
      <c r="AL103" s="2083"/>
      <c r="AM103" s="2084"/>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1443</v>
      </c>
      <c r="B106" s="573" t="s">
        <v>1444</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6" t="s">
        <v>1425</v>
      </c>
      <c r="AF106" s="1926"/>
      <c r="AG106" s="1926"/>
      <c r="AH106" s="1926"/>
      <c r="AI106" s="1926"/>
      <c r="AJ106" s="1926"/>
      <c r="AK106" s="1926"/>
      <c r="AL106" s="574"/>
      <c r="AM106" s="574"/>
      <c r="AN106" s="569"/>
      <c r="AO106" s="570" t="str">
        <f>Application!B718</f>
        <v>SRO/Studio</v>
      </c>
      <c r="AQ106" s="570">
        <f>Application!O718</f>
        <v>743</v>
      </c>
    </row>
    <row r="107" spans="1:49" s="570" customFormat="1" ht="12.75" customHeight="1">
      <c r="A107" s="574"/>
      <c r="B107" s="573" t="s">
        <v>1435</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1288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1561</v>
      </c>
    </row>
    <row r="109" spans="1:49" s="570" customFormat="1" ht="12.75" customHeight="1">
      <c r="A109" s="574"/>
      <c r="B109" s="2109" t="s">
        <v>600</v>
      </c>
      <c r="C109" s="2109"/>
      <c r="D109" s="581" t="s">
        <v>1426</v>
      </c>
      <c r="E109" s="2101" t="s">
        <v>2049</v>
      </c>
      <c r="F109" s="2102"/>
      <c r="G109" s="2102"/>
      <c r="H109" s="2102"/>
      <c r="I109" s="2102"/>
      <c r="J109" s="2102"/>
      <c r="K109" s="2102"/>
      <c r="L109" s="2102"/>
      <c r="M109" s="2102"/>
      <c r="N109" s="2102"/>
      <c r="O109" s="2102"/>
      <c r="P109" s="2102"/>
      <c r="Q109" s="2102"/>
      <c r="R109" s="2102"/>
      <c r="S109" s="2102"/>
      <c r="T109" s="2102"/>
      <c r="U109" s="2102"/>
      <c r="V109" s="2102"/>
      <c r="W109" s="2102"/>
      <c r="X109" s="2102"/>
      <c r="Y109" s="2102"/>
      <c r="Z109" s="2102"/>
      <c r="AA109" s="2102"/>
      <c r="AB109" s="2102"/>
      <c r="AC109" s="2102"/>
      <c r="AD109" s="2102"/>
      <c r="AE109" s="2102"/>
      <c r="AF109" s="2102"/>
      <c r="AG109" s="2102"/>
      <c r="AH109" s="2102"/>
      <c r="AI109" s="2102"/>
      <c r="AJ109" s="2103"/>
      <c r="AK109" s="574"/>
      <c r="AL109" s="574"/>
      <c r="AM109" s="574"/>
      <c r="AN109" s="569"/>
      <c r="AO109" s="570" t="str">
        <f>Application!B721</f>
        <v>1 Bedroom</v>
      </c>
      <c r="AQ109" s="570">
        <f>Application!O721</f>
        <v>1664</v>
      </c>
      <c r="AU109" s="570" t="s">
        <v>2031</v>
      </c>
      <c r="AV109" s="629" t="s">
        <v>2032</v>
      </c>
      <c r="AW109" s="570" t="s">
        <v>2033</v>
      </c>
    </row>
    <row r="110" spans="1:49" s="570" customFormat="1" ht="12.75" customHeight="1">
      <c r="A110" s="574"/>
      <c r="B110" s="573"/>
      <c r="C110" s="573"/>
      <c r="D110" s="573"/>
      <c r="E110" s="2104"/>
      <c r="F110" s="2105"/>
      <c r="G110" s="2105"/>
      <c r="H110" s="2105"/>
      <c r="I110" s="2105"/>
      <c r="J110" s="2105"/>
      <c r="K110" s="2105"/>
      <c r="L110" s="2105"/>
      <c r="M110" s="2105"/>
      <c r="N110" s="2105"/>
      <c r="O110" s="2105"/>
      <c r="P110" s="2105"/>
      <c r="Q110" s="2105"/>
      <c r="R110" s="2105"/>
      <c r="S110" s="2105"/>
      <c r="T110" s="2105"/>
      <c r="U110" s="2105"/>
      <c r="V110" s="2105"/>
      <c r="W110" s="2105"/>
      <c r="X110" s="2105"/>
      <c r="Y110" s="2105"/>
      <c r="Z110" s="2105"/>
      <c r="AA110" s="2105"/>
      <c r="AB110" s="2105"/>
      <c r="AC110" s="2105"/>
      <c r="AD110" s="2105"/>
      <c r="AE110" s="2105"/>
      <c r="AF110" s="2105"/>
      <c r="AG110" s="2105"/>
      <c r="AH110" s="2105"/>
      <c r="AI110" s="2105"/>
      <c r="AJ110" s="2106"/>
      <c r="AK110" s="574"/>
      <c r="AL110" s="574"/>
      <c r="AM110" s="574"/>
      <c r="AN110" s="569"/>
      <c r="AO110" s="570" t="str">
        <f>Application!B722</f>
        <v>1 Bedroom</v>
      </c>
      <c r="AQ110" s="570">
        <f>Application!O722</f>
        <v>2248</v>
      </c>
      <c r="AU110" s="890" t="str">
        <f>E118</f>
        <v>Studio/SRO</v>
      </c>
      <c r="AV110" s="570">
        <f t="array" ref="AV110">SUM(IF(Application!B718:F752="SRO/Studio",Application!G718:J752))</f>
        <v>44</v>
      </c>
      <c r="AW110" s="1046">
        <f>AV110/AV116</f>
        <v>0.55696202531645567</v>
      </c>
    </row>
    <row r="111" spans="1:49" s="570" customFormat="1" ht="12.75" customHeight="1">
      <c r="A111" s="574"/>
      <c r="B111" s="573"/>
      <c r="C111" s="573"/>
      <c r="D111" s="573"/>
      <c r="E111" s="2104"/>
      <c r="F111" s="2105"/>
      <c r="G111" s="2105"/>
      <c r="H111" s="2105"/>
      <c r="I111" s="2105"/>
      <c r="J111" s="2105"/>
      <c r="K111" s="2105"/>
      <c r="L111" s="2105"/>
      <c r="M111" s="2105"/>
      <c r="N111" s="2105"/>
      <c r="O111" s="2105"/>
      <c r="P111" s="2105"/>
      <c r="Q111" s="2105"/>
      <c r="R111" s="2105"/>
      <c r="S111" s="2105"/>
      <c r="T111" s="2105"/>
      <c r="U111" s="2105"/>
      <c r="V111" s="2105"/>
      <c r="W111" s="2105"/>
      <c r="X111" s="2105"/>
      <c r="Y111" s="2105"/>
      <c r="Z111" s="2105"/>
      <c r="AA111" s="2105"/>
      <c r="AB111" s="2105"/>
      <c r="AC111" s="2105"/>
      <c r="AD111" s="2105"/>
      <c r="AE111" s="2105"/>
      <c r="AF111" s="2105"/>
      <c r="AG111" s="2105"/>
      <c r="AH111" s="2105"/>
      <c r="AI111" s="2105"/>
      <c r="AJ111" s="2106"/>
      <c r="AK111" s="574"/>
      <c r="AL111" s="574"/>
      <c r="AM111" s="574"/>
      <c r="AN111" s="569"/>
      <c r="AO111" s="570" t="str">
        <f>Application!B723</f>
        <v>2 Bedrooms</v>
      </c>
      <c r="AQ111" s="570">
        <f>Application!O723</f>
        <v>1979</v>
      </c>
      <c r="AU111" s="890" t="str">
        <f>J118</f>
        <v>1-bedroom</v>
      </c>
      <c r="AV111" s="570">
        <f t="array" ref="AV111">SUM(IF(Application!B718:F752="1 Bedroom",Application!G718:J752))</f>
        <v>24</v>
      </c>
      <c r="AW111" s="1046">
        <f>AV111/AV116</f>
        <v>0.30379746835443039</v>
      </c>
    </row>
    <row r="112" spans="1:49" s="570" customFormat="1" ht="12.75" customHeight="1">
      <c r="A112" s="574"/>
      <c r="B112" s="573"/>
      <c r="C112" s="573"/>
      <c r="D112" s="573"/>
      <c r="E112" s="2104"/>
      <c r="F112" s="2105"/>
      <c r="G112" s="2105"/>
      <c r="H112" s="2105"/>
      <c r="I112" s="2105"/>
      <c r="J112" s="2105"/>
      <c r="K112" s="2105"/>
      <c r="L112" s="2105"/>
      <c r="M112" s="2105"/>
      <c r="N112" s="2105"/>
      <c r="O112" s="2105"/>
      <c r="P112" s="2105"/>
      <c r="Q112" s="2105"/>
      <c r="R112" s="2105"/>
      <c r="S112" s="2105"/>
      <c r="T112" s="2105"/>
      <c r="U112" s="2105"/>
      <c r="V112" s="2105"/>
      <c r="W112" s="2105"/>
      <c r="X112" s="2105"/>
      <c r="Y112" s="2105"/>
      <c r="Z112" s="2105"/>
      <c r="AA112" s="2105"/>
      <c r="AB112" s="2105"/>
      <c r="AC112" s="2105"/>
      <c r="AD112" s="2105"/>
      <c r="AE112" s="2105"/>
      <c r="AF112" s="2105"/>
      <c r="AG112" s="2105"/>
      <c r="AH112" s="2105"/>
      <c r="AI112" s="2105"/>
      <c r="AJ112" s="2106"/>
      <c r="AK112" s="574"/>
      <c r="AL112" s="574"/>
      <c r="AM112" s="574"/>
      <c r="AN112" s="569"/>
      <c r="AO112" s="570" t="str">
        <f>Application!B724</f>
        <v>2 Bedrooms</v>
      </c>
      <c r="AQ112" s="570">
        <f>Application!O724</f>
        <v>2680</v>
      </c>
      <c r="AU112" s="890" t="str">
        <f>O118</f>
        <v>2-bedroom</v>
      </c>
      <c r="AV112" s="570">
        <f t="array" ref="AV112">SUM(IF(Application!B718:F752="2 Bedrooms",Application!G718:J752))</f>
        <v>11</v>
      </c>
      <c r="AW112" s="1046">
        <f>AV112/AV116</f>
        <v>0.13924050632911392</v>
      </c>
    </row>
    <row r="113" spans="1:52" s="570" customFormat="1" ht="12.75" customHeight="1">
      <c r="A113" s="574"/>
      <c r="B113" s="573"/>
      <c r="C113" s="573"/>
      <c r="D113" s="573"/>
      <c r="E113" s="2104"/>
      <c r="F113" s="2105"/>
      <c r="G113" s="2105"/>
      <c r="H113" s="2105"/>
      <c r="I113" s="2105"/>
      <c r="J113" s="2105"/>
      <c r="K113" s="2105"/>
      <c r="L113" s="2105"/>
      <c r="M113" s="2105"/>
      <c r="N113" s="2105"/>
      <c r="O113" s="2105"/>
      <c r="P113" s="2105"/>
      <c r="Q113" s="2105"/>
      <c r="R113" s="2105"/>
      <c r="S113" s="2105"/>
      <c r="T113" s="2105"/>
      <c r="U113" s="2105"/>
      <c r="V113" s="2105"/>
      <c r="W113" s="2105"/>
      <c r="X113" s="2105"/>
      <c r="Y113" s="2105"/>
      <c r="Z113" s="2105"/>
      <c r="AA113" s="2105"/>
      <c r="AB113" s="2105"/>
      <c r="AC113" s="2105"/>
      <c r="AD113" s="2105"/>
      <c r="AE113" s="2105"/>
      <c r="AF113" s="2105"/>
      <c r="AG113" s="2105"/>
      <c r="AH113" s="2105"/>
      <c r="AI113" s="2105"/>
      <c r="AJ113" s="2106"/>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4"/>
      <c r="F114" s="2105"/>
      <c r="G114" s="2105"/>
      <c r="H114" s="2105"/>
      <c r="I114" s="2105"/>
      <c r="J114" s="2105"/>
      <c r="K114" s="2105"/>
      <c r="L114" s="2105"/>
      <c r="M114" s="2105"/>
      <c r="N114" s="2105"/>
      <c r="O114" s="2105"/>
      <c r="P114" s="2105"/>
      <c r="Q114" s="2105"/>
      <c r="R114" s="2105"/>
      <c r="S114" s="2105"/>
      <c r="T114" s="2105"/>
      <c r="U114" s="2105"/>
      <c r="V114" s="2105"/>
      <c r="W114" s="2105"/>
      <c r="X114" s="2105"/>
      <c r="Y114" s="2105"/>
      <c r="Z114" s="2105"/>
      <c r="AA114" s="2105"/>
      <c r="AB114" s="2105"/>
      <c r="AC114" s="2105"/>
      <c r="AD114" s="2105"/>
      <c r="AE114" s="2105"/>
      <c r="AF114" s="2105"/>
      <c r="AG114" s="2105"/>
      <c r="AH114" s="2105"/>
      <c r="AI114" s="2105"/>
      <c r="AJ114" s="2106"/>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4"/>
      <c r="F115" s="2105"/>
      <c r="G115" s="2105"/>
      <c r="H115" s="2105"/>
      <c r="I115" s="2105"/>
      <c r="J115" s="2105"/>
      <c r="K115" s="2105"/>
      <c r="L115" s="2105"/>
      <c r="M115" s="2105"/>
      <c r="N115" s="2105"/>
      <c r="O115" s="2105"/>
      <c r="P115" s="2105"/>
      <c r="Q115" s="2105"/>
      <c r="R115" s="2105"/>
      <c r="S115" s="2105"/>
      <c r="T115" s="2105"/>
      <c r="U115" s="2105"/>
      <c r="V115" s="2105"/>
      <c r="W115" s="2105"/>
      <c r="X115" s="2105"/>
      <c r="Y115" s="2105"/>
      <c r="Z115" s="2105"/>
      <c r="AA115" s="2105"/>
      <c r="AB115" s="2105"/>
      <c r="AC115" s="2105"/>
      <c r="AD115" s="2105"/>
      <c r="AE115" s="2105"/>
      <c r="AF115" s="2105"/>
      <c r="AG115" s="2105"/>
      <c r="AH115" s="2105"/>
      <c r="AI115" s="2105"/>
      <c r="AJ115" s="2106"/>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4"/>
      <c r="F116" s="2105"/>
      <c r="G116" s="2105"/>
      <c r="H116" s="2105"/>
      <c r="I116" s="2105"/>
      <c r="J116" s="2105"/>
      <c r="K116" s="2105"/>
      <c r="L116" s="2105"/>
      <c r="M116" s="2105"/>
      <c r="N116" s="2105"/>
      <c r="O116" s="2105"/>
      <c r="P116" s="2105"/>
      <c r="Q116" s="2105"/>
      <c r="R116" s="2105"/>
      <c r="S116" s="2105"/>
      <c r="T116" s="2105"/>
      <c r="U116" s="2105"/>
      <c r="V116" s="2105"/>
      <c r="W116" s="2105"/>
      <c r="X116" s="2105"/>
      <c r="Y116" s="2105"/>
      <c r="Z116" s="2105"/>
      <c r="AA116" s="2105"/>
      <c r="AB116" s="2105"/>
      <c r="AC116" s="2105"/>
      <c r="AD116" s="2105"/>
      <c r="AE116" s="2105"/>
      <c r="AF116" s="2105"/>
      <c r="AG116" s="2105"/>
      <c r="AH116" s="2105"/>
      <c r="AI116" s="2105"/>
      <c r="AJ116" s="2106"/>
      <c r="AK116" s="574"/>
      <c r="AL116" s="574"/>
      <c r="AM116" s="574"/>
      <c r="AN116" s="569"/>
      <c r="AO116" s="570">
        <f>Application!B728</f>
        <v>0</v>
      </c>
      <c r="AQ116" s="570">
        <f>Application!O728</f>
        <v>0</v>
      </c>
      <c r="AV116" s="570">
        <f>SUM(AV110:AV115)</f>
        <v>79</v>
      </c>
      <c r="AW116" s="1046">
        <f>SUM(AW110:AW115)</f>
        <v>0.99999999999999989</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7" t="s">
        <v>1700</v>
      </c>
      <c r="F118" s="2098"/>
      <c r="G118" s="2098"/>
      <c r="H118" s="2098"/>
      <c r="I118" s="611"/>
      <c r="J118" s="2098" t="s">
        <v>1744</v>
      </c>
      <c r="K118" s="2098"/>
      <c r="L118" s="2098"/>
      <c r="M118" s="2098"/>
      <c r="N118" s="611"/>
      <c r="O118" s="2098" t="s">
        <v>1745</v>
      </c>
      <c r="P118" s="2098"/>
      <c r="Q118" s="2098"/>
      <c r="R118" s="2098"/>
      <c r="S118" s="611"/>
      <c r="T118" s="2098" t="s">
        <v>1445</v>
      </c>
      <c r="U118" s="2098"/>
      <c r="V118" s="2098"/>
      <c r="W118" s="2098"/>
      <c r="X118" s="611"/>
      <c r="Y118" s="2098" t="s">
        <v>1746</v>
      </c>
      <c r="Z118" s="2098"/>
      <c r="AA118" s="2098"/>
      <c r="AB118" s="2098"/>
      <c r="AC118" s="611"/>
      <c r="AD118" s="2098" t="s">
        <v>1747</v>
      </c>
      <c r="AE118" s="2098"/>
      <c r="AF118" s="2098"/>
      <c r="AG118" s="2098"/>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1748</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9">
        <v>1763</v>
      </c>
      <c r="F121" s="2100"/>
      <c r="G121" s="2100"/>
      <c r="H121" s="2100"/>
      <c r="I121" s="898"/>
      <c r="J121" s="2100">
        <v>2580</v>
      </c>
      <c r="K121" s="2100"/>
      <c r="L121" s="2100"/>
      <c r="M121" s="2100"/>
      <c r="N121" s="898"/>
      <c r="O121" s="2100">
        <v>3013</v>
      </c>
      <c r="P121" s="2100"/>
      <c r="Q121" s="2100"/>
      <c r="R121" s="2100"/>
      <c r="S121" s="898"/>
      <c r="T121" s="2100"/>
      <c r="U121" s="2100"/>
      <c r="V121" s="2100"/>
      <c r="W121" s="2100"/>
      <c r="X121" s="898"/>
      <c r="Y121" s="2100"/>
      <c r="Z121" s="2100"/>
      <c r="AA121" s="2100"/>
      <c r="AB121" s="2100"/>
      <c r="AC121" s="898"/>
      <c r="AD121" s="2100"/>
      <c r="AE121" s="2100"/>
      <c r="AF121" s="2100"/>
      <c r="AG121" s="210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2035</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7">
        <f>Application!DX670</f>
        <v>1250.9772727272727</v>
      </c>
      <c r="F124" s="2108"/>
      <c r="G124" s="2108"/>
      <c r="H124" s="2108"/>
      <c r="I124" s="898"/>
      <c r="J124" s="2108">
        <f>Application!EC670</f>
        <v>2053.333333333333</v>
      </c>
      <c r="K124" s="2108"/>
      <c r="L124" s="2108"/>
      <c r="M124" s="2108"/>
      <c r="N124" s="898"/>
      <c r="O124" s="2108">
        <f>Application!EH670</f>
        <v>2488.818181818182</v>
      </c>
      <c r="P124" s="2108"/>
      <c r="Q124" s="2108"/>
      <c r="R124" s="2108"/>
      <c r="S124" s="902"/>
      <c r="T124" s="2108">
        <f>Application!EM670</f>
        <v>0</v>
      </c>
      <c r="U124" s="2108"/>
      <c r="V124" s="2108"/>
      <c r="W124" s="2108"/>
      <c r="X124" s="902"/>
      <c r="Y124" s="2108">
        <f>Application!ER670</f>
        <v>0</v>
      </c>
      <c r="Z124" s="2108"/>
      <c r="AA124" s="2108"/>
      <c r="AB124" s="2108"/>
      <c r="AC124" s="902"/>
      <c r="AD124" s="2108">
        <f>Application!EW670</f>
        <v>0</v>
      </c>
      <c r="AE124" s="2108"/>
      <c r="AF124" s="2108"/>
      <c r="AG124" s="2108"/>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2036</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9">
        <f>(E121-E124)/E121</f>
        <v>0.29042695818078684</v>
      </c>
      <c r="F127" s="1900"/>
      <c r="G127" s="1900"/>
      <c r="H127" s="1901"/>
      <c r="I127" s="611"/>
      <c r="J127" s="1899">
        <f>(J121-J124)/J121</f>
        <v>0.20413436692506473</v>
      </c>
      <c r="K127" s="1900"/>
      <c r="L127" s="1900"/>
      <c r="M127" s="1901"/>
      <c r="N127" s="611"/>
      <c r="O127" s="1899">
        <f>(O121-O124)/O121</f>
        <v>0.17397338804574114</v>
      </c>
      <c r="P127" s="1900"/>
      <c r="Q127" s="1900"/>
      <c r="R127" s="1901"/>
      <c r="S127" s="611"/>
      <c r="T127" s="1899" t="e">
        <f>(T121-T124)/T121</f>
        <v>#DIV/0!</v>
      </c>
      <c r="U127" s="1900"/>
      <c r="V127" s="1900"/>
      <c r="W127" s="1901"/>
      <c r="X127" s="611"/>
      <c r="Y127" s="1899" t="e">
        <f>(Y121-Y124)/Y121</f>
        <v>#DIV/0!</v>
      </c>
      <c r="Z127" s="1900"/>
      <c r="AA127" s="1900"/>
      <c r="AB127" s="1901"/>
      <c r="AC127" s="611"/>
      <c r="AD127" s="1899" t="e">
        <f>(AD121-AD124)/AD121</f>
        <v>#DIV/0!</v>
      </c>
      <c r="AE127" s="1900"/>
      <c r="AF127" s="1900"/>
      <c r="AG127" s="190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2037</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0">
        <f>IF(((E127-0.1)*AW110)&gt;0,((E127-0.1)*AW110),0)</f>
        <v>0.10606058430322304</v>
      </c>
      <c r="F130" s="2111"/>
      <c r="G130" s="2111"/>
      <c r="H130" s="2112"/>
      <c r="I130" s="611"/>
      <c r="J130" s="2110">
        <f>IF(((J127-0.1)*AW111)&gt;0,((J127-0.1)*AW111),0)</f>
        <v>3.1635757040525993E-2</v>
      </c>
      <c r="K130" s="2111"/>
      <c r="L130" s="2111"/>
      <c r="M130" s="2112"/>
      <c r="N130" s="611"/>
      <c r="O130" s="2110">
        <f>IF(((O127-0.1)*AW112)&gt;0,((O127-0.1)*AW112),0)</f>
        <v>1.0300092006369018E-2</v>
      </c>
      <c r="P130" s="2111"/>
      <c r="Q130" s="2111"/>
      <c r="R130" s="2112"/>
      <c r="S130" s="611"/>
      <c r="T130" s="2110" t="e">
        <f>IF(((T127-0.1)*AW113)&gt;0,((T127-0.1)*AW113),0)</f>
        <v>#DIV/0!</v>
      </c>
      <c r="U130" s="2111"/>
      <c r="V130" s="2111"/>
      <c r="W130" s="2112"/>
      <c r="X130" s="611"/>
      <c r="Y130" s="2110" t="e">
        <f>IF(((Y127-0.1)*AW114)&gt;0,((Y127-0.1)*AW114),0)</f>
        <v>#DIV/0!</v>
      </c>
      <c r="Z130" s="2111"/>
      <c r="AA130" s="2111"/>
      <c r="AB130" s="2112"/>
      <c r="AC130" s="611"/>
      <c r="AD130" s="2110" t="e">
        <f>IF(((AD127-0.1)*AW115)&gt;0,((AD127-0.1)*AW115),0)</f>
        <v>#DIV/0!</v>
      </c>
      <c r="AE130" s="2111"/>
      <c r="AF130" s="2111"/>
      <c r="AG130" s="2112"/>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9">
        <f>ROUNDDOWN(SUMIF(E130:AG130,"&gt;0"),2)</f>
        <v>0.14000000000000001</v>
      </c>
      <c r="F132" s="1900"/>
      <c r="G132" s="1900"/>
      <c r="H132" s="1901"/>
      <c r="I132" s="611"/>
      <c r="J132" s="614" t="s">
        <v>2038</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2">
        <f>IF((E132*100)&gt;10,10,E132*100)</f>
        <v>10</v>
      </c>
      <c r="F133" s="2083"/>
      <c r="G133" s="2083"/>
      <c r="H133" s="2084"/>
      <c r="I133" s="611"/>
      <c r="J133" s="614" t="s">
        <v>1439</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1446</v>
      </c>
      <c r="AK137" s="2082">
        <f>E133</f>
        <v>10</v>
      </c>
      <c r="AL137" s="2083"/>
      <c r="AM137" s="2084"/>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1447</v>
      </c>
      <c r="AE140" s="1926" t="s">
        <v>1425</v>
      </c>
      <c r="AF140" s="1926"/>
      <c r="AG140" s="1926"/>
      <c r="AH140" s="1926"/>
      <c r="AI140" s="1926"/>
      <c r="AJ140" s="1926"/>
      <c r="AK140" s="1926"/>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1448</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3" t="s">
        <v>1449</v>
      </c>
      <c r="AG142" s="1993"/>
      <c r="AH142" s="1993"/>
      <c r="AI142" s="1993"/>
      <c r="AJ142" s="1993"/>
      <c r="AK142" s="1993"/>
      <c r="AL142" s="1993"/>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7" t="s">
        <v>2641</v>
      </c>
      <c r="C144" s="2087"/>
      <c r="D144" s="2087"/>
      <c r="E144" s="2087"/>
      <c r="F144" s="2087"/>
      <c r="G144" s="2087"/>
      <c r="H144" s="2087"/>
      <c r="I144" s="2087"/>
      <c r="J144" s="2087"/>
      <c r="K144" s="2087"/>
      <c r="L144" s="2087"/>
      <c r="M144" s="2087"/>
      <c r="N144" s="2087"/>
      <c r="O144" s="2087"/>
      <c r="P144" s="2087"/>
      <c r="Q144" s="2087"/>
      <c r="R144" s="2087"/>
      <c r="S144" s="2087"/>
      <c r="T144" s="2087"/>
      <c r="U144" s="2087"/>
      <c r="V144" s="2087"/>
      <c r="W144" s="2087"/>
      <c r="X144" s="2087"/>
      <c r="Y144" s="2087"/>
      <c r="Z144" s="2087"/>
      <c r="AA144" s="2087"/>
      <c r="AB144" s="2087"/>
      <c r="AC144" s="2087"/>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1450</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1451</v>
      </c>
      <c r="AP146" s="523">
        <v>5</v>
      </c>
    </row>
    <row r="147" spans="1:42" s="570" customFormat="1" ht="12.75" customHeight="1">
      <c r="A147" s="572"/>
      <c r="B147" s="2088" t="s">
        <v>2331</v>
      </c>
      <c r="C147" s="2088"/>
      <c r="D147" s="2088"/>
      <c r="E147" s="2088"/>
      <c r="F147" s="2088"/>
      <c r="G147" s="2088"/>
      <c r="H147" s="2088"/>
      <c r="I147" s="2088"/>
      <c r="J147" s="2088"/>
      <c r="K147" s="2088"/>
      <c r="L147" s="2088"/>
      <c r="M147" s="2088"/>
      <c r="N147" s="2088"/>
      <c r="O147" s="2088"/>
      <c r="P147" s="2088"/>
      <c r="Q147" s="2088"/>
      <c r="R147" s="2088"/>
      <c r="S147" s="2088"/>
      <c r="T147" s="2088"/>
      <c r="U147" s="2088"/>
      <c r="V147" s="2088"/>
      <c r="W147" s="2088"/>
      <c r="X147" s="2088"/>
      <c r="Y147" s="2088"/>
      <c r="Z147" s="2088"/>
      <c r="AA147" s="2088"/>
      <c r="AB147" s="2088"/>
      <c r="AC147" s="2088"/>
      <c r="AD147" s="2088"/>
      <c r="AE147" s="2088"/>
      <c r="AF147" s="2088"/>
      <c r="AG147" s="2088"/>
      <c r="AH147" s="2088"/>
      <c r="AI147" s="2088"/>
      <c r="AM147" s="573"/>
      <c r="AN147" s="569"/>
      <c r="AO147" s="510" t="s">
        <v>1452</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2331</v>
      </c>
      <c r="AP148" s="523">
        <v>7</v>
      </c>
    </row>
    <row r="149" spans="1:42" s="570" customFormat="1" ht="12.75" customHeight="1">
      <c r="A149" s="572"/>
      <c r="B149" s="573" t="s">
        <v>1453</v>
      </c>
      <c r="AB149" s="2029" t="s">
        <v>600</v>
      </c>
      <c r="AC149" s="202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1454</v>
      </c>
      <c r="AP150" s="523"/>
    </row>
    <row r="151" spans="1:42" s="570" customFormat="1" ht="12.75" customHeight="1">
      <c r="A151" s="572"/>
      <c r="B151" s="572" t="s">
        <v>1455</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1456</v>
      </c>
      <c r="AP151" s="523">
        <v>5</v>
      </c>
    </row>
    <row r="152" spans="1:42" s="570" customFormat="1" ht="12.75" customHeight="1">
      <c r="A152" s="572"/>
      <c r="B152" s="2088" t="s">
        <v>1454</v>
      </c>
      <c r="C152" s="2088"/>
      <c r="D152" s="2088"/>
      <c r="E152" s="2088"/>
      <c r="F152" s="2088"/>
      <c r="G152" s="2088"/>
      <c r="H152" s="2088"/>
      <c r="I152" s="2088"/>
      <c r="J152" s="2088"/>
      <c r="K152" s="2088"/>
      <c r="L152" s="2088"/>
      <c r="M152" s="2088"/>
      <c r="N152" s="2088"/>
      <c r="O152" s="2088"/>
      <c r="P152" s="2088"/>
      <c r="Q152" s="2088"/>
      <c r="R152" s="2088"/>
      <c r="S152" s="2088"/>
      <c r="T152" s="2088"/>
      <c r="U152" s="2088"/>
      <c r="V152" s="2088"/>
      <c r="W152" s="2088"/>
      <c r="X152" s="2088"/>
      <c r="Y152" s="2088"/>
      <c r="Z152" s="2088"/>
      <c r="AA152" s="2088"/>
      <c r="AB152" s="2088"/>
      <c r="AC152" s="2088"/>
      <c r="AD152" s="2088"/>
      <c r="AE152" s="2088"/>
      <c r="AF152" s="2088"/>
      <c r="AG152" s="2088"/>
      <c r="AH152" s="2088"/>
      <c r="AI152" s="2088"/>
      <c r="AJ152" s="2088"/>
      <c r="AN152" s="569"/>
      <c r="AO152" s="510" t="s">
        <v>1457</v>
      </c>
      <c r="AP152" s="523">
        <v>7</v>
      </c>
    </row>
    <row r="153" spans="1:42" s="570" customFormat="1" ht="12.75" customHeight="1">
      <c r="B153" s="573" t="s">
        <v>1458</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1460</v>
      </c>
      <c r="AJ155" s="1953">
        <f>IF($AB$149="N/A",VLOOKUP($B$147,$AO$145:$AP$148,2,FALSE),VLOOKUP($B$152,$AO$150:$AP$152,2,FALSE))</f>
        <v>7</v>
      </c>
      <c r="AK155" s="1953"/>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1462</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3" t="s">
        <v>1463</v>
      </c>
      <c r="AG157" s="1993"/>
      <c r="AH157" s="1993"/>
      <c r="AI157" s="1993"/>
      <c r="AJ157" s="1993"/>
      <c r="AK157" s="1993"/>
      <c r="AL157" s="1993"/>
      <c r="AM157" s="637"/>
      <c r="AN157" s="632"/>
    </row>
    <row r="158" spans="1:42" s="584" customFormat="1" ht="12.75" customHeight="1">
      <c r="A158" s="570"/>
      <c r="B158" s="573" t="s">
        <v>1464</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8" t="s">
        <v>1461</v>
      </c>
      <c r="D159" s="2088"/>
      <c r="E159" s="2088"/>
      <c r="F159" s="2088"/>
      <c r="G159" s="2088"/>
      <c r="H159" s="2088"/>
      <c r="I159" s="2088"/>
      <c r="J159" s="2088"/>
      <c r="K159" s="2088"/>
      <c r="L159" s="2088"/>
      <c r="M159" s="2088"/>
      <c r="N159" s="2088"/>
      <c r="O159" s="2088"/>
      <c r="P159" s="2088"/>
      <c r="Q159" s="2088"/>
      <c r="R159" s="2088"/>
      <c r="S159" s="2088"/>
      <c r="T159" s="2088"/>
      <c r="U159" s="2088"/>
      <c r="V159" s="2088"/>
      <c r="W159" s="2088"/>
      <c r="X159" s="2088"/>
      <c r="Y159" s="2088"/>
      <c r="Z159" s="2088"/>
      <c r="AA159" s="2088"/>
      <c r="AB159" s="2088"/>
      <c r="AC159" s="2088"/>
      <c r="AD159" s="2088"/>
      <c r="AE159" s="2088"/>
      <c r="AF159" s="2088"/>
      <c r="AG159" s="2088"/>
      <c r="AH159" s="2088"/>
      <c r="AI159" s="2088"/>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1459</v>
      </c>
      <c r="AP160" s="633">
        <v>2</v>
      </c>
    </row>
    <row r="161" spans="1:73" s="584" customFormat="1" ht="12.75" customHeight="1">
      <c r="A161" s="570"/>
      <c r="B161" s="570"/>
      <c r="C161" s="573" t="s">
        <v>1466</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9" t="s">
        <v>600</v>
      </c>
      <c r="AG161" s="2029"/>
      <c r="AH161" s="570"/>
      <c r="AI161" s="570"/>
      <c r="AJ161" s="570"/>
      <c r="AK161" s="570"/>
      <c r="AL161" s="570"/>
      <c r="AM161" s="637"/>
      <c r="AN161" s="631"/>
      <c r="AO161" s="510" t="s">
        <v>1461</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2531</v>
      </c>
      <c r="AP162" s="633">
        <v>3</v>
      </c>
    </row>
    <row r="163" spans="1:73" s="584" customFormat="1" ht="12.75" customHeight="1">
      <c r="A163" s="570"/>
      <c r="B163" s="570"/>
      <c r="C163" s="2088" t="s">
        <v>1467</v>
      </c>
      <c r="D163" s="2088"/>
      <c r="E163" s="2088"/>
      <c r="F163" s="2088"/>
      <c r="G163" s="2088"/>
      <c r="H163" s="2088"/>
      <c r="I163" s="2088"/>
      <c r="J163" s="2088"/>
      <c r="K163" s="2088"/>
      <c r="L163" s="2088"/>
      <c r="M163" s="2088"/>
      <c r="N163" s="2088"/>
      <c r="O163" s="2088"/>
      <c r="P163" s="2088"/>
      <c r="Q163" s="2088"/>
      <c r="R163" s="2088"/>
      <c r="S163" s="2088"/>
      <c r="T163" s="2088"/>
      <c r="U163" s="2088"/>
      <c r="V163" s="2088"/>
      <c r="W163" s="2088"/>
      <c r="X163" s="2088"/>
      <c r="Y163" s="2088"/>
      <c r="Z163" s="2088"/>
      <c r="AA163" s="2088"/>
      <c r="AB163" s="2088"/>
      <c r="AC163" s="2088"/>
      <c r="AD163" s="2088"/>
      <c r="AE163" s="570"/>
      <c r="AF163" s="570"/>
      <c r="AG163" s="570"/>
      <c r="AH163" s="570"/>
      <c r="AI163" s="570"/>
      <c r="AJ163" s="570"/>
      <c r="AK163" s="570"/>
      <c r="AL163" s="570"/>
      <c r="AM163" s="637"/>
      <c r="AN163" s="631"/>
      <c r="AO163" s="636"/>
      <c r="AP163" s="633"/>
    </row>
    <row r="164" spans="1:73" s="584" customFormat="1" ht="12.75" customHeight="1">
      <c r="A164" s="570"/>
      <c r="B164" s="570"/>
      <c r="C164" s="573" t="s">
        <v>1458</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1468</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1454</v>
      </c>
      <c r="AP166" s="510"/>
    </row>
    <row r="167" spans="1:73" s="584" customFormat="1" ht="12.75" customHeight="1">
      <c r="A167" s="570"/>
      <c r="B167" s="570"/>
      <c r="C167" s="2089" t="str">
        <f>Application!AA335</f>
        <v>FPI Management Corporation</v>
      </c>
      <c r="D167" s="2089"/>
      <c r="E167" s="2089"/>
      <c r="F167" s="2089"/>
      <c r="G167" s="2089"/>
      <c r="H167" s="2089"/>
      <c r="I167" s="2089"/>
      <c r="J167" s="2089"/>
      <c r="K167" s="2089"/>
      <c r="L167" s="2089"/>
      <c r="M167" s="2089"/>
      <c r="N167" s="2089"/>
      <c r="O167" s="2089"/>
      <c r="P167" s="2089"/>
      <c r="Q167" s="2089"/>
      <c r="R167" s="2089"/>
      <c r="S167" s="2089"/>
      <c r="T167" s="2089"/>
      <c r="U167" s="2089"/>
      <c r="V167" s="2089"/>
      <c r="W167" s="2089"/>
      <c r="X167" s="2089"/>
      <c r="Y167" s="2089"/>
      <c r="Z167" s="2089"/>
      <c r="AA167" s="2089"/>
      <c r="AB167" s="2089"/>
      <c r="AC167" s="2089"/>
      <c r="AD167" s="2089"/>
      <c r="AE167" s="570"/>
      <c r="AF167" s="570"/>
      <c r="AG167" s="570"/>
      <c r="AH167" s="570"/>
      <c r="AI167" s="570"/>
      <c r="AJ167" s="570"/>
      <c r="AK167" s="570"/>
      <c r="AL167" s="570"/>
      <c r="AM167" s="637"/>
      <c r="AN167" s="631"/>
      <c r="AO167" s="510" t="s">
        <v>1465</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1467</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1469</v>
      </c>
      <c r="AJ169" s="1952">
        <f>IF($AF$161="N/A",VLOOKUP($C$159,$AO$159:$AP$162,2,FALSE),VLOOKUP($C$163,$AO$166:$AP$168,2,FALSE))</f>
        <v>3</v>
      </c>
      <c r="AK169" s="1952"/>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1470</v>
      </c>
      <c r="AK172" s="2082">
        <f>$AJ$155+$AJ$169</f>
        <v>10</v>
      </c>
      <c r="AL172" s="2083"/>
      <c r="AM172" s="2084"/>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1471</v>
      </c>
      <c r="AQ174" s="646">
        <v>0</v>
      </c>
    </row>
    <row r="175" spans="1:73" s="584" customFormat="1" ht="12.75" customHeight="1">
      <c r="A175" s="572" t="s">
        <v>1472</v>
      </c>
      <c r="B175" s="572" t="s">
        <v>1917</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6" t="s">
        <v>1425</v>
      </c>
      <c r="AF175" s="1926"/>
      <c r="AG175" s="1926"/>
      <c r="AH175" s="1926"/>
      <c r="AI175" s="1926"/>
      <c r="AJ175" s="1926"/>
      <c r="AK175" s="1926"/>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1473</v>
      </c>
      <c r="AQ176" s="584">
        <v>10</v>
      </c>
    </row>
    <row r="177" spans="1:45" s="584" customFormat="1" ht="12.75" customHeight="1">
      <c r="A177" s="570"/>
      <c r="B177" s="2085" t="s">
        <v>1478</v>
      </c>
      <c r="C177" s="2085"/>
      <c r="D177" s="2085"/>
      <c r="E177" s="2085"/>
      <c r="F177" s="2085"/>
      <c r="G177" s="2085"/>
      <c r="H177" s="2085"/>
      <c r="I177" s="2085"/>
      <c r="J177" s="2085"/>
      <c r="K177" s="2085"/>
      <c r="L177" s="2085"/>
      <c r="M177" s="2085"/>
      <c r="N177" s="2085"/>
      <c r="O177" s="2085"/>
      <c r="P177" s="2085"/>
      <c r="Q177" s="2085"/>
      <c r="R177" s="2085"/>
      <c r="S177" s="2085"/>
      <c r="T177" s="2085"/>
      <c r="U177" s="2085"/>
      <c r="V177" s="2085"/>
      <c r="W177" s="2085"/>
      <c r="X177" s="2085"/>
      <c r="Y177" s="2085"/>
      <c r="Z177" s="2085"/>
      <c r="AA177" s="2085"/>
      <c r="AB177" s="2085"/>
      <c r="AC177" s="2085"/>
      <c r="AD177" s="570"/>
      <c r="AE177" s="570"/>
      <c r="AF177" s="1993" t="s">
        <v>1474</v>
      </c>
      <c r="AG177" s="1993"/>
      <c r="AH177" s="1993"/>
      <c r="AI177" s="1993"/>
      <c r="AJ177" s="1993"/>
      <c r="AK177" s="1993"/>
      <c r="AL177" s="1993"/>
      <c r="AN177" s="631"/>
      <c r="AP177" s="584" t="s">
        <v>1068</v>
      </c>
      <c r="AQ177" s="584">
        <v>10</v>
      </c>
    </row>
    <row r="178" spans="1:45" s="584" customFormat="1" ht="12.75" customHeight="1">
      <c r="A178" s="570"/>
      <c r="B178" s="2086" t="s">
        <v>1916</v>
      </c>
      <c r="C178" s="2086"/>
      <c r="D178" s="2086"/>
      <c r="E178" s="2086"/>
      <c r="F178" s="2086"/>
      <c r="G178" s="2086"/>
      <c r="H178" s="2086"/>
      <c r="I178" s="2086"/>
      <c r="J178" s="2086"/>
      <c r="K178" s="2086"/>
      <c r="L178" s="2086"/>
      <c r="M178" s="2086"/>
      <c r="N178" s="2086"/>
      <c r="O178" s="2086"/>
      <c r="P178" s="2086"/>
      <c r="Q178" s="2086"/>
      <c r="R178" s="2086"/>
      <c r="S178" s="2086"/>
      <c r="T178" s="2087" t="s">
        <v>600</v>
      </c>
      <c r="U178" s="2087"/>
      <c r="V178" s="2087"/>
      <c r="W178" s="2087"/>
      <c r="X178" s="2087"/>
      <c r="Y178" s="2087"/>
      <c r="Z178" s="2087"/>
      <c r="AA178" s="2087"/>
      <c r="AB178" s="2087"/>
      <c r="AC178" s="2087"/>
      <c r="AD178" s="570"/>
      <c r="AE178" s="570"/>
      <c r="AF178" s="570"/>
      <c r="AG178" s="570"/>
      <c r="AH178" s="570"/>
      <c r="AI178" s="570"/>
      <c r="AJ178" s="577"/>
      <c r="AK178" s="629"/>
      <c r="AL178" s="629"/>
      <c r="AM178" s="629"/>
      <c r="AN178" s="631"/>
      <c r="AP178" s="584" t="s">
        <v>1475</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1478</v>
      </c>
      <c r="AQ179" s="584">
        <v>10</v>
      </c>
      <c r="AS179" s="584" t="s">
        <v>1476</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1477</v>
      </c>
      <c r="AK180" s="1920">
        <f>IF(AK78&gt;0,VLOOKUP($B$177,AP174:AQ180,2,FALSE),0)</f>
        <v>10</v>
      </c>
      <c r="AL180" s="1921"/>
      <c r="AM180" s="1922"/>
      <c r="AN180" s="569"/>
      <c r="AP180" s="584" t="s">
        <v>1480</v>
      </c>
      <c r="AQ180" s="584">
        <v>10</v>
      </c>
      <c r="AS180" s="584" t="s">
        <v>1479</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1481</v>
      </c>
      <c r="B183" s="572" t="s">
        <v>1482</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6" t="s">
        <v>1483</v>
      </c>
      <c r="AF183" s="1926"/>
      <c r="AG183" s="1926"/>
      <c r="AH183" s="1926"/>
      <c r="AI183" s="1926"/>
      <c r="AJ183" s="1926"/>
      <c r="AK183" s="1926"/>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1701</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1737</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9" t="s">
        <v>2724</v>
      </c>
      <c r="C188" s="2079"/>
      <c r="D188" s="2079"/>
      <c r="E188" s="2079"/>
      <c r="F188" s="2079"/>
      <c r="G188" s="2079"/>
      <c r="H188" s="2079"/>
      <c r="I188" s="2079"/>
      <c r="J188" s="2079"/>
      <c r="K188" s="2079"/>
      <c r="L188" s="2079"/>
      <c r="M188" s="2079"/>
      <c r="N188" s="2079"/>
      <c r="O188" s="2079"/>
      <c r="P188" s="2079"/>
      <c r="Q188" s="2079"/>
      <c r="R188" s="2079"/>
      <c r="S188" s="2079"/>
      <c r="T188" s="2079"/>
      <c r="U188" s="2079"/>
      <c r="V188" s="2079"/>
      <c r="W188" s="2079"/>
      <c r="X188" s="2079"/>
      <c r="Y188" s="2079"/>
      <c r="Z188" s="2079"/>
      <c r="AA188" s="2079"/>
      <c r="AB188" s="2079"/>
      <c r="AC188" s="880"/>
      <c r="AD188" s="2069">
        <f>Application!AM555</f>
        <v>4568996</v>
      </c>
      <c r="AE188" s="2069"/>
      <c r="AF188" s="2069"/>
      <c r="AG188" s="2069"/>
      <c r="AH188" s="2069"/>
      <c r="AI188" s="2069"/>
      <c r="AJ188" s="2069"/>
      <c r="AK188" s="644"/>
    </row>
    <row r="189" spans="1:45">
      <c r="A189" s="639"/>
      <c r="B189" s="2079"/>
      <c r="C189" s="2079"/>
      <c r="D189" s="2079"/>
      <c r="E189" s="2079"/>
      <c r="F189" s="2079"/>
      <c r="G189" s="2079"/>
      <c r="H189" s="2079"/>
      <c r="I189" s="2079"/>
      <c r="J189" s="2079"/>
      <c r="K189" s="2079"/>
      <c r="L189" s="2079"/>
      <c r="M189" s="2079"/>
      <c r="N189" s="2079"/>
      <c r="O189" s="2079"/>
      <c r="P189" s="2079"/>
      <c r="Q189" s="2079"/>
      <c r="R189" s="2079"/>
      <c r="S189" s="2079"/>
      <c r="T189" s="2079"/>
      <c r="U189" s="2079"/>
      <c r="V189" s="2079"/>
      <c r="W189" s="2079"/>
      <c r="X189" s="2079"/>
      <c r="Y189" s="2079"/>
      <c r="Z189" s="2079"/>
      <c r="AA189" s="2079"/>
      <c r="AB189" s="2079"/>
      <c r="AC189" s="880"/>
      <c r="AD189" s="2069"/>
      <c r="AE189" s="2069"/>
      <c r="AF189" s="2069"/>
      <c r="AG189" s="2069"/>
      <c r="AH189" s="2069"/>
      <c r="AI189" s="2069"/>
      <c r="AJ189" s="2069"/>
      <c r="AK189" s="644"/>
    </row>
    <row r="190" spans="1:45">
      <c r="A190" s="639"/>
      <c r="B190" s="2079"/>
      <c r="C190" s="2079"/>
      <c r="D190" s="2079"/>
      <c r="E190" s="2079"/>
      <c r="F190" s="2079"/>
      <c r="G190" s="2079"/>
      <c r="H190" s="2079"/>
      <c r="I190" s="2079"/>
      <c r="J190" s="2079"/>
      <c r="K190" s="2079"/>
      <c r="L190" s="2079"/>
      <c r="M190" s="2079"/>
      <c r="N190" s="2079"/>
      <c r="O190" s="2079"/>
      <c r="P190" s="2079"/>
      <c r="Q190" s="2079"/>
      <c r="R190" s="2079"/>
      <c r="S190" s="2079"/>
      <c r="T190" s="2079"/>
      <c r="U190" s="2079"/>
      <c r="V190" s="2079"/>
      <c r="W190" s="2079"/>
      <c r="X190" s="2079"/>
      <c r="Y190" s="2079"/>
      <c r="Z190" s="2079"/>
      <c r="AA190" s="2079"/>
      <c r="AB190" s="2079"/>
      <c r="AC190" s="880"/>
      <c r="AD190" s="2069"/>
      <c r="AE190" s="2069"/>
      <c r="AF190" s="2069"/>
      <c r="AG190" s="2069"/>
      <c r="AH190" s="2069"/>
      <c r="AI190" s="2069"/>
      <c r="AJ190" s="2069"/>
      <c r="AK190" s="644"/>
    </row>
    <row r="191" spans="1:45">
      <c r="A191" s="639"/>
      <c r="B191" s="2079"/>
      <c r="C191" s="2079"/>
      <c r="D191" s="2079"/>
      <c r="E191" s="2079"/>
      <c r="F191" s="2079"/>
      <c r="G191" s="2079"/>
      <c r="H191" s="2079"/>
      <c r="I191" s="2079"/>
      <c r="J191" s="2079"/>
      <c r="K191" s="2079"/>
      <c r="L191" s="2079"/>
      <c r="M191" s="2079"/>
      <c r="N191" s="2079"/>
      <c r="O191" s="2079"/>
      <c r="P191" s="2079"/>
      <c r="Q191" s="2079"/>
      <c r="R191" s="2079"/>
      <c r="S191" s="2079"/>
      <c r="T191" s="2079"/>
      <c r="U191" s="2079"/>
      <c r="V191" s="2079"/>
      <c r="W191" s="2079"/>
      <c r="X191" s="2079"/>
      <c r="Y191" s="2079"/>
      <c r="Z191" s="2079"/>
      <c r="AA191" s="2079"/>
      <c r="AB191" s="2079"/>
      <c r="AC191" s="880"/>
      <c r="AD191" s="2069"/>
      <c r="AE191" s="2069"/>
      <c r="AF191" s="2069"/>
      <c r="AG191" s="2069"/>
      <c r="AH191" s="2069"/>
      <c r="AI191" s="2069"/>
      <c r="AJ191" s="2069"/>
      <c r="AK191" s="644"/>
    </row>
    <row r="192" spans="1:45">
      <c r="A192" s="639"/>
      <c r="B192" s="2079"/>
      <c r="C192" s="2079"/>
      <c r="D192" s="2079"/>
      <c r="E192" s="2079"/>
      <c r="F192" s="2079"/>
      <c r="G192" s="2079"/>
      <c r="H192" s="2079"/>
      <c r="I192" s="2079"/>
      <c r="J192" s="2079"/>
      <c r="K192" s="2079"/>
      <c r="L192" s="2079"/>
      <c r="M192" s="2079"/>
      <c r="N192" s="2079"/>
      <c r="O192" s="2079"/>
      <c r="P192" s="2079"/>
      <c r="Q192" s="2079"/>
      <c r="R192" s="2079"/>
      <c r="S192" s="2079"/>
      <c r="T192" s="2079"/>
      <c r="U192" s="2079"/>
      <c r="V192" s="2079"/>
      <c r="W192" s="2079"/>
      <c r="X192" s="2079"/>
      <c r="Y192" s="2079"/>
      <c r="Z192" s="2079"/>
      <c r="AA192" s="2079"/>
      <c r="AB192" s="2079"/>
      <c r="AC192" s="880"/>
      <c r="AD192" s="2069"/>
      <c r="AE192" s="2069"/>
      <c r="AF192" s="2069"/>
      <c r="AG192" s="2069"/>
      <c r="AH192" s="2069"/>
      <c r="AI192" s="2069"/>
      <c r="AJ192" s="2069"/>
      <c r="AK192" s="644"/>
    </row>
    <row r="193" spans="1:37">
      <c r="A193" s="639"/>
      <c r="B193" s="2079"/>
      <c r="C193" s="2079"/>
      <c r="D193" s="2079"/>
      <c r="E193" s="2079"/>
      <c r="F193" s="2079"/>
      <c r="G193" s="2079"/>
      <c r="H193" s="2079"/>
      <c r="I193" s="2079"/>
      <c r="J193" s="2079"/>
      <c r="K193" s="2079"/>
      <c r="L193" s="2079"/>
      <c r="M193" s="2079"/>
      <c r="N193" s="2079"/>
      <c r="O193" s="2079"/>
      <c r="P193" s="2079"/>
      <c r="Q193" s="2079"/>
      <c r="R193" s="2079"/>
      <c r="S193" s="2079"/>
      <c r="T193" s="2079"/>
      <c r="U193" s="2079"/>
      <c r="V193" s="2079"/>
      <c r="W193" s="2079"/>
      <c r="X193" s="2079"/>
      <c r="Y193" s="2079"/>
      <c r="Z193" s="2079"/>
      <c r="AA193" s="2079"/>
      <c r="AB193" s="2079"/>
      <c r="AC193" s="880"/>
      <c r="AD193" s="2069"/>
      <c r="AE193" s="2069"/>
      <c r="AF193" s="2069"/>
      <c r="AG193" s="2069"/>
      <c r="AH193" s="2069"/>
      <c r="AI193" s="2069"/>
      <c r="AJ193" s="2069"/>
      <c r="AK193" s="644"/>
    </row>
    <row r="194" spans="1:37">
      <c r="A194" s="639"/>
      <c r="B194" s="2079"/>
      <c r="C194" s="2079"/>
      <c r="D194" s="2079"/>
      <c r="E194" s="2079"/>
      <c r="F194" s="2079"/>
      <c r="G194" s="2079"/>
      <c r="H194" s="2079"/>
      <c r="I194" s="2079"/>
      <c r="J194" s="2079"/>
      <c r="K194" s="2079"/>
      <c r="L194" s="2079"/>
      <c r="M194" s="2079"/>
      <c r="N194" s="2079"/>
      <c r="O194" s="2079"/>
      <c r="P194" s="2079"/>
      <c r="Q194" s="2079"/>
      <c r="R194" s="2079"/>
      <c r="S194" s="2079"/>
      <c r="T194" s="2079"/>
      <c r="U194" s="2079"/>
      <c r="V194" s="2079"/>
      <c r="W194" s="2079"/>
      <c r="X194" s="2079"/>
      <c r="Y194" s="2079"/>
      <c r="Z194" s="2079"/>
      <c r="AA194" s="2079"/>
      <c r="AB194" s="2079"/>
      <c r="AC194" s="880"/>
      <c r="AD194" s="2069"/>
      <c r="AE194" s="2069"/>
      <c r="AF194" s="2069"/>
      <c r="AG194" s="2069"/>
      <c r="AH194" s="2069"/>
      <c r="AI194" s="2069"/>
      <c r="AJ194" s="2069"/>
      <c r="AK194" s="644"/>
    </row>
    <row r="195" spans="1:37">
      <c r="A195" s="639"/>
      <c r="B195" s="2079"/>
      <c r="C195" s="2079"/>
      <c r="D195" s="2079"/>
      <c r="E195" s="2079"/>
      <c r="F195" s="2079"/>
      <c r="G195" s="2079"/>
      <c r="H195" s="2079"/>
      <c r="I195" s="2079"/>
      <c r="J195" s="2079"/>
      <c r="K195" s="2079"/>
      <c r="L195" s="2079"/>
      <c r="M195" s="2079"/>
      <c r="N195" s="2079"/>
      <c r="O195" s="2079"/>
      <c r="P195" s="2079"/>
      <c r="Q195" s="2079"/>
      <c r="R195" s="2079"/>
      <c r="S195" s="2079"/>
      <c r="T195" s="2079"/>
      <c r="U195" s="2079"/>
      <c r="V195" s="2079"/>
      <c r="W195" s="2079"/>
      <c r="X195" s="2079"/>
      <c r="Y195" s="2079"/>
      <c r="Z195" s="2079"/>
      <c r="AA195" s="2079"/>
      <c r="AB195" s="2079"/>
      <c r="AC195" s="880"/>
      <c r="AD195" s="2069"/>
      <c r="AE195" s="2069"/>
      <c r="AF195" s="2069"/>
      <c r="AG195" s="2069"/>
      <c r="AH195" s="2069"/>
      <c r="AI195" s="2069"/>
      <c r="AJ195" s="2069"/>
      <c r="AK195" s="644"/>
    </row>
    <row r="196" spans="1:37">
      <c r="A196" s="639"/>
      <c r="B196" s="2079"/>
      <c r="C196" s="2079"/>
      <c r="D196" s="2079"/>
      <c r="E196" s="2079"/>
      <c r="F196" s="2079"/>
      <c r="G196" s="2079"/>
      <c r="H196" s="2079"/>
      <c r="I196" s="2079"/>
      <c r="J196" s="2079"/>
      <c r="K196" s="2079"/>
      <c r="L196" s="2079"/>
      <c r="M196" s="2079"/>
      <c r="N196" s="2079"/>
      <c r="O196" s="2079"/>
      <c r="P196" s="2079"/>
      <c r="Q196" s="2079"/>
      <c r="R196" s="2079"/>
      <c r="S196" s="2079"/>
      <c r="T196" s="2079"/>
      <c r="U196" s="2079"/>
      <c r="V196" s="2079"/>
      <c r="W196" s="2079"/>
      <c r="X196" s="2079"/>
      <c r="Y196" s="2079"/>
      <c r="Z196" s="2079"/>
      <c r="AA196" s="2079"/>
      <c r="AB196" s="2079"/>
      <c r="AC196" s="880"/>
      <c r="AD196" s="2069"/>
      <c r="AE196" s="2069"/>
      <c r="AF196" s="2069"/>
      <c r="AG196" s="2069"/>
      <c r="AH196" s="2069"/>
      <c r="AI196" s="2069"/>
      <c r="AJ196" s="2069"/>
      <c r="AK196" s="644"/>
    </row>
    <row r="197" spans="1:37">
      <c r="A197" s="639"/>
      <c r="B197" s="2079"/>
      <c r="C197" s="2079"/>
      <c r="D197" s="2079"/>
      <c r="E197" s="2079"/>
      <c r="F197" s="2079"/>
      <c r="G197" s="2079"/>
      <c r="H197" s="2079"/>
      <c r="I197" s="2079"/>
      <c r="J197" s="2079"/>
      <c r="K197" s="2079"/>
      <c r="L197" s="2079"/>
      <c r="M197" s="2079"/>
      <c r="N197" s="2079"/>
      <c r="O197" s="2079"/>
      <c r="P197" s="2079"/>
      <c r="Q197" s="2079"/>
      <c r="R197" s="2079"/>
      <c r="S197" s="2079"/>
      <c r="T197" s="2079"/>
      <c r="U197" s="2079"/>
      <c r="V197" s="2079"/>
      <c r="W197" s="2079"/>
      <c r="X197" s="2079"/>
      <c r="Y197" s="2079"/>
      <c r="Z197" s="2079"/>
      <c r="AA197" s="2079"/>
      <c r="AB197" s="2079"/>
      <c r="AC197" s="880"/>
      <c r="AD197" s="2069"/>
      <c r="AE197" s="2069"/>
      <c r="AF197" s="2069"/>
      <c r="AG197" s="2069"/>
      <c r="AH197" s="2069"/>
      <c r="AI197" s="2069"/>
      <c r="AJ197" s="2069"/>
      <c r="AK197" s="644"/>
    </row>
    <row r="198" spans="1:37">
      <c r="A198" s="639"/>
      <c r="B198" s="1940" t="s">
        <v>1739</v>
      </c>
      <c r="C198" s="1940"/>
      <c r="D198" s="1940"/>
      <c r="E198" s="1940"/>
      <c r="F198" s="1940"/>
      <c r="G198" s="1940"/>
      <c r="H198" s="1940"/>
      <c r="I198" s="1940"/>
      <c r="J198" s="1940"/>
      <c r="K198" s="1940"/>
      <c r="L198" s="1940"/>
      <c r="M198" s="1940"/>
      <c r="N198" s="1940"/>
      <c r="O198" s="1940"/>
      <c r="P198" s="1940"/>
      <c r="Q198" s="1940"/>
      <c r="R198" s="1940"/>
      <c r="S198" s="1940"/>
      <c r="T198" s="1940"/>
      <c r="U198" s="1940"/>
      <c r="V198" s="1940"/>
      <c r="W198" s="1940"/>
      <c r="X198" s="1940"/>
      <c r="Y198" s="1940"/>
      <c r="Z198" s="1940"/>
      <c r="AA198" s="1940"/>
      <c r="AB198" s="1940"/>
      <c r="AC198" s="570"/>
      <c r="AD198" s="2067">
        <f>AB249</f>
        <v>0</v>
      </c>
      <c r="AE198" s="2067"/>
      <c r="AF198" s="2067"/>
      <c r="AG198" s="2067"/>
      <c r="AH198" s="2067"/>
      <c r="AI198" s="2067"/>
      <c r="AJ198" s="2067"/>
      <c r="AK198" s="644"/>
    </row>
    <row r="199" spans="1:37">
      <c r="A199" s="639"/>
      <c r="B199" s="1938" t="s">
        <v>1702</v>
      </c>
      <c r="C199" s="1938"/>
      <c r="D199" s="1938"/>
      <c r="E199" s="1938"/>
      <c r="F199" s="1938"/>
      <c r="G199" s="1938"/>
      <c r="H199" s="1938"/>
      <c r="I199" s="1938"/>
      <c r="J199" s="1938"/>
      <c r="K199" s="1938"/>
      <c r="L199" s="1938"/>
      <c r="M199" s="1938"/>
      <c r="N199" s="1938"/>
      <c r="O199" s="1938"/>
      <c r="P199" s="1938"/>
      <c r="Q199" s="1938"/>
      <c r="R199" s="1938"/>
      <c r="S199" s="1938"/>
      <c r="T199" s="1938"/>
      <c r="U199" s="1938"/>
      <c r="V199" s="1938"/>
      <c r="W199" s="1938"/>
      <c r="X199" s="1938"/>
      <c r="Y199" s="1938"/>
      <c r="Z199" s="1938"/>
      <c r="AA199" s="1938"/>
      <c r="AB199" s="1938"/>
      <c r="AC199" s="880"/>
      <c r="AD199" s="2068">
        <f>'Sources and Uses Budget'!B15</f>
        <v>0</v>
      </c>
      <c r="AE199" s="2068"/>
      <c r="AF199" s="2068"/>
      <c r="AG199" s="2068"/>
      <c r="AH199" s="2068"/>
      <c r="AI199" s="2068"/>
      <c r="AJ199" s="2068"/>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73">
        <f>SUM(AD188:AJ198)-AD199</f>
        <v>4568996</v>
      </c>
      <c r="AE200" s="2073"/>
      <c r="AF200" s="2073"/>
      <c r="AG200" s="2073"/>
      <c r="AH200" s="2073"/>
      <c r="AI200" s="2073"/>
      <c r="AJ200" s="2073"/>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1707</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1738</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1709</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1710</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2338</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1711</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1712</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1749</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3" t="s">
        <v>1719</v>
      </c>
      <c r="J211" s="2093"/>
      <c r="K211" s="2093"/>
      <c r="L211" s="570"/>
      <c r="M211" s="570"/>
      <c r="N211" s="570"/>
      <c r="O211" s="570"/>
      <c r="P211" s="570"/>
      <c r="Q211" s="570"/>
      <c r="R211" s="570"/>
      <c r="S211" s="570"/>
      <c r="T211" s="1904" t="s">
        <v>1713</v>
      </c>
      <c r="U211" s="1904"/>
      <c r="V211" s="1904"/>
      <c r="W211" s="1904"/>
      <c r="X211" s="1904"/>
      <c r="Y211" s="1904"/>
      <c r="Z211" s="883"/>
      <c r="AA211" s="523"/>
      <c r="AB211" s="2090" t="s">
        <v>1714</v>
      </c>
      <c r="AC211" s="2090"/>
      <c r="AD211" s="2090"/>
      <c r="AE211" s="2090"/>
      <c r="AF211" s="2090"/>
      <c r="AG211" s="2090"/>
      <c r="AH211" s="861"/>
      <c r="AI211" s="861"/>
      <c r="AJ211" s="861"/>
      <c r="AK211" s="644"/>
    </row>
    <row r="212" spans="1:37">
      <c r="A212" s="639"/>
      <c r="B212" s="2091" t="s">
        <v>1699</v>
      </c>
      <c r="C212" s="2091"/>
      <c r="D212" s="2091"/>
      <c r="E212" s="2091"/>
      <c r="F212" s="2091"/>
      <c r="G212" s="2091"/>
      <c r="I212" s="2092" t="s">
        <v>1720</v>
      </c>
      <c r="J212" s="2092"/>
      <c r="K212" s="2092"/>
      <c r="L212" s="1043"/>
      <c r="N212" s="1939" t="s">
        <v>1715</v>
      </c>
      <c r="O212" s="1939"/>
      <c r="P212" s="1939"/>
      <c r="Q212" s="1939"/>
      <c r="R212" s="1939"/>
      <c r="T212" s="1939" t="s">
        <v>1716</v>
      </c>
      <c r="U212" s="1939"/>
      <c r="V212" s="1939"/>
      <c r="W212" s="1939"/>
      <c r="X212" s="1939"/>
      <c r="Y212" s="1939"/>
      <c r="Z212" s="884"/>
      <c r="AA212" s="523"/>
      <c r="AB212" s="1942" t="s">
        <v>1717</v>
      </c>
      <c r="AC212" s="1942"/>
      <c r="AD212" s="1942"/>
      <c r="AE212" s="1942"/>
      <c r="AF212" s="1942"/>
      <c r="AG212" s="1942"/>
      <c r="AH212" s="861"/>
      <c r="AI212" s="861"/>
      <c r="AJ212" s="861"/>
      <c r="AK212" s="644"/>
    </row>
    <row r="213" spans="1:37">
      <c r="A213" s="639"/>
      <c r="B213" s="1941" t="s">
        <v>1291</v>
      </c>
      <c r="C213" s="1941"/>
      <c r="D213" s="1941"/>
      <c r="E213" s="1941"/>
      <c r="F213" s="1941"/>
      <c r="G213" s="1941"/>
      <c r="H213" s="886"/>
      <c r="I213" s="1909"/>
      <c r="J213" s="1909"/>
      <c r="K213" s="1909"/>
      <c r="L213" s="1043"/>
      <c r="N213" s="1906"/>
      <c r="O213" s="1906"/>
      <c r="P213" s="1906"/>
      <c r="Q213" s="1906"/>
      <c r="R213" s="1906"/>
      <c r="T213" s="1905"/>
      <c r="U213" s="1905"/>
      <c r="V213" s="1905"/>
      <c r="W213" s="1905"/>
      <c r="X213" s="1905"/>
      <c r="Y213" s="1905"/>
      <c r="Z213" s="885"/>
      <c r="AA213" s="885"/>
      <c r="AB213" s="1903">
        <f t="shared" ref="AB213:AB222" si="0">MAX(($T213-$N213)*$I213*12,0)</f>
        <v>0</v>
      </c>
      <c r="AC213" s="1903"/>
      <c r="AD213" s="1903"/>
      <c r="AE213" s="1903"/>
      <c r="AF213" s="1903"/>
      <c r="AG213" s="1903"/>
      <c r="AH213" s="861"/>
      <c r="AI213" s="861"/>
      <c r="AJ213" s="861"/>
      <c r="AK213" s="644"/>
    </row>
    <row r="214" spans="1:37">
      <c r="A214" s="639"/>
      <c r="B214" s="1941" t="s">
        <v>1291</v>
      </c>
      <c r="C214" s="1941"/>
      <c r="D214" s="1941"/>
      <c r="E214" s="1941"/>
      <c r="F214" s="1941"/>
      <c r="G214" s="1941"/>
      <c r="I214" s="1909"/>
      <c r="J214" s="1909"/>
      <c r="K214" s="1909"/>
      <c r="L214" s="1043"/>
      <c r="N214" s="1906"/>
      <c r="O214" s="1906"/>
      <c r="P214" s="1906"/>
      <c r="Q214" s="1906"/>
      <c r="R214" s="1906"/>
      <c r="T214" s="1905"/>
      <c r="U214" s="1905"/>
      <c r="V214" s="1905"/>
      <c r="W214" s="1905"/>
      <c r="X214" s="1905"/>
      <c r="Y214" s="1905"/>
      <c r="Z214" s="885"/>
      <c r="AA214" s="885"/>
      <c r="AB214" s="1903">
        <f t="shared" si="0"/>
        <v>0</v>
      </c>
      <c r="AC214" s="1903"/>
      <c r="AD214" s="1903"/>
      <c r="AE214" s="1903"/>
      <c r="AF214" s="1903"/>
      <c r="AG214" s="1903"/>
      <c r="AH214" s="861"/>
      <c r="AI214" s="861"/>
      <c r="AJ214" s="861"/>
      <c r="AK214" s="644"/>
    </row>
    <row r="215" spans="1:37">
      <c r="A215" s="639"/>
      <c r="B215" s="1941" t="s">
        <v>1291</v>
      </c>
      <c r="C215" s="1941"/>
      <c r="D215" s="1941"/>
      <c r="E215" s="1941"/>
      <c r="F215" s="1941"/>
      <c r="G215" s="1941"/>
      <c r="I215" s="1909"/>
      <c r="J215" s="1909"/>
      <c r="K215" s="1909"/>
      <c r="L215" s="1043"/>
      <c r="N215" s="1906"/>
      <c r="O215" s="1906"/>
      <c r="P215" s="1906"/>
      <c r="Q215" s="1906"/>
      <c r="R215" s="1906"/>
      <c r="T215" s="1905"/>
      <c r="U215" s="1905"/>
      <c r="V215" s="1905"/>
      <c r="W215" s="1905"/>
      <c r="X215" s="1905"/>
      <c r="Y215" s="1905"/>
      <c r="Z215" s="885"/>
      <c r="AA215" s="885"/>
      <c r="AB215" s="1903">
        <f t="shared" si="0"/>
        <v>0</v>
      </c>
      <c r="AC215" s="1903"/>
      <c r="AD215" s="1903"/>
      <c r="AE215" s="1903"/>
      <c r="AF215" s="1903"/>
      <c r="AG215" s="1903"/>
      <c r="AH215" s="861"/>
      <c r="AI215" s="861"/>
      <c r="AJ215" s="861"/>
      <c r="AK215" s="644"/>
    </row>
    <row r="216" spans="1:37">
      <c r="A216" s="639"/>
      <c r="B216" s="1941" t="s">
        <v>1291</v>
      </c>
      <c r="C216" s="1941"/>
      <c r="D216" s="1941"/>
      <c r="E216" s="1941"/>
      <c r="F216" s="1941"/>
      <c r="G216" s="1941"/>
      <c r="I216" s="1909"/>
      <c r="J216" s="1909"/>
      <c r="K216" s="1909"/>
      <c r="L216" s="1043"/>
      <c r="N216" s="1906"/>
      <c r="O216" s="1906"/>
      <c r="P216" s="1906"/>
      <c r="Q216" s="1906"/>
      <c r="R216" s="1906"/>
      <c r="T216" s="1905"/>
      <c r="U216" s="1905"/>
      <c r="V216" s="1905"/>
      <c r="W216" s="1905"/>
      <c r="X216" s="1905"/>
      <c r="Y216" s="1905"/>
      <c r="Z216" s="885"/>
      <c r="AA216" s="885"/>
      <c r="AB216" s="1903">
        <f t="shared" si="0"/>
        <v>0</v>
      </c>
      <c r="AC216" s="1903"/>
      <c r="AD216" s="1903"/>
      <c r="AE216" s="1903"/>
      <c r="AF216" s="1903"/>
      <c r="AG216" s="1903"/>
      <c r="AH216" s="861"/>
      <c r="AI216" s="861"/>
      <c r="AJ216" s="861"/>
      <c r="AK216" s="644"/>
    </row>
    <row r="217" spans="1:37">
      <c r="A217" s="639"/>
      <c r="B217" s="1941" t="s">
        <v>1291</v>
      </c>
      <c r="C217" s="1941"/>
      <c r="D217" s="1941"/>
      <c r="E217" s="1941"/>
      <c r="F217" s="1941"/>
      <c r="G217" s="1941"/>
      <c r="I217" s="1909"/>
      <c r="J217" s="1909"/>
      <c r="K217" s="1909"/>
      <c r="L217" s="1050"/>
      <c r="N217" s="1906"/>
      <c r="O217" s="1906"/>
      <c r="P217" s="1906"/>
      <c r="Q217" s="1906"/>
      <c r="R217" s="1906"/>
      <c r="T217" s="1905"/>
      <c r="U217" s="1905"/>
      <c r="V217" s="1905"/>
      <c r="W217" s="1905"/>
      <c r="X217" s="1905"/>
      <c r="Y217" s="1905"/>
      <c r="Z217" s="885"/>
      <c r="AA217" s="885"/>
      <c r="AB217" s="1903">
        <f t="shared" si="0"/>
        <v>0</v>
      </c>
      <c r="AC217" s="1903"/>
      <c r="AD217" s="1903"/>
      <c r="AE217" s="1903"/>
      <c r="AF217" s="1903"/>
      <c r="AG217" s="1903"/>
      <c r="AH217" s="861"/>
      <c r="AI217" s="861"/>
      <c r="AJ217" s="861"/>
      <c r="AK217" s="644"/>
    </row>
    <row r="218" spans="1:37">
      <c r="A218" s="639"/>
      <c r="B218" s="1941" t="s">
        <v>1291</v>
      </c>
      <c r="C218" s="1941"/>
      <c r="D218" s="1941"/>
      <c r="E218" s="1941"/>
      <c r="F218" s="1941"/>
      <c r="G218" s="1941"/>
      <c r="I218" s="1909"/>
      <c r="J218" s="1909"/>
      <c r="K218" s="1909"/>
      <c r="L218" s="1050"/>
      <c r="N218" s="1906"/>
      <c r="O218" s="1906"/>
      <c r="P218" s="1906"/>
      <c r="Q218" s="1906"/>
      <c r="R218" s="1906"/>
      <c r="T218" s="1905"/>
      <c r="U218" s="1905"/>
      <c r="V218" s="1905"/>
      <c r="W218" s="1905"/>
      <c r="X218" s="1905"/>
      <c r="Y218" s="1905"/>
      <c r="Z218" s="885"/>
      <c r="AA218" s="885"/>
      <c r="AB218" s="1903">
        <f t="shared" si="0"/>
        <v>0</v>
      </c>
      <c r="AC218" s="1903"/>
      <c r="AD218" s="1903"/>
      <c r="AE218" s="1903"/>
      <c r="AF218" s="1903"/>
      <c r="AG218" s="1903"/>
      <c r="AH218" s="861"/>
      <c r="AI218" s="861"/>
      <c r="AJ218" s="861"/>
      <c r="AK218" s="644"/>
    </row>
    <row r="219" spans="1:37">
      <c r="A219" s="639"/>
      <c r="B219" s="1941" t="s">
        <v>1291</v>
      </c>
      <c r="C219" s="1941"/>
      <c r="D219" s="1941"/>
      <c r="E219" s="1941"/>
      <c r="F219" s="1941"/>
      <c r="G219" s="1941"/>
      <c r="I219" s="1909"/>
      <c r="J219" s="1909"/>
      <c r="K219" s="1909"/>
      <c r="L219" s="1050"/>
      <c r="N219" s="1906"/>
      <c r="O219" s="1906"/>
      <c r="P219" s="1906"/>
      <c r="Q219" s="1906"/>
      <c r="R219" s="1906"/>
      <c r="T219" s="1905"/>
      <c r="U219" s="1905"/>
      <c r="V219" s="1905"/>
      <c r="W219" s="1905"/>
      <c r="X219" s="1905"/>
      <c r="Y219" s="1905"/>
      <c r="Z219" s="885"/>
      <c r="AA219" s="885"/>
      <c r="AB219" s="1903">
        <f t="shared" si="0"/>
        <v>0</v>
      </c>
      <c r="AC219" s="1903"/>
      <c r="AD219" s="1903"/>
      <c r="AE219" s="1903"/>
      <c r="AF219" s="1903"/>
      <c r="AG219" s="1903"/>
      <c r="AH219" s="861"/>
      <c r="AI219" s="861"/>
      <c r="AJ219" s="861"/>
      <c r="AK219" s="644"/>
    </row>
    <row r="220" spans="1:37">
      <c r="A220" s="639"/>
      <c r="B220" s="1941" t="s">
        <v>1291</v>
      </c>
      <c r="C220" s="1941"/>
      <c r="D220" s="1941"/>
      <c r="E220" s="1941"/>
      <c r="F220" s="1941"/>
      <c r="G220" s="1941"/>
      <c r="I220" s="1909"/>
      <c r="J220" s="1909"/>
      <c r="K220" s="1909"/>
      <c r="L220" s="1050"/>
      <c r="N220" s="1906"/>
      <c r="O220" s="1906"/>
      <c r="P220" s="1906"/>
      <c r="Q220" s="1906"/>
      <c r="R220" s="1906"/>
      <c r="T220" s="1905"/>
      <c r="U220" s="1905"/>
      <c r="V220" s="1905"/>
      <c r="W220" s="1905"/>
      <c r="X220" s="1905"/>
      <c r="Y220" s="1905"/>
      <c r="Z220" s="885"/>
      <c r="AA220" s="885"/>
      <c r="AB220" s="1903">
        <f t="shared" si="0"/>
        <v>0</v>
      </c>
      <c r="AC220" s="1903"/>
      <c r="AD220" s="1903"/>
      <c r="AE220" s="1903"/>
      <c r="AF220" s="1903"/>
      <c r="AG220" s="1903"/>
      <c r="AH220" s="861"/>
      <c r="AI220" s="861"/>
      <c r="AJ220" s="861"/>
      <c r="AK220" s="644"/>
    </row>
    <row r="221" spans="1:37">
      <c r="A221" s="639"/>
      <c r="B221" s="1941" t="s">
        <v>1291</v>
      </c>
      <c r="C221" s="1941"/>
      <c r="D221" s="1941"/>
      <c r="E221" s="1941"/>
      <c r="F221" s="1941"/>
      <c r="G221" s="1941"/>
      <c r="I221" s="1909"/>
      <c r="J221" s="1909"/>
      <c r="K221" s="1909"/>
      <c r="L221" s="1050"/>
      <c r="N221" s="1906"/>
      <c r="O221" s="1906"/>
      <c r="P221" s="1906"/>
      <c r="Q221" s="1906"/>
      <c r="R221" s="1906"/>
      <c r="T221" s="1905"/>
      <c r="U221" s="1905"/>
      <c r="V221" s="1905"/>
      <c r="W221" s="1905"/>
      <c r="X221" s="1905"/>
      <c r="Y221" s="1905"/>
      <c r="Z221" s="885"/>
      <c r="AA221" s="885"/>
      <c r="AB221" s="1903">
        <f t="shared" si="0"/>
        <v>0</v>
      </c>
      <c r="AC221" s="1903"/>
      <c r="AD221" s="1903"/>
      <c r="AE221" s="1903"/>
      <c r="AF221" s="1903"/>
      <c r="AG221" s="1903"/>
      <c r="AH221" s="861"/>
      <c r="AI221" s="861"/>
      <c r="AJ221" s="861"/>
      <c r="AK221" s="644"/>
    </row>
    <row r="222" spans="1:37">
      <c r="A222" s="639"/>
      <c r="B222" s="1941" t="s">
        <v>1291</v>
      </c>
      <c r="C222" s="1941"/>
      <c r="D222" s="1941"/>
      <c r="E222" s="1941"/>
      <c r="F222" s="1941"/>
      <c r="G222" s="1941"/>
      <c r="I222" s="2094"/>
      <c r="J222" s="2094"/>
      <c r="K222" s="2094"/>
      <c r="L222" s="1050"/>
      <c r="N222" s="1906"/>
      <c r="O222" s="1906"/>
      <c r="P222" s="1906"/>
      <c r="Q222" s="1906"/>
      <c r="R222" s="1906"/>
      <c r="T222" s="1905"/>
      <c r="U222" s="1905"/>
      <c r="V222" s="1905"/>
      <c r="W222" s="1905"/>
      <c r="X222" s="1905"/>
      <c r="Y222" s="1905"/>
      <c r="Z222" s="885"/>
      <c r="AA222" s="885"/>
      <c r="AB222" s="1910">
        <f t="shared" si="0"/>
        <v>0</v>
      </c>
      <c r="AC222" s="1910"/>
      <c r="AD222" s="1910"/>
      <c r="AE222" s="1910"/>
      <c r="AF222" s="1910"/>
      <c r="AG222" s="1910"/>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1718</v>
      </c>
      <c r="AA223" s="887"/>
      <c r="AB223" s="1903">
        <f>SUM(AB213:AB222)</f>
        <v>0</v>
      </c>
      <c r="AC223" s="1903"/>
      <c r="AD223" s="1903"/>
      <c r="AE223" s="1903"/>
      <c r="AF223" s="1903"/>
      <c r="AG223" s="1903"/>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1708</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1736</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1734</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1728</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3"/>
      <c r="AC229" s="1943"/>
      <c r="AD229" s="1943"/>
      <c r="AE229" s="1943"/>
      <c r="AF229" s="1943"/>
      <c r="AG229" s="1943"/>
      <c r="AH229" s="644"/>
      <c r="AI229" s="644"/>
      <c r="AJ229" s="644"/>
      <c r="AK229" s="644"/>
    </row>
    <row r="230" spans="1:37" ht="13">
      <c r="A230" s="639"/>
      <c r="B230" s="871" t="s">
        <v>1733</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1735</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1729</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3"/>
      <c r="AC232" s="1943"/>
      <c r="AD232" s="1943"/>
      <c r="AE232" s="1943"/>
      <c r="AF232" s="1943"/>
      <c r="AG232" s="1943"/>
      <c r="AH232" s="644"/>
      <c r="AI232" s="644"/>
      <c r="AJ232" s="644"/>
      <c r="AK232" s="644"/>
    </row>
    <row r="233" spans="1:37">
      <c r="A233" s="639"/>
      <c r="B233" s="872" t="s">
        <v>1730</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2"/>
      <c r="AC233" s="1902"/>
      <c r="AD233" s="1902"/>
      <c r="AE233" s="1902"/>
      <c r="AF233" s="1902"/>
      <c r="AG233" s="1902"/>
      <c r="AH233" s="644"/>
      <c r="AI233" s="644"/>
      <c r="AJ233" s="644"/>
      <c r="AK233" s="644"/>
    </row>
    <row r="234" spans="1:37">
      <c r="A234" s="639"/>
      <c r="B234" s="872" t="s">
        <v>1731</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1">
        <f>IFERROR(AB232/AB233,0)</f>
        <v>0</v>
      </c>
      <c r="AC234" s="1911"/>
      <c r="AD234" s="1911"/>
      <c r="AE234" s="1911"/>
      <c r="AF234" s="1911"/>
      <c r="AG234" s="1911"/>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1732</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0">
        <f>MAX(AB229,AB234)</f>
        <v>0</v>
      </c>
      <c r="AC236" s="1910"/>
      <c r="AD236" s="1910"/>
      <c r="AE236" s="1910"/>
      <c r="AF236" s="1910"/>
      <c r="AG236" s="1910"/>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1721</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3">
        <f>AB223+AB236</f>
        <v>0</v>
      </c>
      <c r="AC239" s="1903"/>
      <c r="AD239" s="1903"/>
      <c r="AE239" s="1903"/>
      <c r="AF239" s="1903"/>
      <c r="AG239" s="1903"/>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7">
        <v>0.05</v>
      </c>
      <c r="AC240" s="2077"/>
      <c r="AD240" s="2077"/>
      <c r="AE240" s="2077"/>
      <c r="AF240" s="2077"/>
      <c r="AG240" s="2077"/>
      <c r="AH240" s="644"/>
      <c r="AI240" s="644"/>
      <c r="AJ240" s="644"/>
      <c r="AK240" s="644"/>
    </row>
    <row r="241" spans="1:37">
      <c r="A241" s="639"/>
      <c r="B241" s="510" t="s">
        <v>1722</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8">
        <f>AB239-(AB239*AB240)</f>
        <v>0</v>
      </c>
      <c r="AC241" s="2078"/>
      <c r="AD241" s="2078"/>
      <c r="AE241" s="2078"/>
      <c r="AF241" s="2078"/>
      <c r="AG241" s="2078"/>
      <c r="AH241" s="644"/>
      <c r="AI241" s="644"/>
      <c r="AJ241" s="644"/>
      <c r="AK241" s="644"/>
    </row>
    <row r="242" spans="1:37">
      <c r="A242" s="639"/>
      <c r="B242" s="510" t="s">
        <v>1723</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1724</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3">
        <f>AB241/AB247</f>
        <v>0</v>
      </c>
      <c r="AC243" s="1903"/>
      <c r="AD243" s="1903"/>
      <c r="AE243" s="1903"/>
      <c r="AF243" s="1903"/>
      <c r="AG243" s="1903"/>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1725</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0">
        <v>15</v>
      </c>
      <c r="AC245" s="2090"/>
      <c r="AD245" s="2090"/>
      <c r="AE245" s="2090"/>
      <c r="AF245" s="2090"/>
      <c r="AG245" s="2090"/>
      <c r="AH245" s="644"/>
      <c r="AI245" s="644"/>
      <c r="AJ245" s="644"/>
      <c r="AK245" s="644"/>
    </row>
    <row r="246" spans="1:37">
      <c r="A246" s="639"/>
      <c r="B246" s="510" t="s">
        <v>1726</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0">
        <v>0.04</v>
      </c>
      <c r="AC246" s="2080"/>
      <c r="AD246" s="2080"/>
      <c r="AE246" s="2080"/>
      <c r="AF246" s="2080"/>
      <c r="AG246" s="2080"/>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1">
        <v>1.1499999999999999</v>
      </c>
      <c r="AC247" s="2081"/>
      <c r="AD247" s="2081"/>
      <c r="AE247" s="2081"/>
      <c r="AF247" s="2081"/>
      <c r="AG247" s="2081"/>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1727</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0">
        <f>PV(AB246/12,AB245*12,-AB243/12, ,0)</f>
        <v>0</v>
      </c>
      <c r="AC249" s="2071"/>
      <c r="AD249" s="2071"/>
      <c r="AE249" s="2071"/>
      <c r="AF249" s="2071"/>
      <c r="AG249" s="2072"/>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1703</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1706</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1705</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1704</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4">
        <f>IFERROR(('Sources and Uses Budget'!D105/'Sources and Uses Budget'!B105),0)</f>
        <v>0</v>
      </c>
      <c r="AC255" s="2075"/>
      <c r="AD255" s="2075"/>
      <c r="AE255" s="2075"/>
      <c r="AF255" s="2075"/>
      <c r="AG255" s="2076"/>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1484</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7">
        <f>AD200*(1-AB255)</f>
        <v>4568996</v>
      </c>
      <c r="AH257" s="1917"/>
      <c r="AI257" s="1917"/>
      <c r="AJ257" s="1917"/>
      <c r="AK257" s="1917"/>
    </row>
    <row r="258" spans="1:52">
      <c r="A258" s="656"/>
      <c r="B258" s="659" t="s">
        <v>1485</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7">
        <f>'Sources and Uses Budget'!C105</f>
        <v>57112449</v>
      </c>
      <c r="AH258" s="1917"/>
      <c r="AI258" s="1917"/>
      <c r="AJ258" s="1917"/>
      <c r="AK258" s="191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6">
        <f>ROUNDDOWN(IF(AND(C281="Yes",AK78=10),((AG257*2)/AG258),AG257/AG258),2)</f>
        <v>0.08</v>
      </c>
      <c r="AH259" s="2066"/>
      <c r="AI259" s="2066"/>
      <c r="AJ259" s="2066"/>
      <c r="AK259" s="2066"/>
    </row>
    <row r="260" spans="1:52" ht="13">
      <c r="A260" s="656"/>
      <c r="B260" s="1013" t="s">
        <v>1931</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1486</v>
      </c>
      <c r="AK262" s="2055">
        <f>IFERROR(IF(AG259=0,0,IF((AG259*100)&gt;8,8,(AG259*100))),0)</f>
        <v>8</v>
      </c>
      <c r="AL262" s="2055"/>
      <c r="AM262" s="2056"/>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1487</v>
      </c>
      <c r="B265" s="572" t="s">
        <v>1488</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1425</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5" t="s">
        <v>554</v>
      </c>
      <c r="D267" s="1935"/>
      <c r="E267" s="581"/>
      <c r="F267" s="1886" t="s">
        <v>2339</v>
      </c>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8"/>
      <c r="AE267" s="584"/>
      <c r="AF267" s="669"/>
      <c r="AG267" s="2064" t="s">
        <v>1474</v>
      </c>
      <c r="AH267" s="2064"/>
      <c r="AI267" s="2064"/>
      <c r="AJ267" s="2064"/>
      <c r="AK267" s="584"/>
      <c r="AL267" s="584"/>
      <c r="AM267" s="584"/>
      <c r="AO267" s="584"/>
    </row>
    <row r="268" spans="1:52" ht="13.75" customHeight="1">
      <c r="A268" s="584"/>
      <c r="B268" s="630"/>
      <c r="C268" s="670"/>
      <c r="D268" s="584"/>
      <c r="E268" s="581"/>
      <c r="F268" s="1889"/>
      <c r="G268" s="1890"/>
      <c r="H268" s="1890"/>
      <c r="I268" s="1890"/>
      <c r="J268" s="1890"/>
      <c r="K268" s="1890"/>
      <c r="L268" s="1890"/>
      <c r="M268" s="1890"/>
      <c r="N268" s="1890"/>
      <c r="O268" s="1890"/>
      <c r="P268" s="1890"/>
      <c r="Q268" s="1890"/>
      <c r="R268" s="1890"/>
      <c r="S268" s="1890"/>
      <c r="T268" s="1890"/>
      <c r="U268" s="1890"/>
      <c r="V268" s="1890"/>
      <c r="W268" s="1890"/>
      <c r="X268" s="1890"/>
      <c r="Y268" s="1890"/>
      <c r="Z268" s="1890"/>
      <c r="AA268" s="1890"/>
      <c r="AB268" s="1890"/>
      <c r="AC268" s="1890"/>
      <c r="AD268" s="1891"/>
      <c r="AE268" s="584"/>
      <c r="AF268" s="669"/>
      <c r="AG268" s="669"/>
      <c r="AH268" s="669"/>
      <c r="AI268" s="669"/>
      <c r="AJ268" s="584"/>
      <c r="AK268" s="584"/>
      <c r="AL268" s="584"/>
      <c r="AM268" s="584"/>
      <c r="AO268" s="584"/>
    </row>
    <row r="269" spans="1:52">
      <c r="A269" s="584"/>
      <c r="B269" s="630"/>
      <c r="C269" s="670"/>
      <c r="D269" s="584"/>
      <c r="E269" s="581"/>
      <c r="F269" s="1889"/>
      <c r="G269" s="1890"/>
      <c r="H269" s="1890"/>
      <c r="I269" s="1890"/>
      <c r="J269" s="1890"/>
      <c r="K269" s="1890"/>
      <c r="L269" s="1890"/>
      <c r="M269" s="1890"/>
      <c r="N269" s="1890"/>
      <c r="O269" s="1890"/>
      <c r="P269" s="1890"/>
      <c r="Q269" s="1890"/>
      <c r="R269" s="1890"/>
      <c r="S269" s="1890"/>
      <c r="T269" s="1890"/>
      <c r="U269" s="1890"/>
      <c r="V269" s="1890"/>
      <c r="W269" s="1890"/>
      <c r="X269" s="1890"/>
      <c r="Y269" s="1890"/>
      <c r="Z269" s="1890"/>
      <c r="AA269" s="1890"/>
      <c r="AB269" s="1890"/>
      <c r="AC269" s="1890"/>
      <c r="AD269" s="1891"/>
      <c r="AE269" s="584"/>
      <c r="AF269" s="669"/>
      <c r="AG269" s="669"/>
      <c r="AH269" s="669"/>
      <c r="AI269" s="669"/>
      <c r="AJ269" s="584"/>
      <c r="AK269" s="584"/>
      <c r="AL269" s="584"/>
      <c r="AM269" s="584"/>
      <c r="AO269" s="584"/>
      <c r="AP269" s="671"/>
    </row>
    <row r="270" spans="1:52">
      <c r="A270" s="584"/>
      <c r="B270" s="630"/>
      <c r="C270" s="670"/>
      <c r="D270" s="584"/>
      <c r="E270" s="581"/>
      <c r="F270" s="1889"/>
      <c r="G270" s="1890"/>
      <c r="H270" s="1890"/>
      <c r="I270" s="1890"/>
      <c r="J270" s="1890"/>
      <c r="K270" s="1890"/>
      <c r="L270" s="1890"/>
      <c r="M270" s="1890"/>
      <c r="N270" s="1890"/>
      <c r="O270" s="1890"/>
      <c r="P270" s="1890"/>
      <c r="Q270" s="1890"/>
      <c r="R270" s="1890"/>
      <c r="S270" s="1890"/>
      <c r="T270" s="1890"/>
      <c r="U270" s="1890"/>
      <c r="V270" s="1890"/>
      <c r="W270" s="1890"/>
      <c r="X270" s="1890"/>
      <c r="Y270" s="1890"/>
      <c r="Z270" s="1890"/>
      <c r="AA270" s="1890"/>
      <c r="AB270" s="1890"/>
      <c r="AC270" s="1890"/>
      <c r="AD270" s="1891"/>
      <c r="AE270" s="584"/>
      <c r="AF270" s="669"/>
      <c r="AG270" s="669"/>
      <c r="AH270" s="669"/>
      <c r="AI270" s="669"/>
      <c r="AJ270" s="584"/>
      <c r="AK270" s="584"/>
      <c r="AL270" s="584"/>
      <c r="AM270" s="584"/>
      <c r="AO270" s="584"/>
      <c r="AP270" s="671"/>
    </row>
    <row r="271" spans="1:52" ht="13.75" customHeight="1">
      <c r="A271" s="584"/>
      <c r="B271" s="630"/>
      <c r="C271" s="2065"/>
      <c r="D271" s="2065"/>
      <c r="E271" s="581"/>
      <c r="F271" s="1892"/>
      <c r="G271" s="1893"/>
      <c r="H271" s="1893"/>
      <c r="I271" s="1893"/>
      <c r="J271" s="1893"/>
      <c r="K271" s="1893"/>
      <c r="L271" s="1893"/>
      <c r="M271" s="1893"/>
      <c r="N271" s="1893"/>
      <c r="O271" s="1893"/>
      <c r="P271" s="1893"/>
      <c r="Q271" s="1893"/>
      <c r="R271" s="1893"/>
      <c r="S271" s="1893"/>
      <c r="T271" s="1893"/>
      <c r="U271" s="1893"/>
      <c r="V271" s="1893"/>
      <c r="W271" s="1893"/>
      <c r="X271" s="1893"/>
      <c r="Y271" s="1893"/>
      <c r="Z271" s="1893"/>
      <c r="AA271" s="1893"/>
      <c r="AB271" s="1893"/>
      <c r="AC271" s="1893"/>
      <c r="AD271" s="1894"/>
      <c r="AE271" s="584"/>
      <c r="AF271" s="669"/>
      <c r="AG271" s="2064"/>
      <c r="AH271" s="2064"/>
      <c r="AI271" s="2064"/>
      <c r="AJ271" s="2064"/>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1490</v>
      </c>
      <c r="AK274" s="2055">
        <f>IF($C$267="yes",10,0)</f>
        <v>10</v>
      </c>
      <c r="AL274" s="2055"/>
      <c r="AM274" s="2056"/>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1491</v>
      </c>
      <c r="B277" s="572" t="s">
        <v>2045</v>
      </c>
      <c r="AH277" s="625" t="s">
        <v>1425</v>
      </c>
    </row>
    <row r="278" spans="1:49" ht="15" customHeight="1">
      <c r="B278" s="573"/>
    </row>
    <row r="279" spans="1:49" ht="15" customHeight="1">
      <c r="B279" s="573" t="s">
        <v>1918</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8" t="s">
        <v>1493</v>
      </c>
      <c r="B281" s="1618"/>
      <c r="C281" s="2029" t="s">
        <v>600</v>
      </c>
      <c r="D281" s="1935"/>
      <c r="E281" s="581"/>
      <c r="F281" s="2057" t="s">
        <v>1494</v>
      </c>
      <c r="G281" s="2058"/>
      <c r="H281" s="2058"/>
      <c r="I281" s="2058"/>
      <c r="J281" s="2058"/>
      <c r="K281" s="2058"/>
      <c r="L281" s="2058"/>
      <c r="M281" s="2058"/>
      <c r="N281" s="2058"/>
      <c r="O281" s="2058"/>
      <c r="P281" s="2058"/>
      <c r="Q281" s="2058"/>
      <c r="R281" s="2058"/>
      <c r="S281" s="2058"/>
      <c r="T281" s="2058"/>
      <c r="U281" s="2058"/>
      <c r="V281" s="2058"/>
      <c r="W281" s="2058"/>
      <c r="X281" s="2058"/>
      <c r="Y281" s="2058"/>
      <c r="Z281" s="2058"/>
      <c r="AA281" s="2058"/>
      <c r="AB281" s="2058"/>
      <c r="AC281" s="2058"/>
      <c r="AD281" s="2059"/>
      <c r="AE281" s="676"/>
      <c r="AF281" s="584"/>
      <c r="AG281" s="2060" t="s">
        <v>2332</v>
      </c>
      <c r="AH281" s="2060"/>
      <c r="AI281" s="2060"/>
      <c r="AJ281" s="2060"/>
      <c r="AK281" s="2060"/>
      <c r="AL281" s="584"/>
      <c r="AM281" s="584"/>
      <c r="AN281" s="73"/>
      <c r="AO281" s="14"/>
      <c r="AP281" s="30"/>
      <c r="AS281" s="604"/>
      <c r="AT281" s="604"/>
      <c r="AU281" s="604"/>
      <c r="AV281" s="32"/>
      <c r="AW281" s="32"/>
    </row>
    <row r="282" spans="1:49" ht="13">
      <c r="A282" s="674"/>
      <c r="B282" s="630"/>
      <c r="F282" s="1912"/>
      <c r="G282" s="1913"/>
      <c r="H282" s="1913"/>
      <c r="I282" s="1913"/>
      <c r="J282" s="1913"/>
      <c r="K282" s="1913"/>
      <c r="L282" s="1913"/>
      <c r="M282" s="1913"/>
      <c r="N282" s="1913"/>
      <c r="O282" s="1913"/>
      <c r="P282" s="1913"/>
      <c r="Q282" s="1913"/>
      <c r="R282" s="1913"/>
      <c r="S282" s="1913"/>
      <c r="T282" s="1913"/>
      <c r="U282" s="1913"/>
      <c r="V282" s="1913"/>
      <c r="W282" s="1913"/>
      <c r="X282" s="1913"/>
      <c r="Y282" s="1913"/>
      <c r="Z282" s="1913"/>
      <c r="AA282" s="1913"/>
      <c r="AB282" s="1913"/>
      <c r="AC282" s="1913"/>
      <c r="AD282" s="1914"/>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2"/>
      <c r="G283" s="1913"/>
      <c r="H283" s="1913"/>
      <c r="I283" s="1913"/>
      <c r="J283" s="1913"/>
      <c r="K283" s="1913"/>
      <c r="L283" s="1913"/>
      <c r="M283" s="1913"/>
      <c r="N283" s="1913"/>
      <c r="O283" s="1913"/>
      <c r="P283" s="1913"/>
      <c r="Q283" s="1913"/>
      <c r="R283" s="1913"/>
      <c r="S283" s="1913"/>
      <c r="T283" s="1913"/>
      <c r="U283" s="1913"/>
      <c r="V283" s="1913"/>
      <c r="W283" s="1913"/>
      <c r="X283" s="1913"/>
      <c r="Y283" s="1913"/>
      <c r="Z283" s="1913"/>
      <c r="AA283" s="1913"/>
      <c r="AB283" s="1913"/>
      <c r="AC283" s="1913"/>
      <c r="AD283" s="1914"/>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12" t="s">
        <v>2340</v>
      </c>
      <c r="G284" s="1913"/>
      <c r="H284" s="1913"/>
      <c r="I284" s="1913"/>
      <c r="J284" s="1913"/>
      <c r="K284" s="1913"/>
      <c r="L284" s="1913"/>
      <c r="M284" s="1913"/>
      <c r="N284" s="1913"/>
      <c r="O284" s="1913"/>
      <c r="P284" s="1913"/>
      <c r="Q284" s="1913"/>
      <c r="R284" s="1913"/>
      <c r="S284" s="1913"/>
      <c r="T284" s="1913"/>
      <c r="U284" s="1913"/>
      <c r="V284" s="1913"/>
      <c r="W284" s="1913"/>
      <c r="X284" s="1913"/>
      <c r="Y284" s="1913"/>
      <c r="Z284" s="1913"/>
      <c r="AA284" s="1913"/>
      <c r="AB284" s="1913"/>
      <c r="AC284" s="1913"/>
      <c r="AD284" s="1914"/>
      <c r="AE284" s="676"/>
      <c r="AF284" s="585"/>
      <c r="AH284" s="585"/>
      <c r="AI284" s="585"/>
      <c r="AJ284" s="584"/>
      <c r="AK284" s="584"/>
      <c r="AL284" s="584"/>
      <c r="AM284" s="584"/>
      <c r="AN284" s="73"/>
      <c r="AO284" s="14"/>
      <c r="AP284" s="645">
        <f>MAX(AP282,AP283)</f>
        <v>9</v>
      </c>
      <c r="AQ284" s="608" t="s">
        <v>1427</v>
      </c>
      <c r="AS284" s="604"/>
      <c r="AT284" s="604"/>
      <c r="AU284" s="604"/>
      <c r="AV284" s="32"/>
      <c r="AW284" s="32"/>
    </row>
    <row r="285" spans="1:49" ht="13">
      <c r="A285" s="674"/>
      <c r="B285" s="630"/>
      <c r="F285" s="1912"/>
      <c r="G285" s="1913"/>
      <c r="H285" s="1913"/>
      <c r="I285" s="1913"/>
      <c r="J285" s="1913"/>
      <c r="K285" s="1913"/>
      <c r="L285" s="1913"/>
      <c r="M285" s="1913"/>
      <c r="N285" s="1913"/>
      <c r="O285" s="1913"/>
      <c r="P285" s="1913"/>
      <c r="Q285" s="1913"/>
      <c r="R285" s="1913"/>
      <c r="S285" s="1913"/>
      <c r="T285" s="1913"/>
      <c r="U285" s="1913"/>
      <c r="V285" s="1913"/>
      <c r="W285" s="1913"/>
      <c r="X285" s="1913"/>
      <c r="Y285" s="1913"/>
      <c r="Z285" s="1913"/>
      <c r="AA285" s="1913"/>
      <c r="AB285" s="1913"/>
      <c r="AC285" s="1913"/>
      <c r="AD285" s="1914"/>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2" t="s">
        <v>1495</v>
      </c>
      <c r="G286" s="1913"/>
      <c r="H286" s="1913"/>
      <c r="I286" s="1913"/>
      <c r="J286" s="1913"/>
      <c r="K286" s="1913"/>
      <c r="L286" s="1913"/>
      <c r="M286" s="1913"/>
      <c r="N286" s="1913"/>
      <c r="O286" s="1913"/>
      <c r="P286" s="1913"/>
      <c r="Q286" s="1913"/>
      <c r="R286" s="1913"/>
      <c r="S286" s="1913"/>
      <c r="T286" s="1913"/>
      <c r="U286" s="1913"/>
      <c r="V286" s="1913"/>
      <c r="W286" s="1913"/>
      <c r="X286" s="1913"/>
      <c r="Y286" s="1913"/>
      <c r="Z286" s="1913"/>
      <c r="AA286" s="1913"/>
      <c r="AB286" s="1913"/>
      <c r="AC286" s="1913"/>
      <c r="AD286" s="1914"/>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2"/>
      <c r="G287" s="1913"/>
      <c r="H287" s="1913"/>
      <c r="I287" s="1913"/>
      <c r="J287" s="1913"/>
      <c r="K287" s="1913"/>
      <c r="L287" s="1913"/>
      <c r="M287" s="1913"/>
      <c r="N287" s="1913"/>
      <c r="O287" s="1913"/>
      <c r="P287" s="1913"/>
      <c r="Q287" s="1913"/>
      <c r="R287" s="1913"/>
      <c r="S287" s="1913"/>
      <c r="T287" s="1913"/>
      <c r="U287" s="1913"/>
      <c r="V287" s="1913"/>
      <c r="W287" s="1913"/>
      <c r="X287" s="1913"/>
      <c r="Y287" s="1913"/>
      <c r="Z287" s="1913"/>
      <c r="AA287" s="1913"/>
      <c r="AB287" s="1913"/>
      <c r="AC287" s="1913"/>
      <c r="AD287" s="1914"/>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2" t="s">
        <v>1496</v>
      </c>
      <c r="G288" s="1913"/>
      <c r="H288" s="1913"/>
      <c r="I288" s="1913"/>
      <c r="J288" s="1913"/>
      <c r="K288" s="1913"/>
      <c r="L288" s="1913"/>
      <c r="M288" s="1913"/>
      <c r="N288" s="1913"/>
      <c r="O288" s="1913"/>
      <c r="P288" s="1913"/>
      <c r="Q288" s="1913"/>
      <c r="R288" s="1913"/>
      <c r="S288" s="1913"/>
      <c r="T288" s="1913"/>
      <c r="U288" s="1913"/>
      <c r="V288" s="1913"/>
      <c r="W288" s="1913"/>
      <c r="X288" s="1913"/>
      <c r="Y288" s="1913"/>
      <c r="Z288" s="1913"/>
      <c r="AA288" s="1913"/>
      <c r="AB288" s="1913"/>
      <c r="AC288" s="1913"/>
      <c r="AD288" s="1914"/>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5"/>
      <c r="G289" s="1916"/>
      <c r="H289" s="1916"/>
      <c r="I289" s="1916"/>
      <c r="J289" s="1916"/>
      <c r="K289" s="1916"/>
      <c r="L289" s="1916"/>
      <c r="M289" s="1916"/>
      <c r="N289" s="1916"/>
      <c r="O289" s="1916"/>
      <c r="P289" s="1916"/>
      <c r="Q289" s="1916"/>
      <c r="R289" s="1916"/>
      <c r="S289" s="1916"/>
      <c r="T289" s="1916"/>
      <c r="U289" s="1916"/>
      <c r="V289" s="1916"/>
      <c r="W289" s="1916"/>
      <c r="X289" s="1916"/>
      <c r="Y289" s="1916"/>
      <c r="Z289" s="1916"/>
      <c r="AA289" s="1916"/>
      <c r="AB289" s="1916"/>
      <c r="AC289" s="1916"/>
      <c r="AD289" s="2054"/>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8" t="s">
        <v>1497</v>
      </c>
      <c r="B291" s="1618"/>
      <c r="C291" s="1935" t="s">
        <v>554</v>
      </c>
      <c r="D291" s="1935"/>
      <c r="E291" s="581"/>
      <c r="F291" s="678" t="s">
        <v>2333</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1499</v>
      </c>
      <c r="AH291" s="585"/>
      <c r="AI291" s="585"/>
      <c r="AJ291" s="584"/>
      <c r="AK291" s="584"/>
      <c r="AL291" s="584"/>
      <c r="AM291" s="584"/>
      <c r="AN291" s="681"/>
      <c r="AO291" s="14"/>
    </row>
    <row r="292" spans="1:49">
      <c r="A292" s="584"/>
      <c r="B292" s="585"/>
      <c r="C292" s="584"/>
      <c r="D292" s="585"/>
      <c r="E292" s="584"/>
      <c r="F292" s="2039" t="s">
        <v>2334</v>
      </c>
      <c r="G292" s="2040"/>
      <c r="H292" s="2040"/>
      <c r="I292" s="2040"/>
      <c r="J292" s="2040"/>
      <c r="K292" s="2040"/>
      <c r="L292" s="2040"/>
      <c r="M292" s="2040"/>
      <c r="N292" s="2040"/>
      <c r="O292" s="2040"/>
      <c r="P292" s="2040"/>
      <c r="Q292" s="2040"/>
      <c r="R292" s="2040"/>
      <c r="S292" s="2040"/>
      <c r="T292" s="2040"/>
      <c r="U292" s="2040"/>
      <c r="V292" s="2040"/>
      <c r="W292" s="2040"/>
      <c r="X292" s="2040"/>
      <c r="Y292" s="2040"/>
      <c r="Z292" s="2040"/>
      <c r="AA292" s="2040"/>
      <c r="AB292" s="2040"/>
      <c r="AC292" s="2040"/>
      <c r="AD292" s="2041"/>
      <c r="AE292" s="585"/>
      <c r="AF292" s="585"/>
      <c r="AG292" s="585"/>
      <c r="AH292" s="585"/>
      <c r="AI292" s="585"/>
      <c r="AJ292" s="584"/>
      <c r="AK292" s="584"/>
      <c r="AL292" s="584"/>
      <c r="AM292" s="584"/>
      <c r="AR292" s="682"/>
    </row>
    <row r="293" spans="1:49" ht="15" customHeight="1">
      <c r="A293" s="584"/>
      <c r="B293" s="585"/>
      <c r="C293" s="584"/>
      <c r="D293" s="585"/>
      <c r="E293" s="584"/>
      <c r="F293" s="2039"/>
      <c r="G293" s="2040"/>
      <c r="H293" s="2040"/>
      <c r="I293" s="2040"/>
      <c r="J293" s="2040"/>
      <c r="K293" s="2040"/>
      <c r="L293" s="2040"/>
      <c r="M293" s="2040"/>
      <c r="N293" s="2040"/>
      <c r="O293" s="2040"/>
      <c r="P293" s="2040"/>
      <c r="Q293" s="2040"/>
      <c r="R293" s="2040"/>
      <c r="S293" s="2040"/>
      <c r="T293" s="2040"/>
      <c r="U293" s="2040"/>
      <c r="V293" s="2040"/>
      <c r="W293" s="2040"/>
      <c r="X293" s="2040"/>
      <c r="Y293" s="2040"/>
      <c r="Z293" s="2040"/>
      <c r="AA293" s="2040"/>
      <c r="AB293" s="2040"/>
      <c r="AC293" s="2040"/>
      <c r="AD293" s="2041"/>
      <c r="AE293" s="585"/>
      <c r="AF293" s="585"/>
      <c r="AG293" s="585"/>
      <c r="AH293" s="585"/>
      <c r="AI293" s="585"/>
      <c r="AJ293" s="584"/>
      <c r="AK293" s="584"/>
      <c r="AL293" s="584"/>
      <c r="AM293" s="584"/>
      <c r="AR293" s="682"/>
    </row>
    <row r="294" spans="1:49">
      <c r="A294" s="584"/>
      <c r="B294" s="585"/>
      <c r="C294" s="584"/>
      <c r="D294" s="585"/>
      <c r="E294" s="584"/>
      <c r="F294" s="2039"/>
      <c r="G294" s="2040"/>
      <c r="H294" s="2040"/>
      <c r="I294" s="2040"/>
      <c r="J294" s="2040"/>
      <c r="K294" s="2040"/>
      <c r="L294" s="2040"/>
      <c r="M294" s="2040"/>
      <c r="N294" s="2040"/>
      <c r="O294" s="2040"/>
      <c r="P294" s="2040"/>
      <c r="Q294" s="2040"/>
      <c r="R294" s="2040"/>
      <c r="S294" s="2040"/>
      <c r="T294" s="2040"/>
      <c r="U294" s="2040"/>
      <c r="V294" s="2040"/>
      <c r="W294" s="2040"/>
      <c r="X294" s="2040"/>
      <c r="Y294" s="2040"/>
      <c r="Z294" s="2040"/>
      <c r="AA294" s="2040"/>
      <c r="AB294" s="2040"/>
      <c r="AC294" s="2040"/>
      <c r="AD294" s="2041"/>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1"/>
      <c r="G295" s="2062"/>
      <c r="H295" s="2062"/>
      <c r="I295" s="2062"/>
      <c r="J295" s="2062"/>
      <c r="K295" s="2062"/>
      <c r="L295" s="2062"/>
      <c r="M295" s="2062"/>
      <c r="N295" s="2062"/>
      <c r="O295" s="2062"/>
      <c r="P295" s="2062"/>
      <c r="Q295" s="2062"/>
      <c r="R295" s="2062"/>
      <c r="S295" s="2062"/>
      <c r="T295" s="2062"/>
      <c r="U295" s="2062"/>
      <c r="V295" s="2062"/>
      <c r="W295" s="2062"/>
      <c r="X295" s="2062"/>
      <c r="Y295" s="2062"/>
      <c r="Z295" s="2062"/>
      <c r="AA295" s="2062"/>
      <c r="AB295" s="2062"/>
      <c r="AC295" s="2062"/>
      <c r="AD295" s="2063"/>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18" t="s">
        <v>1500</v>
      </c>
      <c r="B299" s="1618"/>
      <c r="C299" s="1935" t="s">
        <v>600</v>
      </c>
      <c r="D299" s="1935"/>
      <c r="E299" s="581"/>
      <c r="F299" s="678" t="s">
        <v>1498</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1499</v>
      </c>
      <c r="AH299" s="585"/>
      <c r="AI299" s="585"/>
      <c r="AJ299" s="584"/>
      <c r="AK299" s="584"/>
      <c r="AL299" s="584"/>
      <c r="AM299" s="584"/>
      <c r="AN299" s="73"/>
      <c r="AO299" s="14"/>
    </row>
    <row r="300" spans="1:49" ht="13" hidden="1">
      <c r="A300" s="89"/>
      <c r="B300" s="89"/>
      <c r="C300" s="764"/>
      <c r="D300" s="764"/>
      <c r="E300" s="581"/>
      <c r="F300" s="1912" t="s">
        <v>2341</v>
      </c>
      <c r="G300" s="1913"/>
      <c r="H300" s="1913"/>
      <c r="I300" s="1913"/>
      <c r="J300" s="1913"/>
      <c r="K300" s="1913"/>
      <c r="L300" s="1913"/>
      <c r="M300" s="1913"/>
      <c r="N300" s="1913"/>
      <c r="O300" s="1913"/>
      <c r="P300" s="1913"/>
      <c r="Q300" s="1913"/>
      <c r="R300" s="1913"/>
      <c r="S300" s="1913"/>
      <c r="T300" s="1913"/>
      <c r="U300" s="1913"/>
      <c r="V300" s="1913"/>
      <c r="W300" s="1913"/>
      <c r="X300" s="1913"/>
      <c r="Y300" s="1913"/>
      <c r="Z300" s="1913"/>
      <c r="AA300" s="1913"/>
      <c r="AB300" s="1913"/>
      <c r="AC300" s="1913"/>
      <c r="AD300" s="1914"/>
      <c r="AE300" s="585"/>
      <c r="AF300" s="585"/>
      <c r="AG300" s="573"/>
      <c r="AH300" s="585"/>
      <c r="AI300" s="585"/>
      <c r="AJ300" s="584"/>
      <c r="AK300" s="584"/>
      <c r="AL300" s="584"/>
      <c r="AM300" s="584"/>
      <c r="AN300" s="73"/>
      <c r="AO300" s="14"/>
      <c r="AP300" s="591" t="s">
        <v>1291</v>
      </c>
    </row>
    <row r="301" spans="1:49" hidden="1">
      <c r="F301" s="1912"/>
      <c r="G301" s="1913"/>
      <c r="H301" s="1913"/>
      <c r="I301" s="1913"/>
      <c r="J301" s="1913"/>
      <c r="K301" s="1913"/>
      <c r="L301" s="1913"/>
      <c r="M301" s="1913"/>
      <c r="N301" s="1913"/>
      <c r="O301" s="1913"/>
      <c r="P301" s="1913"/>
      <c r="Q301" s="1913"/>
      <c r="R301" s="1913"/>
      <c r="S301" s="1913"/>
      <c r="T301" s="1913"/>
      <c r="U301" s="1913"/>
      <c r="V301" s="1913"/>
      <c r="W301" s="1913"/>
      <c r="X301" s="1913"/>
      <c r="Y301" s="1913"/>
      <c r="Z301" s="1913"/>
      <c r="AA301" s="1913"/>
      <c r="AB301" s="1913"/>
      <c r="AC301" s="1913"/>
      <c r="AD301" s="1914"/>
      <c r="AE301" s="585"/>
      <c r="AF301" s="585"/>
      <c r="AH301" s="585"/>
      <c r="AI301" s="585"/>
      <c r="AJ301" s="584"/>
      <c r="AK301" s="584"/>
      <c r="AL301" s="584"/>
      <c r="AM301" s="584"/>
      <c r="AN301" s="73"/>
      <c r="AO301" s="14"/>
      <c r="AP301" s="591" t="s">
        <v>1920</v>
      </c>
    </row>
    <row r="302" spans="1:49" ht="13" hidden="1">
      <c r="A302" s="584"/>
      <c r="B302" s="585"/>
      <c r="C302" s="764"/>
      <c r="D302" s="764"/>
      <c r="E302" s="581"/>
      <c r="F302" s="686" t="s">
        <v>1501</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1922</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2047</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2" t="s">
        <v>1291</v>
      </c>
      <c r="G305" s="2043"/>
      <c r="H305" s="2043"/>
      <c r="I305" s="2043"/>
      <c r="J305" s="2043"/>
      <c r="K305" s="2043"/>
      <c r="L305" s="2043"/>
      <c r="M305" s="2043"/>
      <c r="N305" s="2043"/>
      <c r="O305" s="2043"/>
      <c r="P305" s="2043"/>
      <c r="Q305" s="2043"/>
      <c r="R305" s="2043"/>
      <c r="S305" s="2043"/>
      <c r="T305" s="2043"/>
      <c r="U305" s="2043"/>
      <c r="V305" s="2043"/>
      <c r="W305" s="2043"/>
      <c r="X305" s="2043"/>
      <c r="Y305" s="2043"/>
      <c r="Z305" s="2043"/>
      <c r="AA305" s="2043"/>
      <c r="AB305" s="2043"/>
      <c r="AC305" s="2043"/>
      <c r="AD305" s="2044"/>
      <c r="AE305" s="676"/>
      <c r="AF305" s="676"/>
      <c r="AG305" s="676"/>
      <c r="AH305" s="676"/>
      <c r="AI305" s="676"/>
      <c r="AJ305" s="676"/>
      <c r="AK305" s="676"/>
      <c r="AL305" s="584"/>
      <c r="AM305" s="584"/>
      <c r="AN305" s="73"/>
      <c r="AO305" s="14"/>
      <c r="AP305" s="30"/>
    </row>
    <row r="306" spans="1:42" ht="13" hidden="1">
      <c r="A306" s="584"/>
      <c r="B306" s="585"/>
      <c r="C306" s="764"/>
      <c r="D306" s="764"/>
      <c r="E306" s="581"/>
      <c r="F306" s="2042"/>
      <c r="G306" s="2043"/>
      <c r="H306" s="2043"/>
      <c r="I306" s="2043"/>
      <c r="J306" s="2043"/>
      <c r="K306" s="2043"/>
      <c r="L306" s="2043"/>
      <c r="M306" s="2043"/>
      <c r="N306" s="2043"/>
      <c r="O306" s="2043"/>
      <c r="P306" s="2043"/>
      <c r="Q306" s="2043"/>
      <c r="R306" s="2043"/>
      <c r="S306" s="2043"/>
      <c r="T306" s="2043"/>
      <c r="U306" s="2043"/>
      <c r="V306" s="2043"/>
      <c r="W306" s="2043"/>
      <c r="X306" s="2043"/>
      <c r="Y306" s="2043"/>
      <c r="Z306" s="2043"/>
      <c r="AA306" s="2043"/>
      <c r="AB306" s="2043"/>
      <c r="AC306" s="2043"/>
      <c r="AD306" s="2044"/>
      <c r="AE306" s="585"/>
      <c r="AF306" s="585"/>
      <c r="AG306" s="573"/>
      <c r="AH306" s="585"/>
      <c r="AI306" s="585"/>
      <c r="AJ306" s="584"/>
      <c r="AK306" s="584"/>
      <c r="AL306" s="584"/>
      <c r="AM306" s="584"/>
      <c r="AN306" s="73"/>
      <c r="AO306" s="14"/>
      <c r="AP306" s="30"/>
    </row>
    <row r="307" spans="1:42" ht="13" hidden="1">
      <c r="A307" s="584"/>
      <c r="B307" s="585"/>
      <c r="C307" s="764"/>
      <c r="D307" s="764"/>
      <c r="E307" s="581"/>
      <c r="F307" s="2042"/>
      <c r="G307" s="2043"/>
      <c r="H307" s="2043"/>
      <c r="I307" s="2043"/>
      <c r="J307" s="2043"/>
      <c r="K307" s="2043"/>
      <c r="L307" s="2043"/>
      <c r="M307" s="2043"/>
      <c r="N307" s="2043"/>
      <c r="O307" s="2043"/>
      <c r="P307" s="2043"/>
      <c r="Q307" s="2043"/>
      <c r="R307" s="2043"/>
      <c r="S307" s="2043"/>
      <c r="T307" s="2043"/>
      <c r="U307" s="2043"/>
      <c r="V307" s="2043"/>
      <c r="W307" s="2043"/>
      <c r="X307" s="2043"/>
      <c r="Y307" s="2043"/>
      <c r="Z307" s="2043"/>
      <c r="AA307" s="2043"/>
      <c r="AB307" s="2043"/>
      <c r="AC307" s="2043"/>
      <c r="AD307" s="2044"/>
      <c r="AE307" s="585"/>
      <c r="AF307" s="585"/>
      <c r="AG307" s="573"/>
      <c r="AH307" s="585"/>
      <c r="AI307" s="585"/>
      <c r="AJ307" s="584"/>
      <c r="AK307" s="584"/>
      <c r="AL307" s="584"/>
      <c r="AM307" s="584"/>
      <c r="AN307" s="73"/>
      <c r="AO307" s="14"/>
      <c r="AP307" s="30"/>
    </row>
    <row r="308" spans="1:42" ht="13" hidden="1">
      <c r="A308" s="584"/>
      <c r="B308" s="585"/>
      <c r="C308" s="764"/>
      <c r="D308" s="764"/>
      <c r="E308" s="581"/>
      <c r="F308" s="2042"/>
      <c r="G308" s="2043"/>
      <c r="H308" s="2043"/>
      <c r="I308" s="2043"/>
      <c r="J308" s="2043"/>
      <c r="K308" s="2043"/>
      <c r="L308" s="2043"/>
      <c r="M308" s="2043"/>
      <c r="N308" s="2043"/>
      <c r="O308" s="2043"/>
      <c r="P308" s="2043"/>
      <c r="Q308" s="2043"/>
      <c r="R308" s="2043"/>
      <c r="S308" s="2043"/>
      <c r="T308" s="2043"/>
      <c r="U308" s="2043"/>
      <c r="V308" s="2043"/>
      <c r="W308" s="2043"/>
      <c r="X308" s="2043"/>
      <c r="Y308" s="2043"/>
      <c r="Z308" s="2043"/>
      <c r="AA308" s="2043"/>
      <c r="AB308" s="2043"/>
      <c r="AC308" s="2043"/>
      <c r="AD308" s="2044"/>
      <c r="AE308" s="585"/>
      <c r="AF308" s="585"/>
      <c r="AG308" s="573"/>
      <c r="AH308" s="585"/>
      <c r="AI308" s="585"/>
      <c r="AJ308" s="584"/>
      <c r="AK308" s="584"/>
      <c r="AL308" s="584"/>
      <c r="AM308" s="584"/>
      <c r="AN308" s="73"/>
      <c r="AO308" s="14"/>
      <c r="AP308" s="30"/>
    </row>
    <row r="309" spans="1:42" ht="13" hidden="1">
      <c r="A309" s="584"/>
      <c r="B309" s="585"/>
      <c r="C309" s="764"/>
      <c r="D309" s="764"/>
      <c r="E309" s="581"/>
      <c r="F309" s="2045"/>
      <c r="G309" s="2046"/>
      <c r="H309" s="2046"/>
      <c r="I309" s="2046"/>
      <c r="J309" s="2046"/>
      <c r="K309" s="2046"/>
      <c r="L309" s="2046"/>
      <c r="M309" s="2046"/>
      <c r="N309" s="2046"/>
      <c r="O309" s="2046"/>
      <c r="P309" s="2046"/>
      <c r="Q309" s="2046"/>
      <c r="R309" s="2046"/>
      <c r="S309" s="2046"/>
      <c r="T309" s="2046"/>
      <c r="U309" s="2046"/>
      <c r="V309" s="2046"/>
      <c r="W309" s="2046"/>
      <c r="X309" s="2046"/>
      <c r="Y309" s="2046"/>
      <c r="Z309" s="2046"/>
      <c r="AA309" s="2046"/>
      <c r="AB309" s="2046"/>
      <c r="AC309" s="2046"/>
      <c r="AD309" s="2047"/>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1921</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8" t="s">
        <v>1291</v>
      </c>
      <c r="J313" s="2048"/>
      <c r="K313" s="2048"/>
      <c r="L313" s="2048"/>
      <c r="M313" s="2048"/>
      <c r="N313" s="2048"/>
      <c r="O313" s="2048"/>
      <c r="P313" s="2048"/>
      <c r="Q313" s="2048"/>
      <c r="R313" s="2048"/>
      <c r="S313" s="2048"/>
      <c r="T313" s="2048"/>
      <c r="U313" s="2048"/>
      <c r="V313" s="2048"/>
      <c r="W313" s="2048"/>
      <c r="X313" s="2048"/>
      <c r="Y313" s="2048"/>
      <c r="Z313" s="2048"/>
      <c r="AA313" s="2048"/>
      <c r="AB313" s="2048"/>
      <c r="AC313" s="2048"/>
      <c r="AD313" s="2049"/>
      <c r="AE313" s="585"/>
      <c r="AF313" s="585"/>
      <c r="AG313" s="573"/>
      <c r="AH313" s="585"/>
      <c r="AI313" s="585"/>
      <c r="AJ313" s="584"/>
      <c r="AK313" s="584"/>
      <c r="AL313" s="584"/>
      <c r="AM313" s="584"/>
      <c r="AN313" s="73"/>
      <c r="AO313" s="14"/>
      <c r="AP313" s="591" t="s">
        <v>1750</v>
      </c>
    </row>
    <row r="314" spans="1:42" ht="13" hidden="1">
      <c r="A314" s="584"/>
      <c r="B314" s="585"/>
      <c r="C314" s="764"/>
      <c r="D314" s="764"/>
      <c r="E314" s="581"/>
      <c r="F314" s="690"/>
      <c r="G314" s="609"/>
      <c r="H314" s="609"/>
      <c r="I314" s="2048"/>
      <c r="J314" s="2048"/>
      <c r="K314" s="2048"/>
      <c r="L314" s="2048"/>
      <c r="M314" s="2048"/>
      <c r="N314" s="2048"/>
      <c r="O314" s="2048"/>
      <c r="P314" s="2048"/>
      <c r="Q314" s="2048"/>
      <c r="R314" s="2048"/>
      <c r="S314" s="2048"/>
      <c r="T314" s="2048"/>
      <c r="U314" s="2048"/>
      <c r="V314" s="2048"/>
      <c r="W314" s="2048"/>
      <c r="X314" s="2048"/>
      <c r="Y314" s="2048"/>
      <c r="Z314" s="2048"/>
      <c r="AA314" s="2048"/>
      <c r="AB314" s="2048"/>
      <c r="AC314" s="2048"/>
      <c r="AD314" s="2049"/>
      <c r="AE314" s="585"/>
      <c r="AF314" s="585"/>
      <c r="AG314" s="573"/>
      <c r="AH314" s="585"/>
      <c r="AI314" s="585"/>
      <c r="AJ314" s="584"/>
      <c r="AK314" s="584"/>
      <c r="AL314" s="584"/>
      <c r="AM314" s="584"/>
      <c r="AN314" s="73"/>
      <c r="AO314" s="14"/>
      <c r="AP314" s="591" t="s">
        <v>1923</v>
      </c>
    </row>
    <row r="315" spans="1:42" ht="13" hidden="1">
      <c r="A315" s="584"/>
      <c r="B315" s="585"/>
      <c r="C315" s="685"/>
      <c r="D315" s="685"/>
      <c r="E315" s="581"/>
      <c r="F315" s="690"/>
      <c r="G315" s="609"/>
      <c r="H315" s="609"/>
      <c r="I315" s="2048"/>
      <c r="J315" s="2048"/>
      <c r="K315" s="2048"/>
      <c r="L315" s="2048"/>
      <c r="M315" s="2048"/>
      <c r="N315" s="2048"/>
      <c r="O315" s="2048"/>
      <c r="P315" s="2048"/>
      <c r="Q315" s="2048"/>
      <c r="R315" s="2048"/>
      <c r="S315" s="2048"/>
      <c r="T315" s="2048"/>
      <c r="U315" s="2048"/>
      <c r="V315" s="2048"/>
      <c r="W315" s="2048"/>
      <c r="X315" s="2048"/>
      <c r="Y315" s="2048"/>
      <c r="Z315" s="2048"/>
      <c r="AA315" s="2048"/>
      <c r="AB315" s="2048"/>
      <c r="AC315" s="2048"/>
      <c r="AD315" s="2049"/>
      <c r="AE315" s="585"/>
      <c r="AF315" s="585"/>
      <c r="AG315" s="573"/>
      <c r="AH315" s="585"/>
      <c r="AI315" s="585"/>
      <c r="AJ315" s="584"/>
      <c r="AK315" s="584"/>
      <c r="AL315" s="584"/>
      <c r="AM315" s="584"/>
      <c r="AN315" s="73"/>
      <c r="AO315" s="14"/>
      <c r="AP315" s="591" t="s">
        <v>1925</v>
      </c>
    </row>
    <row r="316" spans="1:42" ht="13" hidden="1">
      <c r="A316" s="584"/>
      <c r="B316" s="585"/>
      <c r="C316" s="685"/>
      <c r="D316" s="685"/>
      <c r="E316" s="581"/>
      <c r="F316" s="688"/>
      <c r="G316" s="585"/>
      <c r="H316" s="585"/>
      <c r="I316" s="2050"/>
      <c r="J316" s="2050"/>
      <c r="K316" s="2050"/>
      <c r="L316" s="2050"/>
      <c r="M316" s="2050"/>
      <c r="N316" s="2050"/>
      <c r="O316" s="2050"/>
      <c r="P316" s="2050"/>
      <c r="Q316" s="2050"/>
      <c r="R316" s="2050"/>
      <c r="S316" s="2050"/>
      <c r="T316" s="2050"/>
      <c r="U316" s="2050"/>
      <c r="V316" s="2050"/>
      <c r="W316" s="2050"/>
      <c r="X316" s="2050"/>
      <c r="Y316" s="2050"/>
      <c r="Z316" s="2050"/>
      <c r="AA316" s="2050"/>
      <c r="AB316" s="2050"/>
      <c r="AC316" s="2050"/>
      <c r="AD316" s="2051"/>
      <c r="AE316" s="585"/>
      <c r="AF316" s="585"/>
      <c r="AG316" s="573"/>
      <c r="AH316" s="585"/>
      <c r="AI316" s="585"/>
      <c r="AJ316" s="584"/>
      <c r="AK316" s="584"/>
      <c r="AL316" s="584"/>
      <c r="AM316" s="584"/>
      <c r="AN316" s="73"/>
      <c r="AO316" s="14"/>
      <c r="AP316" s="591" t="s">
        <v>1924</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518</v>
      </c>
      <c r="H318" s="585"/>
      <c r="I318" s="2048" t="s">
        <v>1291</v>
      </c>
      <c r="J318" s="2048"/>
      <c r="K318" s="2048"/>
      <c r="L318" s="2048"/>
      <c r="M318" s="2048"/>
      <c r="N318" s="2048"/>
      <c r="O318" s="2048"/>
      <c r="P318" s="2048"/>
      <c r="Q318" s="2048"/>
      <c r="R318" s="2048"/>
      <c r="S318" s="2048"/>
      <c r="T318" s="2048"/>
      <c r="U318" s="2048"/>
      <c r="V318" s="2048"/>
      <c r="W318" s="2048"/>
      <c r="X318" s="2048"/>
      <c r="Y318" s="2048"/>
      <c r="Z318" s="2048"/>
      <c r="AA318" s="2048"/>
      <c r="AB318" s="2048"/>
      <c r="AC318" s="2048"/>
      <c r="AD318" s="2049"/>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48"/>
      <c r="J319" s="2048"/>
      <c r="K319" s="2048"/>
      <c r="L319" s="2048"/>
      <c r="M319" s="2048"/>
      <c r="N319" s="2048"/>
      <c r="O319" s="2048"/>
      <c r="P319" s="2048"/>
      <c r="Q319" s="2048"/>
      <c r="R319" s="2048"/>
      <c r="S319" s="2048"/>
      <c r="T319" s="2048"/>
      <c r="U319" s="2048"/>
      <c r="V319" s="2048"/>
      <c r="W319" s="2048"/>
      <c r="X319" s="2048"/>
      <c r="Y319" s="2048"/>
      <c r="Z319" s="2048"/>
      <c r="AA319" s="2048"/>
      <c r="AB319" s="2048"/>
      <c r="AC319" s="2048"/>
      <c r="AD319" s="2049"/>
      <c r="AE319" s="585"/>
      <c r="AF319" s="585"/>
      <c r="AG319" s="573"/>
      <c r="AH319" s="585"/>
      <c r="AI319" s="585"/>
      <c r="AJ319" s="584"/>
      <c r="AK319" s="584"/>
      <c r="AL319" s="584"/>
      <c r="AM319" s="584"/>
      <c r="AN319" s="73"/>
      <c r="AO319" s="14"/>
      <c r="AP319" s="591" t="s">
        <v>1291</v>
      </c>
    </row>
    <row r="320" spans="1:42" ht="13" hidden="1">
      <c r="A320" s="584"/>
      <c r="B320" s="585"/>
      <c r="C320" s="685"/>
      <c r="D320" s="685"/>
      <c r="E320" s="581"/>
      <c r="F320" s="691"/>
      <c r="G320" s="692"/>
      <c r="H320" s="692"/>
      <c r="I320" s="2050"/>
      <c r="J320" s="2050"/>
      <c r="K320" s="2050"/>
      <c r="L320" s="2050"/>
      <c r="M320" s="2050"/>
      <c r="N320" s="2050"/>
      <c r="O320" s="2050"/>
      <c r="P320" s="2050"/>
      <c r="Q320" s="2050"/>
      <c r="R320" s="2050"/>
      <c r="S320" s="2050"/>
      <c r="T320" s="2050"/>
      <c r="U320" s="2050"/>
      <c r="V320" s="2050"/>
      <c r="W320" s="2050"/>
      <c r="X320" s="2050"/>
      <c r="Y320" s="2050"/>
      <c r="Z320" s="2050"/>
      <c r="AA320" s="2050"/>
      <c r="AB320" s="2050"/>
      <c r="AC320" s="2050"/>
      <c r="AD320" s="2051"/>
      <c r="AE320" s="585"/>
      <c r="AF320" s="585"/>
      <c r="AG320" s="573"/>
      <c r="AH320" s="585"/>
      <c r="AI320" s="585"/>
      <c r="AJ320" s="584"/>
      <c r="AK320" s="584"/>
      <c r="AL320" s="584"/>
      <c r="AM320" s="584"/>
      <c r="AN320" s="73"/>
      <c r="AO320" s="14"/>
      <c r="AP320" s="591" t="s">
        <v>1502</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1751</v>
      </c>
    </row>
    <row r="322" spans="1:44" ht="12.75" hidden="1" customHeight="1">
      <c r="A322" s="1618" t="s">
        <v>1503</v>
      </c>
      <c r="B322" s="1618"/>
      <c r="C322" s="1935" t="s">
        <v>600</v>
      </c>
      <c r="D322" s="1935"/>
      <c r="E322" s="581"/>
      <c r="F322" s="2036" t="s">
        <v>2342</v>
      </c>
      <c r="G322" s="2037"/>
      <c r="H322" s="2037"/>
      <c r="I322" s="2037"/>
      <c r="J322" s="2037"/>
      <c r="K322" s="2037"/>
      <c r="L322" s="2037"/>
      <c r="M322" s="2037"/>
      <c r="N322" s="2037"/>
      <c r="O322" s="2037"/>
      <c r="P322" s="2037"/>
      <c r="Q322" s="2037"/>
      <c r="R322" s="2037"/>
      <c r="S322" s="2037"/>
      <c r="T322" s="2037"/>
      <c r="U322" s="2037"/>
      <c r="V322" s="2037"/>
      <c r="W322" s="2037"/>
      <c r="X322" s="2037"/>
      <c r="Y322" s="2037"/>
      <c r="Z322" s="2037"/>
      <c r="AA322" s="2037"/>
      <c r="AB322" s="2037"/>
      <c r="AC322" s="2037"/>
      <c r="AD322" s="2038"/>
      <c r="AE322" s="585"/>
      <c r="AF322" s="585"/>
      <c r="AG322" s="573" t="s">
        <v>1499</v>
      </c>
      <c r="AH322" s="585"/>
      <c r="AI322" s="585"/>
      <c r="AJ322" s="584"/>
      <c r="AK322" s="584"/>
      <c r="AL322" s="584"/>
      <c r="AM322" s="584"/>
      <c r="AN322" s="73"/>
      <c r="AO322" s="14"/>
    </row>
    <row r="323" spans="1:44" ht="15" hidden="1" customHeight="1">
      <c r="A323" s="584"/>
      <c r="B323" s="585"/>
      <c r="C323" s="585"/>
      <c r="D323" s="585"/>
      <c r="E323" s="585"/>
      <c r="F323" s="2039"/>
      <c r="G323" s="2040"/>
      <c r="H323" s="2040"/>
      <c r="I323" s="2040"/>
      <c r="J323" s="2040"/>
      <c r="K323" s="2040"/>
      <c r="L323" s="2040"/>
      <c r="M323" s="2040"/>
      <c r="N323" s="2040"/>
      <c r="O323" s="2040"/>
      <c r="P323" s="2040"/>
      <c r="Q323" s="2040"/>
      <c r="R323" s="2040"/>
      <c r="S323" s="2040"/>
      <c r="T323" s="2040"/>
      <c r="U323" s="2040"/>
      <c r="V323" s="2040"/>
      <c r="W323" s="2040"/>
      <c r="X323" s="2040"/>
      <c r="Y323" s="2040"/>
      <c r="Z323" s="2040"/>
      <c r="AA323" s="2040"/>
      <c r="AB323" s="2040"/>
      <c r="AC323" s="2040"/>
      <c r="AD323" s="2041"/>
      <c r="AE323" s="585"/>
      <c r="AF323" s="585"/>
      <c r="AG323" s="585"/>
      <c r="AH323" s="585"/>
      <c r="AI323" s="585"/>
      <c r="AJ323" s="584"/>
      <c r="AK323" s="584"/>
      <c r="AL323" s="584"/>
      <c r="AM323" s="584"/>
      <c r="AN323" s="73"/>
      <c r="AO323" s="14"/>
    </row>
    <row r="324" spans="1:44" ht="15" hidden="1" customHeight="1">
      <c r="A324" s="584"/>
      <c r="B324" s="585"/>
      <c r="C324" s="585"/>
      <c r="D324" s="585"/>
      <c r="E324" s="585"/>
      <c r="F324" s="2039"/>
      <c r="G324" s="2040"/>
      <c r="H324" s="2040"/>
      <c r="I324" s="2040"/>
      <c r="J324" s="2040"/>
      <c r="K324" s="2040"/>
      <c r="L324" s="2040"/>
      <c r="M324" s="2040"/>
      <c r="N324" s="2040"/>
      <c r="O324" s="2040"/>
      <c r="P324" s="2040"/>
      <c r="Q324" s="2040"/>
      <c r="R324" s="2040"/>
      <c r="S324" s="2040"/>
      <c r="T324" s="2040"/>
      <c r="U324" s="2040"/>
      <c r="V324" s="2040"/>
      <c r="W324" s="2040"/>
      <c r="X324" s="2040"/>
      <c r="Y324" s="2040"/>
      <c r="Z324" s="2040"/>
      <c r="AA324" s="2040"/>
      <c r="AB324" s="2040"/>
      <c r="AC324" s="2040"/>
      <c r="AD324" s="2041"/>
      <c r="AE324" s="585"/>
      <c r="AF324" s="585"/>
      <c r="AG324" s="585"/>
      <c r="AH324" s="585"/>
      <c r="AI324" s="585"/>
      <c r="AJ324" s="584"/>
      <c r="AK324" s="584"/>
      <c r="AL324" s="584"/>
      <c r="AM324" s="693"/>
      <c r="AN324" s="14"/>
      <c r="AO324" s="14"/>
    </row>
    <row r="325" spans="1:44" hidden="1">
      <c r="A325" s="584"/>
      <c r="B325" s="585"/>
      <c r="C325" s="584"/>
      <c r="D325" s="585"/>
      <c r="E325" s="584"/>
      <c r="F325" s="694" t="s">
        <v>1504</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1563</v>
      </c>
      <c r="AK327" s="1920">
        <f>IF(NOT(OR(Application!M355="Yes",Application!M356="Yes")),0,AP284)</f>
        <v>9</v>
      </c>
      <c r="AL327" s="1921"/>
      <c r="AM327" s="1922"/>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1564</v>
      </c>
      <c r="B330" s="573" t="s">
        <v>857</v>
      </c>
      <c r="C330" s="570"/>
      <c r="AC330" s="573"/>
      <c r="AE330" s="1926" t="s">
        <v>1425</v>
      </c>
      <c r="AF330" s="1926"/>
      <c r="AG330" s="1926"/>
      <c r="AH330" s="1926"/>
      <c r="AI330" s="1926"/>
      <c r="AJ330" s="1926"/>
      <c r="AK330" s="1926"/>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0" t="s">
        <v>1565</v>
      </c>
      <c r="D332" s="1930"/>
      <c r="E332" s="1930"/>
      <c r="F332" s="1930"/>
      <c r="G332" s="1930"/>
      <c r="H332" s="1930"/>
      <c r="I332" s="1930"/>
      <c r="J332" s="1930"/>
      <c r="K332" s="1930"/>
      <c r="L332" s="1930"/>
      <c r="M332" s="1930"/>
      <c r="N332" s="1930"/>
      <c r="O332" s="1930"/>
      <c r="P332" s="1930"/>
      <c r="Q332" s="1930"/>
      <c r="R332" s="1930"/>
      <c r="S332" s="1930"/>
      <c r="T332" s="1930"/>
      <c r="U332" s="1930"/>
      <c r="V332" s="1930"/>
      <c r="W332" s="1930"/>
      <c r="X332" s="1930"/>
      <c r="Y332" s="1930"/>
      <c r="Z332" s="1930"/>
      <c r="AA332" s="1930"/>
      <c r="AB332" s="1930"/>
      <c r="AC332" s="1930"/>
      <c r="AD332" s="1930"/>
      <c r="AE332" s="1930"/>
      <c r="AF332" s="1930"/>
      <c r="AG332" s="1930"/>
      <c r="AH332" s="1930"/>
      <c r="AI332" s="1930"/>
      <c r="AJ332" s="1930"/>
      <c r="AK332" s="637"/>
      <c r="AL332" s="637"/>
      <c r="AM332" s="637"/>
      <c r="AN332" s="631"/>
    </row>
    <row r="333" spans="1:44" s="584" customFormat="1" ht="12.75" customHeight="1">
      <c r="A333" s="637"/>
      <c r="B333" s="645"/>
      <c r="C333" s="1930"/>
      <c r="D333" s="1930"/>
      <c r="E333" s="1930"/>
      <c r="F333" s="1930"/>
      <c r="G333" s="1930"/>
      <c r="H333" s="1930"/>
      <c r="I333" s="1930"/>
      <c r="J333" s="1930"/>
      <c r="K333" s="1930"/>
      <c r="L333" s="1930"/>
      <c r="M333" s="1930"/>
      <c r="N333" s="1930"/>
      <c r="O333" s="1930"/>
      <c r="P333" s="1930"/>
      <c r="Q333" s="1930"/>
      <c r="R333" s="1930"/>
      <c r="S333" s="1930"/>
      <c r="T333" s="1930"/>
      <c r="U333" s="1930"/>
      <c r="V333" s="1930"/>
      <c r="W333" s="1930"/>
      <c r="X333" s="1930"/>
      <c r="Y333" s="1930"/>
      <c r="Z333" s="1930"/>
      <c r="AA333" s="1930"/>
      <c r="AB333" s="1930"/>
      <c r="AC333" s="1930"/>
      <c r="AD333" s="1930"/>
      <c r="AE333" s="1930"/>
      <c r="AF333" s="1930"/>
      <c r="AG333" s="1930"/>
      <c r="AH333" s="1930"/>
      <c r="AI333" s="1930"/>
      <c r="AJ333" s="1930"/>
      <c r="AK333" s="637"/>
      <c r="AL333" s="637"/>
      <c r="AM333" s="637"/>
      <c r="AN333" s="631"/>
    </row>
    <row r="334" spans="1:44" s="584" customFormat="1" ht="12.75" customHeight="1">
      <c r="A334" s="637"/>
      <c r="B334" s="645"/>
      <c r="C334" s="1930"/>
      <c r="D334" s="1930"/>
      <c r="E334" s="1930"/>
      <c r="F334" s="1930"/>
      <c r="G334" s="1930"/>
      <c r="H334" s="1930"/>
      <c r="I334" s="1930"/>
      <c r="J334" s="1930"/>
      <c r="K334" s="1930"/>
      <c r="L334" s="1930"/>
      <c r="M334" s="1930"/>
      <c r="N334" s="1930"/>
      <c r="O334" s="1930"/>
      <c r="P334" s="1930"/>
      <c r="Q334" s="1930"/>
      <c r="R334" s="1930"/>
      <c r="S334" s="1930"/>
      <c r="T334" s="1930"/>
      <c r="U334" s="1930"/>
      <c r="V334" s="1930"/>
      <c r="W334" s="1930"/>
      <c r="X334" s="1930"/>
      <c r="Y334" s="1930"/>
      <c r="Z334" s="1930"/>
      <c r="AA334" s="1930"/>
      <c r="AB334" s="1930"/>
      <c r="AC334" s="1930"/>
      <c r="AD334" s="1930"/>
      <c r="AE334" s="1930"/>
      <c r="AF334" s="1930"/>
      <c r="AG334" s="1930"/>
      <c r="AH334" s="1930"/>
      <c r="AI334" s="1930"/>
      <c r="AJ334" s="1930"/>
      <c r="AK334" s="637"/>
      <c r="AL334" s="637"/>
      <c r="AM334" s="637"/>
      <c r="AN334" s="631"/>
      <c r="AQ334" s="604"/>
    </row>
    <row r="335" spans="1:44" s="584" customFormat="1" ht="12.75" customHeight="1">
      <c r="A335" s="637"/>
      <c r="B335" s="645"/>
      <c r="C335" s="1930"/>
      <c r="D335" s="1930"/>
      <c r="E335" s="1930"/>
      <c r="F335" s="1930"/>
      <c r="G335" s="1930"/>
      <c r="H335" s="1930"/>
      <c r="I335" s="1930"/>
      <c r="J335" s="1930"/>
      <c r="K335" s="1930"/>
      <c r="L335" s="1930"/>
      <c r="M335" s="1930"/>
      <c r="N335" s="1930"/>
      <c r="O335" s="1930"/>
      <c r="P335" s="1930"/>
      <c r="Q335" s="1930"/>
      <c r="R335" s="1930"/>
      <c r="S335" s="1930"/>
      <c r="T335" s="1930"/>
      <c r="U335" s="1930"/>
      <c r="V335" s="1930"/>
      <c r="W335" s="1930"/>
      <c r="X335" s="1930"/>
      <c r="Y335" s="1930"/>
      <c r="Z335" s="1930"/>
      <c r="AA335" s="1930"/>
      <c r="AB335" s="1930"/>
      <c r="AC335" s="1930"/>
      <c r="AD335" s="1930"/>
      <c r="AE335" s="1930"/>
      <c r="AF335" s="1930"/>
      <c r="AG335" s="1930"/>
      <c r="AH335" s="1930"/>
      <c r="AI335" s="1930"/>
      <c r="AJ335" s="1930"/>
      <c r="AK335" s="637"/>
      <c r="AL335" s="637"/>
      <c r="AM335" s="637"/>
      <c r="AN335" s="631"/>
      <c r="AQ335" s="604"/>
    </row>
    <row r="336" spans="1:44" s="584" customFormat="1" ht="12.4" customHeight="1">
      <c r="A336" s="637"/>
      <c r="B336" s="645"/>
      <c r="C336" s="1930"/>
      <c r="D336" s="1930"/>
      <c r="E336" s="1930"/>
      <c r="F336" s="1930"/>
      <c r="G336" s="1930"/>
      <c r="H336" s="1930"/>
      <c r="I336" s="1930"/>
      <c r="J336" s="1930"/>
      <c r="K336" s="1930"/>
      <c r="L336" s="1930"/>
      <c r="M336" s="1930"/>
      <c r="N336" s="1930"/>
      <c r="O336" s="1930"/>
      <c r="P336" s="1930"/>
      <c r="Q336" s="1930"/>
      <c r="R336" s="1930"/>
      <c r="S336" s="1930"/>
      <c r="T336" s="1930"/>
      <c r="U336" s="1930"/>
      <c r="V336" s="1930"/>
      <c r="W336" s="1930"/>
      <c r="X336" s="1930"/>
      <c r="Y336" s="1930"/>
      <c r="Z336" s="1930"/>
      <c r="AA336" s="1930"/>
      <c r="AB336" s="1930"/>
      <c r="AC336" s="1930"/>
      <c r="AD336" s="1930"/>
      <c r="AE336" s="1930"/>
      <c r="AF336" s="1930"/>
      <c r="AG336" s="1930"/>
      <c r="AH336" s="1930"/>
      <c r="AI336" s="1930"/>
      <c r="AJ336" s="1930"/>
      <c r="AK336" s="637"/>
      <c r="AL336" s="637"/>
      <c r="AM336" s="637"/>
      <c r="AN336" s="631"/>
      <c r="AQ336" s="604"/>
      <c r="AR336" s="604"/>
    </row>
    <row r="337" spans="1:46" s="584" customFormat="1" ht="45.75" customHeight="1">
      <c r="A337" s="637"/>
      <c r="B337" s="645"/>
      <c r="C337" s="1930" t="s">
        <v>2409</v>
      </c>
      <c r="D337" s="1930"/>
      <c r="E337" s="1930"/>
      <c r="F337" s="1930"/>
      <c r="G337" s="1930"/>
      <c r="H337" s="1930"/>
      <c r="I337" s="1930"/>
      <c r="J337" s="1930"/>
      <c r="K337" s="1930"/>
      <c r="L337" s="1930"/>
      <c r="M337" s="1930"/>
      <c r="N337" s="1930"/>
      <c r="O337" s="1930"/>
      <c r="P337" s="1930"/>
      <c r="Q337" s="1930"/>
      <c r="R337" s="1930"/>
      <c r="S337" s="1930"/>
      <c r="T337" s="1930"/>
      <c r="U337" s="1930"/>
      <c r="V337" s="1930"/>
      <c r="W337" s="1930"/>
      <c r="X337" s="1930"/>
      <c r="Y337" s="1930"/>
      <c r="Z337" s="1930"/>
      <c r="AA337" s="1930"/>
      <c r="AB337" s="1930"/>
      <c r="AC337" s="1930"/>
      <c r="AD337" s="1930"/>
      <c r="AE337" s="1930"/>
      <c r="AF337" s="1930"/>
      <c r="AG337" s="1930"/>
      <c r="AH337" s="1930"/>
      <c r="AI337" s="1930"/>
      <c r="AJ337" s="1930"/>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0" t="s">
        <v>2571</v>
      </c>
      <c r="D339" s="1930"/>
      <c r="E339" s="1930"/>
      <c r="F339" s="1930"/>
      <c r="G339" s="1930"/>
      <c r="H339" s="1930"/>
      <c r="I339" s="1930"/>
      <c r="J339" s="1930"/>
      <c r="K339" s="1930"/>
      <c r="L339" s="1930"/>
      <c r="M339" s="1930"/>
      <c r="N339" s="1930"/>
      <c r="O339" s="1930"/>
      <c r="P339" s="1930"/>
      <c r="Q339" s="1930"/>
      <c r="R339" s="1930"/>
      <c r="S339" s="1930"/>
      <c r="T339" s="1930"/>
      <c r="U339" s="1930"/>
      <c r="V339" s="1930"/>
      <c r="W339" s="1930"/>
      <c r="X339" s="1930"/>
      <c r="Y339" s="1930"/>
      <c r="Z339" s="1930"/>
      <c r="AA339" s="1930"/>
      <c r="AB339" s="1930"/>
      <c r="AC339" s="1930"/>
      <c r="AD339" s="1930"/>
      <c r="AE339" s="1930"/>
      <c r="AF339" s="1930"/>
      <c r="AG339" s="1930"/>
      <c r="AH339" s="1930"/>
      <c r="AI339" s="1930"/>
      <c r="AJ339" s="1930"/>
      <c r="AK339" s="637"/>
      <c r="AL339" s="637"/>
      <c r="AM339" s="637"/>
      <c r="AN339" s="631"/>
      <c r="AQ339" s="604"/>
      <c r="AR339" s="604"/>
    </row>
    <row r="340" spans="1:46" s="584" customFormat="1" ht="30" customHeight="1">
      <c r="A340" s="637"/>
      <c r="B340" s="645"/>
      <c r="C340" s="1930"/>
      <c r="D340" s="1930"/>
      <c r="E340" s="1930"/>
      <c r="F340" s="1930"/>
      <c r="G340" s="1930"/>
      <c r="H340" s="1930"/>
      <c r="I340" s="1930"/>
      <c r="J340" s="1930"/>
      <c r="K340" s="1930"/>
      <c r="L340" s="1930"/>
      <c r="M340" s="1930"/>
      <c r="N340" s="1930"/>
      <c r="O340" s="1930"/>
      <c r="P340" s="1930"/>
      <c r="Q340" s="1930"/>
      <c r="R340" s="1930"/>
      <c r="S340" s="1930"/>
      <c r="T340" s="1930"/>
      <c r="U340" s="1930"/>
      <c r="V340" s="1930"/>
      <c r="W340" s="1930"/>
      <c r="X340" s="1930"/>
      <c r="Y340" s="1930"/>
      <c r="Z340" s="1930"/>
      <c r="AA340" s="1930"/>
      <c r="AB340" s="1930"/>
      <c r="AC340" s="1930"/>
      <c r="AD340" s="1930"/>
      <c r="AE340" s="1930"/>
      <c r="AF340" s="1930"/>
      <c r="AG340" s="1930"/>
      <c r="AH340" s="1930"/>
      <c r="AI340" s="1930"/>
      <c r="AJ340" s="1930"/>
      <c r="AK340" s="637"/>
      <c r="AL340" s="637"/>
      <c r="AM340" s="637"/>
      <c r="AN340" s="631"/>
      <c r="AR340" s="604"/>
    </row>
    <row r="341" spans="1:46" s="584" customFormat="1" ht="12.75" customHeight="1">
      <c r="A341" s="637"/>
      <c r="B341" s="645"/>
      <c r="C341" s="1930"/>
      <c r="D341" s="1930"/>
      <c r="E341" s="1930"/>
      <c r="F341" s="1930"/>
      <c r="G341" s="1930"/>
      <c r="H341" s="1930"/>
      <c r="I341" s="1930"/>
      <c r="J341" s="1930"/>
      <c r="K341" s="1930"/>
      <c r="L341" s="1930"/>
      <c r="M341" s="1930"/>
      <c r="N341" s="1930"/>
      <c r="O341" s="1930"/>
      <c r="P341" s="1930"/>
      <c r="Q341" s="1930"/>
      <c r="R341" s="1930"/>
      <c r="S341" s="1930"/>
      <c r="T341" s="1930"/>
      <c r="U341" s="1930"/>
      <c r="V341" s="1930"/>
      <c r="W341" s="1930"/>
      <c r="X341" s="1930"/>
      <c r="Y341" s="1930"/>
      <c r="Z341" s="1930"/>
      <c r="AA341" s="1930"/>
      <c r="AB341" s="1930"/>
      <c r="AC341" s="1930"/>
      <c r="AD341" s="1930"/>
      <c r="AE341" s="1930"/>
      <c r="AF341" s="1930"/>
      <c r="AG341" s="1930"/>
      <c r="AH341" s="1930"/>
      <c r="AI341" s="1930"/>
      <c r="AJ341" s="1930"/>
      <c r="AK341" s="637"/>
      <c r="AL341" s="637"/>
      <c r="AM341" s="637"/>
      <c r="AN341" s="631"/>
      <c r="AR341" s="604"/>
    </row>
    <row r="342" spans="1:46" s="584" customFormat="1" ht="12.75" customHeight="1">
      <c r="A342" s="637"/>
      <c r="B342" s="645"/>
      <c r="C342" s="1930" t="s">
        <v>1566</v>
      </c>
      <c r="D342" s="1930"/>
      <c r="E342" s="1930"/>
      <c r="F342" s="1930"/>
      <c r="G342" s="1930"/>
      <c r="H342" s="1930"/>
      <c r="I342" s="1930"/>
      <c r="J342" s="1930"/>
      <c r="K342" s="1930"/>
      <c r="L342" s="1930"/>
      <c r="M342" s="1930"/>
      <c r="N342" s="1930"/>
      <c r="O342" s="1930"/>
      <c r="P342" s="1930"/>
      <c r="Q342" s="1930"/>
      <c r="R342" s="1930"/>
      <c r="S342" s="1930"/>
      <c r="T342" s="1930"/>
      <c r="U342" s="1930"/>
      <c r="V342" s="1930"/>
      <c r="W342" s="1930"/>
      <c r="X342" s="1930"/>
      <c r="Y342" s="1930"/>
      <c r="Z342" s="1930"/>
      <c r="AA342" s="1930"/>
      <c r="AB342" s="1930"/>
      <c r="AC342" s="1930"/>
      <c r="AD342" s="1930"/>
      <c r="AE342" s="1930"/>
      <c r="AF342" s="1930"/>
      <c r="AG342" s="1930"/>
      <c r="AH342" s="1930"/>
      <c r="AI342" s="1930"/>
      <c r="AJ342" s="1930"/>
      <c r="AK342" s="637"/>
      <c r="AL342" s="637"/>
      <c r="AM342" s="637"/>
      <c r="AN342" s="631"/>
      <c r="AQ342" s="604"/>
      <c r="AR342" s="604"/>
    </row>
    <row r="343" spans="1:46" s="584" customFormat="1" ht="12.75" customHeight="1">
      <c r="A343" s="637"/>
      <c r="B343" s="645"/>
      <c r="C343" s="1930"/>
      <c r="D343" s="1930"/>
      <c r="E343" s="1930"/>
      <c r="F343" s="1930"/>
      <c r="G343" s="1930"/>
      <c r="H343" s="1930"/>
      <c r="I343" s="1930"/>
      <c r="J343" s="1930"/>
      <c r="K343" s="1930"/>
      <c r="L343" s="1930"/>
      <c r="M343" s="1930"/>
      <c r="N343" s="1930"/>
      <c r="O343" s="1930"/>
      <c r="P343" s="1930"/>
      <c r="Q343" s="1930"/>
      <c r="R343" s="1930"/>
      <c r="S343" s="1930"/>
      <c r="T343" s="1930"/>
      <c r="U343" s="1930"/>
      <c r="V343" s="1930"/>
      <c r="W343" s="1930"/>
      <c r="X343" s="1930"/>
      <c r="Y343" s="1930"/>
      <c r="Z343" s="1930"/>
      <c r="AA343" s="1930"/>
      <c r="AB343" s="1930"/>
      <c r="AC343" s="1930"/>
      <c r="AD343" s="1930"/>
      <c r="AE343" s="1930"/>
      <c r="AF343" s="1930"/>
      <c r="AG343" s="1930"/>
      <c r="AH343" s="1930"/>
      <c r="AI343" s="1930"/>
      <c r="AJ343" s="1930"/>
      <c r="AK343" s="637"/>
      <c r="AL343" s="637"/>
      <c r="AM343" s="637"/>
      <c r="AN343" s="631"/>
      <c r="AQ343" s="604"/>
      <c r="AR343" s="604"/>
    </row>
    <row r="344" spans="1:46" s="584" customFormat="1" ht="13.15" customHeight="1">
      <c r="A344" s="637"/>
      <c r="B344" s="645"/>
      <c r="C344" s="1930"/>
      <c r="D344" s="1930"/>
      <c r="E344" s="1930"/>
      <c r="F344" s="1930"/>
      <c r="G344" s="1930"/>
      <c r="H344" s="1930"/>
      <c r="I344" s="1930"/>
      <c r="J344" s="1930"/>
      <c r="K344" s="1930"/>
      <c r="L344" s="1930"/>
      <c r="M344" s="1930"/>
      <c r="N344" s="1930"/>
      <c r="O344" s="1930"/>
      <c r="P344" s="1930"/>
      <c r="Q344" s="1930"/>
      <c r="R344" s="1930"/>
      <c r="S344" s="1930"/>
      <c r="T344" s="1930"/>
      <c r="U344" s="1930"/>
      <c r="V344" s="1930"/>
      <c r="W344" s="1930"/>
      <c r="X344" s="1930"/>
      <c r="Y344" s="1930"/>
      <c r="Z344" s="1930"/>
      <c r="AA344" s="1930"/>
      <c r="AB344" s="1930"/>
      <c r="AC344" s="1930"/>
      <c r="AD344" s="1930"/>
      <c r="AE344" s="1930"/>
      <c r="AF344" s="1930"/>
      <c r="AG344" s="1930"/>
      <c r="AH344" s="1930"/>
      <c r="AI344" s="1930"/>
      <c r="AJ344" s="1930"/>
      <c r="AK344" s="637"/>
      <c r="AL344" s="637"/>
      <c r="AM344" s="637"/>
      <c r="AN344" s="631"/>
      <c r="AQ344" s="604"/>
      <c r="AR344" s="604"/>
    </row>
    <row r="345" spans="1:46" s="584" customFormat="1" ht="12.75" customHeight="1">
      <c r="A345" s="637"/>
      <c r="B345" s="645"/>
      <c r="C345" s="1930"/>
      <c r="D345" s="1930"/>
      <c r="E345" s="1930"/>
      <c r="F345" s="1930"/>
      <c r="G345" s="1930"/>
      <c r="H345" s="1930"/>
      <c r="I345" s="1930"/>
      <c r="J345" s="1930"/>
      <c r="K345" s="1930"/>
      <c r="L345" s="1930"/>
      <c r="M345" s="1930"/>
      <c r="N345" s="1930"/>
      <c r="O345" s="1930"/>
      <c r="P345" s="1930"/>
      <c r="Q345" s="1930"/>
      <c r="R345" s="1930"/>
      <c r="S345" s="1930"/>
      <c r="T345" s="1930"/>
      <c r="U345" s="1930"/>
      <c r="V345" s="1930"/>
      <c r="W345" s="1930"/>
      <c r="X345" s="1930"/>
      <c r="Y345" s="1930"/>
      <c r="Z345" s="1930"/>
      <c r="AA345" s="1930"/>
      <c r="AB345" s="1930"/>
      <c r="AC345" s="1930"/>
      <c r="AD345" s="1930"/>
      <c r="AE345" s="1930"/>
      <c r="AF345" s="1930"/>
      <c r="AG345" s="1930"/>
      <c r="AH345" s="1930"/>
      <c r="AI345" s="1930"/>
      <c r="AJ345" s="1930"/>
      <c r="AK345" s="637"/>
      <c r="AL345" s="637"/>
      <c r="AM345" s="637"/>
      <c r="AN345" s="631"/>
      <c r="AO345" s="728"/>
      <c r="AP345" s="728"/>
      <c r="AQ345" s="604"/>
    </row>
    <row r="346" spans="1:46" s="584" customFormat="1" ht="11.9" customHeight="1">
      <c r="A346" s="637"/>
      <c r="B346" s="645"/>
      <c r="C346" s="1930"/>
      <c r="D346" s="1930"/>
      <c r="E346" s="1930"/>
      <c r="F346" s="1930"/>
      <c r="G346" s="1930"/>
      <c r="H346" s="1930"/>
      <c r="I346" s="1930"/>
      <c r="J346" s="1930"/>
      <c r="K346" s="1930"/>
      <c r="L346" s="1930"/>
      <c r="M346" s="1930"/>
      <c r="N346" s="1930"/>
      <c r="O346" s="1930"/>
      <c r="P346" s="1930"/>
      <c r="Q346" s="1930"/>
      <c r="R346" s="1930"/>
      <c r="S346" s="1930"/>
      <c r="T346" s="1930"/>
      <c r="U346" s="1930"/>
      <c r="V346" s="1930"/>
      <c r="W346" s="1930"/>
      <c r="X346" s="1930"/>
      <c r="Y346" s="1930"/>
      <c r="Z346" s="1930"/>
      <c r="AA346" s="1930"/>
      <c r="AB346" s="1930"/>
      <c r="AC346" s="1930"/>
      <c r="AD346" s="1930"/>
      <c r="AE346" s="1930"/>
      <c r="AF346" s="1930"/>
      <c r="AG346" s="1930"/>
      <c r="AH346" s="1930"/>
      <c r="AI346" s="1930"/>
      <c r="AJ346" s="1930"/>
      <c r="AK346" s="637"/>
      <c r="AL346" s="637"/>
      <c r="AM346" s="637"/>
      <c r="AN346" s="631"/>
      <c r="AO346" s="729" t="s">
        <v>112</v>
      </c>
      <c r="AP346" s="730">
        <f>IF(C370="Yes",5,0)</f>
        <v>5</v>
      </c>
      <c r="AS346" s="573" t="s">
        <v>1567</v>
      </c>
    </row>
    <row r="347" spans="1:46" s="584" customFormat="1" ht="12.75" customHeight="1">
      <c r="A347" s="637"/>
      <c r="B347" s="645"/>
      <c r="C347" s="1930"/>
      <c r="D347" s="1930"/>
      <c r="E347" s="1930"/>
      <c r="F347" s="1930"/>
      <c r="G347" s="1930"/>
      <c r="H347" s="1930"/>
      <c r="I347" s="1930"/>
      <c r="J347" s="1930"/>
      <c r="K347" s="1930"/>
      <c r="L347" s="1930"/>
      <c r="M347" s="1930"/>
      <c r="N347" s="1930"/>
      <c r="O347" s="1930"/>
      <c r="P347" s="1930"/>
      <c r="Q347" s="1930"/>
      <c r="R347" s="1930"/>
      <c r="S347" s="1930"/>
      <c r="T347" s="1930"/>
      <c r="U347" s="1930"/>
      <c r="V347" s="1930"/>
      <c r="W347" s="1930"/>
      <c r="X347" s="1930"/>
      <c r="Y347" s="1930"/>
      <c r="Z347" s="1930"/>
      <c r="AA347" s="1930"/>
      <c r="AB347" s="1930"/>
      <c r="AC347" s="1930"/>
      <c r="AD347" s="1930"/>
      <c r="AE347" s="1930"/>
      <c r="AF347" s="1930"/>
      <c r="AG347" s="1930"/>
      <c r="AH347" s="1930"/>
      <c r="AI347" s="1930"/>
      <c r="AJ347" s="1930"/>
      <c r="AK347" s="637"/>
      <c r="AL347" s="637"/>
      <c r="AM347" s="637"/>
      <c r="AN347" s="631"/>
      <c r="AO347" s="729" t="s">
        <v>113</v>
      </c>
      <c r="AP347" s="730">
        <f>IF(C378="Yes",5,0)</f>
        <v>0</v>
      </c>
      <c r="AS347" s="1895">
        <f>IF(Application!D211="Non-Targeted",(SUM(AQ355+AQ364)),AS351)</f>
        <v>10</v>
      </c>
      <c r="AT347" s="1895"/>
    </row>
    <row r="348" spans="1:46" s="584" customFormat="1" ht="12.75" customHeight="1">
      <c r="A348" s="637"/>
      <c r="B348" s="645"/>
      <c r="C348" s="1930"/>
      <c r="D348" s="1930"/>
      <c r="E348" s="1930"/>
      <c r="F348" s="1930"/>
      <c r="G348" s="1930"/>
      <c r="H348" s="1930"/>
      <c r="I348" s="1930"/>
      <c r="J348" s="1930"/>
      <c r="K348" s="1930"/>
      <c r="L348" s="1930"/>
      <c r="M348" s="1930"/>
      <c r="N348" s="1930"/>
      <c r="O348" s="1930"/>
      <c r="P348" s="1930"/>
      <c r="Q348" s="1930"/>
      <c r="R348" s="1930"/>
      <c r="S348" s="1930"/>
      <c r="T348" s="1930"/>
      <c r="U348" s="1930"/>
      <c r="V348" s="1930"/>
      <c r="W348" s="1930"/>
      <c r="X348" s="1930"/>
      <c r="Y348" s="1930"/>
      <c r="Z348" s="1930"/>
      <c r="AA348" s="1930"/>
      <c r="AB348" s="1930"/>
      <c r="AC348" s="1930"/>
      <c r="AD348" s="1930"/>
      <c r="AE348" s="1930"/>
      <c r="AF348" s="1930"/>
      <c r="AG348" s="1930"/>
      <c r="AH348" s="1930"/>
      <c r="AI348" s="1930"/>
      <c r="AJ348" s="1930"/>
      <c r="AK348" s="637"/>
      <c r="AL348" s="637"/>
      <c r="AM348" s="637"/>
      <c r="AN348" s="631"/>
      <c r="AO348" s="729" t="s">
        <v>119</v>
      </c>
      <c r="AP348" s="730">
        <f>IF(C386="Yes",7,0)</f>
        <v>0</v>
      </c>
      <c r="AS348" s="573" t="s">
        <v>1568</v>
      </c>
    </row>
    <row r="349" spans="1:46" s="584" customFormat="1" ht="12.75" customHeight="1">
      <c r="A349" s="637"/>
      <c r="B349" s="645"/>
      <c r="C349" s="1930"/>
      <c r="D349" s="1930"/>
      <c r="E349" s="1930"/>
      <c r="F349" s="1930"/>
      <c r="G349" s="1930"/>
      <c r="H349" s="1930"/>
      <c r="I349" s="1930"/>
      <c r="J349" s="1930"/>
      <c r="K349" s="1930"/>
      <c r="L349" s="1930"/>
      <c r="M349" s="1930"/>
      <c r="N349" s="1930"/>
      <c r="O349" s="1930"/>
      <c r="P349" s="1930"/>
      <c r="Q349" s="1930"/>
      <c r="R349" s="1930"/>
      <c r="S349" s="1930"/>
      <c r="T349" s="1930"/>
      <c r="U349" s="1930"/>
      <c r="V349" s="1930"/>
      <c r="W349" s="1930"/>
      <c r="X349" s="1930"/>
      <c r="Y349" s="1930"/>
      <c r="Z349" s="1930"/>
      <c r="AA349" s="1930"/>
      <c r="AB349" s="1930"/>
      <c r="AC349" s="1930"/>
      <c r="AD349" s="1930"/>
      <c r="AE349" s="1930"/>
      <c r="AF349" s="1930"/>
      <c r="AG349" s="1930"/>
      <c r="AH349" s="1930"/>
      <c r="AI349" s="1930"/>
      <c r="AJ349" s="1930"/>
      <c r="AK349" s="637"/>
      <c r="AL349" s="637"/>
      <c r="AM349" s="637"/>
      <c r="AN349" s="631"/>
      <c r="AO349" s="631"/>
      <c r="AP349" s="730">
        <f>IF(C388="Yes",5,0)</f>
        <v>5</v>
      </c>
      <c r="AS349" s="1895">
        <f>IF(AND(AQ355&gt;0,AQ364&gt;0),(AQ355+AQ364)/2,0)</f>
        <v>0</v>
      </c>
      <c r="AT349" s="1895"/>
    </row>
    <row r="350" spans="1:46" s="584" customFormat="1" ht="12.75" customHeight="1">
      <c r="A350" s="637"/>
      <c r="B350" s="645"/>
      <c r="C350" s="1930"/>
      <c r="D350" s="1930"/>
      <c r="E350" s="1930"/>
      <c r="F350" s="1930"/>
      <c r="G350" s="1930"/>
      <c r="H350" s="1930"/>
      <c r="I350" s="1930"/>
      <c r="J350" s="1930"/>
      <c r="K350" s="1930"/>
      <c r="L350" s="1930"/>
      <c r="M350" s="1930"/>
      <c r="N350" s="1930"/>
      <c r="O350" s="1930"/>
      <c r="P350" s="1930"/>
      <c r="Q350" s="1930"/>
      <c r="R350" s="1930"/>
      <c r="S350" s="1930"/>
      <c r="T350" s="1930"/>
      <c r="U350" s="1930"/>
      <c r="V350" s="1930"/>
      <c r="W350" s="1930"/>
      <c r="X350" s="1930"/>
      <c r="Y350" s="1930"/>
      <c r="Z350" s="1930"/>
      <c r="AA350" s="1930"/>
      <c r="AB350" s="1930"/>
      <c r="AC350" s="1930"/>
      <c r="AD350" s="1930"/>
      <c r="AE350" s="1930"/>
      <c r="AF350" s="1930"/>
      <c r="AG350" s="1930"/>
      <c r="AH350" s="1930"/>
      <c r="AI350" s="1930"/>
      <c r="AJ350" s="1930"/>
      <c r="AK350" s="637"/>
      <c r="AL350" s="637"/>
      <c r="AM350" s="637"/>
      <c r="AN350" s="631"/>
      <c r="AO350" s="729" t="s">
        <v>590</v>
      </c>
      <c r="AP350" s="730">
        <f>IF(C396="Yes",5,0)</f>
        <v>0</v>
      </c>
      <c r="AS350" s="573" t="s">
        <v>2070</v>
      </c>
    </row>
    <row r="351" spans="1:46" s="584" customFormat="1" ht="12.75" customHeight="1">
      <c r="A351" s="637"/>
      <c r="B351" s="645"/>
      <c r="C351" s="2024" t="s">
        <v>1569</v>
      </c>
      <c r="D351" s="2024"/>
      <c r="E351" s="2024"/>
      <c r="F351" s="2024"/>
      <c r="G351" s="2024"/>
      <c r="H351" s="2024"/>
      <c r="I351" s="2024"/>
      <c r="J351" s="2024"/>
      <c r="K351" s="2024"/>
      <c r="L351" s="2024"/>
      <c r="M351" s="2024"/>
      <c r="N351" s="2024"/>
      <c r="O351" s="2024"/>
      <c r="P351" s="2024"/>
      <c r="Q351" s="2024"/>
      <c r="R351" s="2024"/>
      <c r="S351" s="2024"/>
      <c r="T351" s="2024"/>
      <c r="U351" s="2024"/>
      <c r="V351" s="2024"/>
      <c r="W351" s="2024"/>
      <c r="X351" s="2024"/>
      <c r="Y351" s="2024"/>
      <c r="Z351" s="2024"/>
      <c r="AA351" s="2024"/>
      <c r="AB351" s="2024"/>
      <c r="AC351" s="2024"/>
      <c r="AD351" s="2024"/>
      <c r="AE351" s="2024"/>
      <c r="AF351" s="2024"/>
      <c r="AG351" s="2024"/>
      <c r="AH351" s="2024"/>
      <c r="AI351" s="2024"/>
      <c r="AJ351" s="2024"/>
      <c r="AK351" s="637"/>
      <c r="AL351" s="637"/>
      <c r="AM351" s="637"/>
      <c r="AN351" s="631"/>
      <c r="AO351" s="631"/>
      <c r="AP351" s="730">
        <f>IF(C398="Yes",3,0)</f>
        <v>0</v>
      </c>
      <c r="AS351" s="1895">
        <f>IF(AQ355=0,AQ364,AQ355)</f>
        <v>10</v>
      </c>
      <c r="AT351" s="1895"/>
    </row>
    <row r="352" spans="1:46" s="584" customFormat="1" ht="12.75" customHeight="1">
      <c r="A352" s="637"/>
      <c r="B352" s="645"/>
      <c r="C352" s="2024"/>
      <c r="D352" s="2024"/>
      <c r="E352" s="2024"/>
      <c r="F352" s="2024"/>
      <c r="G352" s="2024"/>
      <c r="H352" s="2024"/>
      <c r="I352" s="2024"/>
      <c r="J352" s="2024"/>
      <c r="K352" s="2024"/>
      <c r="L352" s="2024"/>
      <c r="M352" s="2024"/>
      <c r="N352" s="2024"/>
      <c r="O352" s="2024"/>
      <c r="P352" s="2024"/>
      <c r="Q352" s="2024"/>
      <c r="R352" s="2024"/>
      <c r="S352" s="2024"/>
      <c r="T352" s="2024"/>
      <c r="U352" s="2024"/>
      <c r="V352" s="2024"/>
      <c r="W352" s="2024"/>
      <c r="X352" s="2024"/>
      <c r="Y352" s="2024"/>
      <c r="Z352" s="2024"/>
      <c r="AA352" s="2024"/>
      <c r="AB352" s="2024"/>
      <c r="AC352" s="2024"/>
      <c r="AD352" s="2024"/>
      <c r="AE352" s="2024"/>
      <c r="AF352" s="2024"/>
      <c r="AG352" s="2024"/>
      <c r="AH352" s="2024"/>
      <c r="AI352" s="2024"/>
      <c r="AJ352" s="2024"/>
      <c r="AK352" s="637"/>
      <c r="AL352" s="637"/>
      <c r="AM352" s="637"/>
      <c r="AN352" s="631"/>
      <c r="AO352" s="729" t="s">
        <v>773</v>
      </c>
      <c r="AP352" s="730">
        <f>IF(C401="Yes",5,0)</f>
        <v>0</v>
      </c>
    </row>
    <row r="353" spans="1:81" s="584" customFormat="1" ht="12.75" customHeight="1">
      <c r="A353" s="637"/>
      <c r="B353" s="645"/>
      <c r="C353" s="2024"/>
      <c r="D353" s="2024"/>
      <c r="E353" s="2024"/>
      <c r="F353" s="2024"/>
      <c r="G353" s="2024"/>
      <c r="H353" s="2024"/>
      <c r="I353" s="2024"/>
      <c r="J353" s="2024"/>
      <c r="K353" s="2024"/>
      <c r="L353" s="2024"/>
      <c r="M353" s="2024"/>
      <c r="N353" s="2024"/>
      <c r="O353" s="2024"/>
      <c r="P353" s="2024"/>
      <c r="Q353" s="2024"/>
      <c r="R353" s="2024"/>
      <c r="S353" s="2024"/>
      <c r="T353" s="2024"/>
      <c r="U353" s="2024"/>
      <c r="V353" s="2024"/>
      <c r="W353" s="2024"/>
      <c r="X353" s="2024"/>
      <c r="Y353" s="2024"/>
      <c r="Z353" s="2024"/>
      <c r="AA353" s="2024"/>
      <c r="AB353" s="2024"/>
      <c r="AC353" s="2024"/>
      <c r="AD353" s="2024"/>
      <c r="AE353" s="2024"/>
      <c r="AF353" s="2024"/>
      <c r="AG353" s="2024"/>
      <c r="AH353" s="2024"/>
      <c r="AI353" s="2024"/>
      <c r="AJ353" s="2024"/>
      <c r="AK353" s="637"/>
      <c r="AL353" s="637"/>
      <c r="AM353" s="637"/>
      <c r="AN353" s="631"/>
      <c r="AO353" s="729" t="s">
        <v>593</v>
      </c>
      <c r="AP353" s="730">
        <f>IF(C410="Yes",5,0)</f>
        <v>0</v>
      </c>
    </row>
    <row r="354" spans="1:81" s="584" customFormat="1" ht="11.9" customHeight="1">
      <c r="A354" s="637"/>
      <c r="B354" s="645"/>
      <c r="C354" s="2024"/>
      <c r="D354" s="2024"/>
      <c r="E354" s="2024"/>
      <c r="F354" s="2024"/>
      <c r="G354" s="2024"/>
      <c r="H354" s="2024"/>
      <c r="I354" s="2024"/>
      <c r="J354" s="2024"/>
      <c r="K354" s="2024"/>
      <c r="L354" s="2024"/>
      <c r="M354" s="2024"/>
      <c r="N354" s="2024"/>
      <c r="O354" s="2024"/>
      <c r="P354" s="2024"/>
      <c r="Q354" s="2024"/>
      <c r="R354" s="2024"/>
      <c r="S354" s="2024"/>
      <c r="T354" s="2024"/>
      <c r="U354" s="2024"/>
      <c r="V354" s="2024"/>
      <c r="W354" s="2024"/>
      <c r="X354" s="2024"/>
      <c r="Y354" s="2024"/>
      <c r="Z354" s="2024"/>
      <c r="AA354" s="2024"/>
      <c r="AB354" s="2024"/>
      <c r="AC354" s="2024"/>
      <c r="AD354" s="2024"/>
      <c r="AE354" s="2024"/>
      <c r="AF354" s="2024"/>
      <c r="AG354" s="2024"/>
      <c r="AH354" s="2024"/>
      <c r="AI354" s="2024"/>
      <c r="AJ354" s="2024"/>
      <c r="AK354" s="637"/>
      <c r="AL354" s="637"/>
      <c r="AM354" s="637"/>
      <c r="AN354" s="631"/>
      <c r="AO354" s="731"/>
      <c r="AP354" s="732">
        <f>IF(C412="Yes",3,0)</f>
        <v>0</v>
      </c>
    </row>
    <row r="355" spans="1:81" s="584" customFormat="1" ht="12.4" customHeight="1">
      <c r="A355" s="637"/>
      <c r="B355" s="645"/>
      <c r="C355" s="2024"/>
      <c r="D355" s="2024"/>
      <c r="E355" s="2024"/>
      <c r="F355" s="2024"/>
      <c r="G355" s="2024"/>
      <c r="H355" s="2024"/>
      <c r="I355" s="2024"/>
      <c r="J355" s="2024"/>
      <c r="K355" s="2024"/>
      <c r="L355" s="2024"/>
      <c r="M355" s="2024"/>
      <c r="N355" s="2024"/>
      <c r="O355" s="2024"/>
      <c r="P355" s="2024"/>
      <c r="Q355" s="2024"/>
      <c r="R355" s="2024"/>
      <c r="S355" s="2024"/>
      <c r="T355" s="2024"/>
      <c r="U355" s="2024"/>
      <c r="V355" s="2024"/>
      <c r="W355" s="2024"/>
      <c r="X355" s="2024"/>
      <c r="Y355" s="2024"/>
      <c r="Z355" s="2024"/>
      <c r="AA355" s="2024"/>
      <c r="AB355" s="2024"/>
      <c r="AC355" s="2024"/>
      <c r="AD355" s="2024"/>
      <c r="AE355" s="2024"/>
      <c r="AF355" s="2024"/>
      <c r="AG355" s="2024"/>
      <c r="AH355" s="2024"/>
      <c r="AI355" s="2024"/>
      <c r="AJ355" s="2024"/>
      <c r="AK355" s="637"/>
      <c r="AL355" s="637"/>
      <c r="AM355" s="637"/>
      <c r="AN355" s="631"/>
      <c r="AO355" s="733" t="s">
        <v>228</v>
      </c>
      <c r="AP355" s="734">
        <f>SUM(AP346:AP354)</f>
        <v>10</v>
      </c>
      <c r="AQ355" s="1933">
        <f>IF(AP355&gt;0,AP355,0)</f>
        <v>10</v>
      </c>
      <c r="AR355" s="1933"/>
    </row>
    <row r="356" spans="1:81" s="584" customFormat="1" ht="12.75" customHeight="1">
      <c r="A356" s="637"/>
      <c r="B356" s="645"/>
      <c r="C356" s="2024"/>
      <c r="D356" s="2024"/>
      <c r="E356" s="2024"/>
      <c r="F356" s="2024"/>
      <c r="G356" s="2024"/>
      <c r="H356" s="2024"/>
      <c r="I356" s="2024"/>
      <c r="J356" s="2024"/>
      <c r="K356" s="2024"/>
      <c r="L356" s="2024"/>
      <c r="M356" s="2024"/>
      <c r="N356" s="2024"/>
      <c r="O356" s="2024"/>
      <c r="P356" s="2024"/>
      <c r="Q356" s="2024"/>
      <c r="R356" s="2024"/>
      <c r="S356" s="2024"/>
      <c r="T356" s="2024"/>
      <c r="U356" s="2024"/>
      <c r="V356" s="2024"/>
      <c r="W356" s="2024"/>
      <c r="X356" s="2024"/>
      <c r="Y356" s="2024"/>
      <c r="Z356" s="2024"/>
      <c r="AA356" s="2024"/>
      <c r="AB356" s="2024"/>
      <c r="AC356" s="2024"/>
      <c r="AD356" s="2024"/>
      <c r="AE356" s="2024"/>
      <c r="AF356" s="2024"/>
      <c r="AG356" s="2024"/>
      <c r="AH356" s="2024"/>
      <c r="AI356" s="2024"/>
      <c r="AJ356" s="2024"/>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30" t="s">
        <v>1570</v>
      </c>
      <c r="D358" s="1930"/>
      <c r="E358" s="1930"/>
      <c r="F358" s="1930"/>
      <c r="G358" s="1930"/>
      <c r="H358" s="1930"/>
      <c r="I358" s="1930"/>
      <c r="J358" s="1930"/>
      <c r="K358" s="1930"/>
      <c r="L358" s="1930"/>
      <c r="M358" s="1930"/>
      <c r="N358" s="1930"/>
      <c r="O358" s="1930"/>
      <c r="P358" s="1930"/>
      <c r="Q358" s="1930"/>
      <c r="R358" s="1930"/>
      <c r="S358" s="1930"/>
      <c r="T358" s="1930"/>
      <c r="U358" s="1930"/>
      <c r="V358" s="1930"/>
      <c r="W358" s="1930"/>
      <c r="X358" s="1930"/>
      <c r="Y358" s="1930"/>
      <c r="Z358" s="1930"/>
      <c r="AA358" s="1930"/>
      <c r="AB358" s="1930"/>
      <c r="AC358" s="1930"/>
      <c r="AD358" s="1930"/>
      <c r="AE358" s="1930"/>
      <c r="AF358" s="1930"/>
      <c r="AG358" s="1930"/>
      <c r="AH358" s="1930"/>
      <c r="AI358" s="1930"/>
      <c r="AJ358" s="1930"/>
      <c r="AK358" s="637"/>
      <c r="AL358" s="637"/>
      <c r="AM358" s="637"/>
      <c r="AN358" s="631"/>
      <c r="AO358" s="729" t="s">
        <v>465</v>
      </c>
      <c r="AP358" s="730">
        <f>IF(C431="Yes",5,0)</f>
        <v>0</v>
      </c>
    </row>
    <row r="359" spans="1:81" s="584" customFormat="1" ht="12.75" customHeight="1">
      <c r="A359" s="637"/>
      <c r="B359" s="645"/>
      <c r="C359" s="1930"/>
      <c r="D359" s="1930"/>
      <c r="E359" s="1930"/>
      <c r="F359" s="1930"/>
      <c r="G359" s="1930"/>
      <c r="H359" s="1930"/>
      <c r="I359" s="1930"/>
      <c r="J359" s="1930"/>
      <c r="K359" s="1930"/>
      <c r="L359" s="1930"/>
      <c r="M359" s="1930"/>
      <c r="N359" s="1930"/>
      <c r="O359" s="1930"/>
      <c r="P359" s="1930"/>
      <c r="Q359" s="1930"/>
      <c r="R359" s="1930"/>
      <c r="S359" s="1930"/>
      <c r="T359" s="1930"/>
      <c r="U359" s="1930"/>
      <c r="V359" s="1930"/>
      <c r="W359" s="1930"/>
      <c r="X359" s="1930"/>
      <c r="Y359" s="1930"/>
      <c r="Z359" s="1930"/>
      <c r="AA359" s="1930"/>
      <c r="AB359" s="1930"/>
      <c r="AC359" s="1930"/>
      <c r="AD359" s="1930"/>
      <c r="AE359" s="1930"/>
      <c r="AF359" s="1930"/>
      <c r="AG359" s="1930"/>
      <c r="AH359" s="1930"/>
      <c r="AI359" s="1930"/>
      <c r="AJ359" s="1930"/>
      <c r="AK359" s="637"/>
      <c r="AL359" s="637"/>
      <c r="AM359" s="637"/>
      <c r="AN359" s="631"/>
      <c r="AO359" s="729" t="s">
        <v>470</v>
      </c>
      <c r="AP359" s="730">
        <f>IF(C438="Yes",5,0)</f>
        <v>0</v>
      </c>
    </row>
    <row r="360" spans="1:81" s="584" customFormat="1" ht="68.150000000000006" customHeight="1">
      <c r="A360" s="637"/>
      <c r="B360" s="645"/>
      <c r="C360" s="1930"/>
      <c r="D360" s="1930"/>
      <c r="E360" s="1930"/>
      <c r="F360" s="1930"/>
      <c r="G360" s="1930"/>
      <c r="H360" s="1930"/>
      <c r="I360" s="1930"/>
      <c r="J360" s="1930"/>
      <c r="K360" s="1930"/>
      <c r="L360" s="1930"/>
      <c r="M360" s="1930"/>
      <c r="N360" s="1930"/>
      <c r="O360" s="1930"/>
      <c r="P360" s="1930"/>
      <c r="Q360" s="1930"/>
      <c r="R360" s="1930"/>
      <c r="S360" s="1930"/>
      <c r="T360" s="1930"/>
      <c r="U360" s="1930"/>
      <c r="V360" s="1930"/>
      <c r="W360" s="1930"/>
      <c r="X360" s="1930"/>
      <c r="Y360" s="1930"/>
      <c r="Z360" s="1930"/>
      <c r="AA360" s="1930"/>
      <c r="AB360" s="1930"/>
      <c r="AC360" s="1930"/>
      <c r="AD360" s="1930"/>
      <c r="AE360" s="1930"/>
      <c r="AF360" s="1930"/>
      <c r="AG360" s="1930"/>
      <c r="AH360" s="1930"/>
      <c r="AI360" s="1930"/>
      <c r="AJ360" s="1930"/>
      <c r="AK360" s="637"/>
      <c r="AL360" s="637"/>
      <c r="AM360" s="637"/>
      <c r="AN360" s="631"/>
      <c r="AO360" s="729" t="s">
        <v>655</v>
      </c>
      <c r="AP360" s="735">
        <f>IF(C442="Yes",5,0)</f>
        <v>0</v>
      </c>
    </row>
    <row r="361" spans="1:81" s="584" customFormat="1" ht="12.4" customHeight="1">
      <c r="A361" s="637"/>
      <c r="B361" s="645"/>
      <c r="C361" s="584" t="s">
        <v>1571</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2574</v>
      </c>
      <c r="D362" s="737"/>
      <c r="E362" s="737"/>
      <c r="F362" s="737"/>
      <c r="G362" s="737"/>
      <c r="H362" s="737"/>
      <c r="I362" s="737"/>
      <c r="J362" s="737"/>
      <c r="K362" s="737"/>
      <c r="L362" s="737"/>
      <c r="M362" s="701"/>
      <c r="N362" s="701"/>
      <c r="O362" s="738"/>
      <c r="P362" s="737"/>
      <c r="Q362" s="737"/>
      <c r="R362" s="701"/>
      <c r="S362" s="701"/>
      <c r="T362" s="737"/>
      <c r="U362" s="1931">
        <f>Application!CS660-U363</f>
        <v>90</v>
      </c>
      <c r="V362" s="1931"/>
      <c r="W362" s="1931"/>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2575</v>
      </c>
      <c r="D363" s="728"/>
      <c r="E363" s="728"/>
      <c r="F363" s="728"/>
      <c r="G363" s="728"/>
      <c r="H363" s="728"/>
      <c r="I363" s="728"/>
      <c r="J363" s="728"/>
      <c r="K363" s="728"/>
      <c r="L363" s="728"/>
      <c r="M363" s="728"/>
      <c r="N363" s="728"/>
      <c r="O363" s="728"/>
      <c r="P363" s="728"/>
      <c r="Q363" s="728"/>
      <c r="R363" s="728"/>
      <c r="S363" s="728"/>
      <c r="T363" s="728"/>
      <c r="U363" s="1932">
        <f>IF(Application!D211="SRO",Application!CS634,Application!AG756)</f>
        <v>0</v>
      </c>
      <c r="V363" s="1932"/>
      <c r="W363" s="1932"/>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3">
        <f>IF(AP364&gt;0,AP364,0)</f>
        <v>0</v>
      </c>
      <c r="AR364" s="1933"/>
    </row>
    <row r="365" spans="1:81" s="584" customFormat="1" ht="12.75" customHeight="1">
      <c r="A365" s="637"/>
      <c r="B365" s="14"/>
      <c r="C365" s="746" t="s">
        <v>2572</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1426</v>
      </c>
      <c r="F366" s="1924" t="s">
        <v>1572</v>
      </c>
      <c r="G366" s="1924"/>
      <c r="H366" s="1924"/>
      <c r="I366" s="1924"/>
      <c r="J366" s="1924"/>
      <c r="K366" s="1924"/>
      <c r="L366" s="1924"/>
      <c r="M366" s="1924"/>
      <c r="N366" s="1924"/>
      <c r="O366" s="1924"/>
      <c r="P366" s="1924"/>
      <c r="Q366" s="1924"/>
      <c r="R366" s="1924"/>
      <c r="S366" s="1924"/>
      <c r="T366" s="1924"/>
      <c r="U366" s="1924"/>
      <c r="V366" s="1924"/>
      <c r="W366" s="1924"/>
      <c r="X366" s="1924"/>
      <c r="Y366" s="1924"/>
      <c r="Z366" s="1924"/>
      <c r="AA366" s="1924"/>
      <c r="AB366" s="1924"/>
      <c r="AC366" s="1924"/>
      <c r="AD366" s="1924"/>
      <c r="AE366" s="1924"/>
      <c r="AF366" s="1924"/>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5"/>
      <c r="G367" s="1925"/>
      <c r="H367" s="1925"/>
      <c r="I367" s="1925"/>
      <c r="J367" s="1925"/>
      <c r="K367" s="1925"/>
      <c r="L367" s="1925"/>
      <c r="M367" s="1925"/>
      <c r="N367" s="1925"/>
      <c r="O367" s="1925"/>
      <c r="P367" s="1925"/>
      <c r="Q367" s="1925"/>
      <c r="R367" s="1925"/>
      <c r="S367" s="1925"/>
      <c r="T367" s="1925"/>
      <c r="U367" s="1925"/>
      <c r="V367" s="1925"/>
      <c r="W367" s="1925"/>
      <c r="X367" s="1925"/>
      <c r="Y367" s="1925"/>
      <c r="Z367" s="1925"/>
      <c r="AA367" s="1925"/>
      <c r="AB367" s="1925"/>
      <c r="AC367" s="1925"/>
      <c r="AD367" s="1925"/>
      <c r="AE367" s="1925"/>
      <c r="AF367" s="1925"/>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5"/>
      <c r="G368" s="1925"/>
      <c r="H368" s="1925"/>
      <c r="I368" s="1925"/>
      <c r="J368" s="1925"/>
      <c r="K368" s="1925"/>
      <c r="L368" s="1925"/>
      <c r="M368" s="1925"/>
      <c r="N368" s="1925"/>
      <c r="O368" s="1925"/>
      <c r="P368" s="1925"/>
      <c r="Q368" s="1925"/>
      <c r="R368" s="1925"/>
      <c r="S368" s="1925"/>
      <c r="T368" s="1925"/>
      <c r="U368" s="1925"/>
      <c r="V368" s="1925"/>
      <c r="W368" s="1925"/>
      <c r="X368" s="1925"/>
      <c r="Y368" s="1925"/>
      <c r="Z368" s="1925"/>
      <c r="AA368" s="1925"/>
      <c r="AB368" s="1925"/>
      <c r="AC368" s="1925"/>
      <c r="AD368" s="1925"/>
      <c r="AE368" s="1925"/>
      <c r="AF368" s="1925"/>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5"/>
      <c r="G369" s="1925"/>
      <c r="H369" s="1925"/>
      <c r="I369" s="1925"/>
      <c r="J369" s="1925"/>
      <c r="K369" s="1925"/>
      <c r="L369" s="1925"/>
      <c r="M369" s="1925"/>
      <c r="N369" s="1925"/>
      <c r="O369" s="1925"/>
      <c r="P369" s="1925"/>
      <c r="Q369" s="1925"/>
      <c r="R369" s="1925"/>
      <c r="S369" s="1925"/>
      <c r="T369" s="1925"/>
      <c r="U369" s="1925"/>
      <c r="V369" s="1925"/>
      <c r="W369" s="1925"/>
      <c r="X369" s="1925"/>
      <c r="Y369" s="1925"/>
      <c r="Z369" s="1925"/>
      <c r="AA369" s="1925"/>
      <c r="AB369" s="1925"/>
      <c r="AC369" s="1925"/>
      <c r="AD369" s="1925"/>
      <c r="AE369" s="1925"/>
      <c r="AF369" s="1925"/>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4" t="s">
        <v>554</v>
      </c>
      <c r="D370" s="1935"/>
      <c r="E370" s="753"/>
      <c r="F370" s="755" t="s">
        <v>1573</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3" t="s">
        <v>1574</v>
      </c>
      <c r="AG370" s="1923"/>
      <c r="AH370" s="1923"/>
      <c r="AI370" s="1923"/>
      <c r="AJ370" s="1923"/>
      <c r="AK370" s="1923"/>
      <c r="AL370" s="193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1428</v>
      </c>
      <c r="F373" s="1924" t="s">
        <v>1575</v>
      </c>
      <c r="G373" s="1924"/>
      <c r="H373" s="1924"/>
      <c r="I373" s="1924"/>
      <c r="J373" s="1924"/>
      <c r="K373" s="1924"/>
      <c r="L373" s="1924"/>
      <c r="M373" s="1924"/>
      <c r="N373" s="1924"/>
      <c r="O373" s="1924"/>
      <c r="P373" s="1924"/>
      <c r="Q373" s="1924"/>
      <c r="R373" s="1924"/>
      <c r="S373" s="1924"/>
      <c r="T373" s="1924"/>
      <c r="U373" s="1924"/>
      <c r="V373" s="1924"/>
      <c r="W373" s="1924"/>
      <c r="X373" s="1924"/>
      <c r="Y373" s="1924"/>
      <c r="Z373" s="1924"/>
      <c r="AA373" s="1924"/>
      <c r="AB373" s="1924"/>
      <c r="AC373" s="1924"/>
      <c r="AD373" s="1924"/>
      <c r="AE373" s="1924"/>
      <c r="AF373" s="1924"/>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5"/>
      <c r="G374" s="1925"/>
      <c r="H374" s="1925"/>
      <c r="I374" s="1925"/>
      <c r="J374" s="1925"/>
      <c r="K374" s="1925"/>
      <c r="L374" s="1925"/>
      <c r="M374" s="1925"/>
      <c r="N374" s="1925"/>
      <c r="O374" s="1925"/>
      <c r="P374" s="1925"/>
      <c r="Q374" s="1925"/>
      <c r="R374" s="1925"/>
      <c r="S374" s="1925"/>
      <c r="T374" s="1925"/>
      <c r="U374" s="1925"/>
      <c r="V374" s="1925"/>
      <c r="W374" s="1925"/>
      <c r="X374" s="1925"/>
      <c r="Y374" s="1925"/>
      <c r="Z374" s="1925"/>
      <c r="AA374" s="1925"/>
      <c r="AB374" s="1925"/>
      <c r="AC374" s="1925"/>
      <c r="AD374" s="1925"/>
      <c r="AE374" s="1925"/>
      <c r="AF374" s="1925"/>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5"/>
      <c r="G375" s="1925"/>
      <c r="H375" s="1925"/>
      <c r="I375" s="1925"/>
      <c r="J375" s="1925"/>
      <c r="K375" s="1925"/>
      <c r="L375" s="1925"/>
      <c r="M375" s="1925"/>
      <c r="N375" s="1925"/>
      <c r="O375" s="1925"/>
      <c r="P375" s="1925"/>
      <c r="Q375" s="1925"/>
      <c r="R375" s="1925"/>
      <c r="S375" s="1925"/>
      <c r="T375" s="1925"/>
      <c r="U375" s="1925"/>
      <c r="V375" s="1925"/>
      <c r="W375" s="1925"/>
      <c r="X375" s="1925"/>
      <c r="Y375" s="1925"/>
      <c r="Z375" s="1925"/>
      <c r="AA375" s="1925"/>
      <c r="AB375" s="1925"/>
      <c r="AC375" s="1925"/>
      <c r="AD375" s="1925"/>
      <c r="AE375" s="1925"/>
      <c r="AF375" s="1925"/>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5"/>
      <c r="G376" s="1925"/>
      <c r="H376" s="1925"/>
      <c r="I376" s="1925"/>
      <c r="J376" s="1925"/>
      <c r="K376" s="1925"/>
      <c r="L376" s="1925"/>
      <c r="M376" s="1925"/>
      <c r="N376" s="1925"/>
      <c r="O376" s="1925"/>
      <c r="P376" s="1925"/>
      <c r="Q376" s="1925"/>
      <c r="R376" s="1925"/>
      <c r="S376" s="1925"/>
      <c r="T376" s="1925"/>
      <c r="U376" s="1925"/>
      <c r="V376" s="1925"/>
      <c r="W376" s="1925"/>
      <c r="X376" s="1925"/>
      <c r="Y376" s="1925"/>
      <c r="Z376" s="1925"/>
      <c r="AA376" s="1925"/>
      <c r="AB376" s="1925"/>
      <c r="AC376" s="1925"/>
      <c r="AD376" s="1925"/>
      <c r="AE376" s="1925"/>
      <c r="AF376" s="1925"/>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5"/>
      <c r="G377" s="1925"/>
      <c r="H377" s="1925"/>
      <c r="I377" s="1925"/>
      <c r="J377" s="1925"/>
      <c r="K377" s="1925"/>
      <c r="L377" s="1925"/>
      <c r="M377" s="1925"/>
      <c r="N377" s="1925"/>
      <c r="O377" s="1925"/>
      <c r="P377" s="1925"/>
      <c r="Q377" s="1925"/>
      <c r="R377" s="1925"/>
      <c r="S377" s="1925"/>
      <c r="T377" s="1925"/>
      <c r="U377" s="1925"/>
      <c r="V377" s="1925"/>
      <c r="W377" s="1925"/>
      <c r="X377" s="1925"/>
      <c r="Y377" s="1925"/>
      <c r="Z377" s="1925"/>
      <c r="AA377" s="1925"/>
      <c r="AB377" s="1925"/>
      <c r="AC377" s="1925"/>
      <c r="AD377" s="1925"/>
      <c r="AE377" s="1925"/>
      <c r="AF377" s="1925"/>
      <c r="AL377" s="766"/>
      <c r="AN377" s="631"/>
      <c r="BS377" s="30"/>
      <c r="BT377" s="30"/>
      <c r="BU377" s="14"/>
      <c r="BV377" s="14"/>
      <c r="BW377" s="14"/>
      <c r="BX377" s="14"/>
      <c r="BY377" s="14"/>
      <c r="BZ377" s="14"/>
      <c r="CA377" s="14"/>
      <c r="CB377" s="14"/>
      <c r="CC377" s="14"/>
    </row>
    <row r="378" spans="1:81" s="584" customFormat="1" ht="12.75" customHeight="1">
      <c r="A378" s="570"/>
      <c r="B378" s="14"/>
      <c r="C378" s="1934" t="s">
        <v>600</v>
      </c>
      <c r="D378" s="1935"/>
      <c r="E378" s="725"/>
      <c r="F378" s="755" t="s">
        <v>1576</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3" t="s">
        <v>1574</v>
      </c>
      <c r="AG378" s="1923"/>
      <c r="AH378" s="1923"/>
      <c r="AI378" s="1923"/>
      <c r="AJ378" s="1923"/>
      <c r="AK378" s="1923"/>
      <c r="AL378" s="193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1431</v>
      </c>
      <c r="F381" s="1924" t="s">
        <v>1577</v>
      </c>
      <c r="G381" s="1924"/>
      <c r="H381" s="1924"/>
      <c r="I381" s="1924"/>
      <c r="J381" s="1924"/>
      <c r="K381" s="1924"/>
      <c r="L381" s="1924"/>
      <c r="M381" s="1924"/>
      <c r="N381" s="1924"/>
      <c r="O381" s="1924"/>
      <c r="P381" s="1924"/>
      <c r="Q381" s="1924"/>
      <c r="R381" s="1924"/>
      <c r="S381" s="1924"/>
      <c r="T381" s="1924"/>
      <c r="U381" s="1924"/>
      <c r="V381" s="1924"/>
      <c r="W381" s="1924"/>
      <c r="X381" s="1924"/>
      <c r="Y381" s="1924"/>
      <c r="Z381" s="1924"/>
      <c r="AA381" s="1924"/>
      <c r="AB381" s="1924"/>
      <c r="AC381" s="1924"/>
      <c r="AD381" s="1924"/>
      <c r="AE381" s="1924"/>
      <c r="AF381" s="1924"/>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5"/>
      <c r="G382" s="1925"/>
      <c r="H382" s="1925"/>
      <c r="I382" s="1925"/>
      <c r="J382" s="1925"/>
      <c r="K382" s="1925"/>
      <c r="L382" s="1925"/>
      <c r="M382" s="1925"/>
      <c r="N382" s="1925"/>
      <c r="O382" s="1925"/>
      <c r="P382" s="1925"/>
      <c r="Q382" s="1925"/>
      <c r="R382" s="1925"/>
      <c r="S382" s="1925"/>
      <c r="T382" s="1925"/>
      <c r="U382" s="1925"/>
      <c r="V382" s="1925"/>
      <c r="W382" s="1925"/>
      <c r="X382" s="1925"/>
      <c r="Y382" s="1925"/>
      <c r="Z382" s="1925"/>
      <c r="AA382" s="1925"/>
      <c r="AB382" s="1925"/>
      <c r="AC382" s="1925"/>
      <c r="AD382" s="1925"/>
      <c r="AE382" s="1925"/>
      <c r="AF382" s="1925"/>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5"/>
      <c r="G383" s="1925"/>
      <c r="H383" s="1925"/>
      <c r="I383" s="1925"/>
      <c r="J383" s="1925"/>
      <c r="K383" s="1925"/>
      <c r="L383" s="1925"/>
      <c r="M383" s="1925"/>
      <c r="N383" s="1925"/>
      <c r="O383" s="1925"/>
      <c r="P383" s="1925"/>
      <c r="Q383" s="1925"/>
      <c r="R383" s="1925"/>
      <c r="S383" s="1925"/>
      <c r="T383" s="1925"/>
      <c r="U383" s="1925"/>
      <c r="V383" s="1925"/>
      <c r="W383" s="1925"/>
      <c r="X383" s="1925"/>
      <c r="Y383" s="1925"/>
      <c r="Z383" s="1925"/>
      <c r="AA383" s="1925"/>
      <c r="AB383" s="1925"/>
      <c r="AC383" s="1925"/>
      <c r="AD383" s="1925"/>
      <c r="AE383" s="1925"/>
      <c r="AF383" s="1925"/>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5"/>
      <c r="G384" s="1925"/>
      <c r="H384" s="1925"/>
      <c r="I384" s="1925"/>
      <c r="J384" s="1925"/>
      <c r="K384" s="1925"/>
      <c r="L384" s="1925"/>
      <c r="M384" s="1925"/>
      <c r="N384" s="1925"/>
      <c r="O384" s="1925"/>
      <c r="P384" s="1925"/>
      <c r="Q384" s="1925"/>
      <c r="R384" s="1925"/>
      <c r="S384" s="1925"/>
      <c r="T384" s="1925"/>
      <c r="U384" s="1925"/>
      <c r="V384" s="1925"/>
      <c r="W384" s="1925"/>
      <c r="X384" s="1925"/>
      <c r="Y384" s="1925"/>
      <c r="Z384" s="1925"/>
      <c r="AA384" s="1925"/>
      <c r="AB384" s="1925"/>
      <c r="AC384" s="1925"/>
      <c r="AD384" s="1925"/>
      <c r="AE384" s="1925"/>
      <c r="AF384" s="1925"/>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5"/>
      <c r="G385" s="1925"/>
      <c r="H385" s="1925"/>
      <c r="I385" s="1925"/>
      <c r="J385" s="1925"/>
      <c r="K385" s="1925"/>
      <c r="L385" s="1925"/>
      <c r="M385" s="1925"/>
      <c r="N385" s="1925"/>
      <c r="O385" s="1925"/>
      <c r="P385" s="1925"/>
      <c r="Q385" s="1925"/>
      <c r="R385" s="1925"/>
      <c r="S385" s="1925"/>
      <c r="T385" s="1925"/>
      <c r="U385" s="1925"/>
      <c r="V385" s="1925"/>
      <c r="W385" s="1925"/>
      <c r="X385" s="1925"/>
      <c r="Y385" s="1925"/>
      <c r="Z385" s="1925"/>
      <c r="AA385" s="1925"/>
      <c r="AB385" s="1925"/>
      <c r="AC385" s="1925"/>
      <c r="AD385" s="1925"/>
      <c r="AE385" s="1925"/>
      <c r="AF385" s="1925"/>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4" t="s">
        <v>600</v>
      </c>
      <c r="D386" s="1935"/>
      <c r="E386" s="725"/>
      <c r="F386" s="755" t="s">
        <v>1578</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3" t="s">
        <v>1579</v>
      </c>
      <c r="AG386" s="1923"/>
      <c r="AH386" s="1923"/>
      <c r="AI386" s="1923"/>
      <c r="AJ386" s="1923"/>
      <c r="AK386" s="1923"/>
      <c r="AL386" s="193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4" t="s">
        <v>554</v>
      </c>
      <c r="D388" s="1935"/>
      <c r="E388" s="725"/>
      <c r="F388" s="772" t="s">
        <v>1580</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3" t="s">
        <v>1574</v>
      </c>
      <c r="AG388" s="1923"/>
      <c r="AH388" s="1923"/>
      <c r="AI388" s="1923"/>
      <c r="AJ388" s="1923"/>
      <c r="AK388" s="1923"/>
      <c r="AL388" s="193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1581</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1582</v>
      </c>
      <c r="F392" s="1924" t="s">
        <v>1583</v>
      </c>
      <c r="G392" s="1924"/>
      <c r="H392" s="1924"/>
      <c r="I392" s="1924"/>
      <c r="J392" s="1924"/>
      <c r="K392" s="1924"/>
      <c r="L392" s="1924"/>
      <c r="M392" s="1924"/>
      <c r="N392" s="1924"/>
      <c r="O392" s="1924"/>
      <c r="P392" s="1924"/>
      <c r="Q392" s="1924"/>
      <c r="R392" s="1924"/>
      <c r="S392" s="1924"/>
      <c r="T392" s="1924"/>
      <c r="U392" s="1924"/>
      <c r="V392" s="1924"/>
      <c r="W392" s="1924"/>
      <c r="X392" s="1924"/>
      <c r="Y392" s="1924"/>
      <c r="Z392" s="1924"/>
      <c r="AA392" s="1924"/>
      <c r="AB392" s="1924"/>
      <c r="AC392" s="1924"/>
      <c r="AD392" s="1924"/>
      <c r="AE392" s="1924"/>
      <c r="AF392" s="1924"/>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5"/>
      <c r="G393" s="1925"/>
      <c r="H393" s="1925"/>
      <c r="I393" s="1925"/>
      <c r="J393" s="1925"/>
      <c r="K393" s="1925"/>
      <c r="L393" s="1925"/>
      <c r="M393" s="1925"/>
      <c r="N393" s="1925"/>
      <c r="O393" s="1925"/>
      <c r="P393" s="1925"/>
      <c r="Q393" s="1925"/>
      <c r="R393" s="1925"/>
      <c r="S393" s="1925"/>
      <c r="T393" s="1925"/>
      <c r="U393" s="1925"/>
      <c r="V393" s="1925"/>
      <c r="W393" s="1925"/>
      <c r="X393" s="1925"/>
      <c r="Y393" s="1925"/>
      <c r="Z393" s="1925"/>
      <c r="AA393" s="1925"/>
      <c r="AB393" s="1925"/>
      <c r="AC393" s="1925"/>
      <c r="AD393" s="1925"/>
      <c r="AE393" s="1925"/>
      <c r="AF393" s="1925"/>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1925"/>
      <c r="G394" s="1925"/>
      <c r="H394" s="1925"/>
      <c r="I394" s="1925"/>
      <c r="J394" s="1925"/>
      <c r="K394" s="1925"/>
      <c r="L394" s="1925"/>
      <c r="M394" s="1925"/>
      <c r="N394" s="1925"/>
      <c r="O394" s="1925"/>
      <c r="P394" s="1925"/>
      <c r="Q394" s="1925"/>
      <c r="R394" s="1925"/>
      <c r="S394" s="1925"/>
      <c r="T394" s="1925"/>
      <c r="U394" s="1925"/>
      <c r="V394" s="1925"/>
      <c r="W394" s="1925"/>
      <c r="X394" s="1925"/>
      <c r="Y394" s="1925"/>
      <c r="Z394" s="1925"/>
      <c r="AA394" s="1925"/>
      <c r="AB394" s="1925"/>
      <c r="AC394" s="1925"/>
      <c r="AD394" s="1925"/>
      <c r="AE394" s="1925"/>
      <c r="AF394" s="1925"/>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5"/>
      <c r="G395" s="1925"/>
      <c r="H395" s="1925"/>
      <c r="I395" s="1925"/>
      <c r="J395" s="1925"/>
      <c r="K395" s="1925"/>
      <c r="L395" s="1925"/>
      <c r="M395" s="1925"/>
      <c r="N395" s="1925"/>
      <c r="O395" s="1925"/>
      <c r="P395" s="1925"/>
      <c r="Q395" s="1925"/>
      <c r="R395" s="1925"/>
      <c r="S395" s="1925"/>
      <c r="T395" s="1925"/>
      <c r="U395" s="1925"/>
      <c r="V395" s="1925"/>
      <c r="W395" s="1925"/>
      <c r="X395" s="1925"/>
      <c r="Y395" s="1925"/>
      <c r="Z395" s="1925"/>
      <c r="AA395" s="1925"/>
      <c r="AB395" s="1925"/>
      <c r="AC395" s="1925"/>
      <c r="AD395" s="1925"/>
      <c r="AE395" s="1925"/>
      <c r="AF395" s="1925"/>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4" t="s">
        <v>600</v>
      </c>
      <c r="D396" s="1935"/>
      <c r="E396" s="725"/>
      <c r="F396" s="755" t="s">
        <v>1584</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3" t="s">
        <v>1574</v>
      </c>
      <c r="AG396" s="1923"/>
      <c r="AH396" s="1923"/>
      <c r="AI396" s="1923"/>
      <c r="AJ396" s="1923"/>
      <c r="AK396" s="1923"/>
      <c r="AL396" s="193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4" t="s">
        <v>600</v>
      </c>
      <c r="D398" s="1935"/>
      <c r="E398" s="753"/>
      <c r="F398" s="755" t="s">
        <v>1585</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3" t="s">
        <v>1586</v>
      </c>
      <c r="AG398" s="1923"/>
      <c r="AH398" s="1923"/>
      <c r="AI398" s="1923"/>
      <c r="AJ398" s="1923"/>
      <c r="AK398" s="1923"/>
      <c r="AL398" s="193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4" t="s">
        <v>600</v>
      </c>
      <c r="D401" s="1935"/>
      <c r="E401" s="749" t="s">
        <v>1587</v>
      </c>
      <c r="F401" s="1924" t="s">
        <v>1588</v>
      </c>
      <c r="G401" s="1924"/>
      <c r="H401" s="1924"/>
      <c r="I401" s="1924"/>
      <c r="J401" s="1924"/>
      <c r="K401" s="1924"/>
      <c r="L401" s="1924"/>
      <c r="M401" s="1924"/>
      <c r="N401" s="1924"/>
      <c r="O401" s="1924"/>
      <c r="P401" s="1924"/>
      <c r="Q401" s="1924"/>
      <c r="R401" s="1924"/>
      <c r="S401" s="1924"/>
      <c r="T401" s="1924"/>
      <c r="U401" s="1924"/>
      <c r="V401" s="1924"/>
      <c r="W401" s="1924"/>
      <c r="X401" s="1924"/>
      <c r="Y401" s="1924"/>
      <c r="Z401" s="1924"/>
      <c r="AA401" s="1924"/>
      <c r="AB401" s="1924"/>
      <c r="AC401" s="1924"/>
      <c r="AD401" s="1924"/>
      <c r="AE401" s="1924"/>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5"/>
      <c r="G402" s="1925"/>
      <c r="H402" s="1925"/>
      <c r="I402" s="1925"/>
      <c r="J402" s="1925"/>
      <c r="K402" s="1925"/>
      <c r="L402" s="1925"/>
      <c r="M402" s="1925"/>
      <c r="N402" s="1925"/>
      <c r="O402" s="1925"/>
      <c r="P402" s="1925"/>
      <c r="Q402" s="1925"/>
      <c r="R402" s="1925"/>
      <c r="S402" s="1925"/>
      <c r="T402" s="1925"/>
      <c r="U402" s="1925"/>
      <c r="V402" s="1925"/>
      <c r="W402" s="1925"/>
      <c r="X402" s="1925"/>
      <c r="Y402" s="1925"/>
      <c r="Z402" s="1925"/>
      <c r="AA402" s="1925"/>
      <c r="AB402" s="1925"/>
      <c r="AC402" s="1925"/>
      <c r="AD402" s="1925"/>
      <c r="AE402" s="1925"/>
      <c r="AF402" s="1993" t="s">
        <v>1574</v>
      </c>
      <c r="AG402" s="1993"/>
      <c r="AH402" s="1993"/>
      <c r="AI402" s="1993"/>
      <c r="AJ402" s="1993"/>
      <c r="AK402" s="1993"/>
      <c r="AL402" s="2023"/>
      <c r="AM402" s="604"/>
      <c r="AN402" s="631"/>
      <c r="BS402" s="604"/>
      <c r="BT402" s="604"/>
      <c r="BY402" s="604"/>
      <c r="BZ402" s="604"/>
      <c r="CA402" s="604"/>
      <c r="CB402" s="604"/>
      <c r="CC402" s="604"/>
    </row>
    <row r="403" spans="1:81" s="584" customFormat="1" ht="12.75" customHeight="1">
      <c r="A403" s="570"/>
      <c r="B403" s="14"/>
      <c r="C403" s="765"/>
      <c r="D403" s="14"/>
      <c r="E403" s="725"/>
      <c r="F403" s="1925"/>
      <c r="G403" s="1925"/>
      <c r="H403" s="1925"/>
      <c r="I403" s="1925"/>
      <c r="J403" s="1925"/>
      <c r="K403" s="1925"/>
      <c r="L403" s="1925"/>
      <c r="M403" s="1925"/>
      <c r="N403" s="1925"/>
      <c r="O403" s="1925"/>
      <c r="P403" s="1925"/>
      <c r="Q403" s="1925"/>
      <c r="R403" s="1925"/>
      <c r="S403" s="1925"/>
      <c r="T403" s="1925"/>
      <c r="U403" s="1925"/>
      <c r="V403" s="1925"/>
      <c r="W403" s="1925"/>
      <c r="X403" s="1925"/>
      <c r="Y403" s="1925"/>
      <c r="Z403" s="1925"/>
      <c r="AA403" s="1925"/>
      <c r="AB403" s="1925"/>
      <c r="AC403" s="1925"/>
      <c r="AD403" s="1925"/>
      <c r="AE403" s="1925"/>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7"/>
      <c r="G404" s="2007"/>
      <c r="H404" s="2007"/>
      <c r="I404" s="2007"/>
      <c r="J404" s="2007"/>
      <c r="K404" s="2007"/>
      <c r="L404" s="2007"/>
      <c r="M404" s="2007"/>
      <c r="N404" s="2007"/>
      <c r="O404" s="2007"/>
      <c r="P404" s="2007"/>
      <c r="Q404" s="2007"/>
      <c r="R404" s="2007"/>
      <c r="S404" s="2007"/>
      <c r="T404" s="2007"/>
      <c r="U404" s="2007"/>
      <c r="V404" s="2007"/>
      <c r="W404" s="2007"/>
      <c r="X404" s="2007"/>
      <c r="Y404" s="2007"/>
      <c r="Z404" s="2007"/>
      <c r="AA404" s="2007"/>
      <c r="AB404" s="2007"/>
      <c r="AC404" s="2007"/>
      <c r="AD404" s="2007"/>
      <c r="AE404" s="2007"/>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1589</v>
      </c>
      <c r="F406" s="1924" t="s">
        <v>1590</v>
      </c>
      <c r="G406" s="1924"/>
      <c r="H406" s="1924"/>
      <c r="I406" s="1924"/>
      <c r="J406" s="1924"/>
      <c r="K406" s="1924"/>
      <c r="L406" s="1924"/>
      <c r="M406" s="1924"/>
      <c r="N406" s="1924"/>
      <c r="O406" s="1924"/>
      <c r="P406" s="1924"/>
      <c r="Q406" s="1924"/>
      <c r="R406" s="1924"/>
      <c r="S406" s="1924"/>
      <c r="T406" s="1924"/>
      <c r="U406" s="1924"/>
      <c r="V406" s="1924"/>
      <c r="W406" s="1924"/>
      <c r="X406" s="1924"/>
      <c r="Y406" s="1924"/>
      <c r="Z406" s="1924"/>
      <c r="AA406" s="1924"/>
      <c r="AB406" s="1924"/>
      <c r="AC406" s="1924"/>
      <c r="AD406" s="1924"/>
      <c r="AE406" s="1924"/>
      <c r="AF406" s="781"/>
      <c r="AG406" s="781"/>
      <c r="AH406" s="781"/>
      <c r="AI406" s="781"/>
      <c r="AJ406" s="781"/>
      <c r="AK406" s="781"/>
      <c r="AL406" s="782"/>
      <c r="AM406" s="604"/>
    </row>
    <row r="407" spans="1:81" ht="13">
      <c r="A407" s="570"/>
      <c r="C407" s="765"/>
      <c r="E407" s="725"/>
      <c r="F407" s="1925"/>
      <c r="G407" s="1925"/>
      <c r="H407" s="1925"/>
      <c r="I407" s="1925"/>
      <c r="J407" s="1925"/>
      <c r="K407" s="1925"/>
      <c r="L407" s="1925"/>
      <c r="M407" s="1925"/>
      <c r="N407" s="1925"/>
      <c r="O407" s="1925"/>
      <c r="P407" s="1925"/>
      <c r="Q407" s="1925"/>
      <c r="R407" s="1925"/>
      <c r="S407" s="1925"/>
      <c r="T407" s="1925"/>
      <c r="U407" s="1925"/>
      <c r="V407" s="1925"/>
      <c r="W407" s="1925"/>
      <c r="X407" s="1925"/>
      <c r="Y407" s="1925"/>
      <c r="Z407" s="1925"/>
      <c r="AA407" s="1925"/>
      <c r="AB407" s="1925"/>
      <c r="AC407" s="1925"/>
      <c r="AD407" s="1925"/>
      <c r="AE407" s="1925"/>
      <c r="AF407" s="573"/>
      <c r="AG407" s="570"/>
      <c r="AH407" s="584"/>
      <c r="AI407" s="584"/>
      <c r="AJ407" s="584"/>
      <c r="AK407" s="584"/>
      <c r="AL407" s="766"/>
      <c r="AM407" s="604"/>
    </row>
    <row r="408" spans="1:81" s="584" customFormat="1" ht="12.75" customHeight="1">
      <c r="A408" s="570"/>
      <c r="B408" s="14"/>
      <c r="C408" s="765"/>
      <c r="D408" s="14"/>
      <c r="E408" s="725"/>
      <c r="F408" s="1925"/>
      <c r="G408" s="1925"/>
      <c r="H408" s="1925"/>
      <c r="I408" s="1925"/>
      <c r="J408" s="1925"/>
      <c r="K408" s="1925"/>
      <c r="L408" s="1925"/>
      <c r="M408" s="1925"/>
      <c r="N408" s="1925"/>
      <c r="O408" s="1925"/>
      <c r="P408" s="1925"/>
      <c r="Q408" s="1925"/>
      <c r="R408" s="1925"/>
      <c r="S408" s="1925"/>
      <c r="T408" s="1925"/>
      <c r="U408" s="1925"/>
      <c r="V408" s="1925"/>
      <c r="W408" s="1925"/>
      <c r="X408" s="1925"/>
      <c r="Y408" s="1925"/>
      <c r="Z408" s="1925"/>
      <c r="AA408" s="1925"/>
      <c r="AB408" s="1925"/>
      <c r="AC408" s="1925"/>
      <c r="AD408" s="1925"/>
      <c r="AE408" s="1925"/>
      <c r="AL408" s="766"/>
      <c r="AM408" s="604"/>
      <c r="AN408" s="631"/>
    </row>
    <row r="409" spans="1:81" s="584" customFormat="1" ht="12.75" customHeight="1">
      <c r="A409" s="570"/>
      <c r="B409" s="14"/>
      <c r="C409" s="773"/>
      <c r="F409" s="1925"/>
      <c r="G409" s="1925"/>
      <c r="H409" s="1925"/>
      <c r="I409" s="1925"/>
      <c r="J409" s="1925"/>
      <c r="K409" s="1925"/>
      <c r="L409" s="1925"/>
      <c r="M409" s="1925"/>
      <c r="N409" s="1925"/>
      <c r="O409" s="1925"/>
      <c r="P409" s="1925"/>
      <c r="Q409" s="1925"/>
      <c r="R409" s="1925"/>
      <c r="S409" s="1925"/>
      <c r="T409" s="1925"/>
      <c r="U409" s="1925"/>
      <c r="V409" s="1925"/>
      <c r="W409" s="1925"/>
      <c r="X409" s="1925"/>
      <c r="Y409" s="1925"/>
      <c r="Z409" s="1925"/>
      <c r="AA409" s="1925"/>
      <c r="AB409" s="1925"/>
      <c r="AC409" s="1925"/>
      <c r="AD409" s="1925"/>
      <c r="AE409" s="1925"/>
      <c r="AL409" s="766"/>
      <c r="AM409" s="604"/>
      <c r="AN409" s="631"/>
    </row>
    <row r="410" spans="1:81" s="584" customFormat="1" ht="12.75" customHeight="1">
      <c r="A410" s="570"/>
      <c r="B410" s="14"/>
      <c r="C410" s="1934" t="s">
        <v>600</v>
      </c>
      <c r="D410" s="1935"/>
      <c r="E410" s="725"/>
      <c r="F410" s="755" t="s">
        <v>1591</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3" t="s">
        <v>1574</v>
      </c>
      <c r="AG410" s="1993"/>
      <c r="AH410" s="1993"/>
      <c r="AI410" s="1993"/>
      <c r="AJ410" s="1993"/>
      <c r="AK410" s="1993"/>
      <c r="AL410" s="2023"/>
      <c r="AM410" s="604"/>
      <c r="AN410" s="631"/>
    </row>
    <row r="411" spans="1:81" s="584" customFormat="1" ht="12.75" customHeight="1">
      <c r="A411" s="570"/>
      <c r="B411" s="14"/>
      <c r="C411" s="773"/>
      <c r="AL411" s="766"/>
      <c r="AM411" s="604"/>
      <c r="AN411" s="631"/>
    </row>
    <row r="412" spans="1:81" s="584" customFormat="1" ht="12.75" customHeight="1">
      <c r="A412" s="570"/>
      <c r="B412" s="14"/>
      <c r="C412" s="1934" t="s">
        <v>600</v>
      </c>
      <c r="D412" s="1935"/>
      <c r="E412" s="753"/>
      <c r="F412" s="755" t="s">
        <v>1592</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3" t="s">
        <v>1586</v>
      </c>
      <c r="AG412" s="1993"/>
      <c r="AH412" s="1993"/>
      <c r="AI412" s="1993"/>
      <c r="AJ412" s="1993"/>
      <c r="AK412" s="1993"/>
      <c r="AL412" s="2023"/>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2573</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1593</v>
      </c>
      <c r="F416" s="1924" t="s">
        <v>1594</v>
      </c>
      <c r="G416" s="1924"/>
      <c r="H416" s="1924"/>
      <c r="I416" s="1924"/>
      <c r="J416" s="1924"/>
      <c r="K416" s="1924"/>
      <c r="L416" s="1924"/>
      <c r="M416" s="1924"/>
      <c r="N416" s="1924"/>
      <c r="O416" s="1924"/>
      <c r="P416" s="1924"/>
      <c r="Q416" s="1924"/>
      <c r="R416" s="1924"/>
      <c r="S416" s="1924"/>
      <c r="T416" s="1924"/>
      <c r="U416" s="1924"/>
      <c r="V416" s="1924"/>
      <c r="W416" s="1924"/>
      <c r="X416" s="1924"/>
      <c r="Y416" s="1924"/>
      <c r="Z416" s="1924"/>
      <c r="AA416" s="1924"/>
      <c r="AB416" s="1924"/>
      <c r="AC416" s="1924"/>
      <c r="AD416" s="1924"/>
      <c r="AE416" s="1924"/>
      <c r="AF416" s="748"/>
      <c r="AG416" s="748"/>
      <c r="AH416" s="748"/>
      <c r="AI416" s="748"/>
      <c r="AJ416" s="748"/>
      <c r="AK416" s="748"/>
      <c r="AL416" s="779"/>
      <c r="AM416" s="604"/>
      <c r="AN416" s="631"/>
    </row>
    <row r="417" spans="1:60" s="584" customFormat="1" ht="12.75" customHeight="1">
      <c r="A417" s="570"/>
      <c r="B417" s="14"/>
      <c r="C417" s="765"/>
      <c r="D417" s="14"/>
      <c r="E417" s="725"/>
      <c r="F417" s="1925"/>
      <c r="G417" s="1925"/>
      <c r="H417" s="1925"/>
      <c r="I417" s="1925"/>
      <c r="J417" s="1925"/>
      <c r="K417" s="1925"/>
      <c r="L417" s="1925"/>
      <c r="M417" s="1925"/>
      <c r="N417" s="1925"/>
      <c r="O417" s="1925"/>
      <c r="P417" s="1925"/>
      <c r="Q417" s="1925"/>
      <c r="R417" s="1925"/>
      <c r="S417" s="1925"/>
      <c r="T417" s="1925"/>
      <c r="U417" s="1925"/>
      <c r="V417" s="1925"/>
      <c r="W417" s="1925"/>
      <c r="X417" s="1925"/>
      <c r="Y417" s="1925"/>
      <c r="Z417" s="1925"/>
      <c r="AA417" s="1925"/>
      <c r="AB417" s="1925"/>
      <c r="AC417" s="1925"/>
      <c r="AD417" s="1925"/>
      <c r="AE417" s="1925"/>
      <c r="AF417" s="573"/>
      <c r="AG417" s="570"/>
      <c r="AL417" s="766"/>
      <c r="AM417" s="604"/>
      <c r="AN417" s="631"/>
    </row>
    <row r="418" spans="1:60" s="584" customFormat="1" ht="12.4" customHeight="1">
      <c r="A418" s="570"/>
      <c r="B418" s="14"/>
      <c r="C418" s="765"/>
      <c r="D418" s="14"/>
      <c r="E418" s="725"/>
      <c r="F418" s="1925"/>
      <c r="G418" s="1925"/>
      <c r="H418" s="1925"/>
      <c r="I418" s="1925"/>
      <c r="J418" s="1925"/>
      <c r="K418" s="1925"/>
      <c r="L418" s="1925"/>
      <c r="M418" s="1925"/>
      <c r="N418" s="1925"/>
      <c r="O418" s="1925"/>
      <c r="P418" s="1925"/>
      <c r="Q418" s="1925"/>
      <c r="R418" s="1925"/>
      <c r="S418" s="1925"/>
      <c r="T418" s="1925"/>
      <c r="U418" s="1925"/>
      <c r="V418" s="1925"/>
      <c r="W418" s="1925"/>
      <c r="X418" s="1925"/>
      <c r="Y418" s="1925"/>
      <c r="Z418" s="1925"/>
      <c r="AA418" s="1925"/>
      <c r="AB418" s="1925"/>
      <c r="AC418" s="1925"/>
      <c r="AD418" s="1925"/>
      <c r="AE418" s="1925"/>
      <c r="AL418" s="766"/>
      <c r="AM418" s="604"/>
      <c r="AN418" s="631"/>
    </row>
    <row r="419" spans="1:60" s="584" customFormat="1" ht="12.75" customHeight="1">
      <c r="A419" s="570"/>
      <c r="B419" s="14"/>
      <c r="C419" s="1934" t="s">
        <v>600</v>
      </c>
      <c r="D419" s="1935"/>
      <c r="E419" s="725"/>
      <c r="F419" s="755" t="s">
        <v>1595</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3" t="s">
        <v>1574</v>
      </c>
      <c r="AG419" s="1993"/>
      <c r="AH419" s="1993"/>
      <c r="AI419" s="1993"/>
      <c r="AJ419" s="1993"/>
      <c r="AK419" s="1993"/>
      <c r="AL419" s="2023"/>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1596</v>
      </c>
      <c r="F422" s="1924" t="s">
        <v>1597</v>
      </c>
      <c r="G422" s="1924"/>
      <c r="H422" s="1924"/>
      <c r="I422" s="1924"/>
      <c r="J422" s="1924"/>
      <c r="K422" s="1924"/>
      <c r="L422" s="1924"/>
      <c r="M422" s="1924"/>
      <c r="N422" s="1924"/>
      <c r="O422" s="1924"/>
      <c r="P422" s="1924"/>
      <c r="Q422" s="1924"/>
      <c r="R422" s="1924"/>
      <c r="S422" s="1924"/>
      <c r="T422" s="1924"/>
      <c r="U422" s="1924"/>
      <c r="V422" s="1924"/>
      <c r="W422" s="1924"/>
      <c r="X422" s="1924"/>
      <c r="Y422" s="1924"/>
      <c r="Z422" s="1924"/>
      <c r="AA422" s="1924"/>
      <c r="AB422" s="1924"/>
      <c r="AC422" s="1924"/>
      <c r="AD422" s="1924"/>
      <c r="AE422" s="1924"/>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1925"/>
      <c r="G423" s="1925"/>
      <c r="H423" s="1925"/>
      <c r="I423" s="1925"/>
      <c r="J423" s="1925"/>
      <c r="K423" s="1925"/>
      <c r="L423" s="1925"/>
      <c r="M423" s="1925"/>
      <c r="N423" s="1925"/>
      <c r="O423" s="1925"/>
      <c r="P423" s="1925"/>
      <c r="Q423" s="1925"/>
      <c r="R423" s="1925"/>
      <c r="S423" s="1925"/>
      <c r="T423" s="1925"/>
      <c r="U423" s="1925"/>
      <c r="V423" s="1925"/>
      <c r="W423" s="1925"/>
      <c r="X423" s="1925"/>
      <c r="Y423" s="1925"/>
      <c r="Z423" s="1925"/>
      <c r="AA423" s="1925"/>
      <c r="AB423" s="1925"/>
      <c r="AC423" s="1925"/>
      <c r="AD423" s="1925"/>
      <c r="AE423" s="1925"/>
      <c r="AF423" s="628"/>
      <c r="AG423" s="628"/>
      <c r="AH423" s="628"/>
      <c r="AI423" s="628"/>
      <c r="AJ423" s="628"/>
      <c r="AK423" s="628"/>
      <c r="AL423" s="784"/>
      <c r="AM423" s="604"/>
      <c r="AO423" s="584"/>
      <c r="AP423" s="584"/>
    </row>
    <row r="424" spans="1:60" s="584" customFormat="1" ht="12.75" customHeight="1">
      <c r="A424" s="570"/>
      <c r="B424" s="14"/>
      <c r="C424" s="765"/>
      <c r="D424" s="14"/>
      <c r="E424" s="725"/>
      <c r="F424" s="1925"/>
      <c r="G424" s="1925"/>
      <c r="H424" s="1925"/>
      <c r="I424" s="1925"/>
      <c r="J424" s="1925"/>
      <c r="K424" s="1925"/>
      <c r="L424" s="1925"/>
      <c r="M424" s="1925"/>
      <c r="N424" s="1925"/>
      <c r="O424" s="1925"/>
      <c r="P424" s="1925"/>
      <c r="Q424" s="1925"/>
      <c r="R424" s="1925"/>
      <c r="S424" s="1925"/>
      <c r="T424" s="1925"/>
      <c r="U424" s="1925"/>
      <c r="V424" s="1925"/>
      <c r="W424" s="1925"/>
      <c r="X424" s="1925"/>
      <c r="Y424" s="1925"/>
      <c r="Z424" s="1925"/>
      <c r="AA424" s="1925"/>
      <c r="AB424" s="1925"/>
      <c r="AC424" s="1925"/>
      <c r="AD424" s="1925"/>
      <c r="AE424" s="1925"/>
      <c r="AF424" s="628"/>
      <c r="AG424" s="628"/>
      <c r="AH424" s="628"/>
      <c r="AI424" s="628"/>
      <c r="AJ424" s="628"/>
      <c r="AK424" s="628"/>
      <c r="AL424" s="784"/>
      <c r="AM424" s="604"/>
      <c r="AN424" s="631"/>
    </row>
    <row r="425" spans="1:60" s="584" customFormat="1" ht="12.75" customHeight="1">
      <c r="A425" s="570"/>
      <c r="B425" s="14"/>
      <c r="C425" s="785"/>
      <c r="D425" s="764"/>
      <c r="E425" s="753"/>
      <c r="F425" s="1925"/>
      <c r="G425" s="1925"/>
      <c r="H425" s="1925"/>
      <c r="I425" s="1925"/>
      <c r="J425" s="1925"/>
      <c r="K425" s="1925"/>
      <c r="L425" s="1925"/>
      <c r="M425" s="1925"/>
      <c r="N425" s="1925"/>
      <c r="O425" s="1925"/>
      <c r="P425" s="1925"/>
      <c r="Q425" s="1925"/>
      <c r="R425" s="1925"/>
      <c r="S425" s="1925"/>
      <c r="T425" s="1925"/>
      <c r="U425" s="1925"/>
      <c r="V425" s="1925"/>
      <c r="W425" s="1925"/>
      <c r="X425" s="1925"/>
      <c r="Y425" s="1925"/>
      <c r="Z425" s="1925"/>
      <c r="AA425" s="1925"/>
      <c r="AB425" s="1925"/>
      <c r="AC425" s="1925"/>
      <c r="AD425" s="1925"/>
      <c r="AE425" s="1925"/>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5"/>
      <c r="G426" s="1925"/>
      <c r="H426" s="1925"/>
      <c r="I426" s="1925"/>
      <c r="J426" s="1925"/>
      <c r="K426" s="1925"/>
      <c r="L426" s="1925"/>
      <c r="M426" s="1925"/>
      <c r="N426" s="1925"/>
      <c r="O426" s="1925"/>
      <c r="P426" s="1925"/>
      <c r="Q426" s="1925"/>
      <c r="R426" s="1925"/>
      <c r="S426" s="1925"/>
      <c r="T426" s="1925"/>
      <c r="U426" s="1925"/>
      <c r="V426" s="1925"/>
      <c r="W426" s="1925"/>
      <c r="X426" s="1925"/>
      <c r="Y426" s="1925"/>
      <c r="Z426" s="1925"/>
      <c r="AA426" s="1925"/>
      <c r="AB426" s="1925"/>
      <c r="AC426" s="1925"/>
      <c r="AD426" s="1925"/>
      <c r="AE426" s="1925"/>
      <c r="AF426" s="628"/>
      <c r="AG426" s="628"/>
      <c r="AH426" s="628"/>
      <c r="AI426" s="628"/>
      <c r="AJ426" s="628"/>
      <c r="AK426" s="628"/>
      <c r="AL426" s="784"/>
      <c r="AM426" s="604"/>
      <c r="AN426" s="631"/>
    </row>
    <row r="427" spans="1:60" s="584" customFormat="1" ht="12.75" customHeight="1">
      <c r="A427" s="570"/>
      <c r="B427" s="14"/>
      <c r="C427" s="785"/>
      <c r="D427" s="764"/>
      <c r="E427" s="753"/>
      <c r="F427" s="1925"/>
      <c r="G427" s="1925"/>
      <c r="H427" s="1925"/>
      <c r="I427" s="1925"/>
      <c r="J427" s="1925"/>
      <c r="K427" s="1925"/>
      <c r="L427" s="1925"/>
      <c r="M427" s="1925"/>
      <c r="N427" s="1925"/>
      <c r="O427" s="1925"/>
      <c r="P427" s="1925"/>
      <c r="Q427" s="1925"/>
      <c r="R427" s="1925"/>
      <c r="S427" s="1925"/>
      <c r="T427" s="1925"/>
      <c r="U427" s="1925"/>
      <c r="V427" s="1925"/>
      <c r="W427" s="1925"/>
      <c r="X427" s="1925"/>
      <c r="Y427" s="1925"/>
      <c r="Z427" s="1925"/>
      <c r="AA427" s="1925"/>
      <c r="AB427" s="1925"/>
      <c r="AC427" s="1925"/>
      <c r="AD427" s="1925"/>
      <c r="AE427" s="1925"/>
      <c r="AF427" s="628"/>
      <c r="AG427" s="628"/>
      <c r="AH427" s="628"/>
      <c r="AI427" s="628"/>
      <c r="AJ427" s="628"/>
      <c r="AK427" s="628"/>
      <c r="AL427" s="784"/>
      <c r="AM427" s="604"/>
      <c r="AN427" s="631"/>
    </row>
    <row r="428" spans="1:60" s="584" customFormat="1" ht="12.75" customHeight="1">
      <c r="A428" s="570"/>
      <c r="B428" s="14"/>
      <c r="C428" s="785"/>
      <c r="D428" s="764"/>
      <c r="E428" s="753"/>
      <c r="F428" s="1925"/>
      <c r="G428" s="1925"/>
      <c r="H428" s="1925"/>
      <c r="I428" s="1925"/>
      <c r="J428" s="1925"/>
      <c r="K428" s="1925"/>
      <c r="L428" s="1925"/>
      <c r="M428" s="1925"/>
      <c r="N428" s="1925"/>
      <c r="O428" s="1925"/>
      <c r="P428" s="1925"/>
      <c r="Q428" s="1925"/>
      <c r="R428" s="1925"/>
      <c r="S428" s="1925"/>
      <c r="T428" s="1925"/>
      <c r="U428" s="1925"/>
      <c r="V428" s="1925"/>
      <c r="W428" s="1925"/>
      <c r="X428" s="1925"/>
      <c r="Y428" s="1925"/>
      <c r="Z428" s="1925"/>
      <c r="AA428" s="1925"/>
      <c r="AB428" s="1925"/>
      <c r="AC428" s="1925"/>
      <c r="AD428" s="1925"/>
      <c r="AE428" s="1925"/>
      <c r="AF428" s="628"/>
      <c r="AG428" s="628"/>
      <c r="AH428" s="628"/>
      <c r="AI428" s="628"/>
      <c r="AJ428" s="628"/>
      <c r="AK428" s="628"/>
      <c r="AL428" s="784"/>
      <c r="AM428" s="604"/>
      <c r="AN428" s="631"/>
    </row>
    <row r="429" spans="1:60" s="584" customFormat="1" ht="12.75" customHeight="1">
      <c r="A429" s="570"/>
      <c r="B429" s="14"/>
      <c r="C429" s="785"/>
      <c r="D429" s="764"/>
      <c r="E429" s="753"/>
      <c r="F429" s="1925"/>
      <c r="G429" s="1925"/>
      <c r="H429" s="1925"/>
      <c r="I429" s="1925"/>
      <c r="J429" s="1925"/>
      <c r="K429" s="1925"/>
      <c r="L429" s="1925"/>
      <c r="M429" s="1925"/>
      <c r="N429" s="1925"/>
      <c r="O429" s="1925"/>
      <c r="P429" s="1925"/>
      <c r="Q429" s="1925"/>
      <c r="R429" s="1925"/>
      <c r="S429" s="1925"/>
      <c r="T429" s="1925"/>
      <c r="U429" s="1925"/>
      <c r="V429" s="1925"/>
      <c r="W429" s="1925"/>
      <c r="X429" s="1925"/>
      <c r="Y429" s="1925"/>
      <c r="Z429" s="1925"/>
      <c r="AA429" s="1925"/>
      <c r="AB429" s="1925"/>
      <c r="AC429" s="1925"/>
      <c r="AD429" s="1925"/>
      <c r="AE429" s="1925"/>
      <c r="AF429" s="628"/>
      <c r="AG429" s="628"/>
      <c r="AH429" s="628"/>
      <c r="AI429" s="628"/>
      <c r="AJ429" s="628"/>
      <c r="AK429" s="628"/>
      <c r="AL429" s="784"/>
      <c r="AM429" s="604"/>
      <c r="AN429" s="631"/>
    </row>
    <row r="430" spans="1:60" s="584" customFormat="1" ht="17.25" customHeight="1">
      <c r="A430" s="570"/>
      <c r="B430" s="14"/>
      <c r="C430" s="785"/>
      <c r="D430" s="764"/>
      <c r="E430" s="753"/>
      <c r="F430" s="1925"/>
      <c r="G430" s="1925"/>
      <c r="H430" s="1925"/>
      <c r="I430" s="1925"/>
      <c r="J430" s="1925"/>
      <c r="K430" s="1925"/>
      <c r="L430" s="1925"/>
      <c r="M430" s="1925"/>
      <c r="N430" s="1925"/>
      <c r="O430" s="1925"/>
      <c r="P430" s="1925"/>
      <c r="Q430" s="1925"/>
      <c r="R430" s="1925"/>
      <c r="S430" s="1925"/>
      <c r="T430" s="1925"/>
      <c r="U430" s="1925"/>
      <c r="V430" s="1925"/>
      <c r="W430" s="1925"/>
      <c r="X430" s="1925"/>
      <c r="Y430" s="1925"/>
      <c r="Z430" s="1925"/>
      <c r="AA430" s="1925"/>
      <c r="AB430" s="1925"/>
      <c r="AC430" s="1925"/>
      <c r="AD430" s="1925"/>
      <c r="AE430" s="1925"/>
      <c r="AL430" s="766"/>
      <c r="AM430" s="604"/>
      <c r="AN430" s="631"/>
    </row>
    <row r="431" spans="1:60" s="584" customFormat="1" ht="12.75" customHeight="1">
      <c r="A431" s="570"/>
      <c r="B431" s="14"/>
      <c r="C431" s="1934" t="s">
        <v>600</v>
      </c>
      <c r="D431" s="1935"/>
      <c r="E431" s="753"/>
      <c r="F431" s="630" t="s">
        <v>1598</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3" t="s">
        <v>1574</v>
      </c>
      <c r="AG431" s="1993"/>
      <c r="AH431" s="1993"/>
      <c r="AI431" s="1993"/>
      <c r="AJ431" s="1993"/>
      <c r="AK431" s="1993"/>
      <c r="AL431" s="2023"/>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1599</v>
      </c>
      <c r="F434" s="1924" t="s">
        <v>1600</v>
      </c>
      <c r="G434" s="1924"/>
      <c r="H434" s="1924"/>
      <c r="I434" s="1924"/>
      <c r="J434" s="1924"/>
      <c r="K434" s="1924"/>
      <c r="L434" s="1924"/>
      <c r="M434" s="1924"/>
      <c r="N434" s="1924"/>
      <c r="O434" s="1924"/>
      <c r="P434" s="1924"/>
      <c r="Q434" s="1924"/>
      <c r="R434" s="1924"/>
      <c r="S434" s="1924"/>
      <c r="T434" s="1924"/>
      <c r="U434" s="1924"/>
      <c r="V434" s="1924"/>
      <c r="W434" s="1924"/>
      <c r="X434" s="1924"/>
      <c r="Y434" s="1924"/>
      <c r="Z434" s="1924"/>
      <c r="AA434" s="1924"/>
      <c r="AB434" s="1924"/>
      <c r="AC434" s="1924"/>
      <c r="AD434" s="1924"/>
      <c r="AE434" s="1924"/>
      <c r="AF434" s="748"/>
      <c r="AG434" s="748"/>
      <c r="AH434" s="748"/>
      <c r="AI434" s="748"/>
      <c r="AJ434" s="748"/>
      <c r="AK434" s="748"/>
      <c r="AL434" s="779"/>
      <c r="AM434" s="604"/>
      <c r="AN434" s="631"/>
    </row>
    <row r="435" spans="1:40" s="584" customFormat="1" ht="12.75" customHeight="1">
      <c r="A435" s="570"/>
      <c r="B435" s="14"/>
      <c r="C435" s="785"/>
      <c r="D435" s="764"/>
      <c r="E435" s="753"/>
      <c r="F435" s="1925"/>
      <c r="G435" s="1925"/>
      <c r="H435" s="1925"/>
      <c r="I435" s="1925"/>
      <c r="J435" s="1925"/>
      <c r="K435" s="1925"/>
      <c r="L435" s="1925"/>
      <c r="M435" s="1925"/>
      <c r="N435" s="1925"/>
      <c r="O435" s="1925"/>
      <c r="P435" s="1925"/>
      <c r="Q435" s="1925"/>
      <c r="R435" s="1925"/>
      <c r="S435" s="1925"/>
      <c r="T435" s="1925"/>
      <c r="U435" s="1925"/>
      <c r="V435" s="1925"/>
      <c r="W435" s="1925"/>
      <c r="X435" s="1925"/>
      <c r="Y435" s="1925"/>
      <c r="Z435" s="1925"/>
      <c r="AA435" s="1925"/>
      <c r="AB435" s="1925"/>
      <c r="AC435" s="1925"/>
      <c r="AD435" s="1925"/>
      <c r="AE435" s="1925"/>
      <c r="AF435" s="625"/>
      <c r="AG435" s="625"/>
      <c r="AH435" s="625"/>
      <c r="AI435" s="625"/>
      <c r="AJ435" s="625"/>
      <c r="AK435" s="625"/>
      <c r="AL435" s="754"/>
      <c r="AM435" s="604"/>
      <c r="AN435" s="631"/>
    </row>
    <row r="436" spans="1:40" s="584" customFormat="1" ht="12.75" customHeight="1">
      <c r="A436" s="570"/>
      <c r="B436" s="14"/>
      <c r="C436" s="785"/>
      <c r="D436" s="764"/>
      <c r="E436" s="753"/>
      <c r="F436" s="1925"/>
      <c r="G436" s="1925"/>
      <c r="H436" s="1925"/>
      <c r="I436" s="1925"/>
      <c r="J436" s="1925"/>
      <c r="K436" s="1925"/>
      <c r="L436" s="1925"/>
      <c r="M436" s="1925"/>
      <c r="N436" s="1925"/>
      <c r="O436" s="1925"/>
      <c r="P436" s="1925"/>
      <c r="Q436" s="1925"/>
      <c r="R436" s="1925"/>
      <c r="S436" s="1925"/>
      <c r="T436" s="1925"/>
      <c r="U436" s="1925"/>
      <c r="V436" s="1925"/>
      <c r="W436" s="1925"/>
      <c r="X436" s="1925"/>
      <c r="Y436" s="1925"/>
      <c r="Z436" s="1925"/>
      <c r="AA436" s="1925"/>
      <c r="AB436" s="1925"/>
      <c r="AC436" s="1925"/>
      <c r="AD436" s="1925"/>
      <c r="AE436" s="1925"/>
      <c r="AF436" s="625"/>
      <c r="AG436" s="625"/>
      <c r="AH436" s="625"/>
      <c r="AI436" s="625"/>
      <c r="AJ436" s="625"/>
      <c r="AK436" s="625"/>
      <c r="AL436" s="754"/>
      <c r="AM436" s="604"/>
      <c r="AN436" s="631"/>
    </row>
    <row r="437" spans="1:40" s="584" customFormat="1" ht="12.75" customHeight="1">
      <c r="A437" s="570"/>
      <c r="B437" s="14"/>
      <c r="C437" s="785"/>
      <c r="D437" s="764"/>
      <c r="E437" s="753"/>
      <c r="F437" s="1925"/>
      <c r="G437" s="1925"/>
      <c r="H437" s="1925"/>
      <c r="I437" s="1925"/>
      <c r="J437" s="1925"/>
      <c r="K437" s="1925"/>
      <c r="L437" s="1925"/>
      <c r="M437" s="1925"/>
      <c r="N437" s="1925"/>
      <c r="O437" s="1925"/>
      <c r="P437" s="1925"/>
      <c r="Q437" s="1925"/>
      <c r="R437" s="1925"/>
      <c r="S437" s="1925"/>
      <c r="T437" s="1925"/>
      <c r="U437" s="1925"/>
      <c r="V437" s="1925"/>
      <c r="W437" s="1925"/>
      <c r="X437" s="1925"/>
      <c r="Y437" s="1925"/>
      <c r="Z437" s="1925"/>
      <c r="AA437" s="1925"/>
      <c r="AB437" s="1925"/>
      <c r="AC437" s="1925"/>
      <c r="AD437" s="1925"/>
      <c r="AE437" s="1925"/>
      <c r="AL437" s="766"/>
      <c r="AM437" s="604"/>
      <c r="AN437" s="631"/>
    </row>
    <row r="438" spans="1:40" s="584" customFormat="1" ht="12.75" customHeight="1">
      <c r="A438" s="570"/>
      <c r="B438" s="14"/>
      <c r="C438" s="1934" t="s">
        <v>600</v>
      </c>
      <c r="D438" s="1935"/>
      <c r="E438" s="753"/>
      <c r="F438" s="755" t="s">
        <v>1604</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3" t="s">
        <v>1574</v>
      </c>
      <c r="AG438" s="1993"/>
      <c r="AH438" s="1993"/>
      <c r="AI438" s="1993"/>
      <c r="AJ438" s="1993"/>
      <c r="AK438" s="1993"/>
      <c r="AL438" s="2023"/>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1581</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2" t="s">
        <v>600</v>
      </c>
      <c r="D442" s="2053"/>
      <c r="E442" s="749" t="s">
        <v>1609</v>
      </c>
      <c r="F442" s="1924" t="s">
        <v>1610</v>
      </c>
      <c r="G442" s="1924"/>
      <c r="H442" s="1924"/>
      <c r="I442" s="1924"/>
      <c r="J442" s="1924"/>
      <c r="K442" s="1924"/>
      <c r="L442" s="1924"/>
      <c r="M442" s="1924"/>
      <c r="N442" s="1924"/>
      <c r="O442" s="1924"/>
      <c r="P442" s="1924"/>
      <c r="Q442" s="1924"/>
      <c r="R442" s="1924"/>
      <c r="S442" s="1924"/>
      <c r="T442" s="1924"/>
      <c r="U442" s="1924"/>
      <c r="V442" s="1924"/>
      <c r="W442" s="1924"/>
      <c r="X442" s="1924"/>
      <c r="Y442" s="1924"/>
      <c r="Z442" s="1924"/>
      <c r="AA442" s="1924"/>
      <c r="AB442" s="1924"/>
      <c r="AC442" s="1924"/>
      <c r="AD442" s="1924"/>
      <c r="AE442" s="1924"/>
      <c r="AF442" s="2019" t="s">
        <v>1574</v>
      </c>
      <c r="AG442" s="2019"/>
      <c r="AH442" s="2019"/>
      <c r="AI442" s="2019"/>
      <c r="AJ442" s="2019"/>
      <c r="AK442" s="2019"/>
      <c r="AL442" s="2020"/>
      <c r="AM442" s="604"/>
      <c r="AN442" s="787"/>
    </row>
    <row r="443" spans="1:40" s="584" customFormat="1" ht="12.75" customHeight="1">
      <c r="A443" s="570"/>
      <c r="B443" s="14"/>
      <c r="C443" s="785"/>
      <c r="D443" s="764"/>
      <c r="E443" s="753"/>
      <c r="F443" s="1925"/>
      <c r="G443" s="1925"/>
      <c r="H443" s="1925"/>
      <c r="I443" s="1925"/>
      <c r="J443" s="1925"/>
      <c r="K443" s="1925"/>
      <c r="L443" s="1925"/>
      <c r="M443" s="1925"/>
      <c r="N443" s="1925"/>
      <c r="O443" s="1925"/>
      <c r="P443" s="1925"/>
      <c r="Q443" s="1925"/>
      <c r="R443" s="1925"/>
      <c r="S443" s="1925"/>
      <c r="T443" s="1925"/>
      <c r="U443" s="1925"/>
      <c r="V443" s="1925"/>
      <c r="W443" s="1925"/>
      <c r="X443" s="1925"/>
      <c r="Y443" s="1925"/>
      <c r="Z443" s="1925"/>
      <c r="AA443" s="1925"/>
      <c r="AB443" s="1925"/>
      <c r="AC443" s="1925"/>
      <c r="AD443" s="1925"/>
      <c r="AE443" s="1925"/>
      <c r="AF443" s="625"/>
      <c r="AG443" s="625"/>
      <c r="AH443" s="625"/>
      <c r="AI443" s="625"/>
      <c r="AJ443" s="625"/>
      <c r="AK443" s="625"/>
      <c r="AL443" s="754"/>
      <c r="AM443" s="604"/>
      <c r="AN443" s="788"/>
    </row>
    <row r="444" spans="1:40" s="584" customFormat="1" ht="17.649999999999999" customHeight="1">
      <c r="A444" s="570"/>
      <c r="B444" s="14"/>
      <c r="C444" s="790"/>
      <c r="D444" s="757"/>
      <c r="E444" s="758"/>
      <c r="F444" s="2007"/>
      <c r="G444" s="2007"/>
      <c r="H444" s="2007"/>
      <c r="I444" s="2007"/>
      <c r="J444" s="2007"/>
      <c r="K444" s="2007"/>
      <c r="L444" s="2007"/>
      <c r="M444" s="2007"/>
      <c r="N444" s="2007"/>
      <c r="O444" s="2007"/>
      <c r="P444" s="2007"/>
      <c r="Q444" s="2007"/>
      <c r="R444" s="2007"/>
      <c r="S444" s="2007"/>
      <c r="T444" s="2007"/>
      <c r="U444" s="2007"/>
      <c r="V444" s="2007"/>
      <c r="W444" s="2007"/>
      <c r="X444" s="2007"/>
      <c r="Y444" s="2007"/>
      <c r="Z444" s="2007"/>
      <c r="AA444" s="2007"/>
      <c r="AB444" s="2007"/>
      <c r="AC444" s="2007"/>
      <c r="AD444" s="2007"/>
      <c r="AE444" s="200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4" t="s">
        <v>600</v>
      </c>
      <c r="D446" s="1935"/>
      <c r="E446" s="749" t="s">
        <v>1615</v>
      </c>
      <c r="F446" s="1924" t="s">
        <v>1616</v>
      </c>
      <c r="G446" s="1924"/>
      <c r="H446" s="1924"/>
      <c r="I446" s="1924"/>
      <c r="J446" s="1924"/>
      <c r="K446" s="1924"/>
      <c r="L446" s="1924"/>
      <c r="M446" s="1924"/>
      <c r="N446" s="1924"/>
      <c r="O446" s="1924"/>
      <c r="P446" s="1924"/>
      <c r="Q446" s="1924"/>
      <c r="R446" s="1924"/>
      <c r="S446" s="1924"/>
      <c r="T446" s="1924"/>
      <c r="U446" s="1924"/>
      <c r="V446" s="1924"/>
      <c r="W446" s="1924"/>
      <c r="X446" s="1924"/>
      <c r="Y446" s="1924"/>
      <c r="Z446" s="1924"/>
      <c r="AA446" s="1924"/>
      <c r="AB446" s="1924"/>
      <c r="AC446" s="1924"/>
      <c r="AD446" s="1924"/>
      <c r="AE446" s="1924"/>
      <c r="AF446" s="2019" t="s">
        <v>1574</v>
      </c>
      <c r="AG446" s="2019"/>
      <c r="AH446" s="2019"/>
      <c r="AI446" s="2019"/>
      <c r="AJ446" s="2019"/>
      <c r="AK446" s="2019"/>
      <c r="AL446" s="2020"/>
      <c r="AM446" s="604"/>
      <c r="AN446" s="569"/>
    </row>
    <row r="447" spans="1:40" s="584" customFormat="1" ht="12.75" customHeight="1">
      <c r="A447" s="570"/>
      <c r="B447" s="14"/>
      <c r="C447" s="765"/>
      <c r="D447" s="14"/>
      <c r="E447" s="725"/>
      <c r="F447" s="1925"/>
      <c r="G447" s="1925"/>
      <c r="H447" s="1925"/>
      <c r="I447" s="1925"/>
      <c r="J447" s="1925"/>
      <c r="K447" s="1925"/>
      <c r="L447" s="1925"/>
      <c r="M447" s="1925"/>
      <c r="N447" s="1925"/>
      <c r="O447" s="1925"/>
      <c r="P447" s="1925"/>
      <c r="Q447" s="1925"/>
      <c r="R447" s="1925"/>
      <c r="S447" s="1925"/>
      <c r="T447" s="1925"/>
      <c r="U447" s="1925"/>
      <c r="V447" s="1925"/>
      <c r="W447" s="1925"/>
      <c r="X447" s="1925"/>
      <c r="Y447" s="1925"/>
      <c r="Z447" s="1925"/>
      <c r="AA447" s="1925"/>
      <c r="AB447" s="1925"/>
      <c r="AC447" s="1925"/>
      <c r="AD447" s="1925"/>
      <c r="AE447" s="1925"/>
      <c r="AF447" s="573"/>
      <c r="AG447" s="570"/>
      <c r="AL447" s="766"/>
      <c r="AM447" s="604"/>
      <c r="AN447" s="569"/>
    </row>
    <row r="448" spans="1:40" s="584" customFormat="1" ht="12.75" customHeight="1">
      <c r="A448" s="570"/>
      <c r="B448" s="14"/>
      <c r="C448" s="765"/>
      <c r="D448" s="14"/>
      <c r="E448" s="725"/>
      <c r="F448" s="1925"/>
      <c r="G448" s="1925"/>
      <c r="H448" s="1925"/>
      <c r="I448" s="1925"/>
      <c r="J448" s="1925"/>
      <c r="K448" s="1925"/>
      <c r="L448" s="1925"/>
      <c r="M448" s="1925"/>
      <c r="N448" s="1925"/>
      <c r="O448" s="1925"/>
      <c r="P448" s="1925"/>
      <c r="Q448" s="1925"/>
      <c r="R448" s="1925"/>
      <c r="S448" s="1925"/>
      <c r="T448" s="1925"/>
      <c r="U448" s="1925"/>
      <c r="V448" s="1925"/>
      <c r="W448" s="1925"/>
      <c r="X448" s="1925"/>
      <c r="Y448" s="1925"/>
      <c r="Z448" s="1925"/>
      <c r="AA448" s="1925"/>
      <c r="AB448" s="1925"/>
      <c r="AC448" s="1925"/>
      <c r="AD448" s="1925"/>
      <c r="AE448" s="1925"/>
      <c r="AF448" s="573"/>
      <c r="AG448" s="570"/>
      <c r="AL448" s="766"/>
      <c r="AM448" s="604"/>
      <c r="AN448" s="569"/>
    </row>
    <row r="449" spans="1:48" s="584" customFormat="1" ht="12.75" customHeight="1">
      <c r="A449" s="570"/>
      <c r="B449" s="14"/>
      <c r="C449" s="790"/>
      <c r="D449" s="757"/>
      <c r="E449" s="758"/>
      <c r="F449" s="2007"/>
      <c r="G449" s="2007"/>
      <c r="H449" s="2007"/>
      <c r="I449" s="2007"/>
      <c r="J449" s="2007"/>
      <c r="K449" s="2007"/>
      <c r="L449" s="2007"/>
      <c r="M449" s="2007"/>
      <c r="N449" s="2007"/>
      <c r="O449" s="2007"/>
      <c r="P449" s="2007"/>
      <c r="Q449" s="2007"/>
      <c r="R449" s="2007"/>
      <c r="S449" s="2007"/>
      <c r="T449" s="2007"/>
      <c r="U449" s="2007"/>
      <c r="V449" s="2007"/>
      <c r="W449" s="2007"/>
      <c r="X449" s="2007"/>
      <c r="Y449" s="2007"/>
      <c r="Z449" s="2007"/>
      <c r="AA449" s="2007"/>
      <c r="AB449" s="2007"/>
      <c r="AC449" s="2007"/>
      <c r="AD449" s="2007"/>
      <c r="AE449" s="200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1618</v>
      </c>
      <c r="F451" s="1924" t="s">
        <v>1619</v>
      </c>
      <c r="G451" s="1924"/>
      <c r="H451" s="1924"/>
      <c r="I451" s="1924"/>
      <c r="J451" s="1924"/>
      <c r="K451" s="1924"/>
      <c r="L451" s="1924"/>
      <c r="M451" s="1924"/>
      <c r="N451" s="1924"/>
      <c r="O451" s="1924"/>
      <c r="P451" s="1924"/>
      <c r="Q451" s="1924"/>
      <c r="R451" s="1924"/>
      <c r="S451" s="1924"/>
      <c r="T451" s="1924"/>
      <c r="U451" s="1924"/>
      <c r="V451" s="1924"/>
      <c r="W451" s="1924"/>
      <c r="X451" s="1924"/>
      <c r="Y451" s="1924"/>
      <c r="Z451" s="1924"/>
      <c r="AA451" s="1924"/>
      <c r="AB451" s="1924"/>
      <c r="AC451" s="1924"/>
      <c r="AD451" s="1924"/>
      <c r="AE451" s="1924"/>
      <c r="AF451" s="1924"/>
      <c r="AG451" s="778"/>
      <c r="AH451" s="748"/>
      <c r="AI451" s="748"/>
      <c r="AJ451" s="748"/>
      <c r="AK451" s="748"/>
      <c r="AL451" s="779"/>
      <c r="AM451" s="604"/>
      <c r="AN451" s="631"/>
    </row>
    <row r="452" spans="1:48" s="584" customFormat="1" ht="12.75" customHeight="1">
      <c r="A452" s="570"/>
      <c r="B452" s="14"/>
      <c r="C452" s="765"/>
      <c r="D452" s="14"/>
      <c r="E452" s="725"/>
      <c r="F452" s="1925"/>
      <c r="G452" s="1925"/>
      <c r="H452" s="1925"/>
      <c r="I452" s="1925"/>
      <c r="J452" s="1925"/>
      <c r="K452" s="1925"/>
      <c r="L452" s="1925"/>
      <c r="M452" s="1925"/>
      <c r="N452" s="1925"/>
      <c r="O452" s="1925"/>
      <c r="P452" s="1925"/>
      <c r="Q452" s="1925"/>
      <c r="R452" s="1925"/>
      <c r="S452" s="1925"/>
      <c r="T452" s="1925"/>
      <c r="U452" s="1925"/>
      <c r="V452" s="1925"/>
      <c r="W452" s="1925"/>
      <c r="X452" s="1925"/>
      <c r="Y452" s="1925"/>
      <c r="Z452" s="1925"/>
      <c r="AA452" s="1925"/>
      <c r="AB452" s="1925"/>
      <c r="AC452" s="1925"/>
      <c r="AD452" s="1925"/>
      <c r="AE452" s="1925"/>
      <c r="AF452" s="1925"/>
      <c r="AL452" s="766"/>
      <c r="AM452" s="604"/>
      <c r="AN452" s="631"/>
    </row>
    <row r="453" spans="1:48" s="584" customFormat="1" ht="12.75" customHeight="1">
      <c r="A453" s="570"/>
      <c r="B453" s="14"/>
      <c r="C453" s="773"/>
      <c r="F453" s="1925"/>
      <c r="G453" s="1925"/>
      <c r="H453" s="1925"/>
      <c r="I453" s="1925"/>
      <c r="J453" s="1925"/>
      <c r="K453" s="1925"/>
      <c r="L453" s="1925"/>
      <c r="M453" s="1925"/>
      <c r="N453" s="1925"/>
      <c r="O453" s="1925"/>
      <c r="P453" s="1925"/>
      <c r="Q453" s="1925"/>
      <c r="R453" s="1925"/>
      <c r="S453" s="1925"/>
      <c r="T453" s="1925"/>
      <c r="U453" s="1925"/>
      <c r="V453" s="1925"/>
      <c r="W453" s="1925"/>
      <c r="X453" s="1925"/>
      <c r="Y453" s="1925"/>
      <c r="Z453" s="1925"/>
      <c r="AA453" s="1925"/>
      <c r="AB453" s="1925"/>
      <c r="AC453" s="1925"/>
      <c r="AD453" s="1925"/>
      <c r="AE453" s="1925"/>
      <c r="AF453" s="1925"/>
      <c r="AL453" s="766"/>
      <c r="AM453" s="604"/>
      <c r="AN453" s="631"/>
    </row>
    <row r="454" spans="1:48" s="584" customFormat="1" ht="12.75" customHeight="1">
      <c r="A454" s="570"/>
      <c r="B454" s="14"/>
      <c r="C454" s="773"/>
      <c r="F454" s="1925"/>
      <c r="G454" s="1925"/>
      <c r="H454" s="1925"/>
      <c r="I454" s="1925"/>
      <c r="J454" s="1925"/>
      <c r="K454" s="1925"/>
      <c r="L454" s="1925"/>
      <c r="M454" s="1925"/>
      <c r="N454" s="1925"/>
      <c r="O454" s="1925"/>
      <c r="P454" s="1925"/>
      <c r="Q454" s="1925"/>
      <c r="R454" s="1925"/>
      <c r="S454" s="1925"/>
      <c r="T454" s="1925"/>
      <c r="U454" s="1925"/>
      <c r="V454" s="1925"/>
      <c r="W454" s="1925"/>
      <c r="X454" s="1925"/>
      <c r="Y454" s="1925"/>
      <c r="Z454" s="1925"/>
      <c r="AA454" s="1925"/>
      <c r="AB454" s="1925"/>
      <c r="AC454" s="1925"/>
      <c r="AD454" s="1925"/>
      <c r="AE454" s="1925"/>
      <c r="AF454" s="1925"/>
      <c r="AL454" s="766"/>
      <c r="AM454" s="604"/>
      <c r="AN454" s="631"/>
    </row>
    <row r="455" spans="1:48" s="584" customFormat="1" ht="12.75" customHeight="1">
      <c r="A455" s="570"/>
      <c r="B455" s="14"/>
      <c r="C455" s="1934" t="s">
        <v>600</v>
      </c>
      <c r="D455" s="1935"/>
      <c r="E455" s="753"/>
      <c r="F455" s="755" t="s">
        <v>1591</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3" t="s">
        <v>1574</v>
      </c>
      <c r="AG455" s="1923"/>
      <c r="AH455" s="1923"/>
      <c r="AI455" s="1923"/>
      <c r="AJ455" s="1923"/>
      <c r="AK455" s="1923"/>
      <c r="AL455" s="193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1620</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1621</v>
      </c>
      <c r="AK458" s="1920">
        <f>IF(Application!D214="N/A",AS347,AS349)</f>
        <v>10</v>
      </c>
      <c r="AL458" s="1921"/>
      <c r="AM458" s="1922"/>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1622</v>
      </c>
      <c r="C461" s="573"/>
      <c r="E461" s="630"/>
      <c r="AE461" s="1923" t="s">
        <v>1623</v>
      </c>
      <c r="AF461" s="1923"/>
      <c r="AG461" s="1923"/>
      <c r="AH461" s="1923"/>
      <c r="AI461" s="1923"/>
      <c r="AJ461" s="1923"/>
      <c r="AK461" s="1923"/>
      <c r="AL461" s="625"/>
      <c r="AN461" s="631"/>
      <c r="AO461" s="584" t="s">
        <v>1601</v>
      </c>
      <c r="AP461" s="584">
        <v>5</v>
      </c>
      <c r="AT461" s="584" t="s">
        <v>1601</v>
      </c>
      <c r="AU461" s="584">
        <v>5</v>
      </c>
      <c r="AV461" s="786"/>
    </row>
    <row r="462" spans="1:48" s="584" customFormat="1" ht="12.75" hidden="1" customHeight="1">
      <c r="A462" s="573"/>
      <c r="B462" s="570" t="s">
        <v>1624</v>
      </c>
      <c r="C462" s="573"/>
      <c r="E462" s="630"/>
      <c r="AE462" s="625"/>
      <c r="AF462" s="625"/>
      <c r="AG462" s="625"/>
      <c r="AH462" s="625"/>
      <c r="AI462" s="625"/>
      <c r="AJ462" s="625"/>
      <c r="AK462" s="625"/>
      <c r="AL462" s="625"/>
      <c r="AN462" s="631"/>
      <c r="AO462" s="584" t="s">
        <v>1625</v>
      </c>
      <c r="AP462" s="584">
        <v>5</v>
      </c>
      <c r="AT462" s="584" t="s">
        <v>1602</v>
      </c>
      <c r="AU462" s="584">
        <v>5</v>
      </c>
      <c r="AV462" s="786"/>
    </row>
    <row r="463" spans="1:48" s="584" customFormat="1" ht="12.75" hidden="1" customHeight="1">
      <c r="A463" s="573"/>
      <c r="B463" s="573" t="s">
        <v>1626</v>
      </c>
      <c r="C463" s="573"/>
      <c r="E463" s="630"/>
      <c r="AE463" s="625"/>
      <c r="AF463" s="625"/>
      <c r="AG463" s="625"/>
      <c r="AH463" s="625"/>
      <c r="AI463" s="625"/>
      <c r="AJ463" s="625"/>
      <c r="AK463" s="625"/>
      <c r="AL463" s="625"/>
      <c r="AN463" s="631"/>
      <c r="AO463" s="584" t="s">
        <v>1603</v>
      </c>
      <c r="AP463" s="584">
        <v>5</v>
      </c>
      <c r="AQ463" s="573"/>
      <c r="AR463" s="573"/>
      <c r="AS463" s="789"/>
      <c r="AT463" s="584" t="s">
        <v>1603</v>
      </c>
      <c r="AU463" s="584">
        <v>5</v>
      </c>
      <c r="AV463" s="570"/>
    </row>
    <row r="464" spans="1:48" s="584" customFormat="1" ht="12.75" hidden="1" customHeight="1">
      <c r="A464" s="573"/>
      <c r="B464" s="573" t="s">
        <v>1627</v>
      </c>
      <c r="C464" s="573"/>
      <c r="E464" s="630"/>
      <c r="AE464" s="625"/>
      <c r="AF464" s="625"/>
      <c r="AG464" s="625"/>
      <c r="AH464" s="625"/>
      <c r="AI464" s="625"/>
      <c r="AJ464" s="625"/>
      <c r="AK464" s="625"/>
      <c r="AL464" s="625"/>
      <c r="AN464" s="631"/>
      <c r="AO464" s="584" t="s">
        <v>1605</v>
      </c>
      <c r="AP464" s="584">
        <v>5</v>
      </c>
      <c r="AQ464" s="573"/>
      <c r="AR464" s="573"/>
      <c r="AT464" s="584" t="s">
        <v>1605</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1606</v>
      </c>
      <c r="AP465" s="584">
        <v>5</v>
      </c>
      <c r="AQ465" s="573"/>
      <c r="AR465" s="573"/>
      <c r="AT465" s="584" t="s">
        <v>1606</v>
      </c>
      <c r="AU465" s="584">
        <v>5</v>
      </c>
    </row>
    <row r="466" spans="1:59" s="584" customFormat="1" ht="12.75" hidden="1" customHeight="1">
      <c r="A466" s="573"/>
      <c r="C466" s="746" t="s">
        <v>1628</v>
      </c>
      <c r="D466" s="604"/>
      <c r="AE466" s="625"/>
      <c r="AF466" s="625"/>
      <c r="AG466" s="630"/>
      <c r="AH466" s="630"/>
      <c r="AI466" s="630"/>
      <c r="AJ466" s="630"/>
      <c r="AK466" s="630"/>
      <c r="AL466" s="630"/>
      <c r="AN466" s="631"/>
      <c r="AO466" s="584" t="s">
        <v>1607</v>
      </c>
      <c r="AP466" s="584">
        <v>5</v>
      </c>
      <c r="AT466" s="584" t="s">
        <v>1607</v>
      </c>
      <c r="AU466" s="584">
        <v>5</v>
      </c>
    </row>
    <row r="467" spans="1:59" s="584" customFormat="1" ht="12.75" hidden="1" customHeight="1">
      <c r="A467" s="573"/>
      <c r="C467" s="2000" t="s">
        <v>600</v>
      </c>
      <c r="D467" s="2001"/>
      <c r="E467" s="795" t="s">
        <v>516</v>
      </c>
      <c r="F467" s="2021" t="s">
        <v>1629</v>
      </c>
      <c r="G467" s="2021"/>
      <c r="H467" s="2021"/>
      <c r="I467" s="2021"/>
      <c r="J467" s="2021"/>
      <c r="K467" s="2021"/>
      <c r="L467" s="2021"/>
      <c r="M467" s="2021"/>
      <c r="N467" s="2021"/>
      <c r="O467" s="2021"/>
      <c r="P467" s="2021"/>
      <c r="Q467" s="2021"/>
      <c r="R467" s="2021"/>
      <c r="S467" s="2021"/>
      <c r="T467" s="2021"/>
      <c r="U467" s="2021"/>
      <c r="V467" s="2021"/>
      <c r="W467" s="2021"/>
      <c r="X467" s="2021"/>
      <c r="Y467" s="2021"/>
      <c r="Z467" s="2021"/>
      <c r="AA467" s="2021"/>
      <c r="AB467" s="2021"/>
      <c r="AC467" s="2021"/>
      <c r="AD467" s="2021"/>
      <c r="AE467" s="2021"/>
      <c r="AF467" s="748"/>
      <c r="AG467" s="748"/>
      <c r="AH467" s="748"/>
      <c r="AI467" s="748"/>
      <c r="AJ467" s="748"/>
      <c r="AK467" s="779"/>
      <c r="AN467" s="631"/>
      <c r="AO467" s="584" t="s">
        <v>1630</v>
      </c>
      <c r="AP467" s="584">
        <v>5</v>
      </c>
      <c r="AS467" s="792"/>
      <c r="AT467" s="584" t="s">
        <v>1608</v>
      </c>
      <c r="AU467" s="584">
        <v>5</v>
      </c>
    </row>
    <row r="468" spans="1:59" s="584" customFormat="1" ht="12.75" hidden="1" customHeight="1">
      <c r="C468" s="796"/>
      <c r="E468" s="797"/>
      <c r="F468" s="2022"/>
      <c r="G468" s="2022"/>
      <c r="H468" s="2022"/>
      <c r="I468" s="2022"/>
      <c r="J468" s="2022"/>
      <c r="K468" s="2022"/>
      <c r="L468" s="2022"/>
      <c r="M468" s="2022"/>
      <c r="N468" s="2022"/>
      <c r="O468" s="2022"/>
      <c r="P468" s="2022"/>
      <c r="Q468" s="2022"/>
      <c r="R468" s="2022"/>
      <c r="S468" s="2022"/>
      <c r="T468" s="2022"/>
      <c r="U468" s="2022"/>
      <c r="V468" s="2022"/>
      <c r="W468" s="2022"/>
      <c r="X468" s="2022"/>
      <c r="Y468" s="2022"/>
      <c r="Z468" s="2022"/>
      <c r="AA468" s="2022"/>
      <c r="AB468" s="2022"/>
      <c r="AC468" s="2022"/>
      <c r="AD468" s="2022"/>
      <c r="AE468" s="2022"/>
      <c r="AG468" s="585"/>
      <c r="AH468" s="585"/>
      <c r="AI468" s="585"/>
      <c r="AJ468" s="585"/>
      <c r="AK468" s="766"/>
      <c r="AN468" s="631"/>
      <c r="AO468" s="584" t="s">
        <v>1611</v>
      </c>
      <c r="AP468" s="584">
        <v>1</v>
      </c>
      <c r="AT468" s="584" t="s">
        <v>1611</v>
      </c>
      <c r="AU468" s="584">
        <v>1</v>
      </c>
    </row>
    <row r="469" spans="1:59" s="584" customFormat="1" ht="12.75" hidden="1" customHeight="1">
      <c r="C469" s="798"/>
      <c r="D469" s="761"/>
      <c r="E469" s="799"/>
      <c r="F469" s="2016" t="s">
        <v>600</v>
      </c>
      <c r="G469" s="2016"/>
      <c r="H469" s="2016"/>
      <c r="I469" s="2016"/>
      <c r="J469" s="2016"/>
      <c r="K469" s="2016"/>
      <c r="L469" s="2016"/>
      <c r="M469" s="2016"/>
      <c r="N469" s="2016"/>
      <c r="O469" s="2016"/>
      <c r="P469" s="2016"/>
      <c r="Q469" s="2016"/>
      <c r="R469" s="2016"/>
      <c r="S469" s="2016"/>
      <c r="T469" s="2016"/>
      <c r="U469" s="2016"/>
      <c r="V469" s="2016"/>
      <c r="W469" s="2016"/>
      <c r="X469" s="2016"/>
      <c r="Y469" s="2016"/>
      <c r="Z469" s="2016"/>
      <c r="AA469" s="800"/>
      <c r="AB469" s="692"/>
      <c r="AC469" s="692"/>
      <c r="AD469" s="761"/>
      <c r="AE469" s="761"/>
      <c r="AF469" s="761"/>
      <c r="AG469" s="801">
        <f>IF($C$467="Yes",(VLOOKUP($F$469,$AT$460:$AU$468,2,FALSE)),0)</f>
        <v>0</v>
      </c>
      <c r="AH469" s="802" t="s">
        <v>1439</v>
      </c>
      <c r="AI469" s="801"/>
      <c r="AJ469" s="801"/>
      <c r="AK469" s="776"/>
      <c r="AN469" s="631"/>
      <c r="AS469" s="789"/>
      <c r="AX469" s="789"/>
      <c r="BB469" s="789" t="s">
        <v>1612</v>
      </c>
      <c r="BF469" s="789" t="s">
        <v>1613</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7" t="s">
        <v>554</v>
      </c>
      <c r="D471" s="2018"/>
      <c r="E471" s="795" t="s">
        <v>767</v>
      </c>
      <c r="F471" s="803" t="s">
        <v>1631</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1614</v>
      </c>
      <c r="AX471" s="671">
        <v>3</v>
      </c>
      <c r="AY471" s="627"/>
      <c r="BB471" s="792">
        <v>0.4</v>
      </c>
      <c r="BC471" s="627">
        <v>3</v>
      </c>
      <c r="BF471" s="792">
        <v>0.4</v>
      </c>
      <c r="BG471" s="627">
        <v>4</v>
      </c>
    </row>
    <row r="472" spans="1:59" s="584" customFormat="1" ht="12.75" hidden="1" customHeight="1">
      <c r="C472" s="804" t="s">
        <v>1632</v>
      </c>
      <c r="F472" s="805" t="s">
        <v>1633</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1617</v>
      </c>
      <c r="AX472" s="671">
        <v>5</v>
      </c>
      <c r="AY472" s="627"/>
      <c r="BB472" s="792">
        <v>0.6</v>
      </c>
      <c r="BC472" s="627">
        <v>4</v>
      </c>
      <c r="BF472" s="792">
        <v>0.6</v>
      </c>
      <c r="BG472" s="627">
        <v>5</v>
      </c>
    </row>
    <row r="473" spans="1:59" s="584" customFormat="1" ht="12.75" hidden="1" customHeight="1">
      <c r="C473" s="785"/>
      <c r="D473" s="764"/>
      <c r="E473" s="806"/>
      <c r="F473" s="805" t="s">
        <v>1634</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1635</v>
      </c>
      <c r="G474" s="584"/>
      <c r="H474" s="584"/>
      <c r="I474" s="805"/>
      <c r="J474" s="805"/>
      <c r="K474" s="805"/>
      <c r="L474" s="805"/>
      <c r="M474" s="805"/>
      <c r="N474" s="805"/>
      <c r="O474" s="805"/>
      <c r="P474" s="805"/>
      <c r="Q474" s="805"/>
      <c r="R474" s="805"/>
      <c r="S474" s="805"/>
      <c r="T474" s="805"/>
      <c r="U474" s="805"/>
      <c r="V474" s="1929" t="s">
        <v>600</v>
      </c>
      <c r="W474" s="1929"/>
      <c r="X474" s="1929"/>
      <c r="Y474" s="805"/>
      <c r="Z474" s="805"/>
      <c r="AA474" s="805"/>
      <c r="AB474" s="805"/>
      <c r="AC474" s="805"/>
      <c r="AD474" s="643"/>
      <c r="AE474" s="643"/>
      <c r="AF474" s="643"/>
      <c r="AG474" s="647">
        <f>IF(AND($C$471="Yes",$V$476="N/A",$V$481="N/A",$V$485="N/A",$V$487="N/A"),(VLOOKUP(V474,$AW$470:$AX$472,2,FALSE)),0)</f>
        <v>0</v>
      </c>
      <c r="AH474" s="674" t="s">
        <v>1439</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1636</v>
      </c>
      <c r="G476" s="584"/>
      <c r="H476" s="584"/>
      <c r="I476" s="805"/>
      <c r="J476" s="805"/>
      <c r="K476" s="805"/>
      <c r="L476" s="805"/>
      <c r="M476" s="805"/>
      <c r="N476" s="805"/>
      <c r="O476" s="805"/>
      <c r="P476" s="805"/>
      <c r="Q476" s="805"/>
      <c r="R476" s="805"/>
      <c r="S476" s="805"/>
      <c r="T476" s="805"/>
      <c r="U476" s="805"/>
      <c r="V476" s="1929" t="s">
        <v>600</v>
      </c>
      <c r="W476" s="1929"/>
      <c r="X476" s="1929"/>
      <c r="Y476" s="805"/>
      <c r="Z476" s="805"/>
      <c r="AA476" s="805"/>
      <c r="AB476" s="805"/>
      <c r="AC476" s="805"/>
      <c r="AD476" s="643"/>
      <c r="AE476" s="643"/>
      <c r="AF476" s="643"/>
      <c r="AG476" s="647">
        <f>IF(AND($C$471="Yes",$V$474="N/A", $V$481="N/A",$V$485="N/A",$V$487="N/A"),(VLOOKUP(V476,$AT$470:$AU$472,2,FALSE)),0)</f>
        <v>0</v>
      </c>
      <c r="AH476" s="674" t="s">
        <v>1439</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1637</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1638</v>
      </c>
      <c r="AP478" s="671">
        <v>2</v>
      </c>
    </row>
    <row r="479" spans="1:59" s="584" customFormat="1" ht="12.75" hidden="1" customHeight="1">
      <c r="C479" s="796"/>
      <c r="F479" s="643" t="s">
        <v>1639</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1640</v>
      </c>
      <c r="AP479" s="584">
        <v>2</v>
      </c>
    </row>
    <row r="480" spans="1:59" s="630" customFormat="1" ht="12.75" hidden="1" customHeight="1">
      <c r="A480" s="584"/>
      <c r="B480" s="584"/>
      <c r="C480" s="773"/>
      <c r="D480" s="604"/>
      <c r="E480" s="604"/>
      <c r="F480" s="643" t="s">
        <v>1641</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1642</v>
      </c>
      <c r="AP480" s="584">
        <v>2</v>
      </c>
    </row>
    <row r="481" spans="1:81" s="584" customFormat="1" ht="12.75" hidden="1" customHeight="1">
      <c r="C481" s="811"/>
      <c r="F481" s="809" t="s">
        <v>1643</v>
      </c>
      <c r="M481" s="797"/>
      <c r="N481" s="797"/>
      <c r="O481" s="797"/>
      <c r="P481" s="797"/>
      <c r="Q481" s="585"/>
      <c r="R481" s="585"/>
      <c r="S481" s="585"/>
      <c r="T481" s="585"/>
      <c r="U481" s="585"/>
      <c r="V481" s="1929" t="s">
        <v>600</v>
      </c>
      <c r="W481" s="1929"/>
      <c r="X481" s="1929"/>
      <c r="Y481" s="585"/>
      <c r="Z481" s="585"/>
      <c r="AA481" s="585"/>
      <c r="AB481" s="585"/>
      <c r="AC481" s="585"/>
      <c r="AG481" s="647">
        <f>IF(AND($C$471="Yes",$V$474="N/A",$V$476="N/A", $V$485="N/A",$V$487="N/A"),(VLOOKUP($V$481,$AT$474:$AU$476,2,FALSE)),0)</f>
        <v>0</v>
      </c>
      <c r="AH481" s="674" t="s">
        <v>1439</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1644</v>
      </c>
      <c r="D483" s="748"/>
      <c r="E483" s="748"/>
      <c r="F483" s="814" t="s">
        <v>1645</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03"/>
      <c r="E484" s="2003"/>
      <c r="F484" s="805" t="s">
        <v>1646</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1647</v>
      </c>
      <c r="AP484" s="671">
        <v>5</v>
      </c>
      <c r="AQ484" s="573"/>
    </row>
    <row r="485" spans="1:81" s="604" customFormat="1" ht="12.75" hidden="1" customHeight="1">
      <c r="A485" s="713"/>
      <c r="B485" s="584"/>
      <c r="C485" s="796"/>
      <c r="D485" s="584"/>
      <c r="E485" s="584"/>
      <c r="F485" s="816" t="s">
        <v>1635</v>
      </c>
      <c r="G485" s="584"/>
      <c r="H485" s="584"/>
      <c r="I485" s="584"/>
      <c r="J485" s="584"/>
      <c r="K485" s="584"/>
      <c r="L485" s="584"/>
      <c r="M485" s="584"/>
      <c r="N485" s="584"/>
      <c r="O485" s="584"/>
      <c r="P485" s="584"/>
      <c r="Q485" s="584"/>
      <c r="R485" s="584"/>
      <c r="S485" s="584"/>
      <c r="T485" s="584"/>
      <c r="U485" s="584"/>
      <c r="V485" s="1929" t="s">
        <v>600</v>
      </c>
      <c r="W485" s="1929"/>
      <c r="X485" s="1929"/>
      <c r="Y485" s="584"/>
      <c r="Z485" s="584"/>
      <c r="AA485" s="584"/>
      <c r="AB485" s="584"/>
      <c r="AC485" s="584"/>
      <c r="AD485" s="584"/>
      <c r="AE485" s="584"/>
      <c r="AF485" s="584"/>
      <c r="AG485" s="647">
        <f>IF(AND($C$471="Yes",$V$474="N/A",V476="N/A",$V$481="N/A",$V$487="N/A"),(VLOOKUP($V$485,$BB$470:$BC$473,2,FALSE)),0)</f>
        <v>0</v>
      </c>
      <c r="AH485" s="674" t="s">
        <v>1439</v>
      </c>
      <c r="AI485" s="585"/>
      <c r="AJ485" s="584"/>
      <c r="AK485" s="766"/>
      <c r="AL485" s="584"/>
      <c r="AM485" s="584"/>
      <c r="AN485" s="718"/>
      <c r="AO485" s="584" t="s">
        <v>1648</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1649</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1636</v>
      </c>
      <c r="G487" s="800"/>
      <c r="H487" s="800"/>
      <c r="I487" s="761"/>
      <c r="J487" s="761"/>
      <c r="K487" s="761"/>
      <c r="L487" s="761"/>
      <c r="M487" s="761"/>
      <c r="N487" s="761"/>
      <c r="O487" s="761"/>
      <c r="P487" s="761"/>
      <c r="Q487" s="761"/>
      <c r="R487" s="761"/>
      <c r="S487" s="761"/>
      <c r="T487" s="761"/>
      <c r="U487" s="761"/>
      <c r="V487" s="1929" t="s">
        <v>600</v>
      </c>
      <c r="W487" s="1929"/>
      <c r="X487" s="1929"/>
      <c r="Y487" s="761"/>
      <c r="Z487" s="761"/>
      <c r="AA487" s="761"/>
      <c r="AB487" s="761"/>
      <c r="AC487" s="761"/>
      <c r="AD487" s="761"/>
      <c r="AE487" s="761"/>
      <c r="AF487" s="761"/>
      <c r="AG487" s="817">
        <f>IF(AND($C$471="Yes",$V$474="N/A",$V$476="N/A",$V$481="N/A",$V$485="N/A"),(VLOOKUP($V$487,$BF$470:$BG$472,2,FALSE)),0)</f>
        <v>0</v>
      </c>
      <c r="AH487" s="802" t="s">
        <v>1439</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1650</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0" t="s">
        <v>600</v>
      </c>
      <c r="D490" s="2001"/>
      <c r="E490" s="795" t="s">
        <v>516</v>
      </c>
      <c r="F490" s="2021" t="s">
        <v>1629</v>
      </c>
      <c r="G490" s="2021"/>
      <c r="H490" s="2021"/>
      <c r="I490" s="2021"/>
      <c r="J490" s="2021"/>
      <c r="K490" s="2021"/>
      <c r="L490" s="2021"/>
      <c r="M490" s="2021"/>
      <c r="N490" s="2021"/>
      <c r="O490" s="2021"/>
      <c r="P490" s="2021"/>
      <c r="Q490" s="2021"/>
      <c r="R490" s="2021"/>
      <c r="S490" s="2021"/>
      <c r="T490" s="2021"/>
      <c r="U490" s="2021"/>
      <c r="V490" s="2021"/>
      <c r="W490" s="2021"/>
      <c r="X490" s="2021"/>
      <c r="Y490" s="2021"/>
      <c r="Z490" s="2021"/>
      <c r="AA490" s="2021"/>
      <c r="AB490" s="2021"/>
      <c r="AC490" s="2021"/>
      <c r="AD490" s="2021"/>
      <c r="AE490" s="2021"/>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2"/>
      <c r="G491" s="2022"/>
      <c r="H491" s="2022"/>
      <c r="I491" s="2022"/>
      <c r="J491" s="2022"/>
      <c r="K491" s="2022"/>
      <c r="L491" s="2022"/>
      <c r="M491" s="2022"/>
      <c r="N491" s="2022"/>
      <c r="O491" s="2022"/>
      <c r="P491" s="2022"/>
      <c r="Q491" s="2022"/>
      <c r="R491" s="2022"/>
      <c r="S491" s="2022"/>
      <c r="T491" s="2022"/>
      <c r="U491" s="2022"/>
      <c r="V491" s="2022"/>
      <c r="W491" s="2022"/>
      <c r="X491" s="2022"/>
      <c r="Y491" s="2022"/>
      <c r="Z491" s="2022"/>
      <c r="AA491" s="2022"/>
      <c r="AB491" s="2022"/>
      <c r="AC491" s="2022"/>
      <c r="AD491" s="2022"/>
      <c r="AE491" s="2022"/>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8" t="s">
        <v>600</v>
      </c>
      <c r="G492" s="2008"/>
      <c r="H492" s="2008"/>
      <c r="I492" s="2008"/>
      <c r="J492" s="2008"/>
      <c r="K492" s="2008"/>
      <c r="L492" s="2008"/>
      <c r="M492" s="2008"/>
      <c r="N492" s="2008"/>
      <c r="O492" s="2008"/>
      <c r="P492" s="2008"/>
      <c r="Q492" s="2008"/>
      <c r="R492" s="2008"/>
      <c r="S492" s="2008"/>
      <c r="T492" s="2008"/>
      <c r="U492" s="2008"/>
      <c r="V492" s="2008"/>
      <c r="W492" s="2008"/>
      <c r="X492" s="2008"/>
      <c r="Y492" s="2008"/>
      <c r="Z492" s="2008"/>
      <c r="AA492" s="800"/>
      <c r="AB492" s="692"/>
      <c r="AC492" s="692"/>
      <c r="AD492" s="761"/>
      <c r="AE492" s="761"/>
      <c r="AF492" s="761"/>
      <c r="AG492" s="801">
        <f>IF($C$490="Yes",(VLOOKUP($F$492,$AO$460:$AP$468,2,FALSE)),0)</f>
        <v>0</v>
      </c>
      <c r="AH492" s="802" t="s">
        <v>1439</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0" t="s">
        <v>600</v>
      </c>
      <c r="D494" s="2001"/>
      <c r="E494" s="795" t="s">
        <v>767</v>
      </c>
      <c r="F494" s="2009" t="s">
        <v>1651</v>
      </c>
      <c r="G494" s="2009"/>
      <c r="H494" s="2009"/>
      <c r="I494" s="2009"/>
      <c r="J494" s="2009"/>
      <c r="K494" s="2009"/>
      <c r="L494" s="2009"/>
      <c r="M494" s="2009"/>
      <c r="N494" s="2009"/>
      <c r="O494" s="2009"/>
      <c r="P494" s="2009"/>
      <c r="Q494" s="2009"/>
      <c r="R494" s="2009"/>
      <c r="S494" s="2009"/>
      <c r="T494" s="2009"/>
      <c r="U494" s="2009"/>
      <c r="V494" s="2009"/>
      <c r="W494" s="2009"/>
      <c r="X494" s="2009"/>
      <c r="Y494" s="2009"/>
      <c r="Z494" s="2009"/>
      <c r="AA494" s="2009"/>
      <c r="AB494" s="2009"/>
      <c r="AC494" s="2009"/>
      <c r="AD494" s="2009"/>
      <c r="AE494" s="200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0"/>
      <c r="G495" s="2010"/>
      <c r="H495" s="2010"/>
      <c r="I495" s="2010"/>
      <c r="J495" s="2010"/>
      <c r="K495" s="2010"/>
      <c r="L495" s="2010"/>
      <c r="M495" s="2010"/>
      <c r="N495" s="2010"/>
      <c r="O495" s="2010"/>
      <c r="P495" s="2010"/>
      <c r="Q495" s="2010"/>
      <c r="R495" s="2010"/>
      <c r="S495" s="2010"/>
      <c r="T495" s="2010"/>
      <c r="U495" s="2010"/>
      <c r="V495" s="2010"/>
      <c r="W495" s="2010"/>
      <c r="X495" s="2010"/>
      <c r="Y495" s="2010"/>
      <c r="Z495" s="2010"/>
      <c r="AA495" s="2010"/>
      <c r="AB495" s="2010"/>
      <c r="AC495" s="2010"/>
      <c r="AD495" s="2010"/>
      <c r="AE495" s="201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1652</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11" t="s">
        <v>600</v>
      </c>
      <c r="G497" s="2011"/>
      <c r="H497" s="201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1439</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00" t="s">
        <v>600</v>
      </c>
      <c r="D499" s="2001"/>
      <c r="E499" s="795" t="s">
        <v>1653</v>
      </c>
      <c r="F499" s="814" t="s">
        <v>1654</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02"/>
      <c r="D501" s="2003"/>
      <c r="E501" s="806"/>
      <c r="F501" s="585" t="s">
        <v>1655</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1439</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4" t="s">
        <v>600</v>
      </c>
      <c r="H502" s="2004"/>
      <c r="I502" s="2004"/>
      <c r="J502" s="2004"/>
      <c r="K502" s="2004"/>
      <c r="L502" s="2004"/>
      <c r="M502" s="2004"/>
      <c r="N502" s="2004"/>
      <c r="O502" s="2004"/>
      <c r="P502" s="2004"/>
      <c r="Q502" s="2004"/>
      <c r="R502" s="2004"/>
      <c r="S502" s="2004"/>
      <c r="T502" s="2004"/>
      <c r="U502" s="2004"/>
      <c r="V502" s="2004"/>
      <c r="W502" s="2004"/>
      <c r="X502" s="2004"/>
      <c r="Y502" s="2004"/>
      <c r="Z502" s="2004"/>
      <c r="AA502" s="2004"/>
      <c r="AB502" s="2004"/>
      <c r="AC502" s="2004"/>
      <c r="AD502" s="2004"/>
      <c r="AE502" s="2004"/>
      <c r="AF502" s="200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5" t="s">
        <v>600</v>
      </c>
      <c r="D504" s="2006"/>
      <c r="F504" s="585" t="s">
        <v>1656</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1439</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1657</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1658</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5" t="s">
        <v>600</v>
      </c>
      <c r="D508" s="2006"/>
      <c r="F508" s="829" t="s">
        <v>1659</v>
      </c>
      <c r="G508" s="1925" t="s">
        <v>1660</v>
      </c>
      <c r="H508" s="1925"/>
      <c r="I508" s="1925"/>
      <c r="J508" s="1925"/>
      <c r="K508" s="1925"/>
      <c r="L508" s="1925"/>
      <c r="M508" s="1925"/>
      <c r="N508" s="1925"/>
      <c r="O508" s="1925"/>
      <c r="P508" s="1925"/>
      <c r="Q508" s="1925"/>
      <c r="R508" s="1925"/>
      <c r="S508" s="1925"/>
      <c r="T508" s="1925"/>
      <c r="U508" s="1925"/>
      <c r="V508" s="1925"/>
      <c r="W508" s="1925"/>
      <c r="X508" s="1925"/>
      <c r="Y508" s="1925"/>
      <c r="Z508" s="1925"/>
      <c r="AA508" s="1925"/>
      <c r="AB508" s="1925"/>
      <c r="AC508" s="1925"/>
      <c r="AD508" s="1925"/>
      <c r="AE508" s="1925"/>
      <c r="AF508" s="1925"/>
      <c r="AG508" s="647">
        <f>IF(AND($C$508="Yes",$C$499="Yes"),2,0)</f>
        <v>0</v>
      </c>
      <c r="AH508" s="674" t="s">
        <v>1439</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7"/>
      <c r="H509" s="2007"/>
      <c r="I509" s="2007"/>
      <c r="J509" s="2007"/>
      <c r="K509" s="2007"/>
      <c r="L509" s="2007"/>
      <c r="M509" s="2007"/>
      <c r="N509" s="2007"/>
      <c r="O509" s="2007"/>
      <c r="P509" s="2007"/>
      <c r="Q509" s="2007"/>
      <c r="R509" s="2007"/>
      <c r="S509" s="2007"/>
      <c r="T509" s="2007"/>
      <c r="U509" s="2007"/>
      <c r="V509" s="2007"/>
      <c r="W509" s="2007"/>
      <c r="X509" s="2007"/>
      <c r="Y509" s="2007"/>
      <c r="Z509" s="2007"/>
      <c r="AA509" s="2007"/>
      <c r="AB509" s="2007"/>
      <c r="AC509" s="2007"/>
      <c r="AD509" s="2007"/>
      <c r="AE509" s="2007"/>
      <c r="AF509" s="200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1661</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2" t="s">
        <v>600</v>
      </c>
      <c r="D512" s="2013"/>
      <c r="E512" s="836" t="s">
        <v>1662</v>
      </c>
      <c r="F512" s="805" t="s">
        <v>1663</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1439</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4" t="s">
        <v>600</v>
      </c>
      <c r="G513" s="2014"/>
      <c r="H513" s="2014"/>
      <c r="I513" s="2014"/>
      <c r="J513" s="2014"/>
      <c r="K513" s="2014"/>
      <c r="L513" s="2014"/>
      <c r="M513" s="2014"/>
      <c r="N513" s="2014"/>
      <c r="O513" s="2014"/>
      <c r="P513" s="2014"/>
      <c r="Q513" s="2014"/>
      <c r="R513" s="2014"/>
      <c r="S513" s="2014"/>
      <c r="T513" s="2014"/>
      <c r="U513" s="2014"/>
      <c r="V513" s="2014"/>
      <c r="W513" s="2014"/>
      <c r="X513" s="2014"/>
      <c r="Y513" s="2014"/>
      <c r="Z513" s="2014"/>
      <c r="AA513" s="2014"/>
      <c r="AB513" s="2014"/>
      <c r="AC513" s="2014"/>
      <c r="AD513" s="2014"/>
      <c r="AE513" s="2014"/>
      <c r="AF513" s="2014"/>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5"/>
      <c r="G514" s="2015"/>
      <c r="H514" s="2015"/>
      <c r="I514" s="2015"/>
      <c r="J514" s="2015"/>
      <c r="K514" s="2015"/>
      <c r="L514" s="2015"/>
      <c r="M514" s="2015"/>
      <c r="N514" s="2015"/>
      <c r="O514" s="2015"/>
      <c r="P514" s="2015"/>
      <c r="Q514" s="2015"/>
      <c r="R514" s="2015"/>
      <c r="S514" s="2015"/>
      <c r="T514" s="2015"/>
      <c r="U514" s="2015"/>
      <c r="V514" s="2015"/>
      <c r="W514" s="2015"/>
      <c r="X514" s="2015"/>
      <c r="Y514" s="2015"/>
      <c r="Z514" s="2015"/>
      <c r="AA514" s="2015"/>
      <c r="AB514" s="2015"/>
      <c r="AC514" s="2015"/>
      <c r="AD514" s="2015"/>
      <c r="AE514" s="2015"/>
      <c r="AF514" s="2015"/>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1664</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1665</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2343</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1666</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2344</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1667</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1668</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1669</v>
      </c>
      <c r="AK524" s="1920">
        <f>SUM(AG468:AG513)</f>
        <v>0</v>
      </c>
      <c r="AL524" s="1921"/>
      <c r="AM524" s="1922"/>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1670</v>
      </c>
      <c r="B527" s="573" t="s">
        <v>1671</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6" t="s">
        <v>1672</v>
      </c>
      <c r="AF527" s="1926"/>
      <c r="AG527" s="1926"/>
      <c r="AH527" s="1926"/>
      <c r="AI527" s="1926"/>
      <c r="AJ527" s="1926"/>
      <c r="AK527" s="1926"/>
      <c r="AL527" s="629"/>
      <c r="AM527" s="629"/>
      <c r="AN527" s="631"/>
    </row>
    <row r="528" spans="1:81" s="584" customFormat="1" ht="12.75" customHeight="1">
      <c r="A528" s="573"/>
      <c r="B528" s="573" t="s">
        <v>1435</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5" t="s">
        <v>554</v>
      </c>
      <c r="D530" s="1935"/>
      <c r="E530" s="585"/>
      <c r="F530" s="1994" t="s">
        <v>1673</v>
      </c>
      <c r="G530" s="1995"/>
      <c r="H530" s="1995"/>
      <c r="I530" s="1995"/>
      <c r="J530" s="1995"/>
      <c r="K530" s="1995"/>
      <c r="L530" s="1995"/>
      <c r="M530" s="1995"/>
      <c r="N530" s="1995"/>
      <c r="O530" s="1995"/>
      <c r="P530" s="1995"/>
      <c r="Q530" s="1995"/>
      <c r="R530" s="1995"/>
      <c r="S530" s="1995"/>
      <c r="T530" s="1995"/>
      <c r="U530" s="1995"/>
      <c r="V530" s="1995"/>
      <c r="W530" s="1995"/>
      <c r="X530" s="1995"/>
      <c r="Y530" s="1995"/>
      <c r="Z530" s="1995"/>
      <c r="AA530" s="1995"/>
      <c r="AB530" s="1995"/>
      <c r="AC530" s="1995"/>
      <c r="AD530" s="1995"/>
      <c r="AE530" s="1995"/>
      <c r="AF530" s="1995"/>
      <c r="AG530" s="1995"/>
      <c r="AH530" s="1995"/>
      <c r="AI530" s="1995"/>
      <c r="AJ530" s="1995"/>
      <c r="AK530" s="1995"/>
      <c r="AL530" s="1996"/>
      <c r="AM530" s="629"/>
      <c r="AN530" s="631"/>
    </row>
    <row r="531" spans="1:49" s="584" customFormat="1" ht="12.75" customHeight="1">
      <c r="A531" s="573"/>
      <c r="B531" s="573"/>
      <c r="C531" s="585"/>
      <c r="D531" s="585"/>
      <c r="E531" s="585"/>
      <c r="F531" s="1997"/>
      <c r="G531" s="1998"/>
      <c r="H531" s="1998"/>
      <c r="I531" s="1998"/>
      <c r="J531" s="1998"/>
      <c r="K531" s="1998"/>
      <c r="L531" s="1998"/>
      <c r="M531" s="1998"/>
      <c r="N531" s="1998"/>
      <c r="O531" s="1998"/>
      <c r="P531" s="1998"/>
      <c r="Q531" s="1998"/>
      <c r="R531" s="1998"/>
      <c r="S531" s="1998"/>
      <c r="T531" s="1998"/>
      <c r="U531" s="1998"/>
      <c r="V531" s="1998"/>
      <c r="W531" s="1998"/>
      <c r="X531" s="1998"/>
      <c r="Y531" s="1998"/>
      <c r="Z531" s="1998"/>
      <c r="AA531" s="1998"/>
      <c r="AB531" s="1998"/>
      <c r="AC531" s="1998"/>
      <c r="AD531" s="1998"/>
      <c r="AE531" s="1998"/>
      <c r="AF531" s="1998"/>
      <c r="AG531" s="1998"/>
      <c r="AH531" s="1998"/>
      <c r="AI531" s="1998"/>
      <c r="AJ531" s="1998"/>
      <c r="AK531" s="1998"/>
      <c r="AL531" s="1999"/>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5" t="s">
        <v>600</v>
      </c>
      <c r="D533" s="1935"/>
      <c r="E533" s="840"/>
      <c r="F533" s="678" t="s">
        <v>1674</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2" t="s">
        <v>1675</v>
      </c>
      <c r="G534" s="1913"/>
      <c r="H534" s="1913"/>
      <c r="I534" s="1913"/>
      <c r="J534" s="1913"/>
      <c r="K534" s="1913"/>
      <c r="L534" s="1913"/>
      <c r="M534" s="1913"/>
      <c r="N534" s="1913"/>
      <c r="O534" s="1913"/>
      <c r="P534" s="1913"/>
      <c r="Q534" s="1913"/>
      <c r="R534" s="1913"/>
      <c r="S534" s="1913"/>
      <c r="T534" s="1913"/>
      <c r="U534" s="1913"/>
      <c r="V534" s="1913"/>
      <c r="W534" s="1913"/>
      <c r="X534" s="1913"/>
      <c r="Y534" s="1913"/>
      <c r="Z534" s="1913"/>
      <c r="AA534" s="1913"/>
      <c r="AB534" s="1913"/>
      <c r="AC534" s="1913"/>
      <c r="AD534" s="1913"/>
      <c r="AE534" s="1913"/>
      <c r="AF534" s="1913"/>
      <c r="AG534" s="1913"/>
      <c r="AH534" s="1913"/>
      <c r="AI534" s="1913"/>
      <c r="AJ534" s="1913"/>
      <c r="AK534" s="1913"/>
      <c r="AL534" s="1914"/>
      <c r="AM534" s="629"/>
      <c r="AN534" s="631"/>
      <c r="AS534" s="904"/>
      <c r="AT534" s="904"/>
      <c r="AU534" s="904"/>
      <c r="AV534" s="904"/>
      <c r="AW534" s="904"/>
    </row>
    <row r="535" spans="1:49" s="584" customFormat="1" ht="12.75" customHeight="1">
      <c r="B535" s="840"/>
      <c r="C535" s="840"/>
      <c r="D535" s="840"/>
      <c r="E535" s="840"/>
      <c r="F535" s="1912"/>
      <c r="G535" s="1913"/>
      <c r="H535" s="1913"/>
      <c r="I535" s="1913"/>
      <c r="J535" s="1913"/>
      <c r="K535" s="1913"/>
      <c r="L535" s="1913"/>
      <c r="M535" s="1913"/>
      <c r="N535" s="1913"/>
      <c r="O535" s="1913"/>
      <c r="P535" s="1913"/>
      <c r="Q535" s="1913"/>
      <c r="R535" s="1913"/>
      <c r="S535" s="1913"/>
      <c r="T535" s="1913"/>
      <c r="U535" s="1913"/>
      <c r="V535" s="1913"/>
      <c r="W535" s="1913"/>
      <c r="X535" s="1913"/>
      <c r="Y535" s="1913"/>
      <c r="Z535" s="1913"/>
      <c r="AA535" s="1913"/>
      <c r="AB535" s="1913"/>
      <c r="AC535" s="1913"/>
      <c r="AD535" s="1913"/>
      <c r="AE535" s="1913"/>
      <c r="AF535" s="1913"/>
      <c r="AG535" s="1913"/>
      <c r="AH535" s="1913"/>
      <c r="AI535" s="1913"/>
      <c r="AJ535" s="1913"/>
      <c r="AK535" s="1913"/>
      <c r="AL535" s="1914"/>
      <c r="AM535" s="629"/>
      <c r="AN535" s="631"/>
    </row>
    <row r="536" spans="1:49" s="584" customFormat="1" ht="12.75" customHeight="1">
      <c r="B536" s="840"/>
      <c r="C536" s="840"/>
      <c r="D536" s="840"/>
      <c r="E536" s="840"/>
      <c r="F536" s="845" t="s">
        <v>2345</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2" t="s">
        <v>1676</v>
      </c>
      <c r="G537" s="1913"/>
      <c r="H537" s="1913"/>
      <c r="I537" s="1913"/>
      <c r="J537" s="1913"/>
      <c r="K537" s="1913"/>
      <c r="L537" s="1913"/>
      <c r="M537" s="1913"/>
      <c r="N537" s="1913"/>
      <c r="O537" s="1913"/>
      <c r="P537" s="1913"/>
      <c r="Q537" s="1913"/>
      <c r="R537" s="1913"/>
      <c r="S537" s="1913"/>
      <c r="T537" s="1913"/>
      <c r="U537" s="1913"/>
      <c r="V537" s="1913"/>
      <c r="W537" s="1913"/>
      <c r="X537" s="1913"/>
      <c r="Y537" s="1913"/>
      <c r="Z537" s="1913"/>
      <c r="AA537" s="1913"/>
      <c r="AB537" s="1913"/>
      <c r="AC537" s="1913"/>
      <c r="AD537" s="1913"/>
      <c r="AE537" s="1913"/>
      <c r="AF537" s="1913"/>
      <c r="AG537" s="1913"/>
      <c r="AH537" s="1913"/>
      <c r="AI537" s="1913"/>
      <c r="AJ537" s="1913"/>
      <c r="AK537" s="1913"/>
      <c r="AL537" s="847"/>
      <c r="AM537" s="629"/>
      <c r="AN537" s="631"/>
    </row>
    <row r="538" spans="1:49" s="584" customFormat="1" ht="12.75" customHeight="1">
      <c r="B538" s="840"/>
      <c r="C538" s="840"/>
      <c r="D538" s="840"/>
      <c r="E538" s="840"/>
      <c r="F538" s="1915"/>
      <c r="G538" s="1916"/>
      <c r="H538" s="1916"/>
      <c r="I538" s="1916"/>
      <c r="J538" s="1916"/>
      <c r="K538" s="1916"/>
      <c r="L538" s="1916"/>
      <c r="M538" s="1916"/>
      <c r="N538" s="1916"/>
      <c r="O538" s="1916"/>
      <c r="P538" s="1916"/>
      <c r="Q538" s="1916"/>
      <c r="R538" s="1916"/>
      <c r="S538" s="1916"/>
      <c r="T538" s="1916"/>
      <c r="U538" s="1916"/>
      <c r="V538" s="1916"/>
      <c r="W538" s="1916"/>
      <c r="X538" s="1916"/>
      <c r="Y538" s="1916"/>
      <c r="Z538" s="1916"/>
      <c r="AA538" s="1916"/>
      <c r="AB538" s="1916"/>
      <c r="AC538" s="1916"/>
      <c r="AD538" s="1916"/>
      <c r="AE538" s="1916"/>
      <c r="AF538" s="1916"/>
      <c r="AG538" s="1916"/>
      <c r="AH538" s="1916"/>
      <c r="AI538" s="1916"/>
      <c r="AJ538" s="1916"/>
      <c r="AK538" s="1916"/>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7">
        <f>Application!AJ991</f>
        <v>41829496</v>
      </c>
      <c r="AQ539" s="1907"/>
      <c r="AR539" s="1907"/>
      <c r="AS539" s="584" t="s">
        <v>2532</v>
      </c>
    </row>
    <row r="540" spans="1:49" s="584" customFormat="1" ht="12.75" customHeight="1">
      <c r="A540" s="532"/>
      <c r="B540" s="481" t="s">
        <v>1677</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7">
        <f>'Sources and Uses Budget'!S107+'Sources and Uses Budget'!T107</f>
        <v>52108819</v>
      </c>
      <c r="AG540" s="1917"/>
      <c r="AH540" s="1917"/>
      <c r="AI540" s="1917"/>
      <c r="AJ540" s="1917"/>
      <c r="AK540" s="629"/>
      <c r="AL540" s="629"/>
      <c r="AM540" s="629"/>
      <c r="AN540" s="631"/>
    </row>
    <row r="541" spans="1:49" s="584" customFormat="1" ht="12.75" customHeight="1">
      <c r="A541" s="659"/>
      <c r="B541" s="659" t="s">
        <v>1678</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8">
        <f>IFERROR(AP548,0)</f>
        <v>75711388.960000008</v>
      </c>
      <c r="AG541" s="1918"/>
      <c r="AH541" s="1918"/>
      <c r="AI541" s="1918"/>
      <c r="AJ541" s="1918"/>
      <c r="AK541" s="629"/>
      <c r="AL541" s="629"/>
      <c r="AM541" s="629"/>
      <c r="AN541" s="631"/>
      <c r="AP541" s="1907">
        <f>Application!AJ1044</f>
        <v>12130553.84</v>
      </c>
      <c r="AQ541" s="1907"/>
      <c r="AR541" s="1907"/>
      <c r="AS541" s="584" t="s">
        <v>2056</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9">
        <f>IFERROR(ROUNDDOWN(IF(C533="YES",((1-(AF540/AF541))*2),(1-(AF540/AF541))),2),0)</f>
        <v>0.31</v>
      </c>
      <c r="AG542" s="1919"/>
      <c r="AH542" s="1919"/>
      <c r="AI542" s="1919"/>
      <c r="AJ542" s="1919"/>
      <c r="AK542" s="629"/>
      <c r="AL542" s="629"/>
      <c r="AM542" s="629"/>
      <c r="AN542" s="631"/>
      <c r="AP542" s="1908">
        <f>Application!AJ1048</f>
        <v>9202489.1199999992</v>
      </c>
      <c r="AQ542" s="1908"/>
      <c r="AR542" s="1908"/>
      <c r="AS542" s="584" t="s">
        <v>2533</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7">
        <f>IF(((AP541+AP542)/AP539)&gt;0.8,0.8,((AP541+AP542)/AP539))</f>
        <v>0.51</v>
      </c>
      <c r="AQ543" s="1927"/>
      <c r="AR543" s="1927"/>
      <c r="AS543" s="584" t="s">
        <v>2534</v>
      </c>
    </row>
    <row r="544" spans="1:49" s="584" customFormat="1" ht="12.75" customHeight="1">
      <c r="A544" s="658"/>
      <c r="B544" s="1973" t="s">
        <v>2346</v>
      </c>
      <c r="C544" s="1974"/>
      <c r="D544" s="1974"/>
      <c r="E544" s="1974"/>
      <c r="F544" s="1974"/>
      <c r="G544" s="1974"/>
      <c r="H544" s="1974"/>
      <c r="I544" s="1974"/>
      <c r="J544" s="1974"/>
      <c r="K544" s="1974"/>
      <c r="L544" s="1974"/>
      <c r="M544" s="1974"/>
      <c r="N544" s="1974"/>
      <c r="O544" s="1974"/>
      <c r="P544" s="1974"/>
      <c r="Q544" s="1974"/>
      <c r="R544" s="1974"/>
      <c r="S544" s="1974"/>
      <c r="T544" s="1974"/>
      <c r="U544" s="1974"/>
      <c r="V544" s="1974"/>
      <c r="W544" s="1974"/>
      <c r="X544" s="1974"/>
      <c r="Y544" s="1974"/>
      <c r="Z544" s="1974"/>
      <c r="AA544" s="1974"/>
      <c r="AB544" s="1974"/>
      <c r="AC544" s="1974"/>
      <c r="AD544" s="1974"/>
      <c r="AE544" s="1974"/>
      <c r="AF544" s="1974"/>
      <c r="AG544" s="1974"/>
      <c r="AH544" s="1974"/>
      <c r="AI544" s="1974"/>
      <c r="AJ544" s="1975"/>
      <c r="AK544" s="629"/>
      <c r="AL544" s="629"/>
      <c r="AM544" s="629"/>
      <c r="AN544" s="631"/>
    </row>
    <row r="545" spans="1:45" s="584" customFormat="1" ht="12.75" customHeight="1">
      <c r="A545" s="658"/>
      <c r="B545" s="1976"/>
      <c r="C545" s="1977"/>
      <c r="D545" s="1977"/>
      <c r="E545" s="1977"/>
      <c r="F545" s="1977"/>
      <c r="G545" s="1977"/>
      <c r="H545" s="1977"/>
      <c r="I545" s="1977"/>
      <c r="J545" s="1977"/>
      <c r="K545" s="1977"/>
      <c r="L545" s="1977"/>
      <c r="M545" s="1977"/>
      <c r="N545" s="1977"/>
      <c r="O545" s="1977"/>
      <c r="P545" s="1977"/>
      <c r="Q545" s="1977"/>
      <c r="R545" s="1977"/>
      <c r="S545" s="1977"/>
      <c r="T545" s="1977"/>
      <c r="U545" s="1977"/>
      <c r="V545" s="1977"/>
      <c r="W545" s="1977"/>
      <c r="X545" s="1977"/>
      <c r="Y545" s="1977"/>
      <c r="Z545" s="1977"/>
      <c r="AA545" s="1977"/>
      <c r="AB545" s="1977"/>
      <c r="AC545" s="1977"/>
      <c r="AD545" s="1977"/>
      <c r="AE545" s="1977"/>
      <c r="AF545" s="1977"/>
      <c r="AG545" s="1977"/>
      <c r="AH545" s="1977"/>
      <c r="AI545" s="1977"/>
      <c r="AJ545" s="1978"/>
      <c r="AK545" s="629"/>
      <c r="AL545" s="629"/>
      <c r="AM545" s="629"/>
      <c r="AN545" s="631"/>
      <c r="AP545" s="1907">
        <f>AP546-AP541-AP542</f>
        <v>54378346.000000007</v>
      </c>
      <c r="AQ545" s="1928"/>
      <c r="AR545" s="1928"/>
      <c r="AS545" s="584" t="s">
        <v>2536</v>
      </c>
    </row>
    <row r="546" spans="1:45" s="584" customFormat="1" ht="12.75" customHeight="1">
      <c r="A546" s="658"/>
      <c r="B546" s="1979"/>
      <c r="C546" s="1980"/>
      <c r="D546" s="1980"/>
      <c r="E546" s="1980"/>
      <c r="F546" s="1980"/>
      <c r="G546" s="1980"/>
      <c r="H546" s="1980"/>
      <c r="I546" s="1980"/>
      <c r="J546" s="1980"/>
      <c r="K546" s="1980"/>
      <c r="L546" s="1980"/>
      <c r="M546" s="1980"/>
      <c r="N546" s="1980"/>
      <c r="O546" s="1980"/>
      <c r="P546" s="1980"/>
      <c r="Q546" s="1980"/>
      <c r="R546" s="1980"/>
      <c r="S546" s="1980"/>
      <c r="T546" s="1980"/>
      <c r="U546" s="1980"/>
      <c r="V546" s="1980"/>
      <c r="W546" s="1980"/>
      <c r="X546" s="1980"/>
      <c r="Y546" s="1980"/>
      <c r="Z546" s="1980"/>
      <c r="AA546" s="1980"/>
      <c r="AB546" s="1980"/>
      <c r="AC546" s="1980"/>
      <c r="AD546" s="1980"/>
      <c r="AE546" s="1980"/>
      <c r="AF546" s="1980"/>
      <c r="AG546" s="1980"/>
      <c r="AH546" s="1980"/>
      <c r="AI546" s="1980"/>
      <c r="AJ546" s="1981"/>
      <c r="AK546" s="629"/>
      <c r="AL546" s="629"/>
      <c r="AM546" s="629"/>
      <c r="AN546" s="631"/>
      <c r="AP546" s="1907">
        <f>Application!AJ1052</f>
        <v>75711388.960000008</v>
      </c>
      <c r="AQ546" s="1907"/>
      <c r="AR546" s="1907"/>
      <c r="AS546" s="584" t="s">
        <v>2535</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1679</v>
      </c>
      <c r="AK548" s="1982">
        <f>IFERROR(IF(AND(C530="N/A",C533="N/A"),0,IF(AF542=0,0,IF((AF542*100)&gt;12,12,(AF542*100)))),0)</f>
        <v>12</v>
      </c>
      <c r="AL548" s="1982"/>
      <c r="AM548" s="1983"/>
      <c r="AN548" s="631"/>
      <c r="AP548" s="1896">
        <f>AP545+(AP539*AP543)</f>
        <v>75711388.960000008</v>
      </c>
      <c r="AQ548" s="1897"/>
      <c r="AR548" s="1898"/>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2336</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6" t="s">
        <v>1425</v>
      </c>
      <c r="AF551" s="1926"/>
      <c r="AG551" s="1926"/>
      <c r="AH551" s="1926"/>
      <c r="AI551" s="1926"/>
      <c r="AJ551" s="1926"/>
      <c r="AK551" s="1926"/>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3" t="s">
        <v>2337</v>
      </c>
      <c r="C553" s="1913"/>
      <c r="D553" s="1913"/>
      <c r="E553" s="1913"/>
      <c r="F553" s="1913"/>
      <c r="G553" s="1913"/>
      <c r="H553" s="1913"/>
      <c r="I553" s="1913"/>
      <c r="J553" s="1913"/>
      <c r="K553" s="1913"/>
      <c r="L553" s="1913"/>
      <c r="M553" s="1913"/>
      <c r="N553" s="1913"/>
      <c r="O553" s="1913"/>
      <c r="P553" s="1913"/>
      <c r="Q553" s="1913"/>
      <c r="R553" s="1913"/>
      <c r="S553" s="1913"/>
      <c r="T553" s="1913"/>
      <c r="U553" s="1913"/>
      <c r="V553" s="1913"/>
      <c r="W553" s="1913"/>
      <c r="X553" s="1913"/>
      <c r="Y553" s="1913"/>
      <c r="Z553" s="1913"/>
      <c r="AA553" s="1913"/>
      <c r="AB553" s="1913"/>
      <c r="AC553" s="1913"/>
      <c r="AD553" s="1913"/>
      <c r="AE553" s="1913"/>
      <c r="AF553" s="1913"/>
      <c r="AG553" s="1913"/>
      <c r="AH553" s="1913"/>
      <c r="AI553" s="1913"/>
      <c r="AJ553" s="1913"/>
      <c r="AK553" s="676"/>
      <c r="AL553" s="607"/>
      <c r="AM553" s="637"/>
      <c r="AN553" s="631"/>
    </row>
    <row r="554" spans="1:45" s="584" customFormat="1" ht="12.75" customHeight="1">
      <c r="A554" s="637"/>
      <c r="B554" s="1913"/>
      <c r="C554" s="1913"/>
      <c r="D554" s="1913"/>
      <c r="E554" s="1913"/>
      <c r="F554" s="1913"/>
      <c r="G554" s="1913"/>
      <c r="H554" s="1913"/>
      <c r="I554" s="1913"/>
      <c r="J554" s="1913"/>
      <c r="K554" s="1913"/>
      <c r="L554" s="1913"/>
      <c r="M554" s="1913"/>
      <c r="N554" s="1913"/>
      <c r="O554" s="1913"/>
      <c r="P554" s="1913"/>
      <c r="Q554" s="1913"/>
      <c r="R554" s="1913"/>
      <c r="S554" s="1913"/>
      <c r="T554" s="1913"/>
      <c r="U554" s="1913"/>
      <c r="V554" s="1913"/>
      <c r="W554" s="1913"/>
      <c r="X554" s="1913"/>
      <c r="Y554" s="1913"/>
      <c r="Z554" s="1913"/>
      <c r="AA554" s="1913"/>
      <c r="AB554" s="1913"/>
      <c r="AC554" s="1913"/>
      <c r="AD554" s="1913"/>
      <c r="AE554" s="1913"/>
      <c r="AF554" s="1913"/>
      <c r="AG554" s="1913"/>
      <c r="AH554" s="1913"/>
      <c r="AI554" s="1913"/>
      <c r="AJ554" s="1913"/>
      <c r="AK554" s="676"/>
      <c r="AL554" s="607"/>
      <c r="AM554" s="637"/>
      <c r="AN554" s="631"/>
    </row>
    <row r="555" spans="1:45" s="584" customFormat="1" ht="12.75" customHeight="1">
      <c r="A555" s="637"/>
      <c r="B555" s="1913"/>
      <c r="C555" s="1913"/>
      <c r="D555" s="1913"/>
      <c r="E555" s="1913"/>
      <c r="F555" s="1913"/>
      <c r="G555" s="1913"/>
      <c r="H555" s="1913"/>
      <c r="I555" s="1913"/>
      <c r="J555" s="1913"/>
      <c r="K555" s="1913"/>
      <c r="L555" s="1913"/>
      <c r="M555" s="1913"/>
      <c r="N555" s="1913"/>
      <c r="O555" s="1913"/>
      <c r="P555" s="1913"/>
      <c r="Q555" s="1913"/>
      <c r="R555" s="1913"/>
      <c r="S555" s="1913"/>
      <c r="T555" s="1913"/>
      <c r="U555" s="1913"/>
      <c r="V555" s="1913"/>
      <c r="W555" s="1913"/>
      <c r="X555" s="1913"/>
      <c r="Y555" s="1913"/>
      <c r="Z555" s="1913"/>
      <c r="AA555" s="1913"/>
      <c r="AB555" s="1913"/>
      <c r="AC555" s="1913"/>
      <c r="AD555" s="1913"/>
      <c r="AE555" s="1913"/>
      <c r="AF555" s="1913"/>
      <c r="AG555" s="1913"/>
      <c r="AH555" s="1913"/>
      <c r="AI555" s="1913"/>
      <c r="AJ555" s="1913"/>
      <c r="AK555" s="676"/>
      <c r="AL555" s="607"/>
      <c r="AM555" s="637"/>
      <c r="AN555" s="631"/>
    </row>
    <row r="556" spans="1:45" s="584" customFormat="1" ht="12.75" customHeight="1">
      <c r="A556" s="637"/>
      <c r="B556" s="1913"/>
      <c r="C556" s="1913"/>
      <c r="D556" s="1913"/>
      <c r="E556" s="1913"/>
      <c r="F556" s="1913"/>
      <c r="G556" s="1913"/>
      <c r="H556" s="1913"/>
      <c r="I556" s="1913"/>
      <c r="J556" s="1913"/>
      <c r="K556" s="1913"/>
      <c r="L556" s="1913"/>
      <c r="M556" s="1913"/>
      <c r="N556" s="1913"/>
      <c r="O556" s="1913"/>
      <c r="P556" s="1913"/>
      <c r="Q556" s="1913"/>
      <c r="R556" s="1913"/>
      <c r="S556" s="1913"/>
      <c r="T556" s="1913"/>
      <c r="U556" s="1913"/>
      <c r="V556" s="1913"/>
      <c r="W556" s="1913"/>
      <c r="X556" s="1913"/>
      <c r="Y556" s="1913"/>
      <c r="Z556" s="1913"/>
      <c r="AA556" s="1913"/>
      <c r="AB556" s="1913"/>
      <c r="AC556" s="1913"/>
      <c r="AD556" s="1913"/>
      <c r="AE556" s="1913"/>
      <c r="AF556" s="1913"/>
      <c r="AG556" s="1913"/>
      <c r="AH556" s="1913"/>
      <c r="AI556" s="1913"/>
      <c r="AJ556" s="1913"/>
      <c r="AK556" s="676"/>
      <c r="AL556" s="607"/>
      <c r="AM556" s="637"/>
      <c r="AN556" s="631"/>
    </row>
    <row r="557" spans="1:45" s="584" customFormat="1" ht="12.75" customHeight="1">
      <c r="A557" s="637"/>
      <c r="B557" s="1913"/>
      <c r="C557" s="1913"/>
      <c r="D557" s="1913"/>
      <c r="E557" s="1913"/>
      <c r="F557" s="1913"/>
      <c r="G557" s="1913"/>
      <c r="H557" s="1913"/>
      <c r="I557" s="1913"/>
      <c r="J557" s="1913"/>
      <c r="K557" s="1913"/>
      <c r="L557" s="1913"/>
      <c r="M557" s="1913"/>
      <c r="N557" s="1913"/>
      <c r="O557" s="1913"/>
      <c r="P557" s="1913"/>
      <c r="Q557" s="1913"/>
      <c r="R557" s="1913"/>
      <c r="S557" s="1913"/>
      <c r="T557" s="1913"/>
      <c r="U557" s="1913"/>
      <c r="V557" s="1913"/>
      <c r="W557" s="1913"/>
      <c r="X557" s="1913"/>
      <c r="Y557" s="1913"/>
      <c r="Z557" s="1913"/>
      <c r="AA557" s="1913"/>
      <c r="AB557" s="1913"/>
      <c r="AC557" s="1913"/>
      <c r="AD557" s="1913"/>
      <c r="AE557" s="1913"/>
      <c r="AF557" s="1913"/>
      <c r="AG557" s="1913"/>
      <c r="AH557" s="1913"/>
      <c r="AI557" s="1913"/>
      <c r="AJ557" s="1913"/>
      <c r="AK557" s="676"/>
      <c r="AL557" s="607"/>
      <c r="AM557" s="637"/>
      <c r="AN557" s="631"/>
    </row>
    <row r="558" spans="1:45" s="584" customFormat="1" ht="12.75" customHeight="1">
      <c r="A558" s="637"/>
      <c r="B558" s="1913"/>
      <c r="C558" s="1913"/>
      <c r="D558" s="1913"/>
      <c r="E558" s="1913"/>
      <c r="F558" s="1913"/>
      <c r="G558" s="1913"/>
      <c r="H558" s="1913"/>
      <c r="I558" s="1913"/>
      <c r="J558" s="1913"/>
      <c r="K558" s="1913"/>
      <c r="L558" s="1913"/>
      <c r="M558" s="1913"/>
      <c r="N558" s="1913"/>
      <c r="O558" s="1913"/>
      <c r="P558" s="1913"/>
      <c r="Q558" s="1913"/>
      <c r="R558" s="1913"/>
      <c r="S558" s="1913"/>
      <c r="T558" s="1913"/>
      <c r="U558" s="1913"/>
      <c r="V558" s="1913"/>
      <c r="W558" s="1913"/>
      <c r="X558" s="1913"/>
      <c r="Y558" s="1913"/>
      <c r="Z558" s="1913"/>
      <c r="AA558" s="1913"/>
      <c r="AB558" s="1913"/>
      <c r="AC558" s="1913"/>
      <c r="AD558" s="1913"/>
      <c r="AE558" s="1913"/>
      <c r="AF558" s="1913"/>
      <c r="AG558" s="1913"/>
      <c r="AH558" s="1913"/>
      <c r="AI558" s="1913"/>
      <c r="AJ558" s="1913"/>
      <c r="AK558" s="676"/>
      <c r="AL558" s="607"/>
      <c r="AM558" s="637"/>
      <c r="AN558" s="631"/>
    </row>
    <row r="559" spans="1:45" s="584" customFormat="1" ht="12.75" customHeight="1">
      <c r="A559" s="637"/>
      <c r="B559" s="1913"/>
      <c r="C559" s="1913"/>
      <c r="D559" s="1913"/>
      <c r="E559" s="1913"/>
      <c r="F559" s="1913"/>
      <c r="G559" s="1913"/>
      <c r="H559" s="1913"/>
      <c r="I559" s="1913"/>
      <c r="J559" s="1913"/>
      <c r="K559" s="1913"/>
      <c r="L559" s="1913"/>
      <c r="M559" s="1913"/>
      <c r="N559" s="1913"/>
      <c r="O559" s="1913"/>
      <c r="P559" s="1913"/>
      <c r="Q559" s="1913"/>
      <c r="R559" s="1913"/>
      <c r="S559" s="1913"/>
      <c r="T559" s="1913"/>
      <c r="U559" s="1913"/>
      <c r="V559" s="1913"/>
      <c r="W559" s="1913"/>
      <c r="X559" s="1913"/>
      <c r="Y559" s="1913"/>
      <c r="Z559" s="1913"/>
      <c r="AA559" s="1913"/>
      <c r="AB559" s="1913"/>
      <c r="AC559" s="1913"/>
      <c r="AD559" s="1913"/>
      <c r="AE559" s="1913"/>
      <c r="AF559" s="1913"/>
      <c r="AG559" s="1913"/>
      <c r="AH559" s="1913"/>
      <c r="AI559" s="1913"/>
      <c r="AJ559" s="1913"/>
      <c r="AK559" s="676"/>
      <c r="AL559" s="607"/>
      <c r="AM559" s="637"/>
      <c r="AN559" s="631"/>
    </row>
    <row r="560" spans="1:45" ht="12.75" customHeight="1">
      <c r="A560" s="637"/>
      <c r="B560" s="1913"/>
      <c r="C560" s="1913"/>
      <c r="D560" s="1913"/>
      <c r="E560" s="1913"/>
      <c r="F560" s="1913"/>
      <c r="G560" s="1913"/>
      <c r="H560" s="1913"/>
      <c r="I560" s="1913"/>
      <c r="J560" s="1913"/>
      <c r="K560" s="1913"/>
      <c r="L560" s="1913"/>
      <c r="M560" s="1913"/>
      <c r="N560" s="1913"/>
      <c r="O560" s="1913"/>
      <c r="P560" s="1913"/>
      <c r="Q560" s="1913"/>
      <c r="R560" s="1913"/>
      <c r="S560" s="1913"/>
      <c r="T560" s="1913"/>
      <c r="U560" s="1913"/>
      <c r="V560" s="1913"/>
      <c r="W560" s="1913"/>
      <c r="X560" s="1913"/>
      <c r="Y560" s="1913"/>
      <c r="Z560" s="1913"/>
      <c r="AA560" s="1913"/>
      <c r="AB560" s="1913"/>
      <c r="AC560" s="1913"/>
      <c r="AD560" s="1913"/>
      <c r="AE560" s="1913"/>
      <c r="AF560" s="1913"/>
      <c r="AG560" s="1913"/>
      <c r="AH560" s="1913"/>
      <c r="AI560" s="1913"/>
      <c r="AJ560" s="1913"/>
      <c r="AK560" s="676"/>
      <c r="AL560" s="607"/>
      <c r="AM560" s="637"/>
    </row>
    <row r="561" spans="1:42" s="584" customFormat="1" ht="12.75" customHeight="1">
      <c r="B561" s="1913"/>
      <c r="C561" s="1913"/>
      <c r="D561" s="1913"/>
      <c r="E561" s="1913"/>
      <c r="F561" s="1913"/>
      <c r="G561" s="1913"/>
      <c r="H561" s="1913"/>
      <c r="I561" s="1913"/>
      <c r="J561" s="1913"/>
      <c r="K561" s="1913"/>
      <c r="L561" s="1913"/>
      <c r="M561" s="1913"/>
      <c r="N561" s="1913"/>
      <c r="O561" s="1913"/>
      <c r="P561" s="1913"/>
      <c r="Q561" s="1913"/>
      <c r="R561" s="1913"/>
      <c r="S561" s="1913"/>
      <c r="T561" s="1913"/>
      <c r="U561" s="1913"/>
      <c r="V561" s="1913"/>
      <c r="W561" s="1913"/>
      <c r="X561" s="1913"/>
      <c r="Y561" s="1913"/>
      <c r="Z561" s="1913"/>
      <c r="AA561" s="1913"/>
      <c r="AB561" s="1913"/>
      <c r="AC561" s="1913"/>
      <c r="AD561" s="1913"/>
      <c r="AE561" s="1913"/>
      <c r="AF561" s="1913"/>
      <c r="AG561" s="1913"/>
      <c r="AH561" s="1913"/>
      <c r="AI561" s="1913"/>
      <c r="AJ561" s="1913"/>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1505</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1506</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1888</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3" t="s">
        <v>1449</v>
      </c>
      <c r="AG567" s="1993"/>
      <c r="AH567" s="1993"/>
      <c r="AI567" s="1993"/>
      <c r="AJ567" s="1993"/>
      <c r="AK567" s="1993"/>
      <c r="AL567" s="1993"/>
      <c r="AN567" s="631"/>
    </row>
    <row r="568" spans="1:42" s="584" customFormat="1" ht="12.75" customHeight="1">
      <c r="B568" s="570"/>
      <c r="C568" s="650"/>
      <c r="D568" s="697"/>
      <c r="E568" s="872" t="s">
        <v>1889</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1890</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1891</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1892</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2537</v>
      </c>
      <c r="AP571" s="584" t="b">
        <f>IF(Application!AF418&gt;=25,TRUE,FALSE)</f>
        <v>1</v>
      </c>
    </row>
    <row r="572" spans="1:42" s="584" customFormat="1" ht="12.75" customHeight="1">
      <c r="B572" s="570"/>
      <c r="C572" s="650"/>
      <c r="D572" s="697"/>
      <c r="E572" s="872" t="s">
        <v>1893</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2538</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1894</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3" t="s">
        <v>1507</v>
      </c>
      <c r="AG574" s="1993"/>
      <c r="AH574" s="1993"/>
      <c r="AI574" s="1993"/>
      <c r="AJ574" s="1993"/>
      <c r="AK574" s="1993"/>
      <c r="AL574" s="1993"/>
      <c r="AN574" s="631"/>
    </row>
    <row r="575" spans="1:42" s="584" customFormat="1" ht="12.75" customHeight="1">
      <c r="B575" s="570"/>
      <c r="C575" s="968"/>
      <c r="D575" s="697"/>
      <c r="E575" s="872" t="s">
        <v>1895</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1896</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1898</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1897</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1508</v>
      </c>
      <c r="AP579" s="584">
        <v>4</v>
      </c>
    </row>
    <row r="580" spans="1:53" s="584" customFormat="1" ht="12.75" customHeight="1">
      <c r="B580" s="570"/>
      <c r="C580" s="966"/>
      <c r="D580" s="697" t="s">
        <v>279</v>
      </c>
      <c r="E580" s="872" t="s">
        <v>1899</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3" t="s">
        <v>1489</v>
      </c>
      <c r="AG580" s="1993"/>
      <c r="AH580" s="1993"/>
      <c r="AI580" s="1993"/>
      <c r="AJ580" s="1993"/>
      <c r="AK580" s="1993"/>
      <c r="AL580" s="1993"/>
      <c r="AN580" s="631"/>
      <c r="AO580" s="645" t="s">
        <v>1509</v>
      </c>
      <c r="AP580" s="584">
        <v>3</v>
      </c>
    </row>
    <row r="581" spans="1:53" s="584" customFormat="1" ht="12.75" customHeight="1">
      <c r="B581" s="570"/>
      <c r="C581" s="968"/>
      <c r="D581" s="697"/>
      <c r="E581" s="872" t="s">
        <v>1895</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1896</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2540</v>
      </c>
    </row>
    <row r="583" spans="1:53" s="584" customFormat="1" ht="12.75" customHeight="1">
      <c r="B583" s="570"/>
      <c r="C583" s="968"/>
      <c r="D583" s="697"/>
      <c r="E583" s="872" t="s">
        <v>1898</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2541</v>
      </c>
    </row>
    <row r="584" spans="1:53" s="584" customFormat="1" ht="12.75" customHeight="1">
      <c r="B584" s="570"/>
      <c r="C584" s="968"/>
      <c r="D584" s="697"/>
      <c r="E584" s="872" t="s">
        <v>1897</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2542</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1508</v>
      </c>
      <c r="E586" s="872" t="s">
        <v>1900</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3" t="s">
        <v>1510</v>
      </c>
      <c r="AG586" s="1993"/>
      <c r="AH586" s="1993"/>
      <c r="AI586" s="1993"/>
      <c r="AJ586" s="1993"/>
      <c r="AK586" s="1993"/>
      <c r="AL586" s="1993"/>
      <c r="AN586" s="631"/>
      <c r="AO586" s="584" t="str">
        <f>X623</f>
        <v>N/A</v>
      </c>
    </row>
    <row r="587" spans="1:53" s="584" customFormat="1" ht="12.75" customHeight="1">
      <c r="B587" s="570"/>
      <c r="C587" s="968"/>
      <c r="D587" s="697"/>
      <c r="E587" s="872" t="s">
        <v>1901</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1902</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2543</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2544</v>
      </c>
    </row>
    <row r="590" spans="1:53" s="584" customFormat="1" ht="12.75" customHeight="1">
      <c r="B590" s="644"/>
      <c r="C590" s="966"/>
      <c r="D590" s="697"/>
      <c r="E590" s="570" t="s">
        <v>2057</v>
      </c>
      <c r="O590" s="2032" t="s">
        <v>1291</v>
      </c>
      <c r="P590" s="2032"/>
      <c r="Q590" s="2032"/>
      <c r="R590" s="2032"/>
      <c r="S590" s="2032"/>
      <c r="T590" s="2032"/>
      <c r="U590" s="2032"/>
      <c r="V590" s="2032"/>
      <c r="W590" s="2032"/>
      <c r="X590" s="2032"/>
      <c r="Y590" s="2032"/>
      <c r="Z590" s="2032"/>
      <c r="AA590" s="2032"/>
      <c r="AB590" s="2032"/>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1509</v>
      </c>
      <c r="E592" s="872" t="s">
        <v>1904</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3" t="s">
        <v>1463</v>
      </c>
      <c r="AG592" s="1993"/>
      <c r="AH592" s="1993"/>
      <c r="AI592" s="1993"/>
      <c r="AJ592" s="1993"/>
      <c r="AK592" s="1993"/>
      <c r="AL592" s="1993"/>
      <c r="AN592" s="631"/>
    </row>
    <row r="593" spans="2:47" s="584" customFormat="1" ht="12.75" customHeight="1">
      <c r="B593" s="570"/>
      <c r="C593" s="966"/>
      <c r="D593" s="697"/>
      <c r="E593" s="872" t="s">
        <v>1903</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1511</v>
      </c>
      <c r="E595" s="971"/>
      <c r="F595" s="971"/>
      <c r="G595" s="971"/>
      <c r="H595" s="1937" t="s">
        <v>697</v>
      </c>
      <c r="I595" s="1937"/>
      <c r="J595" s="971"/>
      <c r="K595" s="971"/>
      <c r="L595" s="971"/>
      <c r="N595" s="22"/>
      <c r="O595" s="22"/>
      <c r="P595" s="22"/>
      <c r="Q595" s="1195" t="s">
        <v>2539</v>
      </c>
      <c r="R595" s="2033"/>
      <c r="S595" s="2033"/>
      <c r="T595" s="2033"/>
      <c r="U595" s="2033"/>
      <c r="V595" s="2033"/>
      <c r="W595" s="2033"/>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4" t="str">
        <f>IF(AND(H595="(i)",NOT(AP571)),AO588,IF(AND(H595="(iv)",OR(R595=AO584,R595=AO583),NOT(AP572)),AO589,""))</f>
        <v/>
      </c>
      <c r="Z596" s="2034"/>
      <c r="AA596" s="2034"/>
      <c r="AB596" s="2034"/>
      <c r="AC596" s="2034"/>
      <c r="AD596" s="2034"/>
      <c r="AE596" s="2034"/>
      <c r="AF596" s="2034"/>
      <c r="AG596" s="2034"/>
      <c r="AH596" s="2034"/>
      <c r="AI596" s="2034"/>
      <c r="AJ596" s="2034"/>
      <c r="AK596" s="2034"/>
      <c r="AL596" s="2034"/>
      <c r="AM596" s="2035"/>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4"/>
      <c r="Z597" s="2034"/>
      <c r="AA597" s="2034"/>
      <c r="AB597" s="2034"/>
      <c r="AC597" s="2034"/>
      <c r="AD597" s="2034"/>
      <c r="AE597" s="2034"/>
      <c r="AF597" s="2034"/>
      <c r="AG597" s="2034"/>
      <c r="AH597" s="2034"/>
      <c r="AI597" s="2034"/>
      <c r="AJ597" s="2034"/>
      <c r="AK597" s="2034"/>
      <c r="AL597" s="2034"/>
      <c r="AM597" s="2035"/>
      <c r="AN597" s="631"/>
      <c r="AO597" s="645"/>
      <c r="AT597" s="645"/>
    </row>
    <row r="598" spans="2:47" s="584" customFormat="1" ht="12.75" customHeight="1">
      <c r="B598" s="570"/>
      <c r="C598" s="968"/>
      <c r="D598" s="570" t="s">
        <v>1905</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1906</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1907</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1908</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1511</v>
      </c>
      <c r="F603" s="971"/>
      <c r="G603" s="971"/>
      <c r="I603" s="2031" t="s">
        <v>600</v>
      </c>
      <c r="J603" s="2031"/>
      <c r="K603" s="2031"/>
      <c r="L603" s="2031"/>
      <c r="M603" s="2031"/>
      <c r="N603" s="2031"/>
      <c r="O603" s="2031"/>
      <c r="P603" s="2031"/>
      <c r="Q603" s="2031"/>
      <c r="R603" s="2031"/>
      <c r="S603" s="2031"/>
      <c r="T603" s="2031"/>
      <c r="U603" s="2031"/>
      <c r="V603" s="2031"/>
      <c r="W603" s="2031"/>
      <c r="X603" s="2031"/>
      <c r="Y603" s="2031"/>
      <c r="Z603" s="2031"/>
      <c r="AA603" s="2031"/>
      <c r="AB603" s="2031"/>
      <c r="AC603" s="2031"/>
      <c r="AD603" s="2031"/>
      <c r="AE603" s="2031"/>
      <c r="AF603" s="570"/>
      <c r="AG603" s="570"/>
      <c r="AH603" s="570"/>
      <c r="AI603" s="570"/>
      <c r="AJ603" s="570"/>
      <c r="AK603" s="570"/>
      <c r="AL603" s="570"/>
      <c r="AN603" s="631"/>
      <c r="AO603" s="584" t="s">
        <v>1512</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1513</v>
      </c>
      <c r="AP604" s="584">
        <v>2</v>
      </c>
    </row>
    <row r="605" spans="2:47" s="584" customFormat="1" ht="12.75" customHeight="1">
      <c r="B605" s="2029" t="s">
        <v>600</v>
      </c>
      <c r="C605" s="2029"/>
      <c r="D605" s="676"/>
      <c r="E605" s="1913" t="s">
        <v>1514</v>
      </c>
      <c r="F605" s="1913"/>
      <c r="G605" s="1913"/>
      <c r="H605" s="1913"/>
      <c r="I605" s="1913"/>
      <c r="J605" s="1913"/>
      <c r="K605" s="1913"/>
      <c r="L605" s="1913"/>
      <c r="M605" s="1913"/>
      <c r="N605" s="1913"/>
      <c r="O605" s="1913"/>
      <c r="P605" s="1913"/>
      <c r="Q605" s="1913"/>
      <c r="R605" s="1913"/>
      <c r="S605" s="1913"/>
      <c r="T605" s="1913"/>
      <c r="U605" s="1913"/>
      <c r="V605" s="1913"/>
      <c r="W605" s="1913"/>
      <c r="X605" s="1913"/>
      <c r="Y605" s="1913"/>
      <c r="Z605" s="1913"/>
      <c r="AA605" s="1913"/>
      <c r="AB605" s="1913"/>
      <c r="AC605" s="1913"/>
      <c r="AD605" s="1913"/>
      <c r="AE605" s="1913"/>
      <c r="AF605" s="1913"/>
      <c r="AG605" s="1913"/>
      <c r="AH605" s="676"/>
      <c r="AI605" s="676"/>
      <c r="AJ605" s="676"/>
      <c r="AK605" s="676"/>
      <c r="AL605" s="676"/>
      <c r="AN605" s="631"/>
    </row>
    <row r="606" spans="2:47" s="584" customFormat="1" ht="12.75" customHeight="1">
      <c r="B606" s="570"/>
      <c r="C606" s="968"/>
      <c r="D606" s="676"/>
      <c r="E606" s="1913"/>
      <c r="F606" s="1913"/>
      <c r="G606" s="1913"/>
      <c r="H606" s="1913"/>
      <c r="I606" s="1913"/>
      <c r="J606" s="1913"/>
      <c r="K606" s="1913"/>
      <c r="L606" s="1913"/>
      <c r="M606" s="1913"/>
      <c r="N606" s="1913"/>
      <c r="O606" s="1913"/>
      <c r="P606" s="1913"/>
      <c r="Q606" s="1913"/>
      <c r="R606" s="1913"/>
      <c r="S606" s="1913"/>
      <c r="T606" s="1913"/>
      <c r="U606" s="1913"/>
      <c r="V606" s="1913"/>
      <c r="W606" s="1913"/>
      <c r="X606" s="1913"/>
      <c r="Y606" s="1913"/>
      <c r="Z606" s="1913"/>
      <c r="AA606" s="1913"/>
      <c r="AB606" s="1913"/>
      <c r="AC606" s="1913"/>
      <c r="AD606" s="1913"/>
      <c r="AE606" s="1913"/>
      <c r="AF606" s="1913"/>
      <c r="AG606" s="1913"/>
      <c r="AH606" s="676"/>
      <c r="AI606" s="676"/>
      <c r="AJ606" s="676"/>
      <c r="AK606" s="676"/>
      <c r="AL606" s="676"/>
      <c r="AN606" s="631"/>
    </row>
    <row r="607" spans="2:47" s="584" customFormat="1" ht="12.75" customHeight="1">
      <c r="B607" s="570"/>
      <c r="C607" s="968"/>
      <c r="D607" s="676"/>
      <c r="E607" s="1913"/>
      <c r="F607" s="1913"/>
      <c r="G607" s="1913"/>
      <c r="H607" s="1913"/>
      <c r="I607" s="1913"/>
      <c r="J607" s="1913"/>
      <c r="K607" s="1913"/>
      <c r="L607" s="1913"/>
      <c r="M607" s="1913"/>
      <c r="N607" s="1913"/>
      <c r="O607" s="1913"/>
      <c r="P607" s="1913"/>
      <c r="Q607" s="1913"/>
      <c r="R607" s="1913"/>
      <c r="S607" s="1913"/>
      <c r="T607" s="1913"/>
      <c r="U607" s="1913"/>
      <c r="V607" s="1913"/>
      <c r="W607" s="1913"/>
      <c r="X607" s="1913"/>
      <c r="Y607" s="1913"/>
      <c r="Z607" s="1913"/>
      <c r="AA607" s="1913"/>
      <c r="AB607" s="1913"/>
      <c r="AC607" s="1913"/>
      <c r="AD607" s="1913"/>
      <c r="AE607" s="1913"/>
      <c r="AF607" s="1913"/>
      <c r="AG607" s="1913"/>
      <c r="AH607" s="676"/>
      <c r="AI607" s="676"/>
      <c r="AJ607" s="676"/>
      <c r="AK607" s="676"/>
      <c r="AL607" s="676"/>
      <c r="AN607" s="631"/>
    </row>
    <row r="608" spans="2:47" s="584" customFormat="1" ht="12.75" customHeight="1">
      <c r="B608" s="570"/>
      <c r="C608" s="968"/>
      <c r="D608" s="676"/>
      <c r="E608" s="1913"/>
      <c r="F608" s="1913"/>
      <c r="G608" s="1913"/>
      <c r="H608" s="1913"/>
      <c r="I608" s="1913"/>
      <c r="J608" s="1913"/>
      <c r="K608" s="1913"/>
      <c r="L608" s="1913"/>
      <c r="M608" s="1913"/>
      <c r="N608" s="1913"/>
      <c r="O608" s="1913"/>
      <c r="P608" s="1913"/>
      <c r="Q608" s="1913"/>
      <c r="R608" s="1913"/>
      <c r="S608" s="1913"/>
      <c r="T608" s="1913"/>
      <c r="U608" s="1913"/>
      <c r="V608" s="1913"/>
      <c r="W608" s="1913"/>
      <c r="X608" s="1913"/>
      <c r="Y608" s="1913"/>
      <c r="Z608" s="1913"/>
      <c r="AA608" s="1913"/>
      <c r="AB608" s="1913"/>
      <c r="AC608" s="1913"/>
      <c r="AD608" s="1913"/>
      <c r="AE608" s="1913"/>
      <c r="AF608" s="1913"/>
      <c r="AG608" s="1913"/>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1515</v>
      </c>
      <c r="AJ610" s="1920">
        <f>VLOOKUP($H$595,$AO$575:$AP$580,2,FALSE)+IF(R595=AO583,0,VLOOKUP($I$603,$AO$602:$AP$604,2,FALSE))</f>
        <v>7</v>
      </c>
      <c r="AK610" s="1922"/>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1516</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30" t="s">
        <v>1884</v>
      </c>
      <c r="F614" s="2030"/>
      <c r="G614" s="2030"/>
      <c r="H614" s="2030"/>
      <c r="I614" s="2030"/>
      <c r="J614" s="2030"/>
      <c r="K614" s="2030"/>
      <c r="L614" s="2030"/>
      <c r="M614" s="2030"/>
      <c r="N614" s="2030"/>
      <c r="O614" s="2030"/>
      <c r="P614" s="2030"/>
      <c r="Q614" s="2030"/>
      <c r="R614" s="2030"/>
      <c r="S614" s="2030"/>
      <c r="T614" s="2030"/>
      <c r="U614" s="2030"/>
      <c r="V614" s="2030"/>
      <c r="W614" s="2030"/>
      <c r="X614" s="2030"/>
      <c r="Y614" s="2030"/>
      <c r="Z614" s="2030"/>
      <c r="AA614" s="2030"/>
      <c r="AB614" s="2030"/>
      <c r="AC614" s="2030"/>
      <c r="AD614" s="2030"/>
      <c r="AE614" s="573"/>
      <c r="AF614" s="1993" t="s">
        <v>1463</v>
      </c>
      <c r="AG614" s="1993"/>
      <c r="AH614" s="1993"/>
      <c r="AI614" s="1993"/>
      <c r="AJ614" s="1993"/>
      <c r="AK614" s="1993"/>
      <c r="AL614" s="1993"/>
      <c r="AM614" s="584"/>
      <c r="AN614" s="712"/>
    </row>
    <row r="615" spans="1:42" s="584" customFormat="1" ht="12.75" customHeight="1">
      <c r="A615" s="713"/>
      <c r="B615" s="570"/>
      <c r="C615" s="968"/>
      <c r="D615" s="697"/>
      <c r="E615" s="2030"/>
      <c r="F615" s="2030"/>
      <c r="G615" s="2030"/>
      <c r="H615" s="2030"/>
      <c r="I615" s="2030"/>
      <c r="J615" s="2030"/>
      <c r="K615" s="2030"/>
      <c r="L615" s="2030"/>
      <c r="M615" s="2030"/>
      <c r="N615" s="2030"/>
      <c r="O615" s="2030"/>
      <c r="P615" s="2030"/>
      <c r="Q615" s="2030"/>
      <c r="R615" s="2030"/>
      <c r="S615" s="2030"/>
      <c r="T615" s="2030"/>
      <c r="U615" s="2030"/>
      <c r="V615" s="2030"/>
      <c r="W615" s="2030"/>
      <c r="X615" s="2030"/>
      <c r="Y615" s="2030"/>
      <c r="Z615" s="2030"/>
      <c r="AA615" s="2030"/>
      <c r="AB615" s="2030"/>
      <c r="AC615" s="2030"/>
      <c r="AD615" s="2030"/>
      <c r="AE615" s="570"/>
      <c r="AF615" s="570"/>
      <c r="AG615" s="570"/>
      <c r="AH615" s="570"/>
      <c r="AI615" s="570"/>
      <c r="AJ615" s="570"/>
      <c r="AK615" s="570"/>
      <c r="AL615" s="570"/>
      <c r="AN615" s="631"/>
    </row>
    <row r="616" spans="1:42" s="584" customFormat="1" ht="12.75" customHeight="1">
      <c r="B616" s="570"/>
      <c r="C616" s="966"/>
      <c r="D616" s="697"/>
      <c r="E616" s="2030"/>
      <c r="F616" s="2030"/>
      <c r="G616" s="2030"/>
      <c r="H616" s="2030"/>
      <c r="I616" s="2030"/>
      <c r="J616" s="2030"/>
      <c r="K616" s="2030"/>
      <c r="L616" s="2030"/>
      <c r="M616" s="2030"/>
      <c r="N616" s="2030"/>
      <c r="O616" s="2030"/>
      <c r="P616" s="2030"/>
      <c r="Q616" s="2030"/>
      <c r="R616" s="2030"/>
      <c r="S616" s="2030"/>
      <c r="T616" s="2030"/>
      <c r="U616" s="2030"/>
      <c r="V616" s="2030"/>
      <c r="W616" s="2030"/>
      <c r="X616" s="2030"/>
      <c r="Y616" s="2030"/>
      <c r="Z616" s="2030"/>
      <c r="AA616" s="2030"/>
      <c r="AB616" s="2030"/>
      <c r="AC616" s="2030"/>
      <c r="AD616" s="2030"/>
      <c r="AE616" s="570"/>
      <c r="AF616" s="570"/>
      <c r="AG616" s="570"/>
      <c r="AH616" s="570"/>
      <c r="AI616" s="570"/>
      <c r="AJ616" s="570"/>
      <c r="AK616" s="570"/>
      <c r="AL616" s="570"/>
      <c r="AN616" s="631"/>
    </row>
    <row r="617" spans="1:42" s="584" customFormat="1" ht="12.75" customHeight="1">
      <c r="B617" s="570"/>
      <c r="C617" s="966"/>
      <c r="D617" s="697"/>
      <c r="E617" s="2030"/>
      <c r="F617" s="2030"/>
      <c r="G617" s="2030"/>
      <c r="H617" s="2030"/>
      <c r="I617" s="2030"/>
      <c r="J617" s="2030"/>
      <c r="K617" s="2030"/>
      <c r="L617" s="2030"/>
      <c r="M617" s="2030"/>
      <c r="N617" s="2030"/>
      <c r="O617" s="2030"/>
      <c r="P617" s="2030"/>
      <c r="Q617" s="2030"/>
      <c r="R617" s="2030"/>
      <c r="S617" s="2030"/>
      <c r="T617" s="2030"/>
      <c r="U617" s="2030"/>
      <c r="V617" s="2030"/>
      <c r="W617" s="2030"/>
      <c r="X617" s="2030"/>
      <c r="Y617" s="2030"/>
      <c r="Z617" s="2030"/>
      <c r="AA617" s="2030"/>
      <c r="AB617" s="2030"/>
      <c r="AC617" s="2030"/>
      <c r="AD617" s="2030"/>
      <c r="AE617" s="570"/>
      <c r="AF617" s="570"/>
      <c r="AG617" s="570"/>
      <c r="AH617" s="570"/>
      <c r="AI617" s="570"/>
      <c r="AJ617" s="570"/>
      <c r="AK617" s="570"/>
      <c r="AL617" s="570"/>
      <c r="AN617" s="631"/>
    </row>
    <row r="618" spans="1:42" s="584" customFormat="1" ht="12.75" customHeight="1">
      <c r="B618" s="570"/>
      <c r="C618" s="966"/>
      <c r="D618" s="697"/>
      <c r="E618" s="2030"/>
      <c r="F618" s="2030"/>
      <c r="G618" s="2030"/>
      <c r="H618" s="2030"/>
      <c r="I618" s="2030"/>
      <c r="J618" s="2030"/>
      <c r="K618" s="2030"/>
      <c r="L618" s="2030"/>
      <c r="M618" s="2030"/>
      <c r="N618" s="2030"/>
      <c r="O618" s="2030"/>
      <c r="P618" s="2030"/>
      <c r="Q618" s="2030"/>
      <c r="R618" s="2030"/>
      <c r="S618" s="2030"/>
      <c r="T618" s="2030"/>
      <c r="U618" s="2030"/>
      <c r="V618" s="2030"/>
      <c r="W618" s="2030"/>
      <c r="X618" s="2030"/>
      <c r="Y618" s="2030"/>
      <c r="Z618" s="2030"/>
      <c r="AA618" s="2030"/>
      <c r="AB618" s="2030"/>
      <c r="AC618" s="2030"/>
      <c r="AD618" s="2030"/>
      <c r="AE618" s="570"/>
      <c r="AF618" s="570"/>
      <c r="AG618" s="570"/>
      <c r="AH618" s="570"/>
      <c r="AI618" s="570"/>
      <c r="AJ618" s="570"/>
      <c r="AK618" s="570"/>
      <c r="AL618" s="570"/>
      <c r="AN618" s="631"/>
    </row>
    <row r="619" spans="1:42" s="584" customFormat="1" ht="12.75" customHeight="1">
      <c r="B619" s="570"/>
      <c r="C619" s="966"/>
      <c r="D619" s="697"/>
      <c r="E619" s="2030"/>
      <c r="F619" s="2030"/>
      <c r="G619" s="2030"/>
      <c r="H619" s="2030"/>
      <c r="I619" s="2030"/>
      <c r="J619" s="2030"/>
      <c r="K619" s="2030"/>
      <c r="L619" s="2030"/>
      <c r="M619" s="2030"/>
      <c r="N619" s="2030"/>
      <c r="O619" s="2030"/>
      <c r="P619" s="2030"/>
      <c r="Q619" s="2030"/>
      <c r="R619" s="2030"/>
      <c r="S619" s="2030"/>
      <c r="T619" s="2030"/>
      <c r="U619" s="2030"/>
      <c r="V619" s="2030"/>
      <c r="W619" s="2030"/>
      <c r="X619" s="2030"/>
      <c r="Y619" s="2030"/>
      <c r="Z619" s="2030"/>
      <c r="AA619" s="2030"/>
      <c r="AB619" s="2030"/>
      <c r="AC619" s="2030"/>
      <c r="AD619" s="2030"/>
      <c r="AE619" s="570"/>
      <c r="AF619" s="570"/>
      <c r="AG619" s="570"/>
      <c r="AH619" s="570"/>
      <c r="AI619" s="570"/>
      <c r="AJ619" s="570"/>
      <c r="AK619" s="570"/>
      <c r="AL619" s="570"/>
      <c r="AN619" s="631"/>
    </row>
    <row r="620" spans="1:42" s="584" customFormat="1" ht="12.75" customHeight="1">
      <c r="A620" s="671"/>
      <c r="B620" s="650"/>
      <c r="C620" s="975"/>
      <c r="D620" s="697"/>
      <c r="E620" s="2030"/>
      <c r="F620" s="2030"/>
      <c r="G620" s="2030"/>
      <c r="H620" s="2030"/>
      <c r="I620" s="2030"/>
      <c r="J620" s="2030"/>
      <c r="K620" s="2030"/>
      <c r="L620" s="2030"/>
      <c r="M620" s="2030"/>
      <c r="N620" s="2030"/>
      <c r="O620" s="2030"/>
      <c r="P620" s="2030"/>
      <c r="Q620" s="2030"/>
      <c r="R620" s="2030"/>
      <c r="S620" s="2030"/>
      <c r="T620" s="2030"/>
      <c r="U620" s="2030"/>
      <c r="V620" s="2030"/>
      <c r="W620" s="2030"/>
      <c r="X620" s="2030"/>
      <c r="Y620" s="2030"/>
      <c r="Z620" s="2030"/>
      <c r="AA620" s="2030"/>
      <c r="AB620" s="2030"/>
      <c r="AC620" s="2030"/>
      <c r="AD620" s="2030"/>
      <c r="AE620" s="650"/>
      <c r="AF620" s="650"/>
      <c r="AG620" s="650"/>
      <c r="AH620" s="650"/>
      <c r="AI620" s="650"/>
      <c r="AJ620" s="650"/>
      <c r="AK620" s="570"/>
      <c r="AL620" s="570"/>
      <c r="AN620" s="631"/>
    </row>
    <row r="621" spans="1:42" s="584" customFormat="1" ht="12.75" customHeight="1">
      <c r="B621" s="650"/>
      <c r="C621" s="975"/>
      <c r="D621" s="697"/>
      <c r="E621" s="2030"/>
      <c r="F621" s="2030"/>
      <c r="G621" s="2030"/>
      <c r="H621" s="2030"/>
      <c r="I621" s="2030"/>
      <c r="J621" s="2030"/>
      <c r="K621" s="2030"/>
      <c r="L621" s="2030"/>
      <c r="M621" s="2030"/>
      <c r="N621" s="2030"/>
      <c r="O621" s="2030"/>
      <c r="P621" s="2030"/>
      <c r="Q621" s="2030"/>
      <c r="R621" s="2030"/>
      <c r="S621" s="2030"/>
      <c r="T621" s="2030"/>
      <c r="U621" s="2030"/>
      <c r="V621" s="2030"/>
      <c r="W621" s="2030"/>
      <c r="X621" s="2030"/>
      <c r="Y621" s="2030"/>
      <c r="Z621" s="2030"/>
      <c r="AA621" s="2030"/>
      <c r="AB621" s="2030"/>
      <c r="AC621" s="2030"/>
      <c r="AD621" s="2030"/>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1517</v>
      </c>
      <c r="F623" s="976"/>
      <c r="G623" s="976"/>
      <c r="H623" s="976"/>
      <c r="I623" s="976"/>
      <c r="J623" s="976"/>
      <c r="K623" s="976"/>
      <c r="L623" s="976"/>
      <c r="M623" s="976"/>
      <c r="N623" s="976"/>
      <c r="O623" s="976"/>
      <c r="P623" s="976"/>
      <c r="Q623" s="976"/>
      <c r="R623" s="976"/>
      <c r="U623" s="976"/>
      <c r="V623" s="976"/>
      <c r="W623" s="976"/>
      <c r="X623" s="2029" t="s">
        <v>600</v>
      </c>
      <c r="Y623" s="2029"/>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1518</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3" t="s">
        <v>1519</v>
      </c>
      <c r="AG625" s="1993"/>
      <c r="AH625" s="1993"/>
      <c r="AI625" s="1993"/>
      <c r="AJ625" s="1993"/>
      <c r="AK625" s="1993"/>
      <c r="AL625" s="1993"/>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1508</v>
      </c>
      <c r="AP626" s="714">
        <v>4</v>
      </c>
    </row>
    <row r="627" spans="1:42" s="584" customFormat="1" ht="12.75" customHeight="1">
      <c r="B627" s="570"/>
      <c r="C627" s="966"/>
      <c r="D627" s="570" t="s">
        <v>1511</v>
      </c>
      <c r="E627" s="971"/>
      <c r="F627" s="971"/>
      <c r="G627" s="971"/>
      <c r="H627" s="1937" t="s">
        <v>518</v>
      </c>
      <c r="I627" s="1937"/>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1509</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1520</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1521</v>
      </c>
      <c r="AJ629" s="1920">
        <f>VLOOKUP($H$627,$AO$594:$AP$596,2,FALSE)</f>
        <v>2</v>
      </c>
      <c r="AK629" s="1922"/>
      <c r="AL629" s="629"/>
      <c r="AN629" s="631"/>
      <c r="AO629" s="645" t="s">
        <v>1522</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1523</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13" t="s">
        <v>2416</v>
      </c>
      <c r="F633" s="1913"/>
      <c r="G633" s="1913"/>
      <c r="H633" s="1913"/>
      <c r="I633" s="1913"/>
      <c r="J633" s="1913"/>
      <c r="K633" s="1913"/>
      <c r="L633" s="1913"/>
      <c r="M633" s="1913"/>
      <c r="N633" s="1913"/>
      <c r="O633" s="1913"/>
      <c r="P633" s="1913"/>
      <c r="Q633" s="1913"/>
      <c r="R633" s="1913"/>
      <c r="S633" s="1913"/>
      <c r="T633" s="1913"/>
      <c r="U633" s="1913"/>
      <c r="V633" s="1913"/>
      <c r="W633" s="1913"/>
      <c r="X633" s="1913"/>
      <c r="Y633" s="1913"/>
      <c r="Z633" s="1913"/>
      <c r="AA633" s="1913"/>
      <c r="AB633" s="1913"/>
      <c r="AC633" s="1913"/>
      <c r="AD633" s="1913"/>
      <c r="AE633" s="570"/>
      <c r="AF633" s="1993" t="s">
        <v>1463</v>
      </c>
      <c r="AG633" s="1993"/>
      <c r="AH633" s="1993"/>
      <c r="AI633" s="1993"/>
      <c r="AJ633" s="1993"/>
      <c r="AK633" s="1993"/>
      <c r="AL633" s="1993"/>
      <c r="AN633" s="631"/>
    </row>
    <row r="634" spans="1:42" s="584" customFormat="1" ht="12.75" customHeight="1">
      <c r="B634" s="570"/>
      <c r="C634" s="570"/>
      <c r="D634" s="697"/>
      <c r="E634" s="1913"/>
      <c r="F634" s="1913"/>
      <c r="G634" s="1913"/>
      <c r="H634" s="1913"/>
      <c r="I634" s="1913"/>
      <c r="J634" s="1913"/>
      <c r="K634" s="1913"/>
      <c r="L634" s="1913"/>
      <c r="M634" s="1913"/>
      <c r="N634" s="1913"/>
      <c r="O634" s="1913"/>
      <c r="P634" s="1913"/>
      <c r="Q634" s="1913"/>
      <c r="R634" s="1913"/>
      <c r="S634" s="1913"/>
      <c r="T634" s="1913"/>
      <c r="U634" s="1913"/>
      <c r="V634" s="1913"/>
      <c r="W634" s="1913"/>
      <c r="X634" s="1913"/>
      <c r="Y634" s="1913"/>
      <c r="Z634" s="1913"/>
      <c r="AA634" s="1913"/>
      <c r="AB634" s="1913"/>
      <c r="AC634" s="1913"/>
      <c r="AD634" s="1913"/>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1524</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3" t="s">
        <v>1519</v>
      </c>
      <c r="AG636" s="1993"/>
      <c r="AH636" s="1993"/>
      <c r="AI636" s="1993"/>
      <c r="AJ636" s="1993"/>
      <c r="AK636" s="1993"/>
      <c r="AL636" s="1993"/>
      <c r="AN636" s="631"/>
    </row>
    <row r="637" spans="1:42" s="584" customFormat="1" ht="12.75" customHeight="1">
      <c r="B637" s="570"/>
      <c r="C637" s="966"/>
      <c r="D637" s="697"/>
      <c r="E637" s="650" t="s">
        <v>1525</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1511</v>
      </c>
      <c r="E639" s="971"/>
      <c r="F639" s="971"/>
      <c r="G639" s="971"/>
      <c r="H639" s="1937" t="s">
        <v>518</v>
      </c>
      <c r="I639" s="1937"/>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1526</v>
      </c>
      <c r="AJ641" s="1920">
        <f>VLOOKUP(H639,AT594:AU596,2,FALSE)</f>
        <v>2</v>
      </c>
      <c r="AK641" s="1922"/>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1527</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1528</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13" t="s">
        <v>1529</v>
      </c>
      <c r="F646" s="1913"/>
      <c r="G646" s="1913"/>
      <c r="H646" s="1913"/>
      <c r="I646" s="1913"/>
      <c r="J646" s="1913"/>
      <c r="K646" s="1913"/>
      <c r="L646" s="1913"/>
      <c r="M646" s="1913"/>
      <c r="N646" s="1913"/>
      <c r="O646" s="1913"/>
      <c r="P646" s="1913"/>
      <c r="Q646" s="1913"/>
      <c r="R646" s="1913"/>
      <c r="S646" s="1913"/>
      <c r="T646" s="1913"/>
      <c r="U646" s="1913"/>
      <c r="V646" s="1913"/>
      <c r="W646" s="1913"/>
      <c r="X646" s="1913"/>
      <c r="Y646" s="1913"/>
      <c r="Z646" s="1913"/>
      <c r="AA646" s="1913"/>
      <c r="AB646" s="1913"/>
      <c r="AC646" s="1913"/>
      <c r="AD646" s="570"/>
      <c r="AE646" s="570"/>
      <c r="AF646" s="1993" t="s">
        <v>1489</v>
      </c>
      <c r="AG646" s="1993"/>
      <c r="AH646" s="1993"/>
      <c r="AI646" s="1993"/>
      <c r="AJ646" s="1993"/>
      <c r="AK646" s="1993"/>
      <c r="AL646" s="1993"/>
      <c r="AN646" s="631"/>
    </row>
    <row r="647" spans="1:42" s="584" customFormat="1" ht="12.75" customHeight="1">
      <c r="B647" s="570"/>
      <c r="C647" s="573"/>
      <c r="D647" s="570"/>
      <c r="E647" s="1913"/>
      <c r="F647" s="1913"/>
      <c r="G647" s="1913"/>
      <c r="H647" s="1913"/>
      <c r="I647" s="1913"/>
      <c r="J647" s="1913"/>
      <c r="K647" s="1913"/>
      <c r="L647" s="1913"/>
      <c r="M647" s="1913"/>
      <c r="N647" s="1913"/>
      <c r="O647" s="1913"/>
      <c r="P647" s="1913"/>
      <c r="Q647" s="1913"/>
      <c r="R647" s="1913"/>
      <c r="S647" s="1913"/>
      <c r="T647" s="1913"/>
      <c r="U647" s="1913"/>
      <c r="V647" s="1913"/>
      <c r="W647" s="1913"/>
      <c r="X647" s="1913"/>
      <c r="Y647" s="1913"/>
      <c r="Z647" s="1913"/>
      <c r="AA647" s="1913"/>
      <c r="AB647" s="1913"/>
      <c r="AC647" s="1913"/>
      <c r="AD647" s="570"/>
      <c r="AE647" s="570"/>
      <c r="AF647" s="570"/>
      <c r="AG647" s="570"/>
      <c r="AH647" s="570"/>
      <c r="AI647" s="570"/>
      <c r="AJ647" s="570"/>
      <c r="AK647" s="570"/>
      <c r="AL647" s="570"/>
      <c r="AN647" s="631"/>
    </row>
    <row r="648" spans="1:42" s="584" customFormat="1" ht="12.75" customHeight="1">
      <c r="B648" s="570"/>
      <c r="C648" s="573"/>
      <c r="D648" s="697"/>
      <c r="E648" s="1913"/>
      <c r="F648" s="1913"/>
      <c r="G648" s="1913"/>
      <c r="H648" s="1913"/>
      <c r="I648" s="1913"/>
      <c r="J648" s="1913"/>
      <c r="K648" s="1913"/>
      <c r="L648" s="1913"/>
      <c r="M648" s="1913"/>
      <c r="N648" s="1913"/>
      <c r="O648" s="1913"/>
      <c r="P648" s="1913"/>
      <c r="Q648" s="1913"/>
      <c r="R648" s="1913"/>
      <c r="S648" s="1913"/>
      <c r="T648" s="1913"/>
      <c r="U648" s="1913"/>
      <c r="V648" s="1913"/>
      <c r="W648" s="1913"/>
      <c r="X648" s="1913"/>
      <c r="Y648" s="1913"/>
      <c r="Z648" s="1913"/>
      <c r="AA648" s="1913"/>
      <c r="AB648" s="1913"/>
      <c r="AC648" s="1913"/>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13" t="s">
        <v>1530</v>
      </c>
      <c r="F650" s="1913"/>
      <c r="G650" s="1913"/>
      <c r="H650" s="1913"/>
      <c r="I650" s="1913"/>
      <c r="J650" s="1913"/>
      <c r="K650" s="1913"/>
      <c r="L650" s="1913"/>
      <c r="M650" s="1913"/>
      <c r="N650" s="1913"/>
      <c r="O650" s="1913"/>
      <c r="P650" s="1913"/>
      <c r="Q650" s="1913"/>
      <c r="R650" s="1913"/>
      <c r="S650" s="1913"/>
      <c r="T650" s="1913"/>
      <c r="U650" s="1913"/>
      <c r="V650" s="1913"/>
      <c r="W650" s="1913"/>
      <c r="X650" s="1913"/>
      <c r="Y650" s="1913"/>
      <c r="Z650" s="1913"/>
      <c r="AA650" s="1913"/>
      <c r="AB650" s="1913"/>
      <c r="AC650" s="1913"/>
      <c r="AD650" s="570"/>
      <c r="AE650" s="570"/>
      <c r="AF650" s="1993" t="s">
        <v>1510</v>
      </c>
      <c r="AG650" s="1993"/>
      <c r="AH650" s="1993"/>
      <c r="AI650" s="1993"/>
      <c r="AJ650" s="1993"/>
      <c r="AK650" s="1993"/>
      <c r="AL650" s="1993"/>
      <c r="AN650" s="631"/>
    </row>
    <row r="651" spans="1:42" s="584" customFormat="1" ht="12.75" customHeight="1">
      <c r="B651" s="570"/>
      <c r="C651" s="573"/>
      <c r="D651" s="570"/>
      <c r="E651" s="1913"/>
      <c r="F651" s="1913"/>
      <c r="G651" s="1913"/>
      <c r="H651" s="1913"/>
      <c r="I651" s="1913"/>
      <c r="J651" s="1913"/>
      <c r="K651" s="1913"/>
      <c r="L651" s="1913"/>
      <c r="M651" s="1913"/>
      <c r="N651" s="1913"/>
      <c r="O651" s="1913"/>
      <c r="P651" s="1913"/>
      <c r="Q651" s="1913"/>
      <c r="R651" s="1913"/>
      <c r="S651" s="1913"/>
      <c r="T651" s="1913"/>
      <c r="U651" s="1913"/>
      <c r="V651" s="1913"/>
      <c r="W651" s="1913"/>
      <c r="X651" s="1913"/>
      <c r="Y651" s="1913"/>
      <c r="Z651" s="1913"/>
      <c r="AA651" s="1913"/>
      <c r="AB651" s="1913"/>
      <c r="AC651" s="1913"/>
      <c r="AD651" s="570"/>
      <c r="AE651" s="570"/>
      <c r="AF651" s="570"/>
      <c r="AG651" s="570"/>
      <c r="AH651" s="570"/>
      <c r="AI651" s="570"/>
      <c r="AJ651" s="570"/>
      <c r="AK651" s="570"/>
      <c r="AL651" s="570"/>
      <c r="AN651" s="631"/>
    </row>
    <row r="652" spans="1:42" s="584" customFormat="1" ht="15" customHeight="1">
      <c r="B652" s="570"/>
      <c r="C652" s="573"/>
      <c r="D652" s="697"/>
      <c r="E652" s="1913"/>
      <c r="F652" s="1913"/>
      <c r="G652" s="1913"/>
      <c r="H652" s="1913"/>
      <c r="I652" s="1913"/>
      <c r="J652" s="1913"/>
      <c r="K652" s="1913"/>
      <c r="L652" s="1913"/>
      <c r="M652" s="1913"/>
      <c r="N652" s="1913"/>
      <c r="O652" s="1913"/>
      <c r="P652" s="1913"/>
      <c r="Q652" s="1913"/>
      <c r="R652" s="1913"/>
      <c r="S652" s="1913"/>
      <c r="T652" s="1913"/>
      <c r="U652" s="1913"/>
      <c r="V652" s="1913"/>
      <c r="W652" s="1913"/>
      <c r="X652" s="1913"/>
      <c r="Y652" s="1913"/>
      <c r="Z652" s="1913"/>
      <c r="AA652" s="1913"/>
      <c r="AB652" s="1913"/>
      <c r="AC652" s="1913"/>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3" t="s">
        <v>1531</v>
      </c>
      <c r="F654" s="1913"/>
      <c r="G654" s="1913"/>
      <c r="H654" s="1913"/>
      <c r="I654" s="1913"/>
      <c r="J654" s="1913"/>
      <c r="K654" s="1913"/>
      <c r="L654" s="1913"/>
      <c r="M654" s="1913"/>
      <c r="N654" s="1913"/>
      <c r="O654" s="1913"/>
      <c r="P654" s="1913"/>
      <c r="Q654" s="1913"/>
      <c r="R654" s="1913"/>
      <c r="S654" s="1913"/>
      <c r="T654" s="1913"/>
      <c r="U654" s="1913"/>
      <c r="V654" s="1913"/>
      <c r="W654" s="1913"/>
      <c r="X654" s="1913"/>
      <c r="Y654" s="1913"/>
      <c r="Z654" s="1913"/>
      <c r="AA654" s="1913"/>
      <c r="AB654" s="1913"/>
      <c r="AC654" s="1913"/>
      <c r="AD654" s="570"/>
      <c r="AE654" s="570"/>
      <c r="AF654" s="1993" t="s">
        <v>1463</v>
      </c>
      <c r="AG654" s="1993"/>
      <c r="AH654" s="1993"/>
      <c r="AI654" s="1993"/>
      <c r="AJ654" s="1993"/>
      <c r="AK654" s="1993"/>
      <c r="AL654" s="1993"/>
      <c r="AN654" s="631"/>
    </row>
    <row r="655" spans="1:42" s="584" customFormat="1" ht="12.75" customHeight="1">
      <c r="B655" s="570"/>
      <c r="C655" s="966"/>
      <c r="D655" s="570"/>
      <c r="E655" s="1913"/>
      <c r="F655" s="1913"/>
      <c r="G655" s="1913"/>
      <c r="H655" s="1913"/>
      <c r="I655" s="1913"/>
      <c r="J655" s="1913"/>
      <c r="K655" s="1913"/>
      <c r="L655" s="1913"/>
      <c r="M655" s="1913"/>
      <c r="N655" s="1913"/>
      <c r="O655" s="1913"/>
      <c r="P655" s="1913"/>
      <c r="Q655" s="1913"/>
      <c r="R655" s="1913"/>
      <c r="S655" s="1913"/>
      <c r="T655" s="1913"/>
      <c r="U655" s="1913"/>
      <c r="V655" s="1913"/>
      <c r="W655" s="1913"/>
      <c r="X655" s="1913"/>
      <c r="Y655" s="1913"/>
      <c r="Z655" s="1913"/>
      <c r="AA655" s="1913"/>
      <c r="AB655" s="1913"/>
      <c r="AC655" s="1913"/>
      <c r="AD655" s="570"/>
      <c r="AE655" s="1993"/>
      <c r="AF655" s="1993"/>
      <c r="AG655" s="1993"/>
      <c r="AH655" s="1993"/>
      <c r="AI655" s="1993"/>
      <c r="AJ655" s="1993"/>
      <c r="AK655" s="1993"/>
      <c r="AL655" s="628"/>
      <c r="AN655" s="631"/>
      <c r="AO655" s="584" t="s">
        <v>600</v>
      </c>
      <c r="AP655" s="707">
        <v>0</v>
      </c>
    </row>
    <row r="656" spans="1:42" s="584" customFormat="1" ht="12.75" customHeight="1">
      <c r="A656" s="713"/>
      <c r="B656" s="570"/>
      <c r="C656" s="570"/>
      <c r="D656" s="697"/>
      <c r="E656" s="1913"/>
      <c r="F656" s="1913"/>
      <c r="G656" s="1913"/>
      <c r="H656" s="1913"/>
      <c r="I656" s="1913"/>
      <c r="J656" s="1913"/>
      <c r="K656" s="1913"/>
      <c r="L656" s="1913"/>
      <c r="M656" s="1913"/>
      <c r="N656" s="1913"/>
      <c r="O656" s="1913"/>
      <c r="P656" s="1913"/>
      <c r="Q656" s="1913"/>
      <c r="R656" s="1913"/>
      <c r="S656" s="1913"/>
      <c r="T656" s="1913"/>
      <c r="U656" s="1913"/>
      <c r="V656" s="1913"/>
      <c r="W656" s="1913"/>
      <c r="X656" s="1913"/>
      <c r="Y656" s="1913"/>
      <c r="Z656" s="1913"/>
      <c r="AA656" s="1913"/>
      <c r="AB656" s="1913"/>
      <c r="AC656" s="1913"/>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1508</v>
      </c>
      <c r="E658" s="1913" t="s">
        <v>1532</v>
      </c>
      <c r="F658" s="1913"/>
      <c r="G658" s="1913"/>
      <c r="H658" s="1913"/>
      <c r="I658" s="1913"/>
      <c r="J658" s="1913"/>
      <c r="K658" s="1913"/>
      <c r="L658" s="1913"/>
      <c r="M658" s="1913"/>
      <c r="N658" s="1913"/>
      <c r="O658" s="1913"/>
      <c r="P658" s="1913"/>
      <c r="Q658" s="1913"/>
      <c r="R658" s="1913"/>
      <c r="S658" s="1913"/>
      <c r="T658" s="1913"/>
      <c r="U658" s="1913"/>
      <c r="V658" s="1913"/>
      <c r="W658" s="1913"/>
      <c r="X658" s="1913"/>
      <c r="Y658" s="1913"/>
      <c r="Z658" s="1913"/>
      <c r="AA658" s="1913"/>
      <c r="AB658" s="1913"/>
      <c r="AC658" s="1913"/>
      <c r="AD658" s="570"/>
      <c r="AE658" s="570"/>
      <c r="AF658" s="1993" t="s">
        <v>1510</v>
      </c>
      <c r="AG658" s="1993"/>
      <c r="AH658" s="1993"/>
      <c r="AI658" s="1993"/>
      <c r="AJ658" s="1993"/>
      <c r="AK658" s="1993"/>
      <c r="AL658" s="1993"/>
      <c r="AN658" s="631"/>
    </row>
    <row r="659" spans="1:42" s="584" customFormat="1" ht="12.75" customHeight="1">
      <c r="A659" s="704"/>
      <c r="B659" s="570"/>
      <c r="C659" s="982"/>
      <c r="D659" s="697"/>
      <c r="E659" s="1913"/>
      <c r="F659" s="1913"/>
      <c r="G659" s="1913"/>
      <c r="H659" s="1913"/>
      <c r="I659" s="1913"/>
      <c r="J659" s="1913"/>
      <c r="K659" s="1913"/>
      <c r="L659" s="1913"/>
      <c r="M659" s="1913"/>
      <c r="N659" s="1913"/>
      <c r="O659" s="1913"/>
      <c r="P659" s="1913"/>
      <c r="Q659" s="1913"/>
      <c r="R659" s="1913"/>
      <c r="S659" s="1913"/>
      <c r="T659" s="1913"/>
      <c r="U659" s="1913"/>
      <c r="V659" s="1913"/>
      <c r="W659" s="1913"/>
      <c r="X659" s="1913"/>
      <c r="Y659" s="1913"/>
      <c r="Z659" s="1913"/>
      <c r="AA659" s="1913"/>
      <c r="AB659" s="1913"/>
      <c r="AC659" s="1913"/>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3"/>
      <c r="F660" s="1913"/>
      <c r="G660" s="1913"/>
      <c r="H660" s="1913"/>
      <c r="I660" s="1913"/>
      <c r="J660" s="1913"/>
      <c r="K660" s="1913"/>
      <c r="L660" s="1913"/>
      <c r="M660" s="1913"/>
      <c r="N660" s="1913"/>
      <c r="O660" s="1913"/>
      <c r="P660" s="1913"/>
      <c r="Q660" s="1913"/>
      <c r="R660" s="1913"/>
      <c r="S660" s="1913"/>
      <c r="T660" s="1913"/>
      <c r="U660" s="1913"/>
      <c r="V660" s="1913"/>
      <c r="W660" s="1913"/>
      <c r="X660" s="1913"/>
      <c r="Y660" s="1913"/>
      <c r="Z660" s="1913"/>
      <c r="AA660" s="1913"/>
      <c r="AB660" s="1913"/>
      <c r="AC660" s="1913"/>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1509</v>
      </c>
      <c r="E662" s="1913" t="s">
        <v>1533</v>
      </c>
      <c r="F662" s="1913"/>
      <c r="G662" s="1913"/>
      <c r="H662" s="1913"/>
      <c r="I662" s="1913"/>
      <c r="J662" s="1913"/>
      <c r="K662" s="1913"/>
      <c r="L662" s="1913"/>
      <c r="M662" s="1913"/>
      <c r="N662" s="1913"/>
      <c r="O662" s="1913"/>
      <c r="P662" s="1913"/>
      <c r="Q662" s="1913"/>
      <c r="R662" s="1913"/>
      <c r="S662" s="1913"/>
      <c r="T662" s="1913"/>
      <c r="U662" s="1913"/>
      <c r="V662" s="1913"/>
      <c r="W662" s="1913"/>
      <c r="X662" s="1913"/>
      <c r="Y662" s="1913"/>
      <c r="Z662" s="1913"/>
      <c r="AA662" s="1913"/>
      <c r="AB662" s="1913"/>
      <c r="AC662" s="1913"/>
      <c r="AD662" s="570"/>
      <c r="AE662" s="570"/>
      <c r="AF662" s="1993" t="s">
        <v>1463</v>
      </c>
      <c r="AG662" s="1993"/>
      <c r="AH662" s="1993"/>
      <c r="AI662" s="1993"/>
      <c r="AJ662" s="1993"/>
      <c r="AK662" s="1993"/>
      <c r="AL662" s="1993"/>
      <c r="AM662" s="630"/>
      <c r="AN662" s="631"/>
    </row>
    <row r="663" spans="1:42" s="584" customFormat="1" ht="12.75" customHeight="1">
      <c r="B663" s="570"/>
      <c r="C663" s="966"/>
      <c r="D663" s="697"/>
      <c r="E663" s="1913"/>
      <c r="F663" s="1913"/>
      <c r="G663" s="1913"/>
      <c r="H663" s="1913"/>
      <c r="I663" s="1913"/>
      <c r="J663" s="1913"/>
      <c r="K663" s="1913"/>
      <c r="L663" s="1913"/>
      <c r="M663" s="1913"/>
      <c r="N663" s="1913"/>
      <c r="O663" s="1913"/>
      <c r="P663" s="1913"/>
      <c r="Q663" s="1913"/>
      <c r="R663" s="1913"/>
      <c r="S663" s="1913"/>
      <c r="T663" s="1913"/>
      <c r="U663" s="1913"/>
      <c r="V663" s="1913"/>
      <c r="W663" s="1913"/>
      <c r="X663" s="1913"/>
      <c r="Y663" s="1913"/>
      <c r="Z663" s="1913"/>
      <c r="AA663" s="1913"/>
      <c r="AB663" s="1913"/>
      <c r="AC663" s="1913"/>
      <c r="AD663" s="570"/>
      <c r="AE663" s="570"/>
      <c r="AF663" s="570"/>
      <c r="AG663" s="570"/>
      <c r="AH663" s="570"/>
      <c r="AI663" s="570"/>
      <c r="AJ663" s="570"/>
      <c r="AK663" s="570"/>
      <c r="AL663" s="570"/>
      <c r="AM663" s="630"/>
      <c r="AN663" s="631"/>
    </row>
    <row r="664" spans="1:42" s="584" customFormat="1" ht="12.75" customHeight="1">
      <c r="B664" s="570"/>
      <c r="C664" s="966"/>
      <c r="D664" s="697"/>
      <c r="E664" s="1913"/>
      <c r="F664" s="1913"/>
      <c r="G664" s="1913"/>
      <c r="H664" s="1913"/>
      <c r="I664" s="1913"/>
      <c r="J664" s="1913"/>
      <c r="K664" s="1913"/>
      <c r="L664" s="1913"/>
      <c r="M664" s="1913"/>
      <c r="N664" s="1913"/>
      <c r="O664" s="1913"/>
      <c r="P664" s="1913"/>
      <c r="Q664" s="1913"/>
      <c r="R664" s="1913"/>
      <c r="S664" s="1913"/>
      <c r="T664" s="1913"/>
      <c r="U664" s="1913"/>
      <c r="V664" s="1913"/>
      <c r="W664" s="1913"/>
      <c r="X664" s="1913"/>
      <c r="Y664" s="1913"/>
      <c r="Z664" s="1913"/>
      <c r="AA664" s="1913"/>
      <c r="AB664" s="1913"/>
      <c r="AC664" s="1913"/>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1520</v>
      </c>
      <c r="E666" s="1913" t="s">
        <v>1534</v>
      </c>
      <c r="F666" s="1913"/>
      <c r="G666" s="1913"/>
      <c r="H666" s="1913"/>
      <c r="I666" s="1913"/>
      <c r="J666" s="1913"/>
      <c r="K666" s="1913"/>
      <c r="L666" s="1913"/>
      <c r="M666" s="1913"/>
      <c r="N666" s="1913"/>
      <c r="O666" s="1913"/>
      <c r="P666" s="1913"/>
      <c r="Q666" s="1913"/>
      <c r="R666" s="1913"/>
      <c r="S666" s="1913"/>
      <c r="T666" s="1913"/>
      <c r="U666" s="1913"/>
      <c r="V666" s="1913"/>
      <c r="W666" s="1913"/>
      <c r="X666" s="1913"/>
      <c r="Y666" s="1913"/>
      <c r="Z666" s="1913"/>
      <c r="AA666" s="1913"/>
      <c r="AB666" s="1913"/>
      <c r="AC666" s="1913"/>
      <c r="AD666" s="570"/>
      <c r="AE666" s="570"/>
      <c r="AF666" s="1993" t="s">
        <v>1519</v>
      </c>
      <c r="AG666" s="1993"/>
      <c r="AH666" s="1993"/>
      <c r="AI666" s="1993"/>
      <c r="AJ666" s="1993"/>
      <c r="AK666" s="1993"/>
      <c r="AL666" s="1993"/>
      <c r="AM666" s="630"/>
      <c r="AN666" s="631"/>
    </row>
    <row r="667" spans="1:42" s="584" customFormat="1" ht="12.75" customHeight="1">
      <c r="A667" s="713"/>
      <c r="B667" s="570"/>
      <c r="C667" s="966"/>
      <c r="D667" s="697"/>
      <c r="E667" s="1913"/>
      <c r="F667" s="1913"/>
      <c r="G667" s="1913"/>
      <c r="H667" s="1913"/>
      <c r="I667" s="1913"/>
      <c r="J667" s="1913"/>
      <c r="K667" s="1913"/>
      <c r="L667" s="1913"/>
      <c r="M667" s="1913"/>
      <c r="N667" s="1913"/>
      <c r="O667" s="1913"/>
      <c r="P667" s="1913"/>
      <c r="Q667" s="1913"/>
      <c r="R667" s="1913"/>
      <c r="S667" s="1913"/>
      <c r="T667" s="1913"/>
      <c r="U667" s="1913"/>
      <c r="V667" s="1913"/>
      <c r="W667" s="1913"/>
      <c r="X667" s="1913"/>
      <c r="Y667" s="1913"/>
      <c r="Z667" s="1913"/>
      <c r="AA667" s="1913"/>
      <c r="AB667" s="1913"/>
      <c r="AC667" s="1913"/>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3"/>
      <c r="F668" s="1913"/>
      <c r="G668" s="1913"/>
      <c r="H668" s="1913"/>
      <c r="I668" s="1913"/>
      <c r="J668" s="1913"/>
      <c r="K668" s="1913"/>
      <c r="L668" s="1913"/>
      <c r="M668" s="1913"/>
      <c r="N668" s="1913"/>
      <c r="O668" s="1913"/>
      <c r="P668" s="1913"/>
      <c r="Q668" s="1913"/>
      <c r="R668" s="1913"/>
      <c r="S668" s="1913"/>
      <c r="T668" s="1913"/>
      <c r="U668" s="1913"/>
      <c r="V668" s="1913"/>
      <c r="W668" s="1913"/>
      <c r="X668" s="1913"/>
      <c r="Y668" s="1913"/>
      <c r="Z668" s="1913"/>
      <c r="AA668" s="1913"/>
      <c r="AB668" s="1913"/>
      <c r="AC668" s="1913"/>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1522</v>
      </c>
      <c r="E670" s="1913" t="s">
        <v>1535</v>
      </c>
      <c r="F670" s="1913"/>
      <c r="G670" s="1913"/>
      <c r="H670" s="1913"/>
      <c r="I670" s="1913"/>
      <c r="J670" s="1913"/>
      <c r="K670" s="1913"/>
      <c r="L670" s="1913"/>
      <c r="M670" s="1913"/>
      <c r="N670" s="1913"/>
      <c r="O670" s="1913"/>
      <c r="P670" s="1913"/>
      <c r="Q670" s="1913"/>
      <c r="R670" s="1913"/>
      <c r="S670" s="1913"/>
      <c r="T670" s="1913"/>
      <c r="U670" s="1913"/>
      <c r="V670" s="1913"/>
      <c r="W670" s="1913"/>
      <c r="X670" s="1913"/>
      <c r="Y670" s="1913"/>
      <c r="Z670" s="1913"/>
      <c r="AA670" s="1913"/>
      <c r="AB670" s="1913"/>
      <c r="AC670" s="1913"/>
      <c r="AD670" s="570"/>
      <c r="AE670" s="570"/>
      <c r="AF670" s="1993" t="s">
        <v>1536</v>
      </c>
      <c r="AG670" s="1993"/>
      <c r="AH670" s="1993"/>
      <c r="AI670" s="1993"/>
      <c r="AJ670" s="1993"/>
      <c r="AK670" s="1993"/>
      <c r="AL670" s="1993"/>
      <c r="AM670" s="630"/>
      <c r="AN670" s="631"/>
      <c r="AO670" s="645" t="s">
        <v>697</v>
      </c>
      <c r="AP670" s="584">
        <v>3</v>
      </c>
    </row>
    <row r="671" spans="1:42" s="584" customFormat="1" ht="12.75" customHeight="1">
      <c r="A671" s="713"/>
      <c r="B671" s="570"/>
      <c r="C671" s="966"/>
      <c r="D671" s="697"/>
      <c r="E671" s="1913"/>
      <c r="F671" s="1913"/>
      <c r="G671" s="1913"/>
      <c r="H671" s="1913"/>
      <c r="I671" s="1913"/>
      <c r="J671" s="1913"/>
      <c r="K671" s="1913"/>
      <c r="L671" s="1913"/>
      <c r="M671" s="1913"/>
      <c r="N671" s="1913"/>
      <c r="O671" s="1913"/>
      <c r="P671" s="1913"/>
      <c r="Q671" s="1913"/>
      <c r="R671" s="1913"/>
      <c r="S671" s="1913"/>
      <c r="T671" s="1913"/>
      <c r="U671" s="1913"/>
      <c r="V671" s="1913"/>
      <c r="W671" s="1913"/>
      <c r="X671" s="1913"/>
      <c r="Y671" s="1913"/>
      <c r="Z671" s="1913"/>
      <c r="AA671" s="1913"/>
      <c r="AB671" s="1913"/>
      <c r="AC671" s="1913"/>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13"/>
      <c r="F672" s="1913"/>
      <c r="G672" s="1913"/>
      <c r="H672" s="1913"/>
      <c r="I672" s="1913"/>
      <c r="J672" s="1913"/>
      <c r="K672" s="1913"/>
      <c r="L672" s="1913"/>
      <c r="M672" s="1913"/>
      <c r="N672" s="1913"/>
      <c r="O672" s="1913"/>
      <c r="P672" s="1913"/>
      <c r="Q672" s="1913"/>
      <c r="R672" s="1913"/>
      <c r="S672" s="1913"/>
      <c r="T672" s="1913"/>
      <c r="U672" s="1913"/>
      <c r="V672" s="1913"/>
      <c r="W672" s="1913"/>
      <c r="X672" s="1913"/>
      <c r="Y672" s="1913"/>
      <c r="Z672" s="1913"/>
      <c r="AA672" s="1913"/>
      <c r="AB672" s="1913"/>
      <c r="AC672" s="1913"/>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1511</v>
      </c>
      <c r="E674" s="971"/>
      <c r="F674" s="971"/>
      <c r="G674" s="971"/>
      <c r="H674" s="1937" t="s">
        <v>518</v>
      </c>
      <c r="I674" s="1937"/>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1537</v>
      </c>
      <c r="AJ676" s="1920">
        <f>VLOOKUP($H$674,$AO$622:$AP$629,2,FALSE)</f>
        <v>4</v>
      </c>
      <c r="AK676" s="1922"/>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2455</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2545</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2546</v>
      </c>
      <c r="AX679" s="1196">
        <f>Application!G753</f>
        <v>79</v>
      </c>
    </row>
    <row r="680" spans="1:51" s="584" customFormat="1" ht="12.75" customHeight="1">
      <c r="A680" s="713"/>
      <c r="B680" s="570"/>
      <c r="C680" s="983"/>
      <c r="D680" s="697" t="s">
        <v>697</v>
      </c>
      <c r="E680" s="2028" t="s">
        <v>2552</v>
      </c>
      <c r="F680" s="2028"/>
      <c r="G680" s="2028"/>
      <c r="H680" s="2028"/>
      <c r="I680" s="2028"/>
      <c r="J680" s="2028"/>
      <c r="K680" s="2028"/>
      <c r="L680" s="2028"/>
      <c r="M680" s="2028"/>
      <c r="N680" s="2028"/>
      <c r="O680" s="2028"/>
      <c r="P680" s="2028"/>
      <c r="Q680" s="2028"/>
      <c r="R680" s="2028"/>
      <c r="S680" s="2028"/>
      <c r="T680" s="2028"/>
      <c r="U680" s="2028"/>
      <c r="V680" s="2028"/>
      <c r="W680" s="2028"/>
      <c r="X680" s="2028"/>
      <c r="Y680" s="2028"/>
      <c r="Z680" s="2028"/>
      <c r="AA680" s="2028"/>
      <c r="AB680" s="2028"/>
      <c r="AC680" s="570"/>
      <c r="AD680" s="570"/>
      <c r="AE680" s="570"/>
      <c r="AF680" s="1993" t="s">
        <v>1463</v>
      </c>
      <c r="AG680" s="1993"/>
      <c r="AH680" s="1993"/>
      <c r="AI680" s="1993"/>
      <c r="AJ680" s="1993"/>
      <c r="AK680" s="1993"/>
      <c r="AL680" s="1993"/>
      <c r="AN680" s="631"/>
      <c r="AW680" s="22" t="s">
        <v>2547</v>
      </c>
      <c r="AX680" s="584">
        <f>Application!CC632</f>
        <v>0</v>
      </c>
    </row>
    <row r="681" spans="1:51" s="584" customFormat="1" ht="12.75" customHeight="1">
      <c r="A681" s="713"/>
      <c r="B681" s="570"/>
      <c r="C681" s="983"/>
      <c r="D681" s="697"/>
      <c r="E681" s="2028"/>
      <c r="F681" s="2028"/>
      <c r="G681" s="2028"/>
      <c r="H681" s="2028"/>
      <c r="I681" s="2028"/>
      <c r="J681" s="2028"/>
      <c r="K681" s="2028"/>
      <c r="L681" s="2028"/>
      <c r="M681" s="2028"/>
      <c r="N681" s="2028"/>
      <c r="O681" s="2028"/>
      <c r="P681" s="2028"/>
      <c r="Q681" s="2028"/>
      <c r="R681" s="2028"/>
      <c r="S681" s="2028"/>
      <c r="T681" s="2028"/>
      <c r="U681" s="2028"/>
      <c r="V681" s="2028"/>
      <c r="W681" s="2028"/>
      <c r="X681" s="2028"/>
      <c r="Y681" s="2028"/>
      <c r="Z681" s="2028"/>
      <c r="AA681" s="2028"/>
      <c r="AB681" s="2028"/>
      <c r="AC681" s="570"/>
      <c r="AD681" s="570"/>
      <c r="AE681" s="570"/>
      <c r="AF681" s="570"/>
      <c r="AG681" s="570"/>
      <c r="AH681" s="570"/>
      <c r="AI681" s="570"/>
      <c r="AJ681" s="570"/>
      <c r="AK681" s="570"/>
      <c r="AL681" s="570"/>
      <c r="AN681" s="631"/>
      <c r="AW681" s="22" t="s">
        <v>2548</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2549</v>
      </c>
      <c r="AX682" s="584">
        <f>Application!CM632</f>
        <v>0</v>
      </c>
    </row>
    <row r="683" spans="1:51" s="584" customFormat="1" ht="12.75" customHeight="1">
      <c r="B683" s="570"/>
      <c r="C683" s="966"/>
      <c r="D683" s="697" t="s">
        <v>518</v>
      </c>
      <c r="E683" s="1913" t="s">
        <v>2453</v>
      </c>
      <c r="F683" s="1913"/>
      <c r="G683" s="1913"/>
      <c r="H683" s="1913"/>
      <c r="I683" s="1913"/>
      <c r="J683" s="1913"/>
      <c r="K683" s="1913"/>
      <c r="L683" s="1913"/>
      <c r="M683" s="1913"/>
      <c r="N683" s="1913"/>
      <c r="O683" s="1913"/>
      <c r="P683" s="1913"/>
      <c r="Q683" s="1913"/>
      <c r="R683" s="1913"/>
      <c r="S683" s="1913"/>
      <c r="T683" s="1913"/>
      <c r="U683" s="1913"/>
      <c r="V683" s="1913"/>
      <c r="W683" s="1913"/>
      <c r="X683" s="1913"/>
      <c r="Y683" s="1913"/>
      <c r="Z683" s="1913"/>
      <c r="AA683" s="1913"/>
      <c r="AB683" s="1913"/>
      <c r="AC683" s="570"/>
      <c r="AD683" s="570"/>
      <c r="AE683" s="570"/>
      <c r="AF683" s="1993" t="s">
        <v>1463</v>
      </c>
      <c r="AG683" s="1993"/>
      <c r="AH683" s="1993"/>
      <c r="AI683" s="1993"/>
      <c r="AJ683" s="1993"/>
      <c r="AK683" s="1993"/>
      <c r="AL683" s="1993"/>
      <c r="AN683" s="631"/>
      <c r="AW683" s="22" t="s">
        <v>2550</v>
      </c>
      <c r="AX683" s="584">
        <f>AX680+AX681+AX682</f>
        <v>0</v>
      </c>
    </row>
    <row r="684" spans="1:51" s="584" customFormat="1" ht="12.75" customHeight="1">
      <c r="B684" s="570"/>
      <c r="C684" s="975"/>
      <c r="D684" s="697"/>
      <c r="E684" s="1913"/>
      <c r="F684" s="1913"/>
      <c r="G684" s="1913"/>
      <c r="H684" s="1913"/>
      <c r="I684" s="1913"/>
      <c r="J684" s="1913"/>
      <c r="K684" s="1913"/>
      <c r="L684" s="1913"/>
      <c r="M684" s="1913"/>
      <c r="N684" s="1913"/>
      <c r="O684" s="1913"/>
      <c r="P684" s="1913"/>
      <c r="Q684" s="1913"/>
      <c r="R684" s="1913"/>
      <c r="S684" s="1913"/>
      <c r="T684" s="1913"/>
      <c r="U684" s="1913"/>
      <c r="V684" s="1913"/>
      <c r="W684" s="1913"/>
      <c r="X684" s="1913"/>
      <c r="Y684" s="1913"/>
      <c r="Z684" s="1913"/>
      <c r="AA684" s="1913"/>
      <c r="AB684" s="1913"/>
      <c r="AC684" s="570"/>
      <c r="AD684" s="570"/>
      <c r="AE684" s="650"/>
      <c r="AF684" s="570"/>
      <c r="AG684" s="570"/>
      <c r="AH684" s="570"/>
      <c r="AI684" s="570"/>
      <c r="AJ684" s="570"/>
      <c r="AK684" s="570"/>
      <c r="AL684" s="570"/>
      <c r="AN684" s="631"/>
      <c r="AO684" s="1928" t="b">
        <f>IF(Application!D211="Special Needs",IF(AY684&gt;=0.25,TRUE,FALSE),IF(AX684&gt;=0.25,TRUE,FALSE))</f>
        <v>0</v>
      </c>
      <c r="AP684" s="1928"/>
      <c r="AW684" s="22" t="s">
        <v>2551</v>
      </c>
      <c r="AX684" s="584">
        <f>IFERROR(AX683/AX679,0)</f>
        <v>0</v>
      </c>
      <c r="AY684" s="584">
        <f>IFERROR(AX683/(AX679-AX678),0)</f>
        <v>0</v>
      </c>
    </row>
    <row r="685" spans="1:51" s="584" customFormat="1" ht="12.75" customHeight="1">
      <c r="B685" s="570"/>
      <c r="C685" s="975"/>
      <c r="E685" s="1913"/>
      <c r="F685" s="1913"/>
      <c r="G685" s="1913"/>
      <c r="H685" s="1913"/>
      <c r="I685" s="1913"/>
      <c r="J685" s="1913"/>
      <c r="K685" s="1913"/>
      <c r="L685" s="1913"/>
      <c r="M685" s="1913"/>
      <c r="N685" s="1913"/>
      <c r="O685" s="1913"/>
      <c r="P685" s="1913"/>
      <c r="Q685" s="1913"/>
      <c r="R685" s="1913"/>
      <c r="S685" s="1913"/>
      <c r="T685" s="1913"/>
      <c r="U685" s="1913"/>
      <c r="V685" s="1913"/>
      <c r="W685" s="1913"/>
      <c r="X685" s="1913"/>
      <c r="Y685" s="1913"/>
      <c r="Z685" s="1913"/>
      <c r="AA685" s="1913"/>
      <c r="AB685" s="1913"/>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3"/>
      <c r="F686" s="1913"/>
      <c r="G686" s="1913"/>
      <c r="H686" s="1913"/>
      <c r="I686" s="1913"/>
      <c r="J686" s="1913"/>
      <c r="K686" s="1913"/>
      <c r="L686" s="1913"/>
      <c r="M686" s="1913"/>
      <c r="N686" s="1913"/>
      <c r="O686" s="1913"/>
      <c r="P686" s="1913"/>
      <c r="Q686" s="1913"/>
      <c r="R686" s="1913"/>
      <c r="S686" s="1913"/>
      <c r="T686" s="1913"/>
      <c r="U686" s="1913"/>
      <c r="V686" s="1913"/>
      <c r="W686" s="1913"/>
      <c r="X686" s="1913"/>
      <c r="Y686" s="1913"/>
      <c r="Z686" s="1913"/>
      <c r="AA686" s="1913"/>
      <c r="AB686" s="1913"/>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13" t="s">
        <v>2454</v>
      </c>
      <c r="F688" s="1913"/>
      <c r="G688" s="1913"/>
      <c r="H688" s="1913"/>
      <c r="I688" s="1913"/>
      <c r="J688" s="1913"/>
      <c r="K688" s="1913"/>
      <c r="L688" s="1913"/>
      <c r="M688" s="1913"/>
      <c r="N688" s="1913"/>
      <c r="O688" s="1913"/>
      <c r="P688" s="1913"/>
      <c r="Q688" s="1913"/>
      <c r="R688" s="1913"/>
      <c r="S688" s="1913"/>
      <c r="T688" s="1913"/>
      <c r="U688" s="1913"/>
      <c r="V688" s="1913"/>
      <c r="W688" s="1913"/>
      <c r="X688" s="1913"/>
      <c r="Y688" s="1913"/>
      <c r="Z688" s="1913"/>
      <c r="AA688" s="1913"/>
      <c r="AB688" s="1913"/>
      <c r="AC688" s="570"/>
      <c r="AD688" s="570"/>
      <c r="AE688" s="570"/>
      <c r="AF688" s="1993" t="s">
        <v>1519</v>
      </c>
      <c r="AG688" s="1993"/>
      <c r="AH688" s="1993"/>
      <c r="AI688" s="1993"/>
      <c r="AJ688" s="1993"/>
      <c r="AK688" s="1993"/>
      <c r="AL688" s="1993"/>
      <c r="AN688" s="631"/>
      <c r="AO688" s="645" t="s">
        <v>518</v>
      </c>
      <c r="AP688" s="584">
        <v>1</v>
      </c>
    </row>
    <row r="689" spans="1:42" s="584" customFormat="1" ht="12" customHeight="1">
      <c r="B689" s="570"/>
      <c r="C689" s="966"/>
      <c r="E689" s="1913"/>
      <c r="F689" s="1913"/>
      <c r="G689" s="1913"/>
      <c r="H689" s="1913"/>
      <c r="I689" s="1913"/>
      <c r="J689" s="1913"/>
      <c r="K689" s="1913"/>
      <c r="L689" s="1913"/>
      <c r="M689" s="1913"/>
      <c r="N689" s="1913"/>
      <c r="O689" s="1913"/>
      <c r="P689" s="1913"/>
      <c r="Q689" s="1913"/>
      <c r="R689" s="1913"/>
      <c r="S689" s="1913"/>
      <c r="T689" s="1913"/>
      <c r="U689" s="1913"/>
      <c r="V689" s="1913"/>
      <c r="W689" s="1913"/>
      <c r="X689" s="1913"/>
      <c r="Y689" s="1913"/>
      <c r="Z689" s="1913"/>
      <c r="AA689" s="1913"/>
      <c r="AB689" s="1913"/>
      <c r="AC689" s="570"/>
      <c r="AD689" s="570"/>
      <c r="AE689" s="650"/>
      <c r="AF689" s="570"/>
      <c r="AG689" s="570"/>
      <c r="AH689" s="570"/>
      <c r="AI689" s="570"/>
      <c r="AJ689" s="570"/>
      <c r="AK689" s="570"/>
      <c r="AL689" s="570"/>
      <c r="AN689" s="631"/>
    </row>
    <row r="690" spans="1:42" s="584" customFormat="1" ht="12" customHeight="1">
      <c r="B690" s="570"/>
      <c r="C690" s="966"/>
      <c r="D690" s="570"/>
      <c r="E690" s="1913"/>
      <c r="F690" s="1913"/>
      <c r="G690" s="1913"/>
      <c r="H690" s="1913"/>
      <c r="I690" s="1913"/>
      <c r="J690" s="1913"/>
      <c r="K690" s="1913"/>
      <c r="L690" s="1913"/>
      <c r="M690" s="1913"/>
      <c r="N690" s="1913"/>
      <c r="O690" s="1913"/>
      <c r="P690" s="1913"/>
      <c r="Q690" s="1913"/>
      <c r="R690" s="1913"/>
      <c r="S690" s="1913"/>
      <c r="T690" s="1913"/>
      <c r="U690" s="1913"/>
      <c r="V690" s="1913"/>
      <c r="W690" s="1913"/>
      <c r="X690" s="1913"/>
      <c r="Y690" s="1913"/>
      <c r="Z690" s="1913"/>
      <c r="AA690" s="1913"/>
      <c r="AB690" s="1913"/>
      <c r="AC690" s="570"/>
      <c r="AD690" s="570"/>
      <c r="AE690" s="650"/>
      <c r="AF690" s="570"/>
      <c r="AG690" s="570"/>
      <c r="AH690" s="570"/>
      <c r="AI690" s="570"/>
      <c r="AJ690" s="570"/>
      <c r="AK690" s="570"/>
      <c r="AL690" s="570"/>
      <c r="AN690" s="631"/>
    </row>
    <row r="691" spans="1:42" s="584" customFormat="1" ht="12" customHeight="1">
      <c r="B691" s="570"/>
      <c r="C691" s="966"/>
      <c r="D691" s="570"/>
      <c r="E691" s="1913"/>
      <c r="F691" s="1913"/>
      <c r="G691" s="1913"/>
      <c r="H691" s="1913"/>
      <c r="I691" s="1913"/>
      <c r="J691" s="1913"/>
      <c r="K691" s="1913"/>
      <c r="L691" s="1913"/>
      <c r="M691" s="1913"/>
      <c r="N691" s="1913"/>
      <c r="O691" s="1913"/>
      <c r="P691" s="1913"/>
      <c r="Q691" s="1913"/>
      <c r="R691" s="1913"/>
      <c r="S691" s="1913"/>
      <c r="T691" s="1913"/>
      <c r="U691" s="1913"/>
      <c r="V691" s="1913"/>
      <c r="W691" s="1913"/>
      <c r="X691" s="1913"/>
      <c r="Y691" s="1913"/>
      <c r="Z691" s="1913"/>
      <c r="AA691" s="1913"/>
      <c r="AB691" s="1913"/>
      <c r="AC691" s="570"/>
      <c r="AD691" s="570"/>
      <c r="AE691" s="650"/>
      <c r="AF691" s="570"/>
      <c r="AG691" s="570"/>
      <c r="AH691" s="570"/>
      <c r="AI691" s="570"/>
      <c r="AJ691" s="570"/>
      <c r="AK691" s="570"/>
      <c r="AL691" s="570"/>
      <c r="AN691" s="631"/>
    </row>
    <row r="692" spans="1:42" s="604" customFormat="1" ht="13" customHeight="1">
      <c r="A692" s="584"/>
      <c r="B692" s="570"/>
      <c r="C692" s="966"/>
      <c r="D692" s="570"/>
      <c r="E692" s="1913"/>
      <c r="F692" s="1913"/>
      <c r="G692" s="1913"/>
      <c r="H692" s="1913"/>
      <c r="I692" s="1913"/>
      <c r="J692" s="1913"/>
      <c r="K692" s="1913"/>
      <c r="L692" s="1913"/>
      <c r="M692" s="1913"/>
      <c r="N692" s="1913"/>
      <c r="O692" s="1913"/>
      <c r="P692" s="1913"/>
      <c r="Q692" s="1913"/>
      <c r="R692" s="1913"/>
      <c r="S692" s="1913"/>
      <c r="T692" s="1913"/>
      <c r="U692" s="1913"/>
      <c r="V692" s="1913"/>
      <c r="W692" s="1913"/>
      <c r="X692" s="1913"/>
      <c r="Y692" s="1913"/>
      <c r="Z692" s="1913"/>
      <c r="AA692" s="1913"/>
      <c r="AB692" s="1913"/>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13" t="s">
        <v>1883</v>
      </c>
      <c r="F694" s="1913"/>
      <c r="G694" s="1913"/>
      <c r="H694" s="1913"/>
      <c r="I694" s="1913"/>
      <c r="J694" s="1913"/>
      <c r="K694" s="1913"/>
      <c r="L694" s="1913"/>
      <c r="M694" s="1913"/>
      <c r="N694" s="1913"/>
      <c r="O694" s="1913"/>
      <c r="P694" s="1913"/>
      <c r="Q694" s="1913"/>
      <c r="R694" s="1913"/>
      <c r="S694" s="1913"/>
      <c r="T694" s="1913"/>
      <c r="U694" s="1913"/>
      <c r="V694" s="1913"/>
      <c r="W694" s="1913"/>
      <c r="X694" s="1913"/>
      <c r="Y694" s="1913"/>
      <c r="Z694" s="1913"/>
      <c r="AA694" s="1913"/>
      <c r="AB694" s="1913"/>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13"/>
      <c r="F695" s="1913"/>
      <c r="G695" s="1913"/>
      <c r="H695" s="1913"/>
      <c r="I695" s="1913"/>
      <c r="J695" s="1913"/>
      <c r="K695" s="1913"/>
      <c r="L695" s="1913"/>
      <c r="M695" s="1913"/>
      <c r="N695" s="1913"/>
      <c r="O695" s="1913"/>
      <c r="P695" s="1913"/>
      <c r="Q695" s="1913"/>
      <c r="R695" s="1913"/>
      <c r="S695" s="1913"/>
      <c r="T695" s="1913"/>
      <c r="U695" s="1913"/>
      <c r="V695" s="1913"/>
      <c r="W695" s="1913"/>
      <c r="X695" s="1913"/>
      <c r="Y695" s="1913"/>
      <c r="Z695" s="1913"/>
      <c r="AA695" s="1913"/>
      <c r="AB695" s="1913"/>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13"/>
      <c r="F696" s="1913"/>
      <c r="G696" s="1913"/>
      <c r="H696" s="1913"/>
      <c r="I696" s="1913"/>
      <c r="J696" s="1913"/>
      <c r="K696" s="1913"/>
      <c r="L696" s="1913"/>
      <c r="M696" s="1913"/>
      <c r="N696" s="1913"/>
      <c r="O696" s="1913"/>
      <c r="P696" s="1913"/>
      <c r="Q696" s="1913"/>
      <c r="R696" s="1913"/>
      <c r="S696" s="1913"/>
      <c r="T696" s="1913"/>
      <c r="U696" s="1913"/>
      <c r="V696" s="1913"/>
      <c r="W696" s="1913"/>
      <c r="X696" s="1913"/>
      <c r="Y696" s="1913"/>
      <c r="Z696" s="1913"/>
      <c r="AA696" s="1913"/>
      <c r="AB696" s="1913"/>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1511</v>
      </c>
      <c r="E698" s="971"/>
      <c r="F698" s="971"/>
      <c r="G698" s="971"/>
      <c r="H698" s="1937" t="s">
        <v>600</v>
      </c>
      <c r="I698" s="1937"/>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1538</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1516</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2456</v>
      </c>
      <c r="AJ700" s="1920">
        <f>VLOOKUP($H$698,$AO$692:$AP$695,2,FALSE)</f>
        <v>0</v>
      </c>
      <c r="AK700" s="1922"/>
      <c r="AL700" s="629"/>
      <c r="AM700" s="584"/>
      <c r="AN700" s="718"/>
      <c r="AP700" s="604" t="s">
        <v>1523</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1539</v>
      </c>
    </row>
    <row r="702" spans="1:42" s="604" customFormat="1" ht="12.75" customHeight="1">
      <c r="A702" s="584"/>
      <c r="B702" s="570"/>
      <c r="C702" s="573" t="s">
        <v>1540</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1541</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1542</v>
      </c>
    </row>
    <row r="704" spans="1:42" s="604" customFormat="1" ht="12.75" customHeight="1">
      <c r="A704" s="671"/>
      <c r="B704" s="570"/>
      <c r="C704" s="966"/>
      <c r="D704" s="697" t="s">
        <v>697</v>
      </c>
      <c r="E704" s="2026" t="s">
        <v>1885</v>
      </c>
      <c r="F704" s="2026"/>
      <c r="G704" s="2026"/>
      <c r="H704" s="2026"/>
      <c r="I704" s="2026"/>
      <c r="J704" s="2026"/>
      <c r="K704" s="2026"/>
      <c r="L704" s="2026"/>
      <c r="M704" s="2026"/>
      <c r="N704" s="2026"/>
      <c r="O704" s="2026"/>
      <c r="P704" s="2026"/>
      <c r="Q704" s="2026"/>
      <c r="R704" s="2026"/>
      <c r="S704" s="2026"/>
      <c r="T704" s="2026"/>
      <c r="U704" s="2026"/>
      <c r="V704" s="2026"/>
      <c r="W704" s="2026"/>
      <c r="X704" s="2026"/>
      <c r="Y704" s="2026"/>
      <c r="Z704" s="2026"/>
      <c r="AA704" s="2026"/>
      <c r="AB704" s="2026"/>
      <c r="AC704" s="570"/>
      <c r="AD704" s="570"/>
      <c r="AE704" s="570"/>
      <c r="AF704" s="1993" t="s">
        <v>1463</v>
      </c>
      <c r="AG704" s="1993"/>
      <c r="AH704" s="1993"/>
      <c r="AI704" s="1993"/>
      <c r="AJ704" s="1993"/>
      <c r="AK704" s="1993"/>
      <c r="AL704" s="1993"/>
      <c r="AM704" s="584"/>
      <c r="AN704" s="718"/>
      <c r="AP704" s="604" t="s">
        <v>1543</v>
      </c>
    </row>
    <row r="705" spans="1:52" s="604" customFormat="1" ht="11.9" customHeight="1">
      <c r="A705" s="584"/>
      <c r="B705" s="570"/>
      <c r="C705" s="968"/>
      <c r="D705" s="697"/>
      <c r="E705" s="2026"/>
      <c r="F705" s="2026"/>
      <c r="G705" s="2026"/>
      <c r="H705" s="2026"/>
      <c r="I705" s="2026"/>
      <c r="J705" s="2026"/>
      <c r="K705" s="2026"/>
      <c r="L705" s="2026"/>
      <c r="M705" s="2026"/>
      <c r="N705" s="2026"/>
      <c r="O705" s="2026"/>
      <c r="P705" s="2026"/>
      <c r="Q705" s="2026"/>
      <c r="R705" s="2026"/>
      <c r="S705" s="2026"/>
      <c r="T705" s="2026"/>
      <c r="U705" s="2026"/>
      <c r="V705" s="2026"/>
      <c r="W705" s="2026"/>
      <c r="X705" s="2026"/>
      <c r="Y705" s="2026"/>
      <c r="Z705" s="2026"/>
      <c r="AA705" s="2026"/>
      <c r="AB705" s="2026"/>
      <c r="AC705" s="570"/>
      <c r="AD705" s="570"/>
      <c r="AE705" s="570"/>
      <c r="AF705" s="570"/>
      <c r="AG705" s="570"/>
      <c r="AH705" s="570"/>
      <c r="AI705" s="570"/>
      <c r="AJ705" s="570"/>
      <c r="AK705" s="570"/>
      <c r="AL705" s="570"/>
      <c r="AM705" s="584"/>
      <c r="AN705" s="718"/>
      <c r="AP705" s="604" t="s">
        <v>1544</v>
      </c>
    </row>
    <row r="706" spans="1:52" s="604" customFormat="1" ht="13.9" customHeight="1">
      <c r="A706" s="584"/>
      <c r="B706" s="644"/>
      <c r="C706" s="966"/>
      <c r="D706" s="697"/>
      <c r="E706" s="2026"/>
      <c r="F706" s="2026"/>
      <c r="G706" s="2026"/>
      <c r="H706" s="2026"/>
      <c r="I706" s="2026"/>
      <c r="J706" s="2026"/>
      <c r="K706" s="2026"/>
      <c r="L706" s="2026"/>
      <c r="M706" s="2026"/>
      <c r="N706" s="2026"/>
      <c r="O706" s="2026"/>
      <c r="P706" s="2026"/>
      <c r="Q706" s="2026"/>
      <c r="R706" s="2026"/>
      <c r="S706" s="2026"/>
      <c r="T706" s="2026"/>
      <c r="U706" s="2026"/>
      <c r="V706" s="2026"/>
      <c r="W706" s="2026"/>
      <c r="X706" s="2026"/>
      <c r="Y706" s="2026"/>
      <c r="Z706" s="2026"/>
      <c r="AA706" s="2026"/>
      <c r="AB706" s="2026"/>
      <c r="AC706" s="570"/>
      <c r="AD706" s="570"/>
      <c r="AE706" s="650"/>
      <c r="AF706" s="570"/>
      <c r="AG706" s="570"/>
      <c r="AH706" s="570"/>
      <c r="AI706" s="570"/>
      <c r="AJ706" s="570"/>
      <c r="AK706" s="570"/>
      <c r="AL706" s="570"/>
      <c r="AM706" s="584"/>
      <c r="AN706" s="718"/>
      <c r="AP706" s="604" t="s">
        <v>1545</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1547</v>
      </c>
    </row>
    <row r="708" spans="1:52" s="604" customFormat="1" ht="13.9" customHeight="1">
      <c r="A708" s="584"/>
      <c r="B708" s="570"/>
      <c r="C708" s="966"/>
      <c r="D708" s="697" t="s">
        <v>518</v>
      </c>
      <c r="E708" s="2027" t="s">
        <v>1546</v>
      </c>
      <c r="F708" s="2027"/>
      <c r="G708" s="2027"/>
      <c r="H708" s="2027"/>
      <c r="I708" s="2027"/>
      <c r="J708" s="2027"/>
      <c r="K708" s="2027"/>
      <c r="L708" s="2027"/>
      <c r="M708" s="2027"/>
      <c r="N708" s="2027"/>
      <c r="O708" s="2027"/>
      <c r="P708" s="2027"/>
      <c r="Q708" s="2027"/>
      <c r="R708" s="2027"/>
      <c r="S708" s="2027"/>
      <c r="T708" s="2027"/>
      <c r="U708" s="2027"/>
      <c r="V708" s="2027"/>
      <c r="W708" s="2027"/>
      <c r="X708" s="2027"/>
      <c r="Y708" s="2027"/>
      <c r="Z708" s="2027"/>
      <c r="AA708" s="2027"/>
      <c r="AB708" s="2027"/>
      <c r="AC708" s="570"/>
      <c r="AD708" s="570"/>
      <c r="AE708" s="570"/>
      <c r="AF708" s="1993" t="s">
        <v>1519</v>
      </c>
      <c r="AG708" s="1993"/>
      <c r="AH708" s="1993"/>
      <c r="AI708" s="1993"/>
      <c r="AJ708" s="1993"/>
      <c r="AK708" s="1993"/>
      <c r="AL708" s="1993"/>
      <c r="AM708" s="584"/>
      <c r="AN708" s="719"/>
    </row>
    <row r="709" spans="1:52" s="604" customFormat="1" ht="12.75" customHeight="1">
      <c r="A709" s="584"/>
      <c r="B709" s="570"/>
      <c r="C709" s="968"/>
      <c r="D709" s="570"/>
      <c r="E709" s="2027"/>
      <c r="F709" s="2027"/>
      <c r="G709" s="2027"/>
      <c r="H709" s="2027"/>
      <c r="I709" s="2027"/>
      <c r="J709" s="2027"/>
      <c r="K709" s="2027"/>
      <c r="L709" s="2027"/>
      <c r="M709" s="2027"/>
      <c r="N709" s="2027"/>
      <c r="O709" s="2027"/>
      <c r="P709" s="2027"/>
      <c r="Q709" s="2027"/>
      <c r="R709" s="2027"/>
      <c r="S709" s="2027"/>
      <c r="T709" s="2027"/>
      <c r="U709" s="2027"/>
      <c r="V709" s="2027"/>
      <c r="W709" s="2027"/>
      <c r="X709" s="2027"/>
      <c r="Y709" s="2027"/>
      <c r="Z709" s="2027"/>
      <c r="AA709" s="2027"/>
      <c r="AB709" s="2027"/>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7"/>
      <c r="F710" s="2027"/>
      <c r="G710" s="2027"/>
      <c r="H710" s="2027"/>
      <c r="I710" s="2027"/>
      <c r="J710" s="2027"/>
      <c r="K710" s="2027"/>
      <c r="L710" s="2027"/>
      <c r="M710" s="2027"/>
      <c r="N710" s="2027"/>
      <c r="O710" s="2027"/>
      <c r="P710" s="2027"/>
      <c r="Q710" s="2027"/>
      <c r="R710" s="2027"/>
      <c r="S710" s="2027"/>
      <c r="T710" s="2027"/>
      <c r="U710" s="2027"/>
      <c r="V710" s="2027"/>
      <c r="W710" s="2027"/>
      <c r="X710" s="2027"/>
      <c r="Y710" s="2027"/>
      <c r="Z710" s="2027"/>
      <c r="AA710" s="2027"/>
      <c r="AB710" s="2027"/>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1511</v>
      </c>
      <c r="E712" s="971"/>
      <c r="F712" s="971"/>
      <c r="G712" s="971"/>
      <c r="H712" s="1937" t="s">
        <v>600</v>
      </c>
      <c r="I712" s="1937"/>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1548</v>
      </c>
      <c r="AJ714" s="1920">
        <f>VLOOKUP($H$712,$AP$709:$AQ$711,2,FALSE)</f>
        <v>0</v>
      </c>
      <c r="AK714" s="1922"/>
      <c r="AL714" s="629"/>
      <c r="AM714" s="584"/>
      <c r="AN714" s="718"/>
      <c r="AP714" s="1920"/>
      <c r="AQ714" s="1922"/>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1549</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697</v>
      </c>
      <c r="E718" s="1913" t="s">
        <v>1886</v>
      </c>
      <c r="F718" s="1913"/>
      <c r="G718" s="1913"/>
      <c r="H718" s="1913"/>
      <c r="I718" s="1913"/>
      <c r="J718" s="1913"/>
      <c r="K718" s="1913"/>
      <c r="L718" s="1913"/>
      <c r="M718" s="1913"/>
      <c r="N718" s="1913"/>
      <c r="O718" s="1913"/>
      <c r="P718" s="1913"/>
      <c r="Q718" s="1913"/>
      <c r="R718" s="1913"/>
      <c r="S718" s="1913"/>
      <c r="T718" s="1913"/>
      <c r="U718" s="1913"/>
      <c r="V718" s="1913"/>
      <c r="W718" s="1913"/>
      <c r="X718" s="1913"/>
      <c r="Y718" s="1913"/>
      <c r="Z718" s="1913"/>
      <c r="AA718" s="1913"/>
      <c r="AB718" s="1913"/>
      <c r="AC718" s="570"/>
      <c r="AD718" s="570"/>
      <c r="AE718" s="570"/>
      <c r="AF718" s="1993" t="s">
        <v>1463</v>
      </c>
      <c r="AG718" s="1993"/>
      <c r="AH718" s="1993"/>
      <c r="AI718" s="1993"/>
      <c r="AJ718" s="1993"/>
      <c r="AK718" s="1993"/>
      <c r="AL718" s="1993"/>
      <c r="AM718" s="584"/>
      <c r="AN718" s="718"/>
      <c r="AT718" s="14"/>
      <c r="AU718" s="14"/>
      <c r="AV718" s="14"/>
      <c r="AW718" s="14"/>
      <c r="AX718" s="14"/>
      <c r="AY718" s="14"/>
      <c r="AZ718" s="14"/>
    </row>
    <row r="719" spans="1:52" s="604" customFormat="1" ht="13">
      <c r="A719" s="584"/>
      <c r="B719" s="570"/>
      <c r="C719" s="968"/>
      <c r="D719" s="697"/>
      <c r="E719" s="1913"/>
      <c r="F719" s="1913"/>
      <c r="G719" s="1913"/>
      <c r="H719" s="1913"/>
      <c r="I719" s="1913"/>
      <c r="J719" s="1913"/>
      <c r="K719" s="1913"/>
      <c r="L719" s="1913"/>
      <c r="M719" s="1913"/>
      <c r="N719" s="1913"/>
      <c r="O719" s="1913"/>
      <c r="P719" s="1913"/>
      <c r="Q719" s="1913"/>
      <c r="R719" s="1913"/>
      <c r="S719" s="1913"/>
      <c r="T719" s="1913"/>
      <c r="U719" s="1913"/>
      <c r="V719" s="1913"/>
      <c r="W719" s="1913"/>
      <c r="X719" s="1913"/>
      <c r="Y719" s="1913"/>
      <c r="Z719" s="1913"/>
      <c r="AA719" s="1913"/>
      <c r="AB719" s="1913"/>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13" t="s">
        <v>1550</v>
      </c>
      <c r="F721" s="1913"/>
      <c r="G721" s="1913"/>
      <c r="H721" s="1913"/>
      <c r="I721" s="1913"/>
      <c r="J721" s="1913"/>
      <c r="K721" s="1913"/>
      <c r="L721" s="1913"/>
      <c r="M721" s="1913"/>
      <c r="N721" s="1913"/>
      <c r="O721" s="1913"/>
      <c r="P721" s="1913"/>
      <c r="Q721" s="1913"/>
      <c r="R721" s="1913"/>
      <c r="S721" s="1913"/>
      <c r="T721" s="1913"/>
      <c r="U721" s="1913"/>
      <c r="V721" s="1913"/>
      <c r="W721" s="1913"/>
      <c r="X721" s="1913"/>
      <c r="Y721" s="1913"/>
      <c r="Z721" s="1913"/>
      <c r="AA721" s="1913"/>
      <c r="AB721" s="1913"/>
      <c r="AC721" s="570"/>
      <c r="AD721" s="570"/>
      <c r="AE721" s="570"/>
      <c r="AF721" s="1993" t="s">
        <v>1519</v>
      </c>
      <c r="AG721" s="1993"/>
      <c r="AH721" s="1993"/>
      <c r="AI721" s="1993"/>
      <c r="AJ721" s="1993"/>
      <c r="AK721" s="1993"/>
      <c r="AL721" s="1993"/>
      <c r="AM721" s="584"/>
      <c r="AN721" s="718"/>
      <c r="AT721" s="14"/>
      <c r="AU721" s="14"/>
      <c r="AV721" s="14"/>
      <c r="AW721" s="14"/>
      <c r="AX721" s="14"/>
      <c r="AY721" s="14"/>
      <c r="AZ721" s="14"/>
    </row>
    <row r="722" spans="1:81" s="604" customFormat="1" ht="13">
      <c r="A722" s="584"/>
      <c r="B722" s="570"/>
      <c r="C722" s="968"/>
      <c r="D722" s="570"/>
      <c r="E722" s="1913"/>
      <c r="F722" s="1913"/>
      <c r="G722" s="1913"/>
      <c r="H722" s="1913"/>
      <c r="I722" s="1913"/>
      <c r="J722" s="1913"/>
      <c r="K722" s="1913"/>
      <c r="L722" s="1913"/>
      <c r="M722" s="1913"/>
      <c r="N722" s="1913"/>
      <c r="O722" s="1913"/>
      <c r="P722" s="1913"/>
      <c r="Q722" s="1913"/>
      <c r="R722" s="1913"/>
      <c r="S722" s="1913"/>
      <c r="T722" s="1913"/>
      <c r="U722" s="1913"/>
      <c r="V722" s="1913"/>
      <c r="W722" s="1913"/>
      <c r="X722" s="1913"/>
      <c r="Y722" s="1913"/>
      <c r="Z722" s="1913"/>
      <c r="AA722" s="1913"/>
      <c r="AB722" s="1913"/>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1511</v>
      </c>
      <c r="E724" s="971"/>
      <c r="F724" s="971"/>
      <c r="G724" s="971"/>
      <c r="H724" s="1937" t="s">
        <v>600</v>
      </c>
      <c r="I724" s="1937"/>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1551</v>
      </c>
      <c r="AJ726" s="1920">
        <f>VLOOKUP($H$724,$AO$655:$AP$657,2,FALSE)</f>
        <v>0</v>
      </c>
      <c r="AK726" s="1922"/>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1552</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697</v>
      </c>
      <c r="E730" s="1913" t="s">
        <v>1553</v>
      </c>
      <c r="F730" s="1913"/>
      <c r="G730" s="1913"/>
      <c r="H730" s="1913"/>
      <c r="I730" s="1913"/>
      <c r="J730" s="1913"/>
      <c r="K730" s="1913"/>
      <c r="L730" s="1913"/>
      <c r="M730" s="1913"/>
      <c r="N730" s="1913"/>
      <c r="O730" s="1913"/>
      <c r="P730" s="1913"/>
      <c r="Q730" s="1913"/>
      <c r="R730" s="1913"/>
      <c r="S730" s="1913"/>
      <c r="T730" s="1913"/>
      <c r="U730" s="1913"/>
      <c r="V730" s="1913"/>
      <c r="W730" s="1913"/>
      <c r="X730" s="1913"/>
      <c r="Y730" s="1913"/>
      <c r="Z730" s="1913"/>
      <c r="AA730" s="1913"/>
      <c r="AB730" s="1913"/>
      <c r="AC730" s="570"/>
      <c r="AD730" s="570"/>
      <c r="AE730" s="570"/>
      <c r="AF730" s="1993" t="s">
        <v>1463</v>
      </c>
      <c r="AG730" s="1993"/>
      <c r="AH730" s="1993"/>
      <c r="AI730" s="1993"/>
      <c r="AJ730" s="1993"/>
      <c r="AK730" s="1993"/>
      <c r="AL730" s="1993"/>
      <c r="AM730" s="584"/>
      <c r="AN730" s="718"/>
      <c r="AT730" s="14"/>
      <c r="AU730" s="14"/>
      <c r="AV730" s="14"/>
      <c r="AW730" s="14"/>
      <c r="AX730" s="14"/>
      <c r="AY730" s="14"/>
      <c r="AZ730" s="14"/>
    </row>
    <row r="731" spans="1:81" s="604" customFormat="1" ht="13">
      <c r="A731" s="584"/>
      <c r="B731" s="570"/>
      <c r="C731" s="966"/>
      <c r="D731" s="697"/>
      <c r="E731" s="1913"/>
      <c r="F731" s="1913"/>
      <c r="G731" s="1913"/>
      <c r="H731" s="1913"/>
      <c r="I731" s="1913"/>
      <c r="J731" s="1913"/>
      <c r="K731" s="1913"/>
      <c r="L731" s="1913"/>
      <c r="M731" s="1913"/>
      <c r="N731" s="1913"/>
      <c r="O731" s="1913"/>
      <c r="P731" s="1913"/>
      <c r="Q731" s="1913"/>
      <c r="R731" s="1913"/>
      <c r="S731" s="1913"/>
      <c r="T731" s="1913"/>
      <c r="U731" s="1913"/>
      <c r="V731" s="1913"/>
      <c r="W731" s="1913"/>
      <c r="X731" s="1913"/>
      <c r="Y731" s="1913"/>
      <c r="Z731" s="1913"/>
      <c r="AA731" s="1913"/>
      <c r="AB731" s="1913"/>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13"/>
      <c r="F732" s="1913"/>
      <c r="G732" s="1913"/>
      <c r="H732" s="1913"/>
      <c r="I732" s="1913"/>
      <c r="J732" s="1913"/>
      <c r="K732" s="1913"/>
      <c r="L732" s="1913"/>
      <c r="M732" s="1913"/>
      <c r="N732" s="1913"/>
      <c r="O732" s="1913"/>
      <c r="P732" s="1913"/>
      <c r="Q732" s="1913"/>
      <c r="R732" s="1913"/>
      <c r="S732" s="1913"/>
      <c r="T732" s="1913"/>
      <c r="U732" s="1913"/>
      <c r="V732" s="1913"/>
      <c r="W732" s="1913"/>
      <c r="X732" s="1913"/>
      <c r="Y732" s="1913"/>
      <c r="Z732" s="1913"/>
      <c r="AA732" s="1913"/>
      <c r="AB732" s="1913"/>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3"/>
      <c r="F733" s="1913"/>
      <c r="G733" s="1913"/>
      <c r="H733" s="1913"/>
      <c r="I733" s="1913"/>
      <c r="J733" s="1913"/>
      <c r="K733" s="1913"/>
      <c r="L733" s="1913"/>
      <c r="M733" s="1913"/>
      <c r="N733" s="1913"/>
      <c r="O733" s="1913"/>
      <c r="P733" s="1913"/>
      <c r="Q733" s="1913"/>
      <c r="R733" s="1913"/>
      <c r="S733" s="1913"/>
      <c r="T733" s="1913"/>
      <c r="U733" s="1913"/>
      <c r="V733" s="1913"/>
      <c r="W733" s="1913"/>
      <c r="X733" s="1913"/>
      <c r="Y733" s="1913"/>
      <c r="Z733" s="1913"/>
      <c r="AA733" s="1913"/>
      <c r="AB733" s="1913"/>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518</v>
      </c>
      <c r="E735" s="1913" t="s">
        <v>1554</v>
      </c>
      <c r="F735" s="1913"/>
      <c r="G735" s="1913"/>
      <c r="H735" s="1913"/>
      <c r="I735" s="1913"/>
      <c r="J735" s="1913"/>
      <c r="K735" s="1913"/>
      <c r="L735" s="1913"/>
      <c r="M735" s="1913"/>
      <c r="N735" s="1913"/>
      <c r="O735" s="1913"/>
      <c r="P735" s="1913"/>
      <c r="Q735" s="1913"/>
      <c r="R735" s="1913"/>
      <c r="S735" s="1913"/>
      <c r="T735" s="1913"/>
      <c r="U735" s="1913"/>
      <c r="V735" s="1913"/>
      <c r="W735" s="1913"/>
      <c r="X735" s="1913"/>
      <c r="Y735" s="1913"/>
      <c r="Z735" s="1913"/>
      <c r="AA735" s="1913"/>
      <c r="AB735" s="609"/>
      <c r="AC735" s="570"/>
      <c r="AD735" s="570"/>
      <c r="AE735" s="570"/>
      <c r="AF735" s="1993" t="s">
        <v>1519</v>
      </c>
      <c r="AG735" s="1993"/>
      <c r="AH735" s="1993"/>
      <c r="AI735" s="1993"/>
      <c r="AJ735" s="1993"/>
      <c r="AK735" s="1993"/>
      <c r="AL735" s="1993"/>
      <c r="AM735" s="584"/>
      <c r="AN735" s="718"/>
      <c r="AO735" s="30"/>
      <c r="AP735" s="14"/>
    </row>
    <row r="736" spans="1:81" s="604" customFormat="1" ht="13">
      <c r="A736" s="584"/>
      <c r="B736" s="570"/>
      <c r="C736" s="966"/>
      <c r="D736" s="697"/>
      <c r="E736" s="1913"/>
      <c r="F736" s="1913"/>
      <c r="G736" s="1913"/>
      <c r="H736" s="1913"/>
      <c r="I736" s="1913"/>
      <c r="J736" s="1913"/>
      <c r="K736" s="1913"/>
      <c r="L736" s="1913"/>
      <c r="M736" s="1913"/>
      <c r="N736" s="1913"/>
      <c r="O736" s="1913"/>
      <c r="P736" s="1913"/>
      <c r="Q736" s="1913"/>
      <c r="R736" s="1913"/>
      <c r="S736" s="1913"/>
      <c r="T736" s="1913"/>
      <c r="U736" s="1913"/>
      <c r="V736" s="1913"/>
      <c r="W736" s="1913"/>
      <c r="X736" s="1913"/>
      <c r="Y736" s="1913"/>
      <c r="Z736" s="1913"/>
      <c r="AA736" s="1913"/>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13"/>
      <c r="F737" s="1913"/>
      <c r="G737" s="1913"/>
      <c r="H737" s="1913"/>
      <c r="I737" s="1913"/>
      <c r="J737" s="1913"/>
      <c r="K737" s="1913"/>
      <c r="L737" s="1913"/>
      <c r="M737" s="1913"/>
      <c r="N737" s="1913"/>
      <c r="O737" s="1913"/>
      <c r="P737" s="1913"/>
      <c r="Q737" s="1913"/>
      <c r="R737" s="1913"/>
      <c r="S737" s="1913"/>
      <c r="T737" s="1913"/>
      <c r="U737" s="1913"/>
      <c r="V737" s="1913"/>
      <c r="W737" s="1913"/>
      <c r="X737" s="1913"/>
      <c r="Y737" s="1913"/>
      <c r="Z737" s="1913"/>
      <c r="AA737" s="1913"/>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13"/>
      <c r="F738" s="1913"/>
      <c r="G738" s="1913"/>
      <c r="H738" s="1913"/>
      <c r="I738" s="1913"/>
      <c r="J738" s="1913"/>
      <c r="K738" s="1913"/>
      <c r="L738" s="1913"/>
      <c r="M738" s="1913"/>
      <c r="N738" s="1913"/>
      <c r="O738" s="1913"/>
      <c r="P738" s="1913"/>
      <c r="Q738" s="1913"/>
      <c r="R738" s="1913"/>
      <c r="S738" s="1913"/>
      <c r="T738" s="1913"/>
      <c r="U738" s="1913"/>
      <c r="V738" s="1913"/>
      <c r="W738" s="1913"/>
      <c r="X738" s="1913"/>
      <c r="Y738" s="1913"/>
      <c r="Z738" s="1913"/>
      <c r="AA738" s="1913"/>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1511</v>
      </c>
      <c r="E740" s="971"/>
      <c r="F740" s="971"/>
      <c r="G740" s="971"/>
      <c r="H740" s="1937" t="s">
        <v>518</v>
      </c>
      <c r="I740" s="1937"/>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1555</v>
      </c>
      <c r="AJ742" s="1920">
        <f>VLOOKUP($H$740,$AO$669:$AP$671,2,FALSE)</f>
        <v>2</v>
      </c>
      <c r="AK742" s="1922"/>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1545</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697</v>
      </c>
      <c r="E746" s="1913" t="s">
        <v>1556</v>
      </c>
      <c r="F746" s="1913"/>
      <c r="G746" s="1913"/>
      <c r="H746" s="1913"/>
      <c r="I746" s="1913"/>
      <c r="J746" s="1913"/>
      <c r="K746" s="1913"/>
      <c r="L746" s="1913"/>
      <c r="M746" s="1913"/>
      <c r="N746" s="1913"/>
      <c r="O746" s="1913"/>
      <c r="P746" s="1913"/>
      <c r="Q746" s="1913"/>
      <c r="R746" s="1913"/>
      <c r="S746" s="1913"/>
      <c r="T746" s="1913"/>
      <c r="U746" s="1913"/>
      <c r="V746" s="1913"/>
      <c r="W746" s="1913"/>
      <c r="X746" s="1913"/>
      <c r="Y746" s="1913"/>
      <c r="Z746" s="1913"/>
      <c r="AA746" s="1913"/>
      <c r="AB746" s="1913"/>
      <c r="AC746" s="570"/>
      <c r="AD746" s="570"/>
      <c r="AE746" s="570"/>
      <c r="AF746" s="1993" t="s">
        <v>1519</v>
      </c>
      <c r="AG746" s="1993"/>
      <c r="AH746" s="1993"/>
      <c r="AI746" s="1993"/>
      <c r="AJ746" s="1993"/>
      <c r="AK746" s="1993"/>
      <c r="AL746" s="1993"/>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13"/>
      <c r="F747" s="1913"/>
      <c r="G747" s="1913"/>
      <c r="H747" s="1913"/>
      <c r="I747" s="1913"/>
      <c r="J747" s="1913"/>
      <c r="K747" s="1913"/>
      <c r="L747" s="1913"/>
      <c r="M747" s="1913"/>
      <c r="N747" s="1913"/>
      <c r="O747" s="1913"/>
      <c r="P747" s="1913"/>
      <c r="Q747" s="1913"/>
      <c r="R747" s="1913"/>
      <c r="S747" s="1913"/>
      <c r="T747" s="1913"/>
      <c r="U747" s="1913"/>
      <c r="V747" s="1913"/>
      <c r="W747" s="1913"/>
      <c r="X747" s="1913"/>
      <c r="Y747" s="1913"/>
      <c r="Z747" s="1913"/>
      <c r="AA747" s="1913"/>
      <c r="AB747" s="1913"/>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518</v>
      </c>
      <c r="E749" s="1913" t="s">
        <v>1557</v>
      </c>
      <c r="F749" s="1913"/>
      <c r="G749" s="1913"/>
      <c r="H749" s="1913"/>
      <c r="I749" s="1913"/>
      <c r="J749" s="1913"/>
      <c r="K749" s="1913"/>
      <c r="L749" s="1913"/>
      <c r="M749" s="1913"/>
      <c r="N749" s="1913"/>
      <c r="O749" s="1913"/>
      <c r="P749" s="1913"/>
      <c r="Q749" s="1913"/>
      <c r="R749" s="1913"/>
      <c r="S749" s="1913"/>
      <c r="T749" s="1913"/>
      <c r="U749" s="1913"/>
      <c r="V749" s="1913"/>
      <c r="W749" s="1913"/>
      <c r="X749" s="1913"/>
      <c r="Y749" s="1913"/>
      <c r="Z749" s="1913"/>
      <c r="AA749" s="1913"/>
      <c r="AB749" s="1913"/>
      <c r="AC749" s="570"/>
      <c r="AD749" s="570"/>
      <c r="AE749" s="570"/>
      <c r="AF749" s="1993" t="s">
        <v>1536</v>
      </c>
      <c r="AG749" s="1993"/>
      <c r="AH749" s="1993"/>
      <c r="AI749" s="1993"/>
      <c r="AJ749" s="1993"/>
      <c r="AK749" s="1993"/>
      <c r="AL749" s="1993"/>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3"/>
      <c r="F750" s="1913"/>
      <c r="G750" s="1913"/>
      <c r="H750" s="1913"/>
      <c r="I750" s="1913"/>
      <c r="J750" s="1913"/>
      <c r="K750" s="1913"/>
      <c r="L750" s="1913"/>
      <c r="M750" s="1913"/>
      <c r="N750" s="1913"/>
      <c r="O750" s="1913"/>
      <c r="P750" s="1913"/>
      <c r="Q750" s="1913"/>
      <c r="R750" s="1913"/>
      <c r="S750" s="1913"/>
      <c r="T750" s="1913"/>
      <c r="U750" s="1913"/>
      <c r="V750" s="1913"/>
      <c r="W750" s="1913"/>
      <c r="X750" s="1913"/>
      <c r="Y750" s="1913"/>
      <c r="Z750" s="1913"/>
      <c r="AA750" s="1913"/>
      <c r="AB750" s="1913"/>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1511</v>
      </c>
      <c r="E752" s="971"/>
      <c r="F752" s="971"/>
      <c r="G752" s="971"/>
      <c r="H752" s="1937" t="s">
        <v>518</v>
      </c>
      <c r="I752" s="1937"/>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1558</v>
      </c>
      <c r="AJ754" s="1920">
        <f>VLOOKUP($H$752,$AO$686:$AP$688,2,FALSE)</f>
        <v>1</v>
      </c>
      <c r="AK754" s="1922"/>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1547</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697</v>
      </c>
      <c r="E758" s="1913" t="s">
        <v>1882</v>
      </c>
      <c r="F758" s="1913"/>
      <c r="G758" s="1913"/>
      <c r="H758" s="1913"/>
      <c r="I758" s="1913"/>
      <c r="J758" s="1913"/>
      <c r="K758" s="1913"/>
      <c r="L758" s="1913"/>
      <c r="M758" s="1913"/>
      <c r="N758" s="1913"/>
      <c r="O758" s="1913"/>
      <c r="P758" s="1913"/>
      <c r="Q758" s="1913"/>
      <c r="R758" s="1913"/>
      <c r="S758" s="1913"/>
      <c r="T758" s="1913"/>
      <c r="U758" s="1913"/>
      <c r="V758" s="1913"/>
      <c r="W758" s="1913"/>
      <c r="X758" s="1913"/>
      <c r="Y758" s="1913"/>
      <c r="Z758" s="1913"/>
      <c r="AA758" s="1913"/>
      <c r="AB758" s="1913"/>
      <c r="AC758" s="1913"/>
      <c r="AD758" s="1913"/>
      <c r="AE758" s="570"/>
      <c r="AF758" s="1993" t="s">
        <v>1519</v>
      </c>
      <c r="AG758" s="1993"/>
      <c r="AH758" s="1993"/>
      <c r="AI758" s="1993"/>
      <c r="AJ758" s="1993"/>
      <c r="AK758" s="1993"/>
      <c r="AL758" s="1993"/>
      <c r="AM758" s="647"/>
      <c r="AN758" s="718"/>
      <c r="AO758" s="584" t="s">
        <v>600</v>
      </c>
      <c r="AP758" s="707">
        <v>0</v>
      </c>
    </row>
    <row r="759" spans="1:74" s="604" customFormat="1" ht="13.75" customHeight="1">
      <c r="A759" s="584"/>
      <c r="B759" s="650"/>
      <c r="C759" s="975"/>
      <c r="D759" s="697"/>
      <c r="E759" s="1913"/>
      <c r="F759" s="1913"/>
      <c r="G759" s="1913"/>
      <c r="H759" s="1913"/>
      <c r="I759" s="1913"/>
      <c r="J759" s="1913"/>
      <c r="K759" s="1913"/>
      <c r="L759" s="1913"/>
      <c r="M759" s="1913"/>
      <c r="N759" s="1913"/>
      <c r="O759" s="1913"/>
      <c r="P759" s="1913"/>
      <c r="Q759" s="1913"/>
      <c r="R759" s="1913"/>
      <c r="S759" s="1913"/>
      <c r="T759" s="1913"/>
      <c r="U759" s="1913"/>
      <c r="V759" s="1913"/>
      <c r="W759" s="1913"/>
      <c r="X759" s="1913"/>
      <c r="Y759" s="1913"/>
      <c r="Z759" s="1913"/>
      <c r="AA759" s="1913"/>
      <c r="AB759" s="1913"/>
      <c r="AC759" s="1913"/>
      <c r="AD759" s="1913"/>
      <c r="AE759" s="570"/>
      <c r="AF759" s="628"/>
      <c r="AG759" s="628"/>
      <c r="AH759" s="628"/>
      <c r="AI759" s="628"/>
      <c r="AJ759" s="628"/>
      <c r="AK759" s="628"/>
      <c r="AL759" s="628"/>
      <c r="AM759" s="647"/>
      <c r="AN759" s="718"/>
      <c r="AO759" s="645" t="s">
        <v>697</v>
      </c>
      <c r="AP759" s="584">
        <v>2</v>
      </c>
    </row>
    <row r="760" spans="1:74" s="604" customFormat="1" ht="13">
      <c r="A760" s="584"/>
      <c r="B760" s="650"/>
      <c r="C760" s="975"/>
      <c r="D760" s="697"/>
      <c r="E760" s="1913"/>
      <c r="F760" s="1913"/>
      <c r="G760" s="1913"/>
      <c r="H760" s="1913"/>
      <c r="I760" s="1913"/>
      <c r="J760" s="1913"/>
      <c r="K760" s="1913"/>
      <c r="L760" s="1913"/>
      <c r="M760" s="1913"/>
      <c r="N760" s="1913"/>
      <c r="O760" s="1913"/>
      <c r="P760" s="1913"/>
      <c r="Q760" s="1913"/>
      <c r="R760" s="1913"/>
      <c r="S760" s="1913"/>
      <c r="T760" s="1913"/>
      <c r="U760" s="1913"/>
      <c r="V760" s="1913"/>
      <c r="W760" s="1913"/>
      <c r="X760" s="1913"/>
      <c r="Y760" s="1913"/>
      <c r="Z760" s="1913"/>
      <c r="AA760" s="1913"/>
      <c r="AB760" s="1913"/>
      <c r="AC760" s="1913"/>
      <c r="AD760" s="1913"/>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13"/>
      <c r="F761" s="1913"/>
      <c r="G761" s="1913"/>
      <c r="H761" s="1913"/>
      <c r="I761" s="1913"/>
      <c r="J761" s="1913"/>
      <c r="K761" s="1913"/>
      <c r="L761" s="1913"/>
      <c r="M761" s="1913"/>
      <c r="N761" s="1913"/>
      <c r="O761" s="1913"/>
      <c r="P761" s="1913"/>
      <c r="Q761" s="1913"/>
      <c r="R761" s="1913"/>
      <c r="S761" s="1913"/>
      <c r="T761" s="1913"/>
      <c r="U761" s="1913"/>
      <c r="V761" s="1913"/>
      <c r="W761" s="1913"/>
      <c r="X761" s="1913"/>
      <c r="Y761" s="1913"/>
      <c r="Z761" s="1913"/>
      <c r="AA761" s="1913"/>
      <c r="AB761" s="1913"/>
      <c r="AC761" s="1913"/>
      <c r="AD761" s="1913"/>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5" t="s">
        <v>1887</v>
      </c>
      <c r="F763" s="2025"/>
      <c r="G763" s="2025"/>
      <c r="H763" s="2025"/>
      <c r="I763" s="2025"/>
      <c r="J763" s="2025"/>
      <c r="K763" s="2025"/>
      <c r="L763" s="2025"/>
      <c r="M763" s="2025"/>
      <c r="N763" s="2025"/>
      <c r="O763" s="2025"/>
      <c r="P763" s="2025"/>
      <c r="Q763" s="2025"/>
      <c r="R763" s="2025"/>
      <c r="S763" s="2025"/>
      <c r="T763" s="2025"/>
      <c r="U763" s="2025"/>
      <c r="V763" s="2025"/>
      <c r="W763" s="2025"/>
      <c r="X763" s="2025"/>
      <c r="Y763" s="2025"/>
      <c r="Z763" s="2025"/>
      <c r="AA763" s="2025"/>
      <c r="AB763" s="2025"/>
      <c r="AC763" s="2025"/>
      <c r="AD763" s="2025"/>
      <c r="AE763" s="570"/>
      <c r="AF763" s="1993" t="s">
        <v>1463</v>
      </c>
      <c r="AG763" s="1993"/>
      <c r="AH763" s="1993"/>
      <c r="AI763" s="1993"/>
      <c r="AJ763" s="1993"/>
      <c r="AK763" s="1993"/>
      <c r="AL763" s="1993"/>
      <c r="AM763" s="647"/>
      <c r="AN763" s="631"/>
    </row>
    <row r="764" spans="1:74" s="584" customFormat="1" ht="12.75" customHeight="1">
      <c r="B764" s="650"/>
      <c r="C764" s="975"/>
      <c r="D764" s="697"/>
      <c r="E764" s="2025"/>
      <c r="F764" s="2025"/>
      <c r="G764" s="2025"/>
      <c r="H764" s="2025"/>
      <c r="I764" s="2025"/>
      <c r="J764" s="2025"/>
      <c r="K764" s="2025"/>
      <c r="L764" s="2025"/>
      <c r="M764" s="2025"/>
      <c r="N764" s="2025"/>
      <c r="O764" s="2025"/>
      <c r="P764" s="2025"/>
      <c r="Q764" s="2025"/>
      <c r="R764" s="2025"/>
      <c r="S764" s="2025"/>
      <c r="T764" s="2025"/>
      <c r="U764" s="2025"/>
      <c r="V764" s="2025"/>
      <c r="W764" s="2025"/>
      <c r="X764" s="2025"/>
      <c r="Y764" s="2025"/>
      <c r="Z764" s="2025"/>
      <c r="AA764" s="2025"/>
      <c r="AB764" s="2025"/>
      <c r="AC764" s="2025"/>
      <c r="AD764" s="2025"/>
      <c r="AE764" s="628"/>
      <c r="AF764" s="628"/>
      <c r="AG764" s="628"/>
      <c r="AH764" s="628"/>
      <c r="AI764" s="628"/>
      <c r="AJ764" s="628"/>
      <c r="AK764" s="628"/>
      <c r="AL764" s="628"/>
      <c r="AM764" s="647"/>
      <c r="AN764" s="631"/>
    </row>
    <row r="765" spans="1:74" s="584" customFormat="1" ht="12.75" customHeight="1">
      <c r="B765" s="650"/>
      <c r="C765" s="975"/>
      <c r="D765" s="697"/>
      <c r="E765" s="2025"/>
      <c r="F765" s="2025"/>
      <c r="G765" s="2025"/>
      <c r="H765" s="2025"/>
      <c r="I765" s="2025"/>
      <c r="J765" s="2025"/>
      <c r="K765" s="2025"/>
      <c r="L765" s="2025"/>
      <c r="M765" s="2025"/>
      <c r="N765" s="2025"/>
      <c r="O765" s="2025"/>
      <c r="P765" s="2025"/>
      <c r="Q765" s="2025"/>
      <c r="R765" s="2025"/>
      <c r="S765" s="2025"/>
      <c r="T765" s="2025"/>
      <c r="U765" s="2025"/>
      <c r="V765" s="2025"/>
      <c r="W765" s="2025"/>
      <c r="X765" s="2025"/>
      <c r="Y765" s="2025"/>
      <c r="Z765" s="2025"/>
      <c r="AA765" s="2025"/>
      <c r="AB765" s="2025"/>
      <c r="AC765" s="2025"/>
      <c r="AD765" s="2025"/>
      <c r="AE765" s="628"/>
      <c r="AF765" s="628"/>
      <c r="AG765" s="628"/>
      <c r="AH765" s="628"/>
      <c r="AI765" s="628"/>
      <c r="AJ765" s="628"/>
      <c r="AK765" s="628"/>
      <c r="AL765" s="628"/>
      <c r="AM765" s="647"/>
      <c r="AN765" s="631"/>
    </row>
    <row r="766" spans="1:74" s="584" customFormat="1" ht="12.75" customHeight="1">
      <c r="B766" s="650"/>
      <c r="C766" s="975"/>
      <c r="D766" s="697"/>
      <c r="E766" s="2025"/>
      <c r="F766" s="2025"/>
      <c r="G766" s="2025"/>
      <c r="H766" s="2025"/>
      <c r="I766" s="2025"/>
      <c r="J766" s="2025"/>
      <c r="K766" s="2025"/>
      <c r="L766" s="2025"/>
      <c r="M766" s="2025"/>
      <c r="N766" s="2025"/>
      <c r="O766" s="2025"/>
      <c r="P766" s="2025"/>
      <c r="Q766" s="2025"/>
      <c r="R766" s="2025"/>
      <c r="S766" s="2025"/>
      <c r="T766" s="2025"/>
      <c r="U766" s="2025"/>
      <c r="V766" s="2025"/>
      <c r="W766" s="2025"/>
      <c r="X766" s="2025"/>
      <c r="Y766" s="2025"/>
      <c r="Z766" s="2025"/>
      <c r="AA766" s="2025"/>
      <c r="AB766" s="2025"/>
      <c r="AC766" s="2025"/>
      <c r="AD766" s="202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1511</v>
      </c>
      <c r="E768" s="971"/>
      <c r="F768" s="971"/>
      <c r="G768" s="971"/>
      <c r="H768" s="1937" t="s">
        <v>600</v>
      </c>
      <c r="I768" s="1937"/>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1559</v>
      </c>
      <c r="AJ770" s="1920">
        <f>VLOOKUP($H$768,$AO$758:$AP$760,2,FALSE)</f>
        <v>0</v>
      </c>
      <c r="AK770" s="1922"/>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1560</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697</v>
      </c>
      <c r="E774" s="1913" t="s">
        <v>2347</v>
      </c>
      <c r="F774" s="1913"/>
      <c r="G774" s="1913"/>
      <c r="H774" s="1913"/>
      <c r="I774" s="1913"/>
      <c r="J774" s="1913"/>
      <c r="K774" s="1913"/>
      <c r="L774" s="1913"/>
      <c r="M774" s="1913"/>
      <c r="N774" s="1913"/>
      <c r="O774" s="1913"/>
      <c r="P774" s="1913"/>
      <c r="Q774" s="1913"/>
      <c r="R774" s="1913"/>
      <c r="S774" s="1913"/>
      <c r="T774" s="1913"/>
      <c r="U774" s="1913"/>
      <c r="V774" s="1913"/>
      <c r="W774" s="1913"/>
      <c r="X774" s="1913"/>
      <c r="Y774" s="1913"/>
      <c r="Z774" s="1913"/>
      <c r="AA774" s="1913"/>
      <c r="AB774" s="1913"/>
      <c r="AC774" s="1913"/>
      <c r="AD774" s="1913"/>
      <c r="AE774" s="570"/>
      <c r="AF774" s="1993" t="s">
        <v>1463</v>
      </c>
      <c r="AG774" s="1993"/>
      <c r="AH774" s="1993"/>
      <c r="AI774" s="1993"/>
      <c r="AJ774" s="1993"/>
      <c r="AK774" s="1993"/>
      <c r="AL774" s="1993"/>
      <c r="AM774" s="647"/>
      <c r="AN774" s="718"/>
      <c r="AO774" s="645" t="s">
        <v>554</v>
      </c>
      <c r="AP774" s="584">
        <v>3</v>
      </c>
      <c r="AT774" s="708"/>
      <c r="AU774" s="708"/>
      <c r="AV774" s="708"/>
      <c r="AW774" s="708"/>
      <c r="AX774" s="708"/>
      <c r="AY774" s="708"/>
      <c r="AZ774" s="708"/>
    </row>
    <row r="775" spans="1:81" s="604" customFormat="1" ht="13.75" customHeight="1">
      <c r="A775" s="584"/>
      <c r="B775" s="650"/>
      <c r="C775" s="975"/>
      <c r="D775" s="697"/>
      <c r="E775" s="1913"/>
      <c r="F775" s="1913"/>
      <c r="G775" s="1913"/>
      <c r="H775" s="1913"/>
      <c r="I775" s="1913"/>
      <c r="J775" s="1913"/>
      <c r="K775" s="1913"/>
      <c r="L775" s="1913"/>
      <c r="M775" s="1913"/>
      <c r="N775" s="1913"/>
      <c r="O775" s="1913"/>
      <c r="P775" s="1913"/>
      <c r="Q775" s="1913"/>
      <c r="R775" s="1913"/>
      <c r="S775" s="1913"/>
      <c r="T775" s="1913"/>
      <c r="U775" s="1913"/>
      <c r="V775" s="1913"/>
      <c r="W775" s="1913"/>
      <c r="X775" s="1913"/>
      <c r="Y775" s="1913"/>
      <c r="Z775" s="1913"/>
      <c r="AA775" s="1913"/>
      <c r="AB775" s="1913"/>
      <c r="AC775" s="1913"/>
      <c r="AD775" s="1913"/>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13"/>
      <c r="F776" s="1913"/>
      <c r="G776" s="1913"/>
      <c r="H776" s="1913"/>
      <c r="I776" s="1913"/>
      <c r="J776" s="1913"/>
      <c r="K776" s="1913"/>
      <c r="L776" s="1913"/>
      <c r="M776" s="1913"/>
      <c r="N776" s="1913"/>
      <c r="O776" s="1913"/>
      <c r="P776" s="1913"/>
      <c r="Q776" s="1913"/>
      <c r="R776" s="1913"/>
      <c r="S776" s="1913"/>
      <c r="T776" s="1913"/>
      <c r="U776" s="1913"/>
      <c r="V776" s="1913"/>
      <c r="W776" s="1913"/>
      <c r="X776" s="1913"/>
      <c r="Y776" s="1913"/>
      <c r="Z776" s="1913"/>
      <c r="AA776" s="1913"/>
      <c r="AB776" s="1913"/>
      <c r="AC776" s="1913"/>
      <c r="AD776" s="1913"/>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13"/>
      <c r="F777" s="1913"/>
      <c r="G777" s="1913"/>
      <c r="H777" s="1913"/>
      <c r="I777" s="1913"/>
      <c r="J777" s="1913"/>
      <c r="K777" s="1913"/>
      <c r="L777" s="1913"/>
      <c r="M777" s="1913"/>
      <c r="N777" s="1913"/>
      <c r="O777" s="1913"/>
      <c r="P777" s="1913"/>
      <c r="Q777" s="1913"/>
      <c r="R777" s="1913"/>
      <c r="S777" s="1913"/>
      <c r="T777" s="1913"/>
      <c r="U777" s="1913"/>
      <c r="V777" s="1913"/>
      <c r="W777" s="1913"/>
      <c r="X777" s="1913"/>
      <c r="Y777" s="1913"/>
      <c r="Z777" s="1913"/>
      <c r="AA777" s="1913"/>
      <c r="AB777" s="1913"/>
      <c r="AC777" s="1913"/>
      <c r="AD777" s="1913"/>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1511</v>
      </c>
      <c r="E779" s="971"/>
      <c r="F779" s="971"/>
      <c r="G779" s="971"/>
      <c r="H779" s="1937" t="s">
        <v>600</v>
      </c>
      <c r="I779" s="1937"/>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1561</v>
      </c>
      <c r="AJ781" s="1920">
        <f>VLOOKUP($H$779,$AO$773:$AP$774,2,FALSE)</f>
        <v>0</v>
      </c>
      <c r="AK781" s="1922"/>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1562</v>
      </c>
      <c r="AK783" s="1920">
        <f>IF(($AJ$610+$AJ$629+$AJ$641+$AJ$676+$AJ$700+$AJ$714+$AJ$726+$AJ$742+$AJ$754+$AJ$770+AJ781)&gt;10,10,($AJ$610+$AJ$629+$AJ$641+$AJ$676+$AJ$700+$AJ$714+$AJ$726+$AJ$742+$AJ$754+$AJ$770+AJ781))</f>
        <v>10</v>
      </c>
      <c r="AL783" s="1921"/>
      <c r="AM783" s="1922"/>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4" t="s">
        <v>1680</v>
      </c>
      <c r="B786" s="1985"/>
      <c r="C786" s="1985"/>
      <c r="D786" s="1985"/>
      <c r="E786" s="1985"/>
      <c r="F786" s="1985"/>
      <c r="G786" s="1985"/>
      <c r="H786" s="1985"/>
      <c r="I786" s="1985"/>
      <c r="J786" s="1985"/>
      <c r="K786" s="1985"/>
      <c r="L786" s="1985"/>
      <c r="M786" s="1985"/>
      <c r="N786" s="1985"/>
      <c r="O786" s="1985"/>
      <c r="P786" s="1985"/>
      <c r="Q786" s="1985"/>
      <c r="R786" s="1985"/>
      <c r="S786" s="1985"/>
      <c r="T786" s="1985"/>
      <c r="U786" s="1985"/>
      <c r="V786" s="1985"/>
      <c r="W786" s="1985"/>
      <c r="X786" s="1985"/>
      <c r="Y786" s="1985"/>
      <c r="Z786" s="1985"/>
      <c r="AA786" s="1985"/>
      <c r="AB786" s="1985"/>
      <c r="AC786" s="1985"/>
      <c r="AD786" s="1985"/>
      <c r="AE786" s="1985"/>
      <c r="AF786" s="1985"/>
      <c r="AG786" s="1985"/>
      <c r="AH786" s="1985"/>
      <c r="AI786" s="1985"/>
      <c r="AJ786" s="1985"/>
      <c r="AK786" s="1985"/>
      <c r="AL786" s="1985"/>
      <c r="AM786" s="1985"/>
    </row>
    <row r="787" spans="1:43">
      <c r="A787" s="1986"/>
      <c r="B787" s="1986"/>
      <c r="C787" s="1986"/>
      <c r="D787" s="1986"/>
      <c r="E787" s="1986"/>
      <c r="F787" s="1986"/>
      <c r="G787" s="1986"/>
      <c r="H787" s="1986"/>
      <c r="I787" s="1986"/>
      <c r="J787" s="1986"/>
      <c r="K787" s="1986"/>
      <c r="L787" s="1986"/>
      <c r="M787" s="1986"/>
      <c r="N787" s="1986"/>
      <c r="O787" s="1986"/>
      <c r="P787" s="1986"/>
      <c r="Q787" s="1986"/>
      <c r="R787" s="1986"/>
      <c r="S787" s="1986"/>
      <c r="T787" s="1986"/>
      <c r="U787" s="1986"/>
      <c r="V787" s="1986"/>
      <c r="W787" s="1986"/>
      <c r="X787" s="1986"/>
      <c r="Y787" s="1986"/>
      <c r="Z787" s="1986"/>
      <c r="AA787" s="1986"/>
      <c r="AB787" s="1986"/>
      <c r="AC787" s="1986"/>
      <c r="AD787" s="1986"/>
      <c r="AE787" s="1986"/>
      <c r="AF787" s="1986"/>
      <c r="AG787" s="1986"/>
      <c r="AH787" s="1986"/>
      <c r="AI787" s="1986"/>
      <c r="AJ787" s="1986"/>
      <c r="AK787" s="1986"/>
      <c r="AL787" s="1986"/>
      <c r="AM787" s="1986"/>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1923"/>
      <c r="B789" s="1923"/>
      <c r="C789" s="1923"/>
      <c r="D789" s="1923"/>
      <c r="E789" s="1923"/>
      <c r="F789" s="1923"/>
      <c r="G789" s="1923"/>
      <c r="H789" s="1923"/>
      <c r="I789" s="1923"/>
      <c r="J789" s="1923"/>
      <c r="K789" s="1923"/>
      <c r="L789" s="1923"/>
      <c r="M789" s="1923"/>
      <c r="N789" s="1923"/>
      <c r="O789" s="1923"/>
      <c r="P789" s="1923"/>
      <c r="Q789" s="1923"/>
      <c r="R789" s="1923"/>
      <c r="S789" s="1923"/>
      <c r="T789" s="1923"/>
      <c r="U789" s="1923"/>
      <c r="V789" s="1923"/>
      <c r="W789" s="1923"/>
      <c r="X789" s="1923"/>
      <c r="Y789" s="1923"/>
      <c r="Z789" s="1923"/>
      <c r="AA789" s="1923"/>
      <c r="AB789" s="1923"/>
      <c r="AC789" s="1923"/>
      <c r="AD789" s="1923"/>
      <c r="AE789" s="1923"/>
      <c r="AF789" s="1923"/>
      <c r="AG789" s="1923"/>
      <c r="AH789" s="1923"/>
      <c r="AI789" s="1923"/>
      <c r="AJ789" s="1923"/>
      <c r="AK789" s="1923"/>
      <c r="AL789" s="1923"/>
      <c r="AM789" s="1923"/>
      <c r="AP789" s="850"/>
      <c r="AQ789" s="850"/>
    </row>
    <row r="790" spans="1:43" ht="13">
      <c r="A790" s="1923"/>
      <c r="B790" s="1923"/>
      <c r="C790" s="1923"/>
      <c r="D790" s="1923"/>
      <c r="E790" s="1923"/>
      <c r="F790" s="1923"/>
      <c r="G790" s="1923"/>
      <c r="H790" s="1923"/>
      <c r="I790" s="1923"/>
      <c r="J790" s="1923"/>
      <c r="K790" s="1923"/>
      <c r="L790" s="1923"/>
      <c r="M790" s="1923"/>
      <c r="N790" s="1923"/>
      <c r="O790" s="1923"/>
      <c r="P790" s="1923"/>
      <c r="Q790" s="1923"/>
      <c r="R790" s="1923"/>
      <c r="S790" s="1923"/>
      <c r="T790" s="1923"/>
      <c r="U790" s="1923"/>
      <c r="V790" s="1923"/>
      <c r="W790" s="1923"/>
      <c r="X790" s="1923"/>
      <c r="Y790" s="1923"/>
      <c r="Z790" s="1923"/>
      <c r="AA790" s="1923"/>
      <c r="AB790" s="1923"/>
      <c r="AC790" s="1923"/>
      <c r="AD790" s="1923"/>
      <c r="AE790" s="1923"/>
      <c r="AF790" s="1923"/>
      <c r="AG790" s="1923"/>
      <c r="AH790" s="1923"/>
      <c r="AI790" s="1923"/>
      <c r="AJ790" s="1923"/>
      <c r="AK790" s="1923"/>
      <c r="AL790" s="1923"/>
      <c r="AM790" s="1923"/>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1987" t="s">
        <v>1681</v>
      </c>
      <c r="U791" s="1988"/>
      <c r="V791" s="1988"/>
      <c r="W791" s="1988"/>
      <c r="X791" s="1988"/>
      <c r="Y791" s="1989"/>
      <c r="Z791" s="1987" t="s">
        <v>1682</v>
      </c>
      <c r="AA791" s="1988"/>
      <c r="AB791" s="1988"/>
      <c r="AC791" s="1988"/>
      <c r="AD791" s="1988"/>
      <c r="AE791" s="1989"/>
      <c r="AF791" s="1987" t="s">
        <v>1683</v>
      </c>
      <c r="AG791" s="1988"/>
      <c r="AH791" s="1988"/>
      <c r="AI791" s="1988"/>
      <c r="AJ791" s="1988"/>
      <c r="AK791" s="1989"/>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1990"/>
      <c r="U792" s="1991"/>
      <c r="V792" s="1991"/>
      <c r="W792" s="1991"/>
      <c r="X792" s="1991"/>
      <c r="Y792" s="1992"/>
      <c r="Z792" s="1990"/>
      <c r="AA792" s="1991"/>
      <c r="AB792" s="1991"/>
      <c r="AC792" s="1991"/>
      <c r="AD792" s="1991"/>
      <c r="AE792" s="1992"/>
      <c r="AF792" s="1990"/>
      <c r="AG792" s="1991"/>
      <c r="AH792" s="1991"/>
      <c r="AI792" s="1991"/>
      <c r="AJ792" s="1991"/>
      <c r="AK792" s="1992"/>
      <c r="AL792" s="852"/>
      <c r="AM792" s="630"/>
      <c r="AO792" s="850"/>
      <c r="AP792" s="850"/>
      <c r="AQ792" s="850"/>
    </row>
    <row r="793" spans="1:43" ht="13">
      <c r="A793" s="853" t="s">
        <v>767</v>
      </c>
      <c r="B793" s="1944" t="s">
        <v>1415</v>
      </c>
      <c r="C793" s="1944"/>
      <c r="D793" s="1944"/>
      <c r="E793" s="1944"/>
      <c r="F793" s="1944"/>
      <c r="G793" s="1944"/>
      <c r="H793" s="1944"/>
      <c r="I793" s="1944"/>
      <c r="J793" s="1944"/>
      <c r="K793" s="1944"/>
      <c r="L793" s="1944"/>
      <c r="M793" s="1944"/>
      <c r="N793" s="1944"/>
      <c r="O793" s="1944"/>
      <c r="P793" s="1944"/>
      <c r="Q793" s="1944"/>
      <c r="R793" s="1944"/>
      <c r="S793" s="1945"/>
      <c r="T793" s="1972">
        <f>AK56</f>
        <v>0</v>
      </c>
      <c r="U793" s="1948"/>
      <c r="V793" s="1948"/>
      <c r="W793" s="1948"/>
      <c r="X793" s="1948"/>
      <c r="Y793" s="1949"/>
      <c r="Z793" s="1947">
        <v>20</v>
      </c>
      <c r="AA793" s="1948"/>
      <c r="AB793" s="1948"/>
      <c r="AC793" s="1948"/>
      <c r="AD793" s="1948"/>
      <c r="AE793" s="1949"/>
      <c r="AF793" s="1933">
        <f>IF(T793&gt;Z793,Z793,T793)</f>
        <v>0</v>
      </c>
      <c r="AG793" s="1933"/>
      <c r="AH793" s="1933"/>
      <c r="AI793" s="1933"/>
      <c r="AJ793" s="1933"/>
      <c r="AK793" s="1933"/>
      <c r="AL793" s="852"/>
      <c r="AM793" s="630"/>
      <c r="AO793" s="850"/>
      <c r="AP793" s="850"/>
      <c r="AQ793" s="850"/>
    </row>
    <row r="794" spans="1:43" ht="13">
      <c r="A794" s="853" t="s">
        <v>1653</v>
      </c>
      <c r="B794" s="1944" t="s">
        <v>1424</v>
      </c>
      <c r="C794" s="1944"/>
      <c r="D794" s="1944"/>
      <c r="E794" s="1944"/>
      <c r="F794" s="1944"/>
      <c r="G794" s="1944"/>
      <c r="H794" s="1944"/>
      <c r="I794" s="1944"/>
      <c r="J794" s="1944"/>
      <c r="K794" s="1944"/>
      <c r="L794" s="1944"/>
      <c r="M794" s="1944"/>
      <c r="N794" s="1944"/>
      <c r="O794" s="1944"/>
      <c r="P794" s="1944"/>
      <c r="Q794" s="1944"/>
      <c r="R794" s="1944"/>
      <c r="S794" s="1945"/>
      <c r="T794" s="1972">
        <f>AK78</f>
        <v>10</v>
      </c>
      <c r="U794" s="1948"/>
      <c r="V794" s="1948"/>
      <c r="W794" s="1948"/>
      <c r="X794" s="1948"/>
      <c r="Y794" s="1949"/>
      <c r="Z794" s="1947">
        <v>10</v>
      </c>
      <c r="AA794" s="1948"/>
      <c r="AB794" s="1948"/>
      <c r="AC794" s="1948"/>
      <c r="AD794" s="1948"/>
      <c r="AE794" s="1949"/>
      <c r="AF794" s="1933">
        <f>IF(T794&gt;Z794,Z794,T794)</f>
        <v>10</v>
      </c>
      <c r="AG794" s="1933"/>
      <c r="AH794" s="1933"/>
      <c r="AI794" s="1933"/>
      <c r="AJ794" s="1933"/>
      <c r="AK794" s="1933"/>
      <c r="AL794" s="852"/>
      <c r="AM794" s="630"/>
      <c r="AO794" s="850"/>
      <c r="AP794" s="850"/>
      <c r="AQ794" s="850"/>
    </row>
    <row r="795" spans="1:43" ht="13">
      <c r="A795" s="853" t="s">
        <v>1662</v>
      </c>
      <c r="B795" s="1944" t="s">
        <v>1434</v>
      </c>
      <c r="C795" s="1944"/>
      <c r="D795" s="1944"/>
      <c r="E795" s="1944"/>
      <c r="F795" s="1944"/>
      <c r="G795" s="1944"/>
      <c r="H795" s="1944"/>
      <c r="I795" s="1944"/>
      <c r="J795" s="1944"/>
      <c r="K795" s="1944"/>
      <c r="L795" s="1944"/>
      <c r="M795" s="1944"/>
      <c r="N795" s="1944"/>
      <c r="O795" s="1944"/>
      <c r="P795" s="1944"/>
      <c r="Q795" s="1944"/>
      <c r="R795" s="1944"/>
      <c r="S795" s="1945"/>
      <c r="T795" s="1972">
        <f ca="1">AK103</f>
        <v>20</v>
      </c>
      <c r="U795" s="1948"/>
      <c r="V795" s="1948"/>
      <c r="W795" s="1948"/>
      <c r="X795" s="1948"/>
      <c r="Y795" s="1949"/>
      <c r="Z795" s="1947">
        <v>20</v>
      </c>
      <c r="AA795" s="1948"/>
      <c r="AB795" s="1948"/>
      <c r="AC795" s="1948"/>
      <c r="AD795" s="1948"/>
      <c r="AE795" s="1949"/>
      <c r="AF795" s="1933">
        <f ca="1">IF(T795&gt;Z795,Z795,T795)</f>
        <v>20</v>
      </c>
      <c r="AG795" s="1933"/>
      <c r="AH795" s="1933"/>
      <c r="AI795" s="1933"/>
      <c r="AJ795" s="1933"/>
      <c r="AK795" s="1933"/>
      <c r="AL795" s="852"/>
      <c r="AM795" s="630"/>
      <c r="AO795" s="850"/>
      <c r="AP795" s="850"/>
      <c r="AQ795" s="850"/>
    </row>
    <row r="796" spans="1:43" ht="13">
      <c r="A796" s="853" t="s">
        <v>1684</v>
      </c>
      <c r="B796" s="1944" t="s">
        <v>1444</v>
      </c>
      <c r="C796" s="1944"/>
      <c r="D796" s="1944"/>
      <c r="E796" s="1944"/>
      <c r="F796" s="1944"/>
      <c r="G796" s="1944"/>
      <c r="H796" s="1944"/>
      <c r="I796" s="1944"/>
      <c r="J796" s="1944"/>
      <c r="K796" s="1944"/>
      <c r="L796" s="1944"/>
      <c r="M796" s="1944"/>
      <c r="N796" s="1944"/>
      <c r="O796" s="1944"/>
      <c r="P796" s="1944"/>
      <c r="Q796" s="1944"/>
      <c r="R796" s="1944"/>
      <c r="S796" s="1945"/>
      <c r="T796" s="1972">
        <f>AK137</f>
        <v>10</v>
      </c>
      <c r="U796" s="1948"/>
      <c r="V796" s="1948"/>
      <c r="W796" s="1948"/>
      <c r="X796" s="1948"/>
      <c r="Y796" s="1949"/>
      <c r="Z796" s="1947">
        <v>10</v>
      </c>
      <c r="AA796" s="1948"/>
      <c r="AB796" s="1948"/>
      <c r="AC796" s="1948"/>
      <c r="AD796" s="1948"/>
      <c r="AE796" s="1949"/>
      <c r="AF796" s="1933">
        <f>IF(T796&gt;Z796,Z796,T796)</f>
        <v>10</v>
      </c>
      <c r="AG796" s="1933"/>
      <c r="AH796" s="1933"/>
      <c r="AI796" s="1933"/>
      <c r="AJ796" s="1933"/>
      <c r="AK796" s="1933"/>
      <c r="AL796" s="852"/>
      <c r="AM796" s="630"/>
      <c r="AO796" s="850"/>
      <c r="AP796" s="850"/>
      <c r="AQ796" s="850"/>
    </row>
    <row r="797" spans="1:43" ht="13">
      <c r="A797" s="854" t="s">
        <v>1685</v>
      </c>
      <c r="B797" s="1944" t="s">
        <v>1686</v>
      </c>
      <c r="C797" s="1944"/>
      <c r="D797" s="1944"/>
      <c r="E797" s="1944"/>
      <c r="F797" s="1944"/>
      <c r="G797" s="1944"/>
      <c r="H797" s="1944"/>
      <c r="I797" s="1944"/>
      <c r="J797" s="1944"/>
      <c r="K797" s="1944"/>
      <c r="L797" s="1944"/>
      <c r="M797" s="1944"/>
      <c r="N797" s="1944"/>
      <c r="O797" s="1944"/>
      <c r="P797" s="1944"/>
      <c r="Q797" s="1944"/>
      <c r="R797" s="1944"/>
      <c r="S797" s="1945"/>
      <c r="T797" s="1946">
        <f>SUM(T798:Y799)</f>
        <v>10</v>
      </c>
      <c r="U797" s="1946"/>
      <c r="V797" s="1946"/>
      <c r="W797" s="1946"/>
      <c r="X797" s="1946"/>
      <c r="Y797" s="1946"/>
      <c r="Z797" s="1933">
        <v>10</v>
      </c>
      <c r="AA797" s="1933"/>
      <c r="AB797" s="1933"/>
      <c r="AC797" s="1933"/>
      <c r="AD797" s="1933"/>
      <c r="AE797" s="1933"/>
      <c r="AF797" s="1933">
        <f>IF(T797&gt;Z797,Z797,T797)</f>
        <v>10</v>
      </c>
      <c r="AG797" s="1933"/>
      <c r="AH797" s="1933"/>
      <c r="AI797" s="1933"/>
      <c r="AJ797" s="1933"/>
      <c r="AK797" s="1933"/>
      <c r="AL797" s="852"/>
      <c r="AM797" s="630"/>
    </row>
    <row r="798" spans="1:43" ht="13">
      <c r="A798" s="569"/>
      <c r="B798" s="635"/>
      <c r="C798" s="1950" t="s">
        <v>1687</v>
      </c>
      <c r="D798" s="1950"/>
      <c r="E798" s="1950"/>
      <c r="F798" s="1950"/>
      <c r="G798" s="1950"/>
      <c r="H798" s="1950"/>
      <c r="I798" s="1950"/>
      <c r="J798" s="1950"/>
      <c r="K798" s="1950"/>
      <c r="L798" s="1950"/>
      <c r="M798" s="1950"/>
      <c r="N798" s="1950"/>
      <c r="O798" s="1950"/>
      <c r="P798" s="1950"/>
      <c r="Q798" s="1950"/>
      <c r="R798" s="1950"/>
      <c r="S798" s="1951"/>
      <c r="T798" s="1952">
        <f>AJ155</f>
        <v>7</v>
      </c>
      <c r="U798" s="1952"/>
      <c r="V798" s="1952"/>
      <c r="W798" s="1952"/>
      <c r="X798" s="1952"/>
      <c r="Y798" s="1952"/>
      <c r="Z798" s="1953">
        <v>7</v>
      </c>
      <c r="AA798" s="1953"/>
      <c r="AB798" s="1953"/>
      <c r="AC798" s="1953"/>
      <c r="AD798" s="1953"/>
      <c r="AE798" s="1953"/>
      <c r="AF798" s="1954"/>
      <c r="AG798" s="1954"/>
      <c r="AH798" s="1954"/>
      <c r="AI798" s="1954"/>
      <c r="AJ798" s="1954"/>
      <c r="AK798" s="1954"/>
      <c r="AL798" s="852"/>
      <c r="AM798" s="630"/>
    </row>
    <row r="799" spans="1:43" ht="13">
      <c r="A799" s="634"/>
      <c r="B799" s="635"/>
      <c r="C799" s="1950" t="s">
        <v>1688</v>
      </c>
      <c r="D799" s="1950"/>
      <c r="E799" s="1950"/>
      <c r="F799" s="1950"/>
      <c r="G799" s="1950"/>
      <c r="H799" s="1950"/>
      <c r="I799" s="1950"/>
      <c r="J799" s="1950"/>
      <c r="K799" s="1950"/>
      <c r="L799" s="1950"/>
      <c r="M799" s="1950"/>
      <c r="N799" s="1950"/>
      <c r="O799" s="1950"/>
      <c r="P799" s="1950"/>
      <c r="Q799" s="1950"/>
      <c r="R799" s="1950"/>
      <c r="S799" s="1951"/>
      <c r="T799" s="1952">
        <f>AJ169</f>
        <v>3</v>
      </c>
      <c r="U799" s="1952"/>
      <c r="V799" s="1952"/>
      <c r="W799" s="1952"/>
      <c r="X799" s="1952"/>
      <c r="Y799" s="1952"/>
      <c r="Z799" s="1953">
        <v>3</v>
      </c>
      <c r="AA799" s="1953"/>
      <c r="AB799" s="1953"/>
      <c r="AC799" s="1953"/>
      <c r="AD799" s="1953"/>
      <c r="AE799" s="1953"/>
      <c r="AF799" s="1954"/>
      <c r="AG799" s="1954"/>
      <c r="AH799" s="1954"/>
      <c r="AI799" s="1954"/>
      <c r="AJ799" s="1954"/>
      <c r="AK799" s="1954"/>
      <c r="AL799" s="852"/>
      <c r="AM799" s="630"/>
      <c r="AO799" s="584"/>
    </row>
    <row r="800" spans="1:43" ht="13">
      <c r="A800" s="854" t="s">
        <v>1472</v>
      </c>
      <c r="B800" s="1944" t="s">
        <v>1689</v>
      </c>
      <c r="C800" s="1944"/>
      <c r="D800" s="1944"/>
      <c r="E800" s="1944"/>
      <c r="F800" s="1944"/>
      <c r="G800" s="1944"/>
      <c r="H800" s="1944"/>
      <c r="I800" s="1944"/>
      <c r="J800" s="1944"/>
      <c r="K800" s="1944"/>
      <c r="L800" s="1944"/>
      <c r="M800" s="1944"/>
      <c r="N800" s="1944"/>
      <c r="O800" s="1944"/>
      <c r="P800" s="1944"/>
      <c r="Q800" s="1944"/>
      <c r="R800" s="1944"/>
      <c r="S800" s="1945"/>
      <c r="T800" s="1946">
        <f>AK180</f>
        <v>10</v>
      </c>
      <c r="U800" s="1946"/>
      <c r="V800" s="1946"/>
      <c r="W800" s="1946"/>
      <c r="X800" s="1946"/>
      <c r="Y800" s="1946"/>
      <c r="Z800" s="1933">
        <v>10</v>
      </c>
      <c r="AA800" s="1933"/>
      <c r="AB800" s="1933"/>
      <c r="AC800" s="1933"/>
      <c r="AD800" s="1933"/>
      <c r="AE800" s="1933"/>
      <c r="AF800" s="1933">
        <f>IF(T800&gt;Z800,Z800,T800)</f>
        <v>10</v>
      </c>
      <c r="AG800" s="1933"/>
      <c r="AH800" s="1933"/>
      <c r="AI800" s="1933"/>
      <c r="AJ800" s="1933"/>
      <c r="AK800" s="1933"/>
      <c r="AL800" s="852"/>
      <c r="AM800" s="630"/>
    </row>
    <row r="801" spans="1:81" ht="13">
      <c r="A801" s="853" t="s">
        <v>1481</v>
      </c>
      <c r="B801" s="1944" t="s">
        <v>1482</v>
      </c>
      <c r="C801" s="1944"/>
      <c r="D801" s="1944"/>
      <c r="E801" s="1944"/>
      <c r="F801" s="1944"/>
      <c r="G801" s="1944"/>
      <c r="H801" s="1944"/>
      <c r="I801" s="1944"/>
      <c r="J801" s="1944"/>
      <c r="K801" s="1944"/>
      <c r="L801" s="1944"/>
      <c r="M801" s="1944"/>
      <c r="N801" s="1944"/>
      <c r="O801" s="1944"/>
      <c r="P801" s="1944"/>
      <c r="Q801" s="1944"/>
      <c r="R801" s="1944"/>
      <c r="S801" s="1945"/>
      <c r="T801" s="1946">
        <f>AK262</f>
        <v>8</v>
      </c>
      <c r="U801" s="1946"/>
      <c r="V801" s="1946"/>
      <c r="W801" s="1946"/>
      <c r="X801" s="1946"/>
      <c r="Y801" s="1946"/>
      <c r="Z801" s="1947">
        <v>8</v>
      </c>
      <c r="AA801" s="1948"/>
      <c r="AB801" s="1948"/>
      <c r="AC801" s="1948"/>
      <c r="AD801" s="1948"/>
      <c r="AE801" s="1949"/>
      <c r="AF801" s="1933">
        <f>IF(T801&gt;Z801,Z801,T801)</f>
        <v>8</v>
      </c>
      <c r="AG801" s="1933"/>
      <c r="AH801" s="1933"/>
      <c r="AI801" s="1933"/>
      <c r="AJ801" s="1933"/>
      <c r="AK801" s="1933"/>
      <c r="AL801" s="852"/>
      <c r="AM801" s="630"/>
    </row>
    <row r="802" spans="1:81" s="568" customFormat="1" ht="13" hidden="1">
      <c r="A802" s="854" t="s">
        <v>598</v>
      </c>
      <c r="B802" s="1944" t="s">
        <v>1690</v>
      </c>
      <c r="C802" s="1944"/>
      <c r="D802" s="1944"/>
      <c r="E802" s="1944"/>
      <c r="F802" s="1944"/>
      <c r="G802" s="1944"/>
      <c r="H802" s="1944"/>
      <c r="I802" s="1944"/>
      <c r="J802" s="1944"/>
      <c r="K802" s="1944"/>
      <c r="L802" s="1944"/>
      <c r="M802" s="1944"/>
      <c r="N802" s="1944"/>
      <c r="O802" s="1944"/>
      <c r="P802" s="1944"/>
      <c r="Q802" s="1944"/>
      <c r="R802" s="1944"/>
      <c r="S802" s="1945"/>
      <c r="T802" s="1946">
        <f>IF(AK524&gt;5,5,AK524)</f>
        <v>0</v>
      </c>
      <c r="U802" s="1946"/>
      <c r="V802" s="1946"/>
      <c r="W802" s="1946"/>
      <c r="X802" s="1946"/>
      <c r="Y802" s="1946"/>
      <c r="Z802" s="1933">
        <v>5</v>
      </c>
      <c r="AA802" s="1933"/>
      <c r="AB802" s="1933"/>
      <c r="AC802" s="1933"/>
      <c r="AD802" s="1933"/>
      <c r="AE802" s="1933"/>
      <c r="AF802" s="1933">
        <f>IF(T802&gt;Z802,5,T802)</f>
        <v>0</v>
      </c>
      <c r="AG802" s="1933"/>
      <c r="AH802" s="1933"/>
      <c r="AI802" s="1933"/>
      <c r="AJ802" s="1933"/>
      <c r="AK802" s="1933"/>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1487</v>
      </c>
      <c r="B803" s="1944" t="s">
        <v>1691</v>
      </c>
      <c r="C803" s="1944"/>
      <c r="D803" s="1944"/>
      <c r="E803" s="1944"/>
      <c r="F803" s="1944"/>
      <c r="G803" s="1944"/>
      <c r="H803" s="1944"/>
      <c r="I803" s="1944"/>
      <c r="J803" s="1944"/>
      <c r="K803" s="1944"/>
      <c r="L803" s="1944"/>
      <c r="M803" s="1944"/>
      <c r="N803" s="1944"/>
      <c r="O803" s="1944"/>
      <c r="P803" s="1944"/>
      <c r="Q803" s="1944"/>
      <c r="R803" s="1944"/>
      <c r="S803" s="1945"/>
      <c r="T803" s="1946">
        <f>AK274</f>
        <v>10</v>
      </c>
      <c r="U803" s="1946"/>
      <c r="V803" s="1946"/>
      <c r="W803" s="1946"/>
      <c r="X803" s="1946"/>
      <c r="Y803" s="1946"/>
      <c r="Z803" s="1933">
        <v>10</v>
      </c>
      <c r="AA803" s="1933"/>
      <c r="AB803" s="1933"/>
      <c r="AC803" s="1933"/>
      <c r="AD803" s="1933"/>
      <c r="AE803" s="1933"/>
      <c r="AF803" s="1955">
        <f>IF(T803&gt;Z803,Z803,T803)</f>
        <v>10</v>
      </c>
      <c r="AG803" s="1956"/>
      <c r="AH803" s="1956"/>
      <c r="AI803" s="1956"/>
      <c r="AJ803" s="1956"/>
      <c r="AK803" s="1957"/>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1491</v>
      </c>
      <c r="B804" s="1944" t="s">
        <v>1492</v>
      </c>
      <c r="C804" s="1944"/>
      <c r="D804" s="1944"/>
      <c r="E804" s="1944"/>
      <c r="F804" s="1944"/>
      <c r="G804" s="1944"/>
      <c r="H804" s="1944"/>
      <c r="I804" s="1944"/>
      <c r="J804" s="1944"/>
      <c r="K804" s="1944"/>
      <c r="L804" s="1944"/>
      <c r="M804" s="1944"/>
      <c r="N804" s="1944"/>
      <c r="O804" s="1944"/>
      <c r="P804" s="1944"/>
      <c r="Q804" s="1944"/>
      <c r="R804" s="1944"/>
      <c r="S804" s="1945"/>
      <c r="T804" s="1946">
        <f>AK327</f>
        <v>9</v>
      </c>
      <c r="U804" s="1946"/>
      <c r="V804" s="1946"/>
      <c r="W804" s="1946"/>
      <c r="X804" s="1946"/>
      <c r="Y804" s="1946"/>
      <c r="Z804" s="1955">
        <v>10</v>
      </c>
      <c r="AA804" s="1956"/>
      <c r="AB804" s="1956"/>
      <c r="AC804" s="1956"/>
      <c r="AD804" s="1956"/>
      <c r="AE804" s="1957"/>
      <c r="AF804" s="1955">
        <f>IF(T804&gt;Z804,Z804,T804)</f>
        <v>9</v>
      </c>
      <c r="AG804" s="1956"/>
      <c r="AH804" s="1956"/>
      <c r="AI804" s="1956"/>
      <c r="AJ804" s="1956"/>
      <c r="AK804" s="1957"/>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1692</v>
      </c>
      <c r="D805" s="857"/>
      <c r="E805" s="857"/>
      <c r="F805" s="857"/>
      <c r="G805" s="857"/>
      <c r="H805" s="857"/>
      <c r="I805" s="857"/>
      <c r="J805" s="857"/>
      <c r="K805" s="857"/>
      <c r="L805" s="857"/>
      <c r="M805" s="857"/>
      <c r="N805" s="857"/>
      <c r="O805" s="857"/>
      <c r="P805" s="857"/>
      <c r="Q805" s="857"/>
      <c r="R805" s="855"/>
      <c r="S805" s="858"/>
      <c r="T805" s="1952">
        <f>AK327</f>
        <v>9</v>
      </c>
      <c r="U805" s="1952"/>
      <c r="V805" s="1952"/>
      <c r="W805" s="1952"/>
      <c r="X805" s="1952"/>
      <c r="Y805" s="1952"/>
      <c r="Z805" s="1920">
        <v>20</v>
      </c>
      <c r="AA805" s="1921"/>
      <c r="AB805" s="1921"/>
      <c r="AC805" s="1921"/>
      <c r="AD805" s="1921"/>
      <c r="AE805" s="1922"/>
      <c r="AF805" s="1954"/>
      <c r="AG805" s="1954"/>
      <c r="AH805" s="1954"/>
      <c r="AI805" s="1954"/>
      <c r="AJ805" s="1954"/>
      <c r="AK805" s="1954"/>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1564</v>
      </c>
      <c r="B806" s="1944" t="s">
        <v>857</v>
      </c>
      <c r="C806" s="1944"/>
      <c r="D806" s="1944"/>
      <c r="E806" s="1944"/>
      <c r="F806" s="1944"/>
      <c r="G806" s="1944"/>
      <c r="H806" s="1944"/>
      <c r="I806" s="1944"/>
      <c r="J806" s="1944"/>
      <c r="K806" s="1944"/>
      <c r="L806" s="1944"/>
      <c r="M806" s="1944"/>
      <c r="N806" s="1944"/>
      <c r="O806" s="1944"/>
      <c r="P806" s="1944"/>
      <c r="Q806" s="1944"/>
      <c r="R806" s="1944"/>
      <c r="S806" s="1945"/>
      <c r="T806" s="1946">
        <f>AK458</f>
        <v>10</v>
      </c>
      <c r="U806" s="1946"/>
      <c r="V806" s="1946"/>
      <c r="W806" s="1946"/>
      <c r="X806" s="1946"/>
      <c r="Y806" s="1946"/>
      <c r="Z806" s="1955">
        <v>10</v>
      </c>
      <c r="AA806" s="1956"/>
      <c r="AB806" s="1956"/>
      <c r="AC806" s="1956"/>
      <c r="AD806" s="1956"/>
      <c r="AE806" s="1957"/>
      <c r="AF806" s="1933">
        <f>IF(T806&gt;Z806,Z806,T806)</f>
        <v>10</v>
      </c>
      <c r="AG806" s="1933"/>
      <c r="AH806" s="1933"/>
      <c r="AI806" s="1933"/>
      <c r="AJ806" s="1933"/>
      <c r="AK806" s="1933"/>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1670</v>
      </c>
      <c r="B807" s="1944" t="s">
        <v>1671</v>
      </c>
      <c r="C807" s="1944"/>
      <c r="D807" s="1944"/>
      <c r="E807" s="1944"/>
      <c r="F807" s="1944"/>
      <c r="G807" s="1944"/>
      <c r="H807" s="1944"/>
      <c r="I807" s="1944"/>
      <c r="J807" s="1944"/>
      <c r="K807" s="1944"/>
      <c r="L807" s="1944"/>
      <c r="M807" s="1944"/>
      <c r="N807" s="1944"/>
      <c r="O807" s="1944"/>
      <c r="P807" s="1944"/>
      <c r="Q807" s="1944"/>
      <c r="R807" s="1944"/>
      <c r="S807" s="1945"/>
      <c r="T807" s="1946">
        <f>AK548</f>
        <v>12</v>
      </c>
      <c r="U807" s="1946"/>
      <c r="V807" s="1946"/>
      <c r="W807" s="1946"/>
      <c r="X807" s="1946"/>
      <c r="Y807" s="1946"/>
      <c r="Z807" s="1955">
        <v>12</v>
      </c>
      <c r="AA807" s="1956"/>
      <c r="AB807" s="1956"/>
      <c r="AC807" s="1956"/>
      <c r="AD807" s="1956"/>
      <c r="AE807" s="1957"/>
      <c r="AF807" s="1933">
        <f>IF(T807&gt;Z807,Z807,T807)</f>
        <v>12</v>
      </c>
      <c r="AG807" s="1933"/>
      <c r="AH807" s="1933"/>
      <c r="AI807" s="1933"/>
      <c r="AJ807" s="1933"/>
      <c r="AK807" s="1933"/>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2335</v>
      </c>
      <c r="B808" s="1944" t="s">
        <v>1693</v>
      </c>
      <c r="C808" s="1944"/>
      <c r="D808" s="1944"/>
      <c r="E808" s="1944"/>
      <c r="F808" s="1944"/>
      <c r="G808" s="1944"/>
      <c r="H808" s="1944"/>
      <c r="I808" s="1944"/>
      <c r="J808" s="1944"/>
      <c r="K808" s="1944"/>
      <c r="L808" s="1944"/>
      <c r="M808" s="1944"/>
      <c r="N808" s="1944"/>
      <c r="O808" s="1944"/>
      <c r="P808" s="1944"/>
      <c r="Q808" s="1944"/>
      <c r="R808" s="1944"/>
      <c r="S808" s="1945"/>
      <c r="T808" s="1946">
        <f>AK783</f>
        <v>10</v>
      </c>
      <c r="U808" s="1946"/>
      <c r="V808" s="1946"/>
      <c r="W808" s="1946"/>
      <c r="X808" s="1946"/>
      <c r="Y808" s="1946"/>
      <c r="Z808" s="1955">
        <v>10</v>
      </c>
      <c r="AA808" s="1956"/>
      <c r="AB808" s="1956"/>
      <c r="AC808" s="1956"/>
      <c r="AD808" s="1956"/>
      <c r="AE808" s="1957"/>
      <c r="AF808" s="1933">
        <f>IF(T808&gt;Z808,Z808,T808)</f>
        <v>10</v>
      </c>
      <c r="AG808" s="1933"/>
      <c r="AH808" s="1933"/>
      <c r="AI808" s="1933"/>
      <c r="AJ808" s="1933"/>
      <c r="AK808" s="1933"/>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1958" t="s">
        <v>1694</v>
      </c>
      <c r="B809" s="1944"/>
      <c r="C809" s="1944"/>
      <c r="D809" s="1944"/>
      <c r="E809" s="1944"/>
      <c r="F809" s="1944"/>
      <c r="G809" s="1944"/>
      <c r="H809" s="1944"/>
      <c r="I809" s="1944"/>
      <c r="J809" s="1944"/>
      <c r="K809" s="1944"/>
      <c r="L809" s="1944"/>
      <c r="M809" s="1944"/>
      <c r="N809" s="1944"/>
      <c r="O809" s="1944"/>
      <c r="P809" s="1944"/>
      <c r="Q809" s="1944"/>
      <c r="R809" s="1944"/>
      <c r="S809" s="1945"/>
      <c r="T809" s="1959"/>
      <c r="U809" s="1959"/>
      <c r="V809" s="1959"/>
      <c r="W809" s="1959"/>
      <c r="X809" s="1959"/>
      <c r="Y809" s="1959"/>
      <c r="Z809" s="1953" t="s">
        <v>1695</v>
      </c>
      <c r="AA809" s="1953"/>
      <c r="AB809" s="1953"/>
      <c r="AC809" s="1953"/>
      <c r="AD809" s="1953"/>
      <c r="AE809" s="1953"/>
      <c r="AF809" s="1955">
        <f>IF(T809&gt;0,T809,0)</f>
        <v>0</v>
      </c>
      <c r="AG809" s="1956"/>
      <c r="AH809" s="1956"/>
      <c r="AI809" s="1956"/>
      <c r="AJ809" s="1956"/>
      <c r="AK809" s="1957"/>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1960" t="s">
        <v>1696</v>
      </c>
      <c r="B810" s="1961"/>
      <c r="C810" s="1961"/>
      <c r="D810" s="1961"/>
      <c r="E810" s="1961"/>
      <c r="F810" s="1961"/>
      <c r="G810" s="1961"/>
      <c r="H810" s="1961"/>
      <c r="I810" s="1961"/>
      <c r="J810" s="1961"/>
      <c r="K810" s="1961"/>
      <c r="L810" s="1961"/>
      <c r="M810" s="1961"/>
      <c r="N810" s="1961"/>
      <c r="O810" s="1961"/>
      <c r="P810" s="1961"/>
      <c r="Q810" s="1961"/>
      <c r="R810" s="1961"/>
      <c r="S810" s="1961"/>
      <c r="T810" s="1961"/>
      <c r="U810" s="1961"/>
      <c r="V810" s="1961"/>
      <c r="W810" s="1961"/>
      <c r="X810" s="1961"/>
      <c r="Y810" s="1961"/>
      <c r="Z810" s="1961"/>
      <c r="AA810" s="1961"/>
      <c r="AB810" s="1961"/>
      <c r="AC810" s="1961"/>
      <c r="AD810" s="1961"/>
      <c r="AE810" s="1962"/>
      <c r="AF810" s="1966">
        <f ca="1">SUM(AF793:AK808)-AF809</f>
        <v>119</v>
      </c>
      <c r="AG810" s="1967"/>
      <c r="AH810" s="1967"/>
      <c r="AI810" s="1967"/>
      <c r="AJ810" s="1967"/>
      <c r="AK810" s="1968"/>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1963"/>
      <c r="B811" s="1964"/>
      <c r="C811" s="1964"/>
      <c r="D811" s="1964"/>
      <c r="E811" s="1964"/>
      <c r="F811" s="1964"/>
      <c r="G811" s="1964"/>
      <c r="H811" s="1964"/>
      <c r="I811" s="1964"/>
      <c r="J811" s="1964"/>
      <c r="K811" s="1964"/>
      <c r="L811" s="1964"/>
      <c r="M811" s="1964"/>
      <c r="N811" s="1964"/>
      <c r="O811" s="1964"/>
      <c r="P811" s="1964"/>
      <c r="Q811" s="1964"/>
      <c r="R811" s="1964"/>
      <c r="S811" s="1964"/>
      <c r="T811" s="1964"/>
      <c r="U811" s="1964"/>
      <c r="V811" s="1964"/>
      <c r="W811" s="1964"/>
      <c r="X811" s="1964"/>
      <c r="Y811" s="1964"/>
      <c r="Z811" s="1964"/>
      <c r="AA811" s="1964"/>
      <c r="AB811" s="1964"/>
      <c r="AC811" s="1964"/>
      <c r="AD811" s="1964"/>
      <c r="AE811" s="1965"/>
      <c r="AF811" s="1969"/>
      <c r="AG811" s="1970"/>
      <c r="AH811" s="1970"/>
      <c r="AI811" s="1970"/>
      <c r="AJ811" s="1970"/>
      <c r="AK811" s="1971"/>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B4" workbookViewId="0">
      <selection activeCell="G100" sqref="G100"/>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 customHeight="1">
      <c r="A1" s="2147" t="s">
        <v>1697</v>
      </c>
      <c r="B1" s="2147"/>
      <c r="C1" s="2147"/>
      <c r="D1" s="2147"/>
      <c r="E1" s="2147"/>
      <c r="F1" s="2147"/>
      <c r="G1" s="2147"/>
      <c r="H1" s="2147"/>
      <c r="I1" s="2147"/>
      <c r="J1" s="2147"/>
    </row>
    <row r="2" spans="1:13" ht="15" customHeight="1" thickBot="1">
      <c r="A2" s="1081"/>
      <c r="B2" s="1081"/>
      <c r="I2" s="1082"/>
      <c r="K2" s="1083"/>
    </row>
    <row r="3" spans="1:13" s="1086" customFormat="1" ht="20.149999999999999" customHeight="1">
      <c r="A3" s="1140"/>
      <c r="B3" s="1141"/>
      <c r="C3" s="1142"/>
      <c r="D3" s="1147"/>
      <c r="E3" s="1142"/>
      <c r="F3" s="1143" t="s">
        <v>2300</v>
      </c>
      <c r="G3" s="1142"/>
      <c r="H3" s="1144">
        <f>E16</f>
        <v>12917266</v>
      </c>
      <c r="I3" s="1145"/>
    </row>
    <row r="4" spans="1:13" s="1086" customFormat="1" ht="20.149999999999999" customHeight="1">
      <c r="B4" s="1134"/>
      <c r="D4" s="1148"/>
      <c r="F4" s="1132" t="s">
        <v>2302</v>
      </c>
      <c r="G4" s="1131" t="s">
        <v>2301</v>
      </c>
      <c r="H4" s="1133">
        <f>I16</f>
        <v>26965641.797385622</v>
      </c>
      <c r="I4" s="1135"/>
      <c r="K4" s="1090"/>
    </row>
    <row r="5" spans="1:13" s="1086" customFormat="1" ht="20.149999999999999" customHeight="1" thickBot="1">
      <c r="B5" s="1136"/>
      <c r="C5" s="1137"/>
      <c r="D5" s="1149"/>
      <c r="E5" s="1138"/>
      <c r="F5" s="1149" t="s">
        <v>2242</v>
      </c>
      <c r="G5" s="1150"/>
      <c r="H5" s="1146">
        <f>H3/H4</f>
        <v>0.47902683337032081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8" t="s">
        <v>2240</v>
      </c>
      <c r="C8" s="2149"/>
      <c r="D8" s="2149"/>
      <c r="E8" s="2150"/>
      <c r="G8" s="2151" t="s">
        <v>2241</v>
      </c>
      <c r="H8" s="2152"/>
      <c r="I8" s="2153"/>
      <c r="K8" s="1092"/>
    </row>
    <row r="9" spans="1:13" ht="15" customHeight="1">
      <c r="A9" s="1081"/>
      <c r="B9" s="2142" t="s">
        <v>2279</v>
      </c>
      <c r="C9" s="2142"/>
      <c r="D9" s="2142"/>
      <c r="E9" s="1094">
        <f>G31</f>
        <v>3867499.9999999995</v>
      </c>
      <c r="G9" s="2145" t="s">
        <v>2277</v>
      </c>
      <c r="H9" s="2145"/>
      <c r="I9" s="1095">
        <f>Application!AM554</f>
        <v>31217200</v>
      </c>
      <c r="K9" s="1096"/>
      <c r="M9" s="1097"/>
    </row>
    <row r="10" spans="1:13" ht="15" customHeight="1" thickBot="1">
      <c r="A10" s="1081"/>
      <c r="B10" s="2142" t="s">
        <v>2280</v>
      </c>
      <c r="C10" s="2142"/>
      <c r="D10" s="2142"/>
      <c r="E10" s="1095">
        <f>G40</f>
        <v>4770216</v>
      </c>
      <c r="G10" s="2145" t="s">
        <v>2243</v>
      </c>
      <c r="H10" s="2145"/>
      <c r="I10" s="1182">
        <f>'Basis &amp; Credits'!AB78</f>
        <v>0</v>
      </c>
      <c r="M10" s="1097"/>
    </row>
    <row r="11" spans="1:13" ht="15" customHeight="1">
      <c r="A11" s="1098"/>
      <c r="B11" s="2142" t="s">
        <v>2281</v>
      </c>
      <c r="C11" s="2142"/>
      <c r="D11" s="2142"/>
      <c r="E11" s="1095">
        <f>G49</f>
        <v>0</v>
      </c>
      <c r="G11" s="2145" t="s">
        <v>2292</v>
      </c>
      <c r="H11" s="2145"/>
      <c r="I11" s="1181">
        <f>I9+I10</f>
        <v>31217200</v>
      </c>
      <c r="M11" s="1097"/>
    </row>
    <row r="12" spans="1:13" ht="15" customHeight="1">
      <c r="A12" s="1084"/>
      <c r="B12" s="2142" t="s">
        <v>2282</v>
      </c>
      <c r="C12" s="2142"/>
      <c r="D12" s="2142"/>
      <c r="E12" s="1095">
        <f>G58</f>
        <v>180000</v>
      </c>
      <c r="G12" s="1183" t="s">
        <v>2317</v>
      </c>
      <c r="H12" s="1184"/>
      <c r="M12" s="1097"/>
    </row>
    <row r="13" spans="1:13" ht="15" customHeight="1">
      <c r="A13" s="1081"/>
      <c r="B13" s="2142" t="s">
        <v>2283</v>
      </c>
      <c r="C13" s="2142"/>
      <c r="D13" s="2142"/>
      <c r="E13" s="1100">
        <f>G83</f>
        <v>4099550</v>
      </c>
      <c r="G13" s="2146" t="s">
        <v>139</v>
      </c>
      <c r="H13" s="2146"/>
      <c r="I13" s="1099">
        <f>15%*(Application!AJ993&gt;0)</f>
        <v>0</v>
      </c>
      <c r="M13" s="1097"/>
    </row>
    <row r="14" spans="1:13" ht="15" customHeight="1">
      <c r="A14" s="1081"/>
      <c r="B14" s="2142" t="s">
        <v>2284</v>
      </c>
      <c r="C14" s="2142"/>
      <c r="D14" s="2142"/>
      <c r="E14" s="1095">
        <f>IF(G96&gt;G106,G96,0)</f>
        <v>0</v>
      </c>
      <c r="G14" s="1179" t="s">
        <v>2293</v>
      </c>
      <c r="H14" s="1179"/>
      <c r="I14" s="1099">
        <f>IF(Application!AJ1031&gt;0,10%,IF(Application!AJ1035&gt;0,5%,0))</f>
        <v>0.05</v>
      </c>
      <c r="M14" s="1097"/>
    </row>
    <row r="15" spans="1:13" ht="15" customHeight="1" thickBot="1">
      <c r="A15" s="1081"/>
      <c r="B15" s="2143" t="s">
        <v>2303</v>
      </c>
      <c r="C15" s="2143"/>
      <c r="D15" s="2143"/>
      <c r="E15" s="1151">
        <f>IF(E14&gt;0,0,G106)</f>
        <v>0</v>
      </c>
      <c r="G15" s="2140" t="s">
        <v>2294</v>
      </c>
      <c r="H15" s="2141"/>
      <c r="I15" s="1153">
        <f>G114</f>
        <v>8.6192810457516339E-2</v>
      </c>
      <c r="M15" s="1097"/>
    </row>
    <row r="16" spans="1:13" ht="15" customHeight="1">
      <c r="A16" s="1081"/>
      <c r="B16" s="2144" t="s">
        <v>2239</v>
      </c>
      <c r="C16" s="2144"/>
      <c r="D16" s="2144"/>
      <c r="E16" s="1152">
        <f>SUM(E9:E15)</f>
        <v>12917266</v>
      </c>
      <c r="G16" s="1180" t="s">
        <v>2278</v>
      </c>
      <c r="H16" s="1180"/>
      <c r="I16" s="1154">
        <f>I11-((I11*I13)+(I11*I14)+(I11*I15))</f>
        <v>26965641.797385622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79</v>
      </c>
      <c r="O18" s="1124" t="s">
        <v>591</v>
      </c>
      <c r="P18" s="1079">
        <f>MATCH(Application!T189,Application!BV490:BV547,0)</f>
        <v>1</v>
      </c>
      <c r="S18" s="1101">
        <f>SUM(Cdlac[Population])</f>
        <v>0</v>
      </c>
    </row>
    <row r="19" spans="1:20" ht="15" customHeight="1">
      <c r="A19" s="1081"/>
      <c r="B19" s="1081"/>
      <c r="I19" s="1107"/>
      <c r="L19" s="1079" t="s">
        <v>2235</v>
      </c>
      <c r="M19" s="1079" t="s">
        <v>2234</v>
      </c>
      <c r="N19" s="1079" t="s">
        <v>2248</v>
      </c>
      <c r="O19" s="1079" t="s">
        <v>2249</v>
      </c>
      <c r="P19" s="1079" t="s">
        <v>2236</v>
      </c>
      <c r="Q19" s="1079" t="s">
        <v>2237</v>
      </c>
      <c r="R19" s="1079" t="s">
        <v>2250</v>
      </c>
      <c r="S19" s="1079" t="s">
        <v>2256</v>
      </c>
      <c r="T19" s="1079" t="s">
        <v>386</v>
      </c>
    </row>
    <row r="20" spans="1:20" ht="15" customHeight="1">
      <c r="A20" s="1084"/>
      <c r="C20" s="2138" t="s">
        <v>2296</v>
      </c>
      <c r="D20" s="2138" t="s">
        <v>2297</v>
      </c>
      <c r="E20" s="2138" t="s">
        <v>2298</v>
      </c>
      <c r="F20" s="2138" t="s">
        <v>2299</v>
      </c>
      <c r="G20" s="2138" t="s">
        <v>2295</v>
      </c>
      <c r="H20" s="1108"/>
      <c r="I20" s="1107"/>
      <c r="L20" s="1079">
        <f>IFERROR(MIN(4,MATCH(Application!B718,UnitSizes,0)-1),"")</f>
        <v>0</v>
      </c>
      <c r="M20" s="1101">
        <f>Application!G718</f>
        <v>9</v>
      </c>
      <c r="N20" s="1109">
        <f>Application!AC718</f>
        <v>0.3</v>
      </c>
      <c r="O20" s="1109">
        <f>IF(Cdlac[[#This Row],[Quantity]]&gt;0,IF(Cdlac[[#This Row],[Federal]],30%,IF($G$36,40%,Cdlac[[#This Row],[iAMI]])),"")</f>
        <v>0.3</v>
      </c>
      <c r="P20" s="1101" cm="1">
        <f t="array" ref="P20">IF(Cdlac[[#This Row],[Quantity]]&gt;0,INDEX(TcacRents,$P$18,Cdlac[[#This Row],[Bedrooms]]+1)*Cdlac[[#This Row],[AMI]],"")</f>
        <v>817.19999999999993</v>
      </c>
      <c r="Q20" s="1101" cm="1">
        <f t="array" ref="Q20">IF(Cdlac[[#This Row],[Quantity]]&gt;0,INDEX(HudFmrs,$P$18,Cdlac[[#This Row],[Bedrooms]]+1),"")</f>
        <v>1825</v>
      </c>
      <c r="R20" s="1101">
        <f>IF(Cdlac[[#This Row],[Quantity]]&gt;0,MAX(0,Cdlac[[#This Row],[Fair Market Rent]]-Cdlac[[#This Row],[Restricted Rent]]),"")</f>
        <v>1007.8000000000001</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9"/>
      <c r="D21" s="2139"/>
      <c r="E21" s="2139"/>
      <c r="F21" s="2139"/>
      <c r="G21" s="2139"/>
      <c r="H21" s="1108"/>
      <c r="I21" s="1107"/>
      <c r="L21" s="1079">
        <f>IFERROR(MIN(4,MATCH(Application!B719,UnitSizes,0)-1),"")</f>
        <v>0</v>
      </c>
      <c r="M21" s="1101">
        <f>Application!G719</f>
        <v>23</v>
      </c>
      <c r="N21" s="1109">
        <f>Application!AC719</f>
        <v>0.5</v>
      </c>
      <c r="O21" s="1109">
        <f>IF(Cdlac[[#This Row],[Quantity]]&gt;0,IF(Cdlac[[#This Row],[Federal]],30%,IF($G$36,40%,Cdlac[[#This Row],[iAMI]])),"")</f>
        <v>0.5</v>
      </c>
      <c r="P21" s="1101" cm="1">
        <f t="array" ref="P21">IF(Cdlac[[#This Row],[Quantity]]&gt;0,INDEX(TcacRents,$P$18,Cdlac[[#This Row],[Bedrooms]]+1)*Cdlac[[#This Row],[AMI]],"")</f>
        <v>1362</v>
      </c>
      <c r="Q21" s="1101" cm="1">
        <f t="array" ref="Q21">IF(Cdlac[[#This Row],[Quantity]]&gt;0,INDEX(HudFmrs,$P$18,Cdlac[[#This Row],[Bedrooms]]+1),"")</f>
        <v>1825</v>
      </c>
      <c r="R21" s="1101">
        <f>IF(Cdlac[[#This Row],[Quantity]]&gt;0,MAX(0,Cdlac[[#This Row],[Fair Market Rent]]-Cdlac[[#This Row],[Restricted Rent]]),"")</f>
        <v>463</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44</v>
      </c>
      <c r="F22" s="1110">
        <f>E22</f>
        <v>44</v>
      </c>
      <c r="G22" s="1110">
        <f>D22*F22</f>
        <v>39.6</v>
      </c>
      <c r="L22" s="1079">
        <f>IFERROR(MIN(4,MATCH(Application!B720,UnitSizes,0)-1),"")</f>
        <v>0</v>
      </c>
      <c r="M22" s="1101">
        <f>Application!G720</f>
        <v>12</v>
      </c>
      <c r="N22" s="1109">
        <f>Application!AC720</f>
        <v>0.6</v>
      </c>
      <c r="O22" s="1109">
        <f>IF(Cdlac[[#This Row],[Quantity]]&gt;0,IF(Cdlac[[#This Row],[Federal]],30%,IF($G$36,40%,Cdlac[[#This Row],[iAMI]])),"")</f>
        <v>0.6</v>
      </c>
      <c r="P22" s="1101" cm="1">
        <f t="array" ref="P22">IF(Cdlac[[#This Row],[Quantity]]&gt;0,INDEX(TcacRents,$P$18,Cdlac[[#This Row],[Bedrooms]]+1)*Cdlac[[#This Row],[AMI]],"")</f>
        <v>1634.3999999999999</v>
      </c>
      <c r="Q22" s="1101" cm="1">
        <f t="array" ref="Q22">IF(Cdlac[[#This Row],[Quantity]]&gt;0,INDEX(HudFmrs,$P$18,Cdlac[[#This Row],[Bedrooms]]+1),"")</f>
        <v>1825</v>
      </c>
      <c r="R22" s="1101">
        <f>IF(Cdlac[[#This Row],[Quantity]]&gt;0,MAX(0,Cdlac[[#This Row],[Fair Market Rent]]-Cdlac[[#This Row],[Restricted Rent]]),"")</f>
        <v>190.60000000000014</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24</v>
      </c>
      <c r="F23" s="1110">
        <f>E23</f>
        <v>24</v>
      </c>
      <c r="G23" s="1110">
        <f>D23*F23</f>
        <v>24</v>
      </c>
      <c r="L23" s="1079">
        <f>IFERROR(MIN(4,MATCH(Application!B721,UnitSizes,0)-1),"")</f>
        <v>1</v>
      </c>
      <c r="M23" s="1101">
        <f>Application!G721</f>
        <v>8</v>
      </c>
      <c r="N23" s="1109">
        <f>Application!AC721</f>
        <v>0.6</v>
      </c>
      <c r="O23" s="1109">
        <f>IF(Cdlac[[#This Row],[Quantity]]&gt;0,IF(Cdlac[[#This Row],[Federal]],30%,IF($G$36,40%,Cdlac[[#This Row],[iAMI]])),"")</f>
        <v>0.6</v>
      </c>
      <c r="P23" s="1101" cm="1">
        <f t="array" ref="P23">IF(Cdlac[[#This Row],[Quantity]]&gt;0,INDEX(TcacRents,$P$18,Cdlac[[#This Row],[Bedrooms]]+1)*Cdlac[[#This Row],[AMI]],"")</f>
        <v>1752</v>
      </c>
      <c r="Q23" s="1101" cm="1">
        <f t="array" ref="Q23">IF(Cdlac[[#This Row],[Quantity]]&gt;0,INDEX(HudFmrs,$P$18,Cdlac[[#This Row],[Bedrooms]]+1),"")</f>
        <v>2131</v>
      </c>
      <c r="R23" s="1101">
        <f>IF(Cdlac[[#This Row],[Quantity]]&gt;0,MAX(0,Cdlac[[#This Row],[Fair Market Rent]]-Cdlac[[#This Row],[Restricted Rent]]),"")</f>
        <v>379</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11</v>
      </c>
      <c r="F24" s="1113">
        <f>SUM(E24:E26)-SUM(F25:F26)</f>
        <v>11</v>
      </c>
      <c r="G24" s="1110">
        <f>D24*F24</f>
        <v>13.75</v>
      </c>
      <c r="H24" s="1112"/>
      <c r="I24" s="1112"/>
      <c r="L24" s="1079">
        <f>IFERROR(MIN(4,MATCH(Application!B722,UnitSizes,0)-1),"")</f>
        <v>1</v>
      </c>
      <c r="M24" s="1101">
        <f>Application!G722</f>
        <v>16</v>
      </c>
      <c r="N24" s="1109">
        <f>Application!AC722</f>
        <v>0.8</v>
      </c>
      <c r="O24" s="1109">
        <f>IF(Cdlac[[#This Row],[Quantity]]&gt;0,IF(Cdlac[[#This Row],[Federal]],30%,IF($G$36,40%,Cdlac[[#This Row],[iAMI]])),"")</f>
        <v>0.8</v>
      </c>
      <c r="P24" s="1101" cm="1">
        <f t="array" ref="P24">IF(Cdlac[[#This Row],[Quantity]]&gt;0,INDEX(TcacRents,$P$18,Cdlac[[#This Row],[Bedrooms]]+1)*Cdlac[[#This Row],[AMI]],"")</f>
        <v>2336</v>
      </c>
      <c r="Q24" s="1101" cm="1">
        <f t="array" ref="Q24">IF(Cdlac[[#This Row],[Quantity]]&gt;0,INDEX(HudFmrs,$P$18,Cdlac[[#This Row],[Bedrooms]]+1),"")</f>
        <v>2131</v>
      </c>
      <c r="R24" s="1101">
        <f>IF(Cdlac[[#This Row],[Quantity]]&gt;0,MAX(0,Cdlac[[#This Row],[Fair Market Rent]]-Cdlac[[#This Row],[Restricted Rent]]),"")</f>
        <v>0</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3</v>
      </c>
      <c r="N25" s="1109">
        <f>Application!AC723</f>
        <v>0.6</v>
      </c>
      <c r="O25" s="1109">
        <f>IF(Cdlac[[#This Row],[Quantity]]&gt;0,IF(Cdlac[[#This Row],[Federal]],30%,IF($G$36,40%,Cdlac[[#This Row],[iAMI]])),"")</f>
        <v>0.6</v>
      </c>
      <c r="P25" s="1101" cm="1">
        <f t="array" ref="P25">IF(Cdlac[[#This Row],[Quantity]]&gt;0,INDEX(TcacRents,$P$18,Cdlac[[#This Row],[Bedrooms]]+1)*Cdlac[[#This Row],[AMI]],"")</f>
        <v>2102.4</v>
      </c>
      <c r="Q25" s="1101" cm="1">
        <f t="array" ref="Q25">IF(Cdlac[[#This Row],[Quantity]]&gt;0,INDEX(HudFmrs,$P$18,Cdlac[[#This Row],[Bedrooms]]+1),"")</f>
        <v>2590</v>
      </c>
      <c r="R25" s="1101">
        <f>IF(Cdlac[[#This Row],[Quantity]]&gt;0,MAX(0,Cdlac[[#This Row],[Fair Market Rent]]-Cdlac[[#This Row],[Restricted Rent]]),"")</f>
        <v>487.59999999999991</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8</v>
      </c>
      <c r="N26" s="1109">
        <f>Application!AC724</f>
        <v>0.8</v>
      </c>
      <c r="O26" s="1109">
        <f>IF(Cdlac[[#This Row],[Quantity]]&gt;0,IF(Cdlac[[#This Row],[Federal]],30%,IF($G$36,40%,Cdlac[[#This Row],[iAMI]])),"")</f>
        <v>0.8</v>
      </c>
      <c r="P26" s="1101" cm="1">
        <f t="array" ref="P26">IF(Cdlac[[#This Row],[Quantity]]&gt;0,INDEX(TcacRents,$P$18,Cdlac[[#This Row],[Bedrooms]]+1)*Cdlac[[#This Row],[AMI]],"")</f>
        <v>2803.2000000000003</v>
      </c>
      <c r="Q26" s="1101" cm="1">
        <f t="array" ref="Q26">IF(Cdlac[[#This Row],[Quantity]]&gt;0,INDEX(HudFmrs,$P$18,Cdlac[[#This Row],[Bedrooms]]+1),"")</f>
        <v>2590</v>
      </c>
      <c r="R26" s="1101">
        <f>IF(Cdlac[[#This Row],[Quantity]]&gt;0,MAX(0,Cdlac[[#This Row],[Fair Market Rent]]-Cdlac[[#This Row],[Restricted Rent]]),"")</f>
        <v>0</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4" t="s">
        <v>1698</v>
      </c>
      <c r="D27" s="2155"/>
      <c r="E27" s="1129">
        <f>SUM(E22:E26)</f>
        <v>79</v>
      </c>
      <c r="F27" s="1129">
        <f>SUM(F22:F26)</f>
        <v>79</v>
      </c>
      <c r="G27" s="1130">
        <f>SUMPRODUCT(D22:D26,F22:F26)</f>
        <v>77.349999999999994</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2295</v>
      </c>
      <c r="G29" s="1156">
        <f>G27</f>
        <v>77.349999999999994</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2247</v>
      </c>
      <c r="F30" s="1155" t="s">
        <v>2304</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2288</v>
      </c>
      <c r="F31" s="1081"/>
      <c r="G31" s="1161">
        <f>G30*G29</f>
        <v>3867499.9999999995</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2315</v>
      </c>
      <c r="G35" s="1162" cm="1">
        <f t="array" ref="G35">SUMPRODUCT(Cdlac[Quantity],Cdlac[iAMI],IF(Cdlac[Federal],0,1))/SUMIFS(Cdlac[Quantity],Cdlac[Federal],FALSE)</f>
        <v>0.59746835443037971</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2310</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2251</v>
      </c>
      <c r="G38" s="1116">
        <f>SUMPRODUCT(Cdlac[Quantity],Cdlac[Delta])</f>
        <v>26501.200000000001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2316</v>
      </c>
      <c r="F39" s="1155" t="s">
        <v>2304</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2244</v>
      </c>
      <c r="F40" s="1081"/>
      <c r="G40" s="1165">
        <f>G38*G39</f>
        <v>4770216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2305</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2306</v>
      </c>
      <c r="G45" s="1167">
        <f>ROUNDDOWN(E27*50%,0)</f>
        <v>39</v>
      </c>
    </row>
    <row r="46" spans="2:20" ht="15" customHeight="1">
      <c r="E46" s="1159"/>
      <c r="G46" s="1167"/>
    </row>
    <row r="47" spans="2:20" ht="15" customHeight="1">
      <c r="E47" s="1159" t="s">
        <v>2257</v>
      </c>
      <c r="G47" s="1156">
        <f>MIN(G44:G45)</f>
        <v>0</v>
      </c>
    </row>
    <row r="48" spans="2:20" ht="15" customHeight="1">
      <c r="E48" s="1159" t="s">
        <v>2247</v>
      </c>
      <c r="F48" s="1155" t="s">
        <v>2304</v>
      </c>
      <c r="G48" s="1166">
        <v>10000</v>
      </c>
    </row>
    <row r="49" spans="2:14" ht="15" customHeight="1">
      <c r="E49" s="1160" t="s">
        <v>2287</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2307</v>
      </c>
      <c r="G53" s="1117">
        <f>SUMIFS(Cdlac[Quantity],Cdlac[iAMI],"&lt;=30%")</f>
        <v>9</v>
      </c>
    </row>
    <row r="54" spans="2:14" ht="15" customHeight="1">
      <c r="E54" s="1159" t="s">
        <v>2306</v>
      </c>
      <c r="G54" s="1117">
        <f>ROUNDDOWN(E27*50%,0)</f>
        <v>39</v>
      </c>
    </row>
    <row r="55" spans="2:14" ht="15" customHeight="1">
      <c r="E55" s="1159"/>
      <c r="G55" s="1117"/>
    </row>
    <row r="56" spans="2:14" ht="15" customHeight="1">
      <c r="E56" s="1159" t="s">
        <v>2257</v>
      </c>
      <c r="G56" s="1156">
        <f>MIN(G53:G54)</f>
        <v>9</v>
      </c>
    </row>
    <row r="57" spans="2:14" ht="15" customHeight="1">
      <c r="E57" s="1159" t="s">
        <v>2247</v>
      </c>
      <c r="F57" s="1155" t="s">
        <v>2304</v>
      </c>
      <c r="G57" s="1166">
        <v>20000</v>
      </c>
    </row>
    <row r="58" spans="2:14" ht="15" customHeight="1">
      <c r="E58" s="1160" t="s">
        <v>2286</v>
      </c>
      <c r="F58" s="1081"/>
      <c r="G58" s="1165">
        <f>G56*G57</f>
        <v>180000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2260</v>
      </c>
      <c r="G62" s="1156">
        <f>VLOOKUP('Points System'!$H$595,'Points System'!$AO$575:$AP$580,2,FALSE)</f>
        <v>7</v>
      </c>
      <c r="L62" s="1169" t="str">
        <f>'Points System'!H627</f>
        <v>(ii)</v>
      </c>
      <c r="M62" s="2156" t="s">
        <v>1516</v>
      </c>
      <c r="N62" s="2157"/>
    </row>
    <row r="63" spans="2:14" ht="15" customHeight="1">
      <c r="E63" s="1124" t="s">
        <v>2247</v>
      </c>
      <c r="F63" s="1155" t="s">
        <v>2304</v>
      </c>
      <c r="G63" s="1114">
        <v>4000</v>
      </c>
      <c r="L63" s="1170" t="str">
        <f>'Points System'!H639</f>
        <v>(ii)</v>
      </c>
      <c r="M63" s="2158" t="s">
        <v>2261</v>
      </c>
      <c r="N63" s="2159"/>
    </row>
    <row r="64" spans="2:14" ht="15" customHeight="1">
      <c r="E64" s="1124" t="s">
        <v>2308</v>
      </c>
      <c r="F64" s="1155" t="s">
        <v>2304</v>
      </c>
      <c r="G64" s="1168">
        <f>G27</f>
        <v>77.349999999999994</v>
      </c>
      <c r="L64" s="1170" t="str">
        <f>'Points System'!H674</f>
        <v>(ii)</v>
      </c>
      <c r="M64" s="2158" t="s">
        <v>2262</v>
      </c>
      <c r="N64" s="2159"/>
    </row>
    <row r="65" spans="2:14" ht="15" customHeight="1">
      <c r="E65" s="1160" t="s">
        <v>2266</v>
      </c>
      <c r="F65" s="1081"/>
      <c r="G65" s="1165">
        <f>G62*G63*G64</f>
        <v>2165800</v>
      </c>
      <c r="L65" s="1170" t="str">
        <f>IF(OR('Points System'!H698="(ii)",'Points System'!H698="(i)"),"(i)","N/A")</f>
        <v>N/A</v>
      </c>
      <c r="M65" s="2158" t="s">
        <v>2263</v>
      </c>
      <c r="N65" s="2159"/>
    </row>
    <row r="66" spans="2:14" ht="15" customHeight="1">
      <c r="C66" s="1115"/>
      <c r="G66" s="1156"/>
      <c r="L66" s="1171" t="str">
        <f>'Points System'!H712</f>
        <v>N/A</v>
      </c>
      <c r="M66" s="2158" t="s">
        <v>1542</v>
      </c>
      <c r="N66" s="2159"/>
    </row>
    <row r="67" spans="2:14" ht="15" customHeight="1">
      <c r="E67" s="1124" t="s">
        <v>2309</v>
      </c>
      <c r="G67" s="1168">
        <f>COUNTIFS(L62:L69,"(i)")</f>
        <v>0</v>
      </c>
      <c r="L67" s="1170" t="str">
        <f>'Points System'!H724</f>
        <v>N/A</v>
      </c>
      <c r="M67" s="2158" t="s">
        <v>2264</v>
      </c>
      <c r="N67" s="2159"/>
    </row>
    <row r="68" spans="2:14" ht="15" customHeight="1">
      <c r="E68" s="1124" t="s">
        <v>2247</v>
      </c>
      <c r="F68" s="1155" t="s">
        <v>2304</v>
      </c>
      <c r="G68" s="1166">
        <v>4000</v>
      </c>
      <c r="L68" s="1170" t="str">
        <f>'Points System'!H740</f>
        <v>(ii)</v>
      </c>
      <c r="M68" s="2158" t="s">
        <v>2265</v>
      </c>
      <c r="N68" s="2159"/>
    </row>
    <row r="69" spans="2:14" ht="15" customHeight="1" thickBot="1">
      <c r="E69" s="1160" t="s">
        <v>2267</v>
      </c>
      <c r="F69" s="1081"/>
      <c r="G69" s="1165">
        <f>G64*G67*G68</f>
        <v>0</v>
      </c>
      <c r="L69" s="1172" t="str">
        <f>'Points System'!H752</f>
        <v>(ii)</v>
      </c>
      <c r="M69" s="2164" t="s">
        <v>1545</v>
      </c>
      <c r="N69" s="2165"/>
    </row>
    <row r="70" spans="2:14" ht="15" customHeight="1"/>
    <row r="71" spans="2:14" ht="15" customHeight="1">
      <c r="C71" s="1118" t="s">
        <v>2269</v>
      </c>
    </row>
    <row r="72" spans="2:14" ht="15" customHeight="1">
      <c r="C72" s="1115" t="s">
        <v>2270</v>
      </c>
      <c r="G72" s="1078"/>
    </row>
    <row r="73" spans="2:14" ht="15" customHeight="1">
      <c r="C73" s="1115" t="s">
        <v>2271</v>
      </c>
      <c r="G73" s="1078"/>
    </row>
    <row r="74" spans="2:14" ht="15" customHeight="1">
      <c r="C74" s="1115" t="s">
        <v>2499</v>
      </c>
      <c r="G74" s="1078" t="s">
        <v>554</v>
      </c>
    </row>
    <row r="75" spans="2:14" ht="15" customHeight="1">
      <c r="C75" s="1115" t="s">
        <v>2500</v>
      </c>
      <c r="G75" s="1078"/>
    </row>
    <row r="76" spans="2:14" ht="15" customHeight="1"/>
    <row r="77" spans="2:14" ht="15" customHeight="1">
      <c r="B77" s="1116"/>
      <c r="C77" s="1115"/>
      <c r="E77" s="1124" t="s">
        <v>2311</v>
      </c>
      <c r="G77" s="1117" t="b">
        <f>COUNTIFS(G72:G75,"Yes")&gt;=1</f>
        <v>1</v>
      </c>
    </row>
    <row r="78" spans="2:14" ht="15" customHeight="1">
      <c r="E78" s="1115"/>
    </row>
    <row r="79" spans="2:14" ht="15" customHeight="1">
      <c r="E79" s="1124" t="s">
        <v>2308</v>
      </c>
      <c r="F79" s="1155" t="s">
        <v>2304</v>
      </c>
      <c r="G79" s="1156">
        <f>G27</f>
        <v>77.349999999999994</v>
      </c>
    </row>
    <row r="80" spans="2:14" ht="15" customHeight="1">
      <c r="E80" s="1124" t="s">
        <v>2247</v>
      </c>
      <c r="F80" s="1155" t="s">
        <v>2304</v>
      </c>
      <c r="G80" s="1166">
        <v>25000</v>
      </c>
    </row>
    <row r="81" spans="2:14" ht="15" customHeight="1">
      <c r="E81" s="1160" t="s">
        <v>2268</v>
      </c>
      <c r="F81" s="1081"/>
      <c r="G81" s="1165">
        <f>G77*G80*G64</f>
        <v>1933749.9999999998</v>
      </c>
    </row>
    <row r="82" spans="2:14" ht="15" customHeight="1">
      <c r="C82" s="1115"/>
      <c r="E82" s="1115"/>
    </row>
    <row r="83" spans="2:14" ht="15" customHeight="1">
      <c r="E83" s="1160" t="s">
        <v>2245</v>
      </c>
      <c r="G83" s="1165">
        <f>G81+G69+G65</f>
        <v>4099550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2290</v>
      </c>
      <c r="G87" s="1078" t="s">
        <v>554</v>
      </c>
      <c r="L87" s="2166" t="s">
        <v>2274</v>
      </c>
      <c r="M87" s="2167"/>
      <c r="N87" s="1173">
        <v>30000</v>
      </c>
    </row>
    <row r="88" spans="2:14" ht="15" customHeight="1">
      <c r="C88" s="1115" t="s">
        <v>2291</v>
      </c>
      <c r="G88" s="1119" t="str">
        <f>IF(Application!D211="Large Family","Yes","No")</f>
        <v>No</v>
      </c>
      <c r="L88" s="2160" t="s">
        <v>2238</v>
      </c>
      <c r="M88" s="2161"/>
      <c r="N88" s="1174">
        <v>20000</v>
      </c>
    </row>
    <row r="89" spans="2:14" ht="15" customHeight="1" thickBot="1">
      <c r="C89" s="1115" t="s">
        <v>2272</v>
      </c>
      <c r="G89" s="1078" t="s">
        <v>678</v>
      </c>
      <c r="L89" s="2162" t="s">
        <v>2275</v>
      </c>
      <c r="M89" s="2163"/>
      <c r="N89" s="1175">
        <v>10000</v>
      </c>
    </row>
    <row r="90" spans="2:14" ht="15" customHeight="1">
      <c r="C90" s="1115" t="s">
        <v>2273</v>
      </c>
      <c r="G90" s="1079" t="str">
        <f>Application!T193</f>
        <v>Low Resource</v>
      </c>
    </row>
    <row r="91" spans="2:14" ht="15" customHeight="1">
      <c r="C91" s="1115"/>
    </row>
    <row r="92" spans="2:14" ht="15" customHeight="1">
      <c r="E92" s="1124" t="s">
        <v>2311</v>
      </c>
      <c r="G92" s="1117" t="b">
        <f>AND(COUNTIFS(G88:G89,"Yes")&gt;=1,G87="Yes")</f>
        <v>0</v>
      </c>
    </row>
    <row r="93" spans="2:14" ht="15" customHeight="1">
      <c r="E93" s="1124"/>
      <c r="G93" s="1117"/>
    </row>
    <row r="94" spans="2:14" ht="15" customHeight="1">
      <c r="E94" s="1124" t="s">
        <v>2247</v>
      </c>
      <c r="G94" s="1116">
        <f>IFERROR(INDEX(N87:N89,MATCH(LEFT(G90,17),L87:L89,0)),0)</f>
        <v>0</v>
      </c>
    </row>
    <row r="95" spans="2:14" ht="15" customHeight="1">
      <c r="E95" s="1124" t="str">
        <f>E64</f>
        <v>Bedroom-Adjusted Low-Income Units</v>
      </c>
      <c r="F95" s="1155" t="s">
        <v>2304</v>
      </c>
      <c r="G95" s="1156">
        <f>G27</f>
        <v>77.349999999999994</v>
      </c>
    </row>
    <row r="96" spans="2:14" ht="15" customHeight="1">
      <c r="D96" s="1081"/>
      <c r="E96" s="1160" t="s">
        <v>2246</v>
      </c>
      <c r="F96" s="1081"/>
      <c r="G96" s="1165">
        <f>G95*G94*G92</f>
        <v>0</v>
      </c>
    </row>
    <row r="97" spans="2:9" ht="15" customHeight="1"/>
    <row r="98" spans="2:9" ht="15" customHeight="1">
      <c r="B98" s="1104" t="s">
        <v>2259</v>
      </c>
      <c r="C98" s="1105"/>
      <c r="D98" s="1105"/>
      <c r="E98" s="1105"/>
      <c r="F98" s="1105"/>
      <c r="G98" s="1105"/>
      <c r="H98" s="1105"/>
      <c r="I98" s="1106"/>
    </row>
    <row r="99" spans="2:9" ht="15" customHeight="1"/>
    <row r="100" spans="2:9" ht="15" customHeight="1">
      <c r="F100" s="1158" t="s">
        <v>2285</v>
      </c>
      <c r="G100" s="1078" t="s">
        <v>678</v>
      </c>
    </row>
    <row r="101" spans="2:9" ht="15" customHeight="1">
      <c r="F101" s="1158"/>
    </row>
    <row r="102" spans="2:9" ht="15" customHeight="1">
      <c r="E102" s="1124" t="s">
        <v>2311</v>
      </c>
      <c r="G102" s="1117" t="b">
        <f>G100="Yes"</f>
        <v>0</v>
      </c>
    </row>
    <row r="103" spans="2:9" ht="15" customHeight="1"/>
    <row r="104" spans="2:9" ht="15" customHeight="1">
      <c r="E104" s="1124" t="str">
        <f>E64</f>
        <v>Bedroom-Adjusted Low-Income Units</v>
      </c>
      <c r="G104" s="1156">
        <f>G27</f>
        <v>77.349999999999994</v>
      </c>
    </row>
    <row r="105" spans="2:9" ht="15" customHeight="1">
      <c r="E105" s="1124" t="s">
        <v>2247</v>
      </c>
      <c r="F105" s="1155" t="s">
        <v>2304</v>
      </c>
      <c r="G105" s="1085">
        <v>20000</v>
      </c>
    </row>
    <row r="106" spans="2:9" ht="15" customHeight="1">
      <c r="E106" s="1160" t="s">
        <v>2276</v>
      </c>
      <c r="F106" s="1081"/>
      <c r="G106" s="1165">
        <f>G102*G105*G104</f>
        <v>0</v>
      </c>
    </row>
    <row r="107" spans="2:9" ht="15" customHeight="1"/>
    <row r="108" spans="2:9" ht="15" customHeight="1">
      <c r="B108" s="1104" t="s">
        <v>2313</v>
      </c>
      <c r="C108" s="1105"/>
      <c r="D108" s="1105"/>
      <c r="E108" s="1105"/>
      <c r="F108" s="1105"/>
      <c r="G108" s="1105"/>
      <c r="H108" s="1105"/>
      <c r="I108" s="1106"/>
    </row>
    <row r="109" spans="2:9" ht="15" customHeight="1"/>
    <row r="110" spans="2:9" ht="15" customHeight="1">
      <c r="E110" s="1124" t="s">
        <v>591</v>
      </c>
      <c r="G110" s="1079" t="str">
        <f>IF(Application!T189="","",Application!T189)</f>
        <v>Alameda</v>
      </c>
    </row>
    <row r="111" spans="2:9" ht="15" customHeight="1">
      <c r="E111" s="1124"/>
      <c r="G111" s="1116"/>
    </row>
    <row r="112" spans="2:9" ht="15" customHeight="1">
      <c r="E112" s="1124" t="str">
        <f>"2-Bedroom "&amp;G110&amp;" County Basis Limit"</f>
        <v>2-Bedroom Alameda County Basis Limit</v>
      </c>
      <c r="G112" s="1116">
        <f>Application!R987</f>
        <v>658400</v>
      </c>
    </row>
    <row r="113" spans="4:9" ht="15" customHeight="1">
      <c r="E113" s="1124" t="s">
        <v>2312</v>
      </c>
      <c r="G113" s="1116">
        <f>MEDIAN((Application!BR806:BR863))</f>
        <v>489600</v>
      </c>
    </row>
    <row r="114" spans="4:9" ht="15" customHeight="1">
      <c r="D114" s="1081"/>
      <c r="E114" s="1160" t="s">
        <v>2314</v>
      </c>
      <c r="F114" s="1176"/>
      <c r="G114" s="1177">
        <f>((G112-G113)/G113)*0.25</f>
        <v>8.6192810457516339E-2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Punit Bhargava</cp:lastModifiedBy>
  <cp:lastPrinted>2024-08-22T21:12:41Z</cp:lastPrinted>
  <dcterms:created xsi:type="dcterms:W3CDTF">2007-12-27T18:26:28Z</dcterms:created>
  <dcterms:modified xsi:type="dcterms:W3CDTF">2024-08-26T19:43:49Z</dcterms:modified>
</cp:coreProperties>
</file>